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Dashboard" sheetId="2" state="visible" r:id="rId2"/>
    <sheet name="Key Counties" sheetId="3" state="visible" r:id="rId3"/>
    <sheet name="County Benchmarks" sheetId="4" state="visible" r:id="rId4"/>
    <sheet name="First Counties" sheetId="5" state="visible" r:id="rId5"/>
    <sheet name="Counties" sheetId="6" state="visible" r:id="rId6"/>
    <sheet name="Types" sheetId="7" state="visible" r:id="rId7"/>
    <sheet name="Early Vote" sheetId="8" state="visible" r:id="rId8"/>
  </sheets>
  <definedNames>
    <definedName name="_xlnm._FilterDatabase" localSheetId="5" hidden="1">'Counties'!$A$1:$BF$1583</definedName>
  </definedNames>
  <calcPr calcId="124519" fullCalcOnLoad="1"/>
</workbook>
</file>

<file path=xl/styles.xml><?xml version="1.0" encoding="utf-8"?>
<styleSheet xmlns="http://schemas.openxmlformats.org/spreadsheetml/2006/main">
  <numFmts count="6">
    <numFmt numFmtId="164" formatCode="[Blue]&quot;D+&quot;0.0%;[Red]&quot;R+&quot;0.0%;&quot;even&quot;"/>
    <numFmt numFmtId="165" formatCode="[Blue]&quot;+&quot;0.0%&quot; D&quot;;[Red]&quot;+&quot;0.0%&quot; R&quot;;&quot;0.0%&quot;"/>
    <numFmt numFmtId="166" formatCode="0.0%"/>
    <numFmt numFmtId="167" formatCode="[Blue]&quot;D +&quot;#,##0;[Red]&quot;R +&quot;#,##0;&quot;even&quot;"/>
    <numFmt numFmtId="168" formatCode="[Blue]&quot;D+&quot;0%;[Red]&quot;R+&quot;0%;&quot;even&quot;"/>
    <numFmt numFmtId="169" formatCode="+0%;-0%;0%"/>
  </numFmts>
  <fonts count="14">
    <font>
      <name val="Calibri"/>
      <family val="2"/>
      <color theme="1"/>
      <sz val="11"/>
      <scheme val="minor"/>
    </font>
    <font>
      <name val="Arial"/>
      <b val="1"/>
      <color rgb="00FFFFFF"/>
      <sz val="10"/>
    </font>
    <font>
      <name val="Arial"/>
      <sz val="10"/>
    </font>
    <font>
      <name val="Arial"/>
      <color rgb="000000FF"/>
      <sz val="10"/>
    </font>
    <font>
      <name val="Arial"/>
      <i val="1"/>
      <sz val="10"/>
    </font>
    <font>
      <name val="Arial"/>
      <b val="1"/>
      <sz val="10"/>
    </font>
    <font>
      <name val="Arial"/>
      <b val="1"/>
      <sz val="16"/>
    </font>
    <font>
      <name val="Arial"/>
      <i val="1"/>
      <color rgb="00595959"/>
      <sz val="10"/>
    </font>
    <font>
      <name val="Arial"/>
      <color rgb="00595959"/>
      <sz val="10"/>
    </font>
    <font>
      <name val="Arial"/>
      <b val="1"/>
      <color rgb="00404040"/>
      <sz val="10"/>
    </font>
    <font>
      <name val="Arial"/>
      <color rgb="00404040"/>
      <sz val="10"/>
    </font>
    <font>
      <name val="Arial"/>
      <b val="1"/>
      <sz val="14"/>
    </font>
    <font>
      <name val="Arial"/>
      <b val="1"/>
      <sz val="12"/>
    </font>
    <font>
      <name val="Arial"/>
      <b val="1"/>
      <sz val="11"/>
    </font>
  </fonts>
  <fills count="9">
    <fill>
      <patternFill/>
    </fill>
    <fill>
      <patternFill patternType="gray125"/>
    </fill>
    <fill>
      <patternFill patternType="solid">
        <fgColor rgb="001F2A44"/>
      </patternFill>
    </fill>
    <fill>
      <patternFill patternType="solid">
        <fgColor rgb="00595959"/>
      </patternFill>
    </fill>
    <fill>
      <patternFill patternType="solid">
        <fgColor rgb="00B7950B"/>
      </patternFill>
    </fill>
    <fill>
      <patternFill patternType="solid">
        <fgColor rgb="00EDEDED"/>
      </patternFill>
    </fill>
    <fill>
      <patternFill patternType="solid">
        <fgColor rgb="00FFF2CC"/>
      </patternFill>
    </fill>
    <fill>
      <patternFill patternType="solid">
        <fgColor rgb="00F2F2F2"/>
      </patternFill>
    </fill>
    <fill>
      <patternFill patternType="solid">
        <fgColor rgb="00DCE6F1"/>
      </patternFill>
    </fill>
  </fills>
  <borders count="2">
    <border>
      <left/>
      <right/>
      <top/>
      <bottom/>
      <diagonal/>
    </border>
    <border>
      <bottom style="thin">
        <color rgb="00BFBFBF"/>
      </bottom>
    </border>
  </borders>
  <cellStyleXfs count="1">
    <xf numFmtId="0" fontId="0" fillId="0" borderId="0"/>
  </cellStyleXfs>
  <cellXfs count="69">
    <xf numFmtId="0" fontId="0" fillId="0" borderId="0" pivotButton="0" quotePrefix="0" xfId="0"/>
    <xf numFmtId="0" fontId="6" fillId="0" borderId="0" applyAlignment="1" pivotButton="0" quotePrefix="0" xfId="0">
      <alignment vertical="top" wrapText="1"/>
    </xf>
    <xf numFmtId="0" fontId="13" fillId="0" borderId="0" applyAlignment="1" pivotButton="0" quotePrefix="0" xfId="0">
      <alignment vertical="top" wrapText="1"/>
    </xf>
    <xf numFmtId="0" fontId="2" fillId="0" borderId="0" applyAlignment="1" pivotButton="0" quotePrefix="0" xfId="0">
      <alignment vertical="top" wrapText="1"/>
    </xf>
    <xf numFmtId="0" fontId="6" fillId="0" borderId="0" pivotButton="0" quotePrefix="0" xfId="0"/>
    <xf numFmtId="0" fontId="7" fillId="0" borderId="0" pivotButton="0" quotePrefix="0" xfId="0"/>
    <xf numFmtId="0" fontId="8" fillId="0" borderId="0" pivotButton="0" quotePrefix="0" xfId="0"/>
    <xf numFmtId="0" fontId="1" fillId="2" borderId="0" applyAlignment="1" pivotButton="0" quotePrefix="0" xfId="0">
      <alignment horizontal="center" vertical="center" wrapText="1"/>
    </xf>
    <xf numFmtId="0" fontId="2" fillId="0" borderId="1" pivotButton="0" quotePrefix="0" xfId="0"/>
    <xf numFmtId="164" fontId="2" fillId="0" borderId="1" pivotButton="0" quotePrefix="0" xfId="0"/>
    <xf numFmtId="165" fontId="2" fillId="0" borderId="1" pivotButton="0" quotePrefix="0" xfId="0"/>
    <xf numFmtId="2" fontId="3" fillId="6" borderId="1" pivotButton="0" quotePrefix="0" xfId="0"/>
    <xf numFmtId="3" fontId="2" fillId="0" borderId="1" pivotButton="0" quotePrefix="0" xfId="0"/>
    <xf numFmtId="9" fontId="2" fillId="0" borderId="1" pivotButton="0" quotePrefix="0" xfId="0"/>
    <xf numFmtId="0" fontId="5" fillId="0" borderId="1" pivotButton="0" quotePrefix="0" xfId="0"/>
    <xf numFmtId="2" fontId="2" fillId="0" borderId="1" pivotButton="0" quotePrefix="0" xfId="0"/>
    <xf numFmtId="1" fontId="2" fillId="0" borderId="1" pivotButton="0" quotePrefix="0" xfId="0"/>
    <xf numFmtId="0" fontId="2" fillId="0" borderId="1" applyAlignment="1" pivotButton="0" quotePrefix="0" xfId="0">
      <alignment vertical="top" wrapText="1"/>
    </xf>
    <xf numFmtId="0" fontId="9" fillId="0" borderId="0" pivotButton="0" quotePrefix="0" xfId="0"/>
    <xf numFmtId="0" fontId="10" fillId="0" borderId="0" pivotButton="0" quotePrefix="0" xfId="0"/>
    <xf numFmtId="0" fontId="11" fillId="0" borderId="0" pivotButton="0" quotePrefix="0" xfId="0"/>
    <xf numFmtId="0" fontId="7" fillId="0" borderId="0" applyAlignment="1" pivotButton="0" quotePrefix="0" xfId="0">
      <alignment vertical="top" wrapText="1"/>
    </xf>
    <xf numFmtId="0" fontId="5" fillId="8" borderId="0" pivotButton="0" quotePrefix="0" xfId="0"/>
    <xf numFmtId="164" fontId="2" fillId="0" borderId="1" applyAlignment="1" pivotButton="0" quotePrefix="0" xfId="0">
      <alignment vertical="top" wrapText="1"/>
    </xf>
    <xf numFmtId="165" fontId="2" fillId="0" borderId="1" applyAlignment="1" pivotButton="0" quotePrefix="0" xfId="0">
      <alignment vertical="top" wrapText="1"/>
    </xf>
    <xf numFmtId="166" fontId="2" fillId="0" borderId="1" applyAlignment="1" pivotButton="0" quotePrefix="0" xfId="0">
      <alignment vertical="top" wrapText="1"/>
    </xf>
    <xf numFmtId="9" fontId="2" fillId="0" borderId="1" applyAlignment="1" pivotButton="0" quotePrefix="0" xfId="0">
      <alignment vertical="top" wrapText="1"/>
    </xf>
    <xf numFmtId="1" fontId="2" fillId="0" borderId="1" applyAlignment="1" pivotButton="0" quotePrefix="0" xfId="0">
      <alignment vertical="top" wrapText="1"/>
    </xf>
    <xf numFmtId="167" fontId="2"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wrapText="1"/>
    </xf>
    <xf numFmtId="165" fontId="4" fillId="0" borderId="1" applyAlignment="1" pivotButton="0" quotePrefix="0" xfId="0">
      <alignment vertical="top" wrapText="1"/>
    </xf>
    <xf numFmtId="166" fontId="4" fillId="0" borderId="1" applyAlignment="1" pivotButton="0" quotePrefix="0" xfId="0">
      <alignment vertical="top" wrapText="1"/>
    </xf>
    <xf numFmtId="9" fontId="4" fillId="0" borderId="1" applyAlignment="1" pivotButton="0" quotePrefix="0" xfId="0">
      <alignment vertical="top" wrapText="1"/>
    </xf>
    <xf numFmtId="1" fontId="4" fillId="0" borderId="1" applyAlignment="1" pivotButton="0" quotePrefix="0" xfId="0">
      <alignment vertical="top" wrapText="1"/>
    </xf>
    <xf numFmtId="167" fontId="4" fillId="0" borderId="1" applyAlignment="1" pivotButton="0" quotePrefix="0" xfId="0">
      <alignment vertical="top" wrapText="1"/>
    </xf>
    <xf numFmtId="164" fontId="2" fillId="7" borderId="1" pivotButton="0" quotePrefix="0" xfId="0"/>
    <xf numFmtId="167" fontId="2" fillId="0" borderId="1" pivotButton="0" quotePrefix="0" xfId="0"/>
    <xf numFmtId="0" fontId="5" fillId="8" borderId="0" applyAlignment="1" pivotButton="0" quotePrefix="0" xfId="0">
      <alignment vertical="top" wrapText="1"/>
    </xf>
    <xf numFmtId="0" fontId="2" fillId="8" borderId="0" pivotButton="0" quotePrefix="0" xfId="0"/>
    <xf numFmtId="0" fontId="1" fillId="3" borderId="0" applyAlignment="1" pivotButton="0" quotePrefix="0" xfId="0">
      <alignment horizontal="center" vertical="center" wrapText="1"/>
    </xf>
    <xf numFmtId="0" fontId="1" fillId="4" borderId="0" applyAlignment="1" pivotButton="0" quotePrefix="0" xfId="0">
      <alignment horizontal="center" vertical="center" wrapText="1"/>
    </xf>
    <xf numFmtId="0" fontId="2" fillId="0" borderId="0" pivotButton="0" quotePrefix="0" xfId="0"/>
    <xf numFmtId="3" fontId="2" fillId="0" borderId="0" pivotButton="0" quotePrefix="0" xfId="0"/>
    <xf numFmtId="164" fontId="2" fillId="0" borderId="0" pivotButton="0" quotePrefix="0" xfId="0"/>
    <xf numFmtId="165" fontId="2" fillId="0" borderId="0" pivotButton="0" quotePrefix="0" xfId="0"/>
    <xf numFmtId="166" fontId="2" fillId="0" borderId="0" pivotButton="0" quotePrefix="0" xfId="0"/>
    <xf numFmtId="3" fontId="2" fillId="5" borderId="0" pivotButton="0" quotePrefix="0" xfId="0"/>
    <xf numFmtId="9" fontId="2" fillId="5" borderId="0" pivotButton="0" quotePrefix="0" xfId="0"/>
    <xf numFmtId="3" fontId="3" fillId="6" borderId="0" pivotButton="0" quotePrefix="0" xfId="0"/>
    <xf numFmtId="0" fontId="3" fillId="6" borderId="0" pivotButton="0" quotePrefix="0" xfId="0"/>
    <xf numFmtId="9" fontId="2" fillId="0" borderId="0" pivotButton="0" quotePrefix="0" xfId="0"/>
    <xf numFmtId="2" fontId="2" fillId="0" borderId="0" pivotButton="0" quotePrefix="0" xfId="0"/>
    <xf numFmtId="1" fontId="2" fillId="0" borderId="0" pivotButton="0" quotePrefix="0" xfId="0"/>
    <xf numFmtId="167" fontId="2" fillId="0" borderId="0" pivotButton="0" quotePrefix="0" xfId="0"/>
    <xf numFmtId="0" fontId="4" fillId="0" borderId="0" applyAlignment="1" pivotButton="0" quotePrefix="0" xfId="0">
      <alignment vertical="top" wrapText="1"/>
    </xf>
    <xf numFmtId="0" fontId="5" fillId="0" borderId="0" pivotButton="0" quotePrefix="0" xfId="0"/>
    <xf numFmtId="166" fontId="2" fillId="0" borderId="1" pivotButton="0" quotePrefix="0" xfId="0"/>
    <xf numFmtId="3" fontId="5" fillId="0" borderId="0" pivotButton="0" quotePrefix="0" xfId="0"/>
    <xf numFmtId="165" fontId="5" fillId="0" borderId="0" pivotButton="0" quotePrefix="0" xfId="0"/>
    <xf numFmtId="9" fontId="5" fillId="0" borderId="0" pivotButton="0" quotePrefix="0" xfId="0"/>
    <xf numFmtId="168" fontId="2" fillId="0" borderId="1" pivotButton="0" quotePrefix="0" xfId="0"/>
    <xf numFmtId="0" fontId="12" fillId="0" borderId="0" pivotButton="0" quotePrefix="0" xfId="0"/>
    <xf numFmtId="9" fontId="3" fillId="6" borderId="0" pivotButton="0" quotePrefix="0" xfId="0"/>
    <xf numFmtId="169" fontId="2" fillId="0" borderId="0" pivotButton="0" quotePrefix="0" xfId="0"/>
    <xf numFmtId="3" fontId="5" fillId="8" borderId="0" pivotButton="0" quotePrefix="0" xfId="0"/>
    <xf numFmtId="169" fontId="5" fillId="8" borderId="0" pivotButton="0" quotePrefix="0" xfId="0"/>
    <xf numFmtId="164" fontId="5" fillId="8" borderId="0" pivotButton="0" quotePrefix="0" xfId="0"/>
    <xf numFmtId="165" fontId="5" fillId="8" borderId="0" pivotButton="0" quotePrefix="0" xfId="0"/>
  </cellXfs>
  <cellStyles count="1">
    <cellStyle name="Normal" xfId="0" builtinId="0" hidden="0"/>
  </cellStyles>
  <dxfs count="5">
    <dxf>
      <font>
        <name val="Arial"/>
        <b val="1"/>
        <color rgb="00FFFFFF"/>
      </font>
      <fill>
        <patternFill patternType="solid">
          <fgColor rgb="001F4E9A"/>
          <bgColor rgb="001F4E9A"/>
        </patternFill>
      </fill>
    </dxf>
    <dxf>
      <font>
        <name val="Arial"/>
        <b val="1"/>
        <color rgb="001F1F1F"/>
      </font>
      <fill>
        <patternFill patternType="solid">
          <fgColor rgb="009DC3E6"/>
          <bgColor rgb="009DC3E6"/>
        </patternFill>
      </fill>
    </dxf>
    <dxf>
      <font>
        <name val="Arial"/>
        <b val="1"/>
        <color rgb="001F1F1F"/>
      </font>
      <fill>
        <patternFill patternType="solid">
          <fgColor rgb="00E7E6E6"/>
          <bgColor rgb="00E7E6E6"/>
        </patternFill>
      </fill>
    </dxf>
    <dxf>
      <font>
        <name val="Arial"/>
        <b val="1"/>
        <color rgb="001F1F1F"/>
      </font>
      <fill>
        <patternFill patternType="solid">
          <fgColor rgb="00F4B6B0"/>
          <bgColor rgb="00F4B6B0"/>
        </patternFill>
      </fill>
    </dxf>
    <dxf>
      <font>
        <name val="Arial"/>
        <b val="1"/>
        <color rgb="00FFFFFF"/>
      </font>
      <fill>
        <patternFill patternType="solid">
          <fgColor rgb="00B4231B"/>
          <bgColor rgb="00B4231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omments/comment1.xml><?xml version="1.0" encoding="utf-8"?>
<comments xmlns="http://schemas.openxmlformats.org/spreadsheetml/2006/main">
  <authors>
    <author>County Watch</author>
  </authors>
  <commentList>
    <comment ref="F5" authorId="0" shapeId="0">
      <text>
        <t>Uniform swing from 2024 county margins that would tie the race, with 2022's (midterm) turnout pattern. Positive = toward D. Column E is the actual 2024 result, with 2024's turnout.</t>
      </text>
    </comment>
    <comment ref="G5" authorId="0" shapeId="0">
      <text>
        <t>Expected 2026 turnout as a multiple of 2022. 1.10 means 10% more votes than 2022. Early vote running well ahead of 2022 is a reason to raise it; it mainly affects '% counted' and how much weight unreported counties get.</t>
      </text>
    </comment>
    <comment ref="Y5" authorId="0" shapeId="0">
      <text>
        <t>Projected two-party votes / two-party votes at 2022 turnout. Every county's par (tie-pace) vote is its 2022-pattern vote x this number, so turnout indexes compare each county with the state as a whole.</t>
      </text>
    </comment>
    <comment ref="Z5" authorId="0" shapeId="0">
      <text>
        <t>Complete counties where the Democratic side's break-even is D+10 or more: their votes / their par votes x 100. Above 100 = the Democratic base is a bigger share of the vote than a uniform-turnout tie assumes.</t>
      </text>
    </comment>
  </commentList>
</comments>
</file>

<file path=xl/comments/comment2.xml><?xml version="1.0" encoding="utf-8"?>
<comments xmlns="http://schemas.openxmlformats.org/spreadsheetml/2006/main">
  <authors>
    <author>County Watch</author>
  </authors>
  <commentList>
    <comment ref="T1" authorId="0" shapeId="0">
      <text>
        <t>The D margin this county needs if every county swings by the same amount from 2024 and the state ends tied, with 2022's turnout pattern.</t>
      </text>
    </comment>
    <comment ref="U1" authorId="0" shapeId="0">
      <text>
        <t>2022 midterm turnout x the state's turnout factor on the Dashboard x the 2024 two-party share. Used to judge when a county without a precinct count is finished.</t>
      </text>
    </comment>
    <comment ref="AU1" authorId="0" shapeId="0">
      <text>
        <t>This county's two-party votes / its par votes. Par = its 2022-pattern votes x the state's projected turnout pace. 100 = in line with the state; 110 = 10% bigger share of the state vote than in 2022.</t>
      </text>
    </comment>
    <comment ref="AV1" authorId="0" shapeId="0">
      <text>
        <t>Break-even / (turnout index / 100). A Democratic county with weak turnout needs a bigger margin; a Republican county with strong turnout must be held closer.</t>
      </text>
    </comment>
    <comment ref="AW1" authorId="0" shapeId="0">
      <text>
        <t>The turnout index at which the live margin exactly hits the tie pace (blank when margin is too close to even for turnout to matter much).</t>
      </text>
    </comment>
    <comment ref="AY1" authorId="0" shapeId="0">
      <text>
        <t>Live margin minus break-even at actual turnout: margin and turnout together, in margin points. Positive helps D.</t>
      </text>
    </comment>
    <comment ref="AZ1" authorId="0" shapeId="0">
      <text>
        <t>Projected D net votes minus what a tie needs from this county. Summed over every county it equals the statewide projected net margin.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cols>
    <col width="130" customWidth="1" min="1" max="1"/>
  </cols>
  <sheetData>
    <row r="1">
      <c r="A1" s="1" t="inlineStr">
        <is>
          <t>County Watch 2026</t>
        </is>
      </c>
    </row>
    <row r="2">
      <c r="A2" s="2" t="inlineStr">
        <is>
          <t>What this is</t>
        </is>
      </c>
    </row>
    <row r="3">
      <c r="A3" s="3" t="inlineStr">
        <is>
          <t>A county-by-county read of the competitive Senate races (AK, GA, IA, KS, ME, MI, MN, MS, NC, NE, NH, OH, SC, TX, FL), plus Virginia and Kentucky as early-closing bellwethers for the national swing.</t>
        </is>
      </c>
    </row>
    <row r="4">
      <c r="A4" s="3" t="inlineStr">
        <is>
          <t>Before election night it holds the benchmarks (2024 and 2022 results by county, demographics, break-even margins) and the early vote. On the night it projects each race from the counties that have finished counting.</t>
        </is>
      </c>
    </row>
    <row r="5">
      <c r="A5" s="2" t="inlineStr">
        <is>
          <t>Sheets</t>
        </is>
      </c>
    </row>
    <row r="6">
      <c r="A6" s="3" t="inlineStr">
        <is>
          <t>Dashboard: one row per state with the projection, swing, confidence and the bot's written read.</t>
        </is>
      </c>
    </row>
    <row r="7">
      <c r="A7" s="3" t="inlineStr">
        <is>
          <t>Key Counties: 6 to 11 counties per state, on both sides (Democratic vote banks and Republican bases), with why they matter, what to watch, and live status on margin and on turnout. Each state ends with an 'All rural' row: every small-town and rural county together.</t>
        </is>
      </c>
    </row>
    <row r="8">
      <c r="A8" s="3" t="inlineStr">
        <is>
          <t>County Benchmarks: for each key county, the final margin and net votes that match each statewide outcome (R+5, R+1, tie, D+1, D+5), plus a plain-English line on what to look for. Read final county numbers against these.</t>
        </is>
      </c>
    </row>
    <row r="9">
      <c r="A9" s="3" t="inlineStr">
        <is>
          <t>First Counties: the first counties to report in each state, in poll-closing order. Shows what arrives first (early, mail or Election Day votes), how lopsided that batch was in 2022, and the first-batch number that only means break-even.</t>
        </is>
      </c>
    </row>
    <row r="10">
      <c r="A10" s="3" t="inlineStr">
        <is>
          <t>Counties: every county. Grey Feed columns are filled by the bot for GA, NC, MN and NE. Yellow Manual columns are yours: type D and R votes from any source (NYT, AP, a county site) and put Y in 'Manual complete' when a county is fully counted. Manual numbers override the feed.</t>
        </is>
      </c>
    </row>
    <row r="11">
      <c r="A11" s="3" t="inlineStr">
        <is>
          <t>Types: each kind of county (metro cores, college suburbs, Black Belt, Hispanic, rural...) as a block: its share of the vote, the margin it needs for each statewide outcome, what weaker or stronger turnout does to that, and live swing and turnout. Its swing and turnout pace fill in counties that haven't reported.</t>
        </is>
      </c>
    </row>
    <row r="12">
      <c r="A12" s="3" t="inlineStr">
        <is>
          <t>Early Vote: statewide early vote for each state, plus North Carolina county by county compared with 2022 at the same point.</t>
        </is>
      </c>
    </row>
    <row r="13">
      <c r="A13" s="2" t="inlineStr">
        <is>
          <t>Colors</t>
        </is>
      </c>
    </row>
    <row r="14">
      <c r="A14" s="3" t="inlineStr">
        <is>
          <t>Yellow fill, blue text: inputs you can change. Grey fill: written by the bot. Blue numbers lean D, red lean R.</t>
        </is>
      </c>
    </row>
    <row r="15">
      <c r="A15" s="2" t="inlineStr">
        <is>
          <t>How the projection works</t>
        </is>
      </c>
    </row>
    <row r="16">
      <c r="A16" s="3" t="inlineStr">
        <is>
          <t>1. A county is complete when all precincts report (feed), when you mark it Y, or when its count reaches the expected vote.</t>
        </is>
      </c>
    </row>
    <row r="17">
      <c r="A17" s="3" t="inlineStr">
        <is>
          <t>2. Swing = its 2026 margin minus its 2024 presidential margin.</t>
        </is>
      </c>
    </row>
    <row r="18">
      <c r="A18" s="3" t="inlineStr">
        <is>
          <t>3. Each county type's swing is the vote-weighted average over its complete counties in that state.</t>
        </is>
      </c>
    </row>
    <row r="19">
      <c r="A19" s="3" t="inlineStr">
        <is>
          <t>4. Unfinished counties are projected at 2024 margin + their type's swing, across their whole expected vote. Partial counts are ignored for the margin, because they're usually one vote method.</t>
        </is>
      </c>
    </row>
    <row r="20">
      <c r="A20" s="3" t="inlineStr">
        <is>
          <t>5. Votes for unfinished counties = 2022 turnout x a turnout pace: the Dashboard turnout factor before results, then each type's pace from its finished counties (shrunk toward the state's pace when only a few are in).</t>
        </is>
      </c>
    </row>
    <row r="21">
      <c r="A21" s="2" t="inlineStr">
        <is>
          <t>Turnout</t>
        </is>
      </c>
    </row>
    <row r="22">
      <c r="A22" s="3" t="inlineStr">
        <is>
          <t>Benchmarks use 2022's turnout pattern (a midterm) with 2024's county margins. In Georgia that baseline is R+1.1 rather than the actual 2024 R+2.2, because the midterm electorate was relatively heavier in metro Atlanta.</t>
        </is>
      </c>
    </row>
    <row r="23">
      <c r="A23" s="3" t="inlineStr">
        <is>
          <t>Par vote = a county's two-party vote at 2022 turnout x the state's projected turnout pace. Turnout index = actual votes / par x 100: 100 means the county is the same share of the state vote as in 2022.</t>
        </is>
      </c>
    </row>
    <row r="24">
      <c r="A24" s="3" t="inlineStr">
        <is>
          <t>Break-even at actual turnout = break-even / (index / 100). A Democratic county at index 95 needs a margin about 5% bigger; a Republican county at 105 must be held about 5% closer.</t>
        </is>
      </c>
    </row>
    <row r="25">
      <c r="A25" s="3" t="inlineStr">
        <is>
          <t>Margin + turnout vs tie pace = live margin minus break-even at actual turnout, in margin points. Times the county's votes, it's net votes vs the tie pace; across every county those add up to the statewide net margin.</t>
        </is>
      </c>
    </row>
    <row r="26">
      <c r="A26" s="3" t="inlineStr">
        <is>
          <t>Turnout differences between county types aren't visible to the projection until counties of that type finish, so a metro turnout shortfall shows up late. Watch the D-leaning and R-leaning turnout indexes on the Dashboard.</t>
        </is>
      </c>
    </row>
    <row r="27">
      <c r="A27" s="2" t="inlineStr">
        <is>
          <t>Limits</t>
        </is>
      </c>
    </row>
    <row r="28">
      <c r="A28" s="3" t="inlineStr">
        <is>
          <t>It assumes counties of the same type move together. A candidate with a home-region bounce (Jackson in northern Maine, Osborn in rural Nebraska) will break that.</t>
        </is>
      </c>
    </row>
    <row r="29">
      <c r="A29" s="3" t="inlineStr">
        <is>
          <t>Small, rural counties usually finish first, so early projections lean on a narrow, unrepresentative slice. Treat 'low' confidence as a weather report, not a call.</t>
        </is>
      </c>
    </row>
    <row r="30">
      <c r="A30" s="3" t="inlineStr">
        <is>
          <t>Margins are two-party. Third-party votes are recorded but left out of margins.</t>
        </is>
      </c>
    </row>
    <row r="31">
      <c r="A31" s="2" t="inlineStr">
        <is>
          <t>Sources</t>
        </is>
      </c>
    </row>
    <row r="32">
      <c r="A32" s="3" t="inlineStr">
        <is>
          <t>2024 and 2020 county results: Tony McGovern's county-level election results (GitHub, tonmcg/US_County_Level_Election_Results_08-24).</t>
        </is>
      </c>
    </row>
    <row r="33">
      <c r="A33" s="3" t="inlineStr">
        <is>
          <t>2022 results and vote methods: MIT Election Data + Science Lab, 2022-elections-official (precinct returns, summed to counties).</t>
        </is>
      </c>
    </row>
    <row r="34">
      <c r="A34" s="3" t="inlineStr">
        <is>
          <t>Demographics: Census Bureau Vintage 2023 county population estimates (race/Hispanic origin) and ACS 2019-2023 5-year table B15003 (bachelor's degree or higher, age 25+).</t>
        </is>
      </c>
    </row>
    <row r="35">
      <c r="A35" s="3" t="inlineStr">
        <is>
          <t>Live feeds: Georgia SOS and Virginia Department of Elections results APIs, NC State Board of Elections precinct file, Florida Division of Elections results file, Minnesota SOS media files, Nebraska SOS results service, Iowa and South Carolina Clarity results files, Alaska Division of Elections precinct file. Ohio, Texas and Kansas come from the County Watch grab button (the states' own results sites, read in your browser).</t>
        </is>
      </c>
    </row>
    <row r="36">
      <c r="A36" s="3" t="inlineStr">
        <is>
          <t>Early vote: UF Election Lab 2026 tracker (Michael McDonald), and NC State Board of Elections absentee files for 2026 and 2022.</t>
        </is>
      </c>
    </row>
    <row r="37">
      <c r="A37" s="3" t="inlineStr">
        <is>
          <t>Key county notes are the bot author's judgment; the numbers next to them come from the data above.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2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6" customWidth="1" min="1" max="1"/>
    <col width="21" customWidth="1" min="2" max="2"/>
    <col width="18" customWidth="1" min="3" max="3"/>
    <col width="16" customWidth="1" min="4" max="4"/>
    <col width="10" customWidth="1" min="5" max="5"/>
    <col width="10" customWidth="1" min="6" max="6"/>
    <col width="10" customWidth="1" min="7" max="7"/>
    <col width="13" customWidth="1" min="8" max="8"/>
    <col width="13" customWidth="1" min="9" max="9"/>
    <col width="9" customWidth="1" min="10" max="10"/>
    <col width="9" customWidth="1" min="11" max="11"/>
    <col width="6" customWidth="1" min="12" max="12"/>
    <col width="11" customWidth="1" min="13" max="13"/>
    <col width="11" customWidth="1" min="14" max="14"/>
    <col width="11" customWidth="1" min="15" max="15"/>
    <col width="10" customWidth="1" min="16" max="16"/>
    <col width="11" customWidth="1" min="17" max="17"/>
    <col width="18" customWidth="1" min="18" max="18"/>
    <col width="24" customWidth="1" min="19" max="19"/>
    <col width="11" customWidth="1" min="20" max="20"/>
    <col width="12" customWidth="1" min="21" max="21"/>
    <col width="11" customWidth="1" min="22" max="22"/>
    <col width="10" customWidth="1" min="23" max="23"/>
    <col width="10" customWidth="1" min="24" max="24"/>
    <col width="10" customWidth="1" min="25" max="25"/>
    <col width="11" customWidth="1" min="26" max="26"/>
    <col width="11" customWidth="1" min="27" max="27"/>
    <col width="80" customWidth="1" min="28" max="28"/>
  </cols>
  <sheetData>
    <row r="1">
      <c r="A1" s="4" t="inlineStr">
        <is>
          <t>County Watch 2026: competitive Senate races</t>
        </is>
      </c>
    </row>
    <row r="2">
      <c r="A2" s="5" t="inlineStr">
        <is>
          <t>Projection = counted margin in fully reported counties + every other county's 2024 margin moved by the swing seen in counties of its type. Margins are two-party. Yellow cells are yours to change.</t>
        </is>
      </c>
    </row>
    <row r="3">
      <c r="A3" s="6" t="inlineStr">
        <is>
          <t>Last bot update: Oct 29 06:09 PM</t>
        </is>
      </c>
    </row>
    <row r="5" ht="48" customHeight="1">
      <c r="A5" s="7" t="inlineStr">
        <is>
          <t>State</t>
        </is>
      </c>
      <c r="B5" s="7" t="inlineStr">
        <is>
          <t>Senate race</t>
        </is>
      </c>
      <c r="C5" s="7" t="inlineStr">
        <is>
          <t>Democratic side</t>
        </is>
      </c>
      <c r="D5" s="7" t="inlineStr">
        <is>
          <t>Republican</t>
        </is>
      </c>
      <c r="E5" s="7" t="inlineStr">
        <is>
          <t>2024 margin</t>
        </is>
      </c>
      <c r="F5" s="7" t="inlineStr">
        <is>
          <t>Swing D needs vs 2024</t>
        </is>
      </c>
      <c r="G5" s="7" t="inlineStr">
        <is>
          <t>Turnout factor (vs 2022)</t>
        </is>
      </c>
      <c r="H5" s="7" t="inlineStr">
        <is>
          <t>Expected 2-party votes</t>
        </is>
      </c>
      <c r="I5" s="7" t="inlineStr">
        <is>
          <t>Counted 2-party votes</t>
        </is>
      </c>
      <c r="J5" s="7" t="inlineStr">
        <is>
          <t>% counted</t>
        </is>
      </c>
      <c r="K5" s="7" t="inlineStr">
        <is>
          <t>Counties complete</t>
        </is>
      </c>
      <c r="L5" s="7" t="inlineStr">
        <is>
          <t>of</t>
        </is>
      </c>
      <c r="M5" s="7" t="inlineStr">
        <is>
          <t>% of expected vote complete</t>
        </is>
      </c>
      <c r="N5" s="7" t="inlineStr">
        <is>
          <t>Swing in complete counties</t>
        </is>
      </c>
      <c r="O5" s="7" t="inlineStr">
        <is>
          <t>Ahead / behind needed swing</t>
        </is>
      </c>
      <c r="P5" s="7" t="inlineStr">
        <is>
          <t>Raw margin</t>
        </is>
      </c>
      <c r="Q5" s="7" t="inlineStr">
        <is>
          <t>Projected margin</t>
        </is>
      </c>
      <c r="R5" s="7" t="inlineStr">
        <is>
          <t>Leader (projected)</t>
        </is>
      </c>
      <c r="S5" s="7" t="inlineStr">
        <is>
          <t>Call</t>
        </is>
      </c>
      <c r="T5" s="7" t="inlineStr">
        <is>
          <t>Confidence</t>
        </is>
      </c>
      <c r="U5" s="7" t="inlineStr">
        <is>
          <t>Early votes so far</t>
        </is>
      </c>
      <c r="V5" s="7" t="inlineStr">
        <is>
          <t>Early vote as % of 2022 turnout</t>
        </is>
      </c>
      <c r="W5" s="7" t="inlineStr">
        <is>
          <t>Turnout pace in complete counties (vs 2022)</t>
        </is>
      </c>
      <c r="X5" s="7" t="inlineStr">
        <is>
          <t>Turnout pace used for uncounted</t>
        </is>
      </c>
      <c r="Y5" s="7" t="inlineStr">
        <is>
          <t>Projected turnout (vs 2022)</t>
        </is>
      </c>
      <c r="Z5" s="7" t="inlineStr">
        <is>
          <t>Turnout index: D-leaning complete counties</t>
        </is>
      </c>
      <c r="AA5" s="7" t="inlineStr">
        <is>
          <t>Turnout index: R-leaning complete counties</t>
        </is>
      </c>
      <c r="AB5" s="7" t="inlineStr">
        <is>
          <t>Latest read (bot)</t>
        </is>
      </c>
    </row>
    <row r="6" ht="45" customHeight="1">
      <c r="A6" s="8" t="inlineStr">
        <is>
          <t>AK</t>
        </is>
      </c>
      <c r="B6" s="8" t="inlineStr">
        <is>
          <t>Alaska Senate</t>
        </is>
      </c>
      <c r="C6" s="8" t="inlineStr">
        <is>
          <t>Mary Peltola</t>
        </is>
      </c>
      <c r="D6" s="8" t="inlineStr">
        <is>
          <t>Dan Sullivan</t>
        </is>
      </c>
      <c r="E6" s="9">
        <f>(SUMIFS(Counties!$F$2:$F$1583,Counties!$A$2:$A$1583,$A6)-SUMIFS(Counties!$G$2:$G$1583,Counties!$A$2:$A$1583,$A6))/(SUMIFS(Counties!$F$2:$F$1583,Counties!$A$2:$A$1583,$A6)+SUMIFS(Counties!$G$2:$G$1583,Counties!$A$2:$A$1583,$A6))</f>
        <v/>
      </c>
      <c r="F6" s="10">
        <f>-SUMIFS(Counties!$AR$2:$AR$1583,Counties!$A$2:$A$1583,$A6)/SUMIFS(Counties!$AQ$2:$AQ$1583,Counties!$A$2:$A$1583,$A6)</f>
        <v/>
      </c>
      <c r="G6" s="11" t="n">
        <v>1</v>
      </c>
      <c r="H6" s="12">
        <f>SUMIFS(Counties!$U$2:$U$1583,Counties!$A$2:$A$1583,$A6)</f>
        <v/>
      </c>
      <c r="I6" s="12">
        <f>SUMIFS(Counties!$AF$2:$AF$1583,Counties!$A$2:$A$1583,$A6)</f>
        <v/>
      </c>
      <c r="J6" s="13">
        <f>IF(H6&gt;0,I6/H6,0)</f>
        <v/>
      </c>
      <c r="K6" s="8">
        <f>COUNTIFS(Counties!$A$2:$A$1583,$A6,Counties!$AG$2:$AG$1583,1)</f>
        <v/>
      </c>
      <c r="L6" s="8">
        <f>COUNTIF(Counties!$A$2:$A$1583,$A6)</f>
        <v/>
      </c>
      <c r="M6" s="13">
        <f>IF(H6&gt;0,SUMIFS(Counties!$U$2:$U$1583,Counties!$A$2:$A$1583,$A6,Counties!$AG$2:$AG$1583,1)/H6,0)</f>
        <v/>
      </c>
      <c r="N6" s="10">
        <f>IF(K6&gt;0,SUMIFS(Counties!$AP$2:$AP$1583,Counties!$A$2:$A$1583,$A6)/SUMIFS(Counties!$AF$2:$AF$1583,Counties!$A$2:$A$1583,$A6,Counties!$AG$2:$AG$1583,1),"")</f>
        <v/>
      </c>
      <c r="O6" s="10">
        <f>IF(N6="","",N6-F6)</f>
        <v/>
      </c>
      <c r="P6" s="9">
        <f>IF(I6&gt;0,(SUMIFS(Counties!$AD$2:$AD$1583,Counties!$A$2:$A$1583,$A6)-SUMIFS(Counties!$AE$2:$AE$1583,Counties!$A$2:$A$1583,$A6))/I6,"")</f>
        <v/>
      </c>
      <c r="Q6" s="9">
        <f>IF(K6&gt;0,(SUMIFS(Counties!$AL$2:$AL$1583,Counties!$A$2:$A$1583,$A6)-SUMIFS(Counties!$AM$2:$AM$1583,Counties!$A$2:$A$1583,$A6))/(SUMIFS(Counties!$AL$2:$AL$1583,Counties!$A$2:$A$1583,$A6)+SUMIFS(Counties!$AM$2:$AM$1583,Counties!$A$2:$A$1583,$A6)),"")</f>
        <v/>
      </c>
      <c r="R6" s="8">
        <f>IF(Q6="","",IF(Q6&gt;=0,C6,D6)&amp;" +"&amp;TEXT(ABS(Q6)*100,"0.0"))</f>
        <v/>
      </c>
      <c r="S6" s="14">
        <f>IF(Q6="","",IF(Q6&gt;=0.05,"Great for "&amp;TRIM(RIGHT(SUBSTITUTE(C6," ",REPT(" ",50)),50)),IF(Q6&gt;=0.01,TRIM(RIGHT(SUBSTITUTE(C6," ",REPT(" ",50)),50))&amp;" on track",IF(Q6&gt;-0.01,"Toss-up",IF(Q6&gt;-0.05,TRIM(RIGHT(SUBSTITUTE(D6," ",REPT(" ",50)),50))&amp;" on track","Great for "&amp;TRIM(RIGHT(SUBSTITUTE(D6," ",REPT(" ",50)),50)))))))</f>
        <v/>
      </c>
      <c r="T6" s="8">
        <f>IF(K6=0,"none",IF(OR(M6&lt;0.1,K6&lt;5),"low",IF(M6&lt;0.4,"medium","high")))</f>
        <v/>
      </c>
      <c r="U6" s="12">
        <f>IFERROR(INDEX('Early Vote'!$C$6:$C$22,MATCH($A6,'Early Vote'!$A$6:$A$22,0)),"")</f>
        <v/>
      </c>
      <c r="V6" s="13">
        <f>IFERROR(INDEX('Early Vote'!$E$6:$E$22,MATCH($A6,'Early Vote'!$A$6:$A$22,0)),"")</f>
        <v/>
      </c>
      <c r="W6" s="15">
        <f>IF(K6&gt;0,SUMIFS(Counties!$AF$2:$AF$1583,Counties!$A$2:$A$1583,$A6,Counties!$AG$2:$AG$1583,1)/SUMIFS(Counties!$AQ$2:$AQ$1583,Counties!$A$2:$A$1583,$A6,Counties!$AG$2:$AG$1583,1),"")</f>
        <v/>
      </c>
      <c r="X6" s="15">
        <f>IF(K6&gt;=3,W6,G6)</f>
        <v/>
      </c>
      <c r="Y6" s="15">
        <f>SUMIFS(Counties!$AK$2:$AK$1583,Counties!$A$2:$A$1583,$A6)/SUMIFS(Counties!$AQ$2:$AQ$1583,Counties!$A$2:$A$1583,$A6)</f>
        <v/>
      </c>
      <c r="Z6" s="16">
        <f>IFERROR(100*SUMIFS(Counties!$AF$2:$AF$1583,Counties!$A$2:$A$1583,$A6,Counties!$AG$2:$AG$1583,1,Counties!$T$2:$T$1583,"&gt;=0.1")/SUMIFS(Counties!$AT$2:$AT$1583,Counties!$A$2:$A$1583,$A6,Counties!$AG$2:$AG$1583,1,Counties!$T$2:$T$1583,"&gt;=0.1"),"")</f>
        <v/>
      </c>
      <c r="AA6" s="16">
        <f>IFERROR(100*SUMIFS(Counties!$AF$2:$AF$1583,Counties!$A$2:$A$1583,$A6,Counties!$AG$2:$AG$1583,1,Counties!$T$2:$T$1583,"&lt;=-0.1")/SUMIFS(Counties!$AT$2:$AT$1583,Counties!$A$2:$A$1583,$A6,Counties!$AG$2:$AG$1583,1,Counties!$T$2:$T$1583,"&lt;=-0.1"),"")</f>
        <v/>
      </c>
      <c r="AB6" s="17" t="inlineStr">
        <is>
          <t>No votes counted yet. 2024: R+13.8; with 2022's turnout pattern R+14.0, so Peltola needs a 14.0-pt swing toward D from 2024 to win.</t>
        </is>
      </c>
    </row>
    <row r="7" ht="45" customHeight="1">
      <c r="A7" s="8" t="inlineStr">
        <is>
          <t>GA</t>
        </is>
      </c>
      <c r="B7" s="8" t="inlineStr">
        <is>
          <t>Georgia Senate</t>
        </is>
      </c>
      <c r="C7" s="8" t="inlineStr">
        <is>
          <t>Jon Ossoff</t>
        </is>
      </c>
      <c r="D7" s="8" t="inlineStr">
        <is>
          <t>Mike Collins</t>
        </is>
      </c>
      <c r="E7" s="9">
        <f>(SUMIFS(Counties!$F$2:$F$1583,Counties!$A$2:$A$1583,$A7)-SUMIFS(Counties!$G$2:$G$1583,Counties!$A$2:$A$1583,$A7))/(SUMIFS(Counties!$F$2:$F$1583,Counties!$A$2:$A$1583,$A7)+SUMIFS(Counties!$G$2:$G$1583,Counties!$A$2:$A$1583,$A7))</f>
        <v/>
      </c>
      <c r="F7" s="10">
        <f>-SUMIFS(Counties!$AR$2:$AR$1583,Counties!$A$2:$A$1583,$A7)/SUMIFS(Counties!$AQ$2:$AQ$1583,Counties!$A$2:$A$1583,$A7)</f>
        <v/>
      </c>
      <c r="G7" s="11" t="n">
        <v>1</v>
      </c>
      <c r="H7" s="12">
        <f>SUMIFS(Counties!$U$2:$U$1583,Counties!$A$2:$A$1583,$A7)</f>
        <v/>
      </c>
      <c r="I7" s="12">
        <f>SUMIFS(Counties!$AF$2:$AF$1583,Counties!$A$2:$A$1583,$A7)</f>
        <v/>
      </c>
      <c r="J7" s="13">
        <f>IF(H7&gt;0,I7/H7,0)</f>
        <v/>
      </c>
      <c r="K7" s="8">
        <f>COUNTIFS(Counties!$A$2:$A$1583,$A7,Counties!$AG$2:$AG$1583,1)</f>
        <v/>
      </c>
      <c r="L7" s="8">
        <f>COUNTIF(Counties!$A$2:$A$1583,$A7)</f>
        <v/>
      </c>
      <c r="M7" s="13">
        <f>IF(H7&gt;0,SUMIFS(Counties!$U$2:$U$1583,Counties!$A$2:$A$1583,$A7,Counties!$AG$2:$AG$1583,1)/H7,0)</f>
        <v/>
      </c>
      <c r="N7" s="10">
        <f>IF(K7&gt;0,SUMIFS(Counties!$AP$2:$AP$1583,Counties!$A$2:$A$1583,$A7)/SUMIFS(Counties!$AF$2:$AF$1583,Counties!$A$2:$A$1583,$A7,Counties!$AG$2:$AG$1583,1),"")</f>
        <v/>
      </c>
      <c r="O7" s="10">
        <f>IF(N7="","",N7-F7)</f>
        <v/>
      </c>
      <c r="P7" s="9">
        <f>IF(I7&gt;0,(SUMIFS(Counties!$AD$2:$AD$1583,Counties!$A$2:$A$1583,$A7)-SUMIFS(Counties!$AE$2:$AE$1583,Counties!$A$2:$A$1583,$A7))/I7,"")</f>
        <v/>
      </c>
      <c r="Q7" s="9">
        <f>IF(K7&gt;0,(SUMIFS(Counties!$AL$2:$AL$1583,Counties!$A$2:$A$1583,$A7)-SUMIFS(Counties!$AM$2:$AM$1583,Counties!$A$2:$A$1583,$A7))/(SUMIFS(Counties!$AL$2:$AL$1583,Counties!$A$2:$A$1583,$A7)+SUMIFS(Counties!$AM$2:$AM$1583,Counties!$A$2:$A$1583,$A7)),"")</f>
        <v/>
      </c>
      <c r="R7" s="8">
        <f>IF(Q7="","",IF(Q7&gt;=0,C7,D7)&amp;" +"&amp;TEXT(ABS(Q7)*100,"0.0"))</f>
        <v/>
      </c>
      <c r="S7" s="14">
        <f>IF(Q7="","",IF(Q7&gt;=0.05,"Great for "&amp;TRIM(RIGHT(SUBSTITUTE(C7," ",REPT(" ",50)),50)),IF(Q7&gt;=0.01,TRIM(RIGHT(SUBSTITUTE(C7," ",REPT(" ",50)),50))&amp;" on track",IF(Q7&gt;-0.01,"Toss-up",IF(Q7&gt;-0.05,TRIM(RIGHT(SUBSTITUTE(D7," ",REPT(" ",50)),50))&amp;" on track","Great for "&amp;TRIM(RIGHT(SUBSTITUTE(D7," ",REPT(" ",50)),50)))))))</f>
        <v/>
      </c>
      <c r="T7" s="8">
        <f>IF(K7=0,"none",IF(OR(M7&lt;0.1,K7&lt;5),"low",IF(M7&lt;0.4,"medium","high")))</f>
        <v/>
      </c>
      <c r="U7" s="12">
        <f>IFERROR(INDEX('Early Vote'!$C$6:$C$22,MATCH($A7,'Early Vote'!$A$6:$A$22,0)),"")</f>
        <v/>
      </c>
      <c r="V7" s="13">
        <f>IFERROR(INDEX('Early Vote'!$E$6:$E$22,MATCH($A7,'Early Vote'!$A$6:$A$22,0)),"")</f>
        <v/>
      </c>
      <c r="W7" s="15">
        <f>IF(K7&gt;0,SUMIFS(Counties!$AF$2:$AF$1583,Counties!$A$2:$A$1583,$A7,Counties!$AG$2:$AG$1583,1)/SUMIFS(Counties!$AQ$2:$AQ$1583,Counties!$A$2:$A$1583,$A7,Counties!$AG$2:$AG$1583,1),"")</f>
        <v/>
      </c>
      <c r="X7" s="15">
        <f>IF(K7&gt;=3,W7,G7)</f>
        <v/>
      </c>
      <c r="Y7" s="15">
        <f>SUMIFS(Counties!$AK$2:$AK$1583,Counties!$A$2:$A$1583,$A7)/SUMIFS(Counties!$AQ$2:$AQ$1583,Counties!$A$2:$A$1583,$A7)</f>
        <v/>
      </c>
      <c r="Z7" s="16">
        <f>IFERROR(100*SUMIFS(Counties!$AF$2:$AF$1583,Counties!$A$2:$A$1583,$A7,Counties!$AG$2:$AG$1583,1,Counties!$T$2:$T$1583,"&gt;=0.1")/SUMIFS(Counties!$AT$2:$AT$1583,Counties!$A$2:$A$1583,$A7,Counties!$AG$2:$AG$1583,1,Counties!$T$2:$T$1583,"&gt;=0.1"),"")</f>
        <v/>
      </c>
      <c r="AA7" s="16">
        <f>IFERROR(100*SUMIFS(Counties!$AF$2:$AF$1583,Counties!$A$2:$A$1583,$A7,Counties!$AG$2:$AG$1583,1,Counties!$T$2:$T$1583,"&lt;=-0.1")/SUMIFS(Counties!$AT$2:$AT$1583,Counties!$A$2:$A$1583,$A7,Counties!$AG$2:$AG$1583,1,Counties!$T$2:$T$1583,"&lt;=-0.1"),"")</f>
        <v/>
      </c>
      <c r="AB7" s="17" t="inlineStr">
        <is>
          <t>No votes counted yet. 2024: R+2.2; with 2022's turnout pattern R+1.1, so Ossoff needs a 1.1-pt swing toward D from 2024 to win.
In 2022 the advance vote was D+10.3 and the Election Day vote R+15.9, so counts that are mostly advance votes flatter Democrats.</t>
        </is>
      </c>
    </row>
    <row r="8" ht="45" customHeight="1">
      <c r="A8" s="8" t="inlineStr">
        <is>
          <t>IA</t>
        </is>
      </c>
      <c r="B8" s="8" t="inlineStr">
        <is>
          <t>Iowa Senate</t>
        </is>
      </c>
      <c r="C8" s="8" t="inlineStr">
        <is>
          <t>Josh Turek</t>
        </is>
      </c>
      <c r="D8" s="8" t="inlineStr">
        <is>
          <t>Ashley Hinson</t>
        </is>
      </c>
      <c r="E8" s="9">
        <f>(SUMIFS(Counties!$F$2:$F$1583,Counties!$A$2:$A$1583,$A8)-SUMIFS(Counties!$G$2:$G$1583,Counties!$A$2:$A$1583,$A8))/(SUMIFS(Counties!$F$2:$F$1583,Counties!$A$2:$A$1583,$A8)+SUMIFS(Counties!$G$2:$G$1583,Counties!$A$2:$A$1583,$A8))</f>
        <v/>
      </c>
      <c r="F8" s="10">
        <f>-SUMIFS(Counties!$AR$2:$AR$1583,Counties!$A$2:$A$1583,$A8)/SUMIFS(Counties!$AQ$2:$AQ$1583,Counties!$A$2:$A$1583,$A8)</f>
        <v/>
      </c>
      <c r="G8" s="11" t="n">
        <v>1</v>
      </c>
      <c r="H8" s="12">
        <f>SUMIFS(Counties!$U$2:$U$1583,Counties!$A$2:$A$1583,$A8)</f>
        <v/>
      </c>
      <c r="I8" s="12">
        <f>SUMIFS(Counties!$AF$2:$AF$1583,Counties!$A$2:$A$1583,$A8)</f>
        <v/>
      </c>
      <c r="J8" s="13">
        <f>IF(H8&gt;0,I8/H8,0)</f>
        <v/>
      </c>
      <c r="K8" s="8">
        <f>COUNTIFS(Counties!$A$2:$A$1583,$A8,Counties!$AG$2:$AG$1583,1)</f>
        <v/>
      </c>
      <c r="L8" s="8">
        <f>COUNTIF(Counties!$A$2:$A$1583,$A8)</f>
        <v/>
      </c>
      <c r="M8" s="13">
        <f>IF(H8&gt;0,SUMIFS(Counties!$U$2:$U$1583,Counties!$A$2:$A$1583,$A8,Counties!$AG$2:$AG$1583,1)/H8,0)</f>
        <v/>
      </c>
      <c r="N8" s="10">
        <f>IF(K8&gt;0,SUMIFS(Counties!$AP$2:$AP$1583,Counties!$A$2:$A$1583,$A8)/SUMIFS(Counties!$AF$2:$AF$1583,Counties!$A$2:$A$1583,$A8,Counties!$AG$2:$AG$1583,1),"")</f>
        <v/>
      </c>
      <c r="O8" s="10">
        <f>IF(N8="","",N8-F8)</f>
        <v/>
      </c>
      <c r="P8" s="9">
        <f>IF(I8&gt;0,(SUMIFS(Counties!$AD$2:$AD$1583,Counties!$A$2:$A$1583,$A8)-SUMIFS(Counties!$AE$2:$AE$1583,Counties!$A$2:$A$1583,$A8))/I8,"")</f>
        <v/>
      </c>
      <c r="Q8" s="9">
        <f>IF(K8&gt;0,(SUMIFS(Counties!$AL$2:$AL$1583,Counties!$A$2:$A$1583,$A8)-SUMIFS(Counties!$AM$2:$AM$1583,Counties!$A$2:$A$1583,$A8))/(SUMIFS(Counties!$AL$2:$AL$1583,Counties!$A$2:$A$1583,$A8)+SUMIFS(Counties!$AM$2:$AM$1583,Counties!$A$2:$A$1583,$A8)),"")</f>
        <v/>
      </c>
      <c r="R8" s="8">
        <f>IF(Q8="","",IF(Q8&gt;=0,C8,D8)&amp;" +"&amp;TEXT(ABS(Q8)*100,"0.0"))</f>
        <v/>
      </c>
      <c r="S8" s="14">
        <f>IF(Q8="","",IF(Q8&gt;=0.05,"Great for "&amp;TRIM(RIGHT(SUBSTITUTE(C8," ",REPT(" ",50)),50)),IF(Q8&gt;=0.01,TRIM(RIGHT(SUBSTITUTE(C8," ",REPT(" ",50)),50))&amp;" on track",IF(Q8&gt;-0.01,"Toss-up",IF(Q8&gt;-0.05,TRIM(RIGHT(SUBSTITUTE(D8," ",REPT(" ",50)),50))&amp;" on track","Great for "&amp;TRIM(RIGHT(SUBSTITUTE(D8," ",REPT(" ",50)),50)))))))</f>
        <v/>
      </c>
      <c r="T8" s="8">
        <f>IF(K8=0,"none",IF(OR(M8&lt;0.1,K8&lt;5),"low",IF(M8&lt;0.4,"medium","high")))</f>
        <v/>
      </c>
      <c r="U8" s="12">
        <f>IFERROR(INDEX('Early Vote'!$C$6:$C$22,MATCH($A8,'Early Vote'!$A$6:$A$22,0)),"")</f>
        <v/>
      </c>
      <c r="V8" s="13">
        <f>IFERROR(INDEX('Early Vote'!$E$6:$E$22,MATCH($A8,'Early Vote'!$A$6:$A$22,0)),"")</f>
        <v/>
      </c>
      <c r="W8" s="15">
        <f>IF(K8&gt;0,SUMIFS(Counties!$AF$2:$AF$1583,Counties!$A$2:$A$1583,$A8,Counties!$AG$2:$AG$1583,1)/SUMIFS(Counties!$AQ$2:$AQ$1583,Counties!$A$2:$A$1583,$A8,Counties!$AG$2:$AG$1583,1),"")</f>
        <v/>
      </c>
      <c r="X8" s="15">
        <f>IF(K8&gt;=3,W8,G8)</f>
        <v/>
      </c>
      <c r="Y8" s="15">
        <f>SUMIFS(Counties!$AK$2:$AK$1583,Counties!$A$2:$A$1583,$A8)/SUMIFS(Counties!$AQ$2:$AQ$1583,Counties!$A$2:$A$1583,$A8)</f>
        <v/>
      </c>
      <c r="Z8" s="16">
        <f>IFERROR(100*SUMIFS(Counties!$AF$2:$AF$1583,Counties!$A$2:$A$1583,$A8,Counties!$AG$2:$AG$1583,1,Counties!$T$2:$T$1583,"&gt;=0.1")/SUMIFS(Counties!$AT$2:$AT$1583,Counties!$A$2:$A$1583,$A8,Counties!$AG$2:$AG$1583,1,Counties!$T$2:$T$1583,"&gt;=0.1"),"")</f>
        <v/>
      </c>
      <c r="AA8" s="16">
        <f>IFERROR(100*SUMIFS(Counties!$AF$2:$AF$1583,Counties!$A$2:$A$1583,$A8,Counties!$AG$2:$AG$1583,1,Counties!$T$2:$T$1583,"&lt;=-0.1")/SUMIFS(Counties!$AT$2:$AT$1583,Counties!$A$2:$A$1583,$A8,Counties!$AG$2:$AG$1583,1,Counties!$T$2:$T$1583,"&lt;=-0.1"),"")</f>
        <v/>
      </c>
      <c r="AB8" s="17" t="inlineStr">
        <is>
          <t>No votes counted yet. 2024: R+13.4; with 2022's turnout pattern R+13.2, so Turek needs a 13.2-pt swing toward D from 2024 to win.
In 2022 the early/absentee vote was D+19.7 and the Election Day vote R+25.9, so counts that are mostly early/absentee votes flatter Democrats.</t>
        </is>
      </c>
    </row>
    <row r="9" ht="45" customHeight="1">
      <c r="A9" s="8" t="inlineStr">
        <is>
          <t>KS</t>
        </is>
      </c>
      <c r="B9" s="8" t="inlineStr">
        <is>
          <t>Kansas Senate</t>
        </is>
      </c>
      <c r="C9" s="8" t="inlineStr">
        <is>
          <t>Adam Hamilton</t>
        </is>
      </c>
      <c r="D9" s="8" t="inlineStr">
        <is>
          <t>Roger Marshall</t>
        </is>
      </c>
      <c r="E9" s="9">
        <f>(SUMIFS(Counties!$F$2:$F$1583,Counties!$A$2:$A$1583,$A9)-SUMIFS(Counties!$G$2:$G$1583,Counties!$A$2:$A$1583,$A9))/(SUMIFS(Counties!$F$2:$F$1583,Counties!$A$2:$A$1583,$A9)+SUMIFS(Counties!$G$2:$G$1583,Counties!$A$2:$A$1583,$A9))</f>
        <v/>
      </c>
      <c r="F9" s="10">
        <f>-SUMIFS(Counties!$AR$2:$AR$1583,Counties!$A$2:$A$1583,$A9)/SUMIFS(Counties!$AQ$2:$AQ$1583,Counties!$A$2:$A$1583,$A9)</f>
        <v/>
      </c>
      <c r="G9" s="11" t="n">
        <v>1</v>
      </c>
      <c r="H9" s="12">
        <f>SUMIFS(Counties!$U$2:$U$1583,Counties!$A$2:$A$1583,$A9)</f>
        <v/>
      </c>
      <c r="I9" s="12">
        <f>SUMIFS(Counties!$AF$2:$AF$1583,Counties!$A$2:$A$1583,$A9)</f>
        <v/>
      </c>
      <c r="J9" s="13">
        <f>IF(H9&gt;0,I9/H9,0)</f>
        <v/>
      </c>
      <c r="K9" s="8">
        <f>COUNTIFS(Counties!$A$2:$A$1583,$A9,Counties!$AG$2:$AG$1583,1)</f>
        <v/>
      </c>
      <c r="L9" s="8">
        <f>COUNTIF(Counties!$A$2:$A$1583,$A9)</f>
        <v/>
      </c>
      <c r="M9" s="13">
        <f>IF(H9&gt;0,SUMIFS(Counties!$U$2:$U$1583,Counties!$A$2:$A$1583,$A9,Counties!$AG$2:$AG$1583,1)/H9,0)</f>
        <v/>
      </c>
      <c r="N9" s="10">
        <f>IF(K9&gt;0,SUMIFS(Counties!$AP$2:$AP$1583,Counties!$A$2:$A$1583,$A9)/SUMIFS(Counties!$AF$2:$AF$1583,Counties!$A$2:$A$1583,$A9,Counties!$AG$2:$AG$1583,1),"")</f>
        <v/>
      </c>
      <c r="O9" s="10">
        <f>IF(N9="","",N9-F9)</f>
        <v/>
      </c>
      <c r="P9" s="9">
        <f>IF(I9&gt;0,(SUMIFS(Counties!$AD$2:$AD$1583,Counties!$A$2:$A$1583,$A9)-SUMIFS(Counties!$AE$2:$AE$1583,Counties!$A$2:$A$1583,$A9))/I9,"")</f>
        <v/>
      </c>
      <c r="Q9" s="9">
        <f>IF(K9&gt;0,(SUMIFS(Counties!$AL$2:$AL$1583,Counties!$A$2:$A$1583,$A9)-SUMIFS(Counties!$AM$2:$AM$1583,Counties!$A$2:$A$1583,$A9))/(SUMIFS(Counties!$AL$2:$AL$1583,Counties!$A$2:$A$1583,$A9)+SUMIFS(Counties!$AM$2:$AM$1583,Counties!$A$2:$A$1583,$A9)),"")</f>
        <v/>
      </c>
      <c r="R9" s="8">
        <f>IF(Q9="","",IF(Q9&gt;=0,C9,D9)&amp;" +"&amp;TEXT(ABS(Q9)*100,"0.0"))</f>
        <v/>
      </c>
      <c r="S9" s="14">
        <f>IF(Q9="","",IF(Q9&gt;=0.05,"Great for "&amp;TRIM(RIGHT(SUBSTITUTE(C9," ",REPT(" ",50)),50)),IF(Q9&gt;=0.01,TRIM(RIGHT(SUBSTITUTE(C9," ",REPT(" ",50)),50))&amp;" on track",IF(Q9&gt;-0.01,"Toss-up",IF(Q9&gt;-0.05,TRIM(RIGHT(SUBSTITUTE(D9," ",REPT(" ",50)),50))&amp;" on track","Great for "&amp;TRIM(RIGHT(SUBSTITUTE(D9," ",REPT(" ",50)),50)))))))</f>
        <v/>
      </c>
      <c r="T9" s="8">
        <f>IF(K9=0,"none",IF(OR(M9&lt;0.1,K9&lt;5),"low",IF(M9&lt;0.4,"medium","high")))</f>
        <v/>
      </c>
      <c r="U9" s="12">
        <f>IFERROR(INDEX('Early Vote'!$C$6:$C$22,MATCH($A9,'Early Vote'!$A$6:$A$22,0)),"")</f>
        <v/>
      </c>
      <c r="V9" s="13">
        <f>IFERROR(INDEX('Early Vote'!$E$6:$E$22,MATCH($A9,'Early Vote'!$A$6:$A$22,0)),"")</f>
        <v/>
      </c>
      <c r="W9" s="15">
        <f>IF(K9&gt;0,SUMIFS(Counties!$AF$2:$AF$1583,Counties!$A$2:$A$1583,$A9,Counties!$AG$2:$AG$1583,1)/SUMIFS(Counties!$AQ$2:$AQ$1583,Counties!$A$2:$A$1583,$A9,Counties!$AG$2:$AG$1583,1),"")</f>
        <v/>
      </c>
      <c r="X9" s="15">
        <f>IF(K9&gt;=3,W9,G9)</f>
        <v/>
      </c>
      <c r="Y9" s="15">
        <f>SUMIFS(Counties!$AK$2:$AK$1583,Counties!$A$2:$A$1583,$A9)/SUMIFS(Counties!$AQ$2:$AQ$1583,Counties!$A$2:$A$1583,$A9)</f>
        <v/>
      </c>
      <c r="Z9" s="16">
        <f>IFERROR(100*SUMIFS(Counties!$AF$2:$AF$1583,Counties!$A$2:$A$1583,$A9,Counties!$AG$2:$AG$1583,1,Counties!$T$2:$T$1583,"&gt;=0.1")/SUMIFS(Counties!$AT$2:$AT$1583,Counties!$A$2:$A$1583,$A9,Counties!$AG$2:$AG$1583,1,Counties!$T$2:$T$1583,"&gt;=0.1"),"")</f>
        <v/>
      </c>
      <c r="AA9" s="16">
        <f>IFERROR(100*SUMIFS(Counties!$AF$2:$AF$1583,Counties!$A$2:$A$1583,$A9,Counties!$AG$2:$AG$1583,1,Counties!$T$2:$T$1583,"&lt;=-0.1")/SUMIFS(Counties!$AT$2:$AT$1583,Counties!$A$2:$A$1583,$A9,Counties!$AG$2:$AG$1583,1,Counties!$T$2:$T$1583,"&lt;=-0.1"),"")</f>
        <v/>
      </c>
      <c r="AB9" s="17" t="inlineStr">
        <is>
          <t>No votes counted yet. 2024: R+16.4; with 2022's turnout pattern R+16.5, so Hamilton needs a 16.5-pt swing toward D from 2024 to win.</t>
        </is>
      </c>
    </row>
    <row r="10" ht="45" customHeight="1">
      <c r="A10" s="8" t="inlineStr">
        <is>
          <t>ME</t>
        </is>
      </c>
      <c r="B10" s="8" t="inlineStr">
        <is>
          <t>Maine Senate</t>
        </is>
      </c>
      <c r="C10" s="8" t="inlineStr">
        <is>
          <t>Troy Jackson</t>
        </is>
      </c>
      <c r="D10" s="8" t="inlineStr">
        <is>
          <t>Susan Collins</t>
        </is>
      </c>
      <c r="E10" s="9">
        <f>(SUMIFS(Counties!$F$2:$F$1583,Counties!$A$2:$A$1583,$A10)-SUMIFS(Counties!$G$2:$G$1583,Counties!$A$2:$A$1583,$A10))/(SUMIFS(Counties!$F$2:$F$1583,Counties!$A$2:$A$1583,$A10)+SUMIFS(Counties!$G$2:$G$1583,Counties!$A$2:$A$1583,$A10))</f>
        <v/>
      </c>
      <c r="F10" s="10">
        <f>-SUMIFS(Counties!$AR$2:$AR$1583,Counties!$A$2:$A$1583,$A10)/SUMIFS(Counties!$AQ$2:$AQ$1583,Counties!$A$2:$A$1583,$A10)</f>
        <v/>
      </c>
      <c r="G10" s="11" t="n">
        <v>1</v>
      </c>
      <c r="H10" s="12">
        <f>SUMIFS(Counties!$U$2:$U$1583,Counties!$A$2:$A$1583,$A10)</f>
        <v/>
      </c>
      <c r="I10" s="12">
        <f>SUMIFS(Counties!$AF$2:$AF$1583,Counties!$A$2:$A$1583,$A10)</f>
        <v/>
      </c>
      <c r="J10" s="13">
        <f>IF(H10&gt;0,I10/H10,0)</f>
        <v/>
      </c>
      <c r="K10" s="8">
        <f>COUNTIFS(Counties!$A$2:$A$1583,$A10,Counties!$AG$2:$AG$1583,1)</f>
        <v/>
      </c>
      <c r="L10" s="8">
        <f>COUNTIF(Counties!$A$2:$A$1583,$A10)</f>
        <v/>
      </c>
      <c r="M10" s="13">
        <f>IF(H10&gt;0,SUMIFS(Counties!$U$2:$U$1583,Counties!$A$2:$A$1583,$A10,Counties!$AG$2:$AG$1583,1)/H10,0)</f>
        <v/>
      </c>
      <c r="N10" s="10">
        <f>IF(K10&gt;0,SUMIFS(Counties!$AP$2:$AP$1583,Counties!$A$2:$A$1583,$A10)/SUMIFS(Counties!$AF$2:$AF$1583,Counties!$A$2:$A$1583,$A10,Counties!$AG$2:$AG$1583,1),"")</f>
        <v/>
      </c>
      <c r="O10" s="10">
        <f>IF(N10="","",N10-F10)</f>
        <v/>
      </c>
      <c r="P10" s="9">
        <f>IF(I10&gt;0,(SUMIFS(Counties!$AD$2:$AD$1583,Counties!$A$2:$A$1583,$A10)-SUMIFS(Counties!$AE$2:$AE$1583,Counties!$A$2:$A$1583,$A10))/I10,"")</f>
        <v/>
      </c>
      <c r="Q10" s="9">
        <f>IF(K10&gt;0,(SUMIFS(Counties!$AL$2:$AL$1583,Counties!$A$2:$A$1583,$A10)-SUMIFS(Counties!$AM$2:$AM$1583,Counties!$A$2:$A$1583,$A10))/(SUMIFS(Counties!$AL$2:$AL$1583,Counties!$A$2:$A$1583,$A10)+SUMIFS(Counties!$AM$2:$AM$1583,Counties!$A$2:$A$1583,$A10)),"")</f>
        <v/>
      </c>
      <c r="R10" s="8">
        <f>IF(Q10="","",IF(Q10&gt;=0,C10,D10)&amp;" +"&amp;TEXT(ABS(Q10)*100,"0.0"))</f>
        <v/>
      </c>
      <c r="S10" s="14">
        <f>IF(Q10="","",IF(Q10&gt;=0.05,"Great for "&amp;TRIM(RIGHT(SUBSTITUTE(C10," ",REPT(" ",50)),50)),IF(Q10&gt;=0.01,TRIM(RIGHT(SUBSTITUTE(C10," ",REPT(" ",50)),50))&amp;" on track",IF(Q10&gt;-0.01,"Toss-up",IF(Q10&gt;-0.05,TRIM(RIGHT(SUBSTITUTE(D10," ",REPT(" ",50)),50))&amp;" on track","Great for "&amp;TRIM(RIGHT(SUBSTITUTE(D10," ",REPT(" ",50)),50)))))))</f>
        <v/>
      </c>
      <c r="T10" s="8">
        <f>IF(K10=0,"none",IF(OR(M10&lt;0.1,K10&lt;5),"low",IF(M10&lt;0.4,"medium","high")))</f>
        <v/>
      </c>
      <c r="U10" s="12">
        <f>IFERROR(INDEX('Early Vote'!$C$6:$C$22,MATCH($A10,'Early Vote'!$A$6:$A$22,0)),"")</f>
        <v/>
      </c>
      <c r="V10" s="13">
        <f>IFERROR(INDEX('Early Vote'!$E$6:$E$22,MATCH($A10,'Early Vote'!$A$6:$A$22,0)),"")</f>
        <v/>
      </c>
      <c r="W10" s="15">
        <f>IF(K10&gt;0,SUMIFS(Counties!$AF$2:$AF$1583,Counties!$A$2:$A$1583,$A10,Counties!$AG$2:$AG$1583,1)/SUMIFS(Counties!$AQ$2:$AQ$1583,Counties!$A$2:$A$1583,$A10,Counties!$AG$2:$AG$1583,1),"")</f>
        <v/>
      </c>
      <c r="X10" s="15">
        <f>IF(K10&gt;=3,W10,G10)</f>
        <v/>
      </c>
      <c r="Y10" s="15">
        <f>SUMIFS(Counties!$AK$2:$AK$1583,Counties!$A$2:$A$1583,$A10)/SUMIFS(Counties!$AQ$2:$AQ$1583,Counties!$A$2:$A$1583,$A10)</f>
        <v/>
      </c>
      <c r="Z10" s="16">
        <f>IFERROR(100*SUMIFS(Counties!$AF$2:$AF$1583,Counties!$A$2:$A$1583,$A10,Counties!$AG$2:$AG$1583,1,Counties!$T$2:$T$1583,"&gt;=0.1")/SUMIFS(Counties!$AT$2:$AT$1583,Counties!$A$2:$A$1583,$A10,Counties!$AG$2:$AG$1583,1,Counties!$T$2:$T$1583,"&gt;=0.1"),"")</f>
        <v/>
      </c>
      <c r="AA10" s="16">
        <f>IFERROR(100*SUMIFS(Counties!$AF$2:$AF$1583,Counties!$A$2:$A$1583,$A10,Counties!$AG$2:$AG$1583,1,Counties!$T$2:$T$1583,"&lt;=-0.1")/SUMIFS(Counties!$AT$2:$AT$1583,Counties!$A$2:$A$1583,$A10,Counties!$AG$2:$AG$1583,1,Counties!$T$2:$T$1583,"&lt;=-0.1"),"")</f>
        <v/>
      </c>
      <c r="AB10" s="17" t="inlineStr">
        <is>
          <t>No votes counted yet. 2024: D+7.1; with 2022's turnout pattern D+7.2, so Jackson can absorb up to a 7.2-pt swing toward R from 2024 and still win.</t>
        </is>
      </c>
    </row>
    <row r="11" ht="45" customHeight="1">
      <c r="A11" s="8" t="inlineStr">
        <is>
          <t>MI</t>
        </is>
      </c>
      <c r="B11" s="8" t="inlineStr">
        <is>
          <t>Michigan Senate</t>
        </is>
      </c>
      <c r="C11" s="8" t="inlineStr">
        <is>
          <t>Abdul El-Sayed</t>
        </is>
      </c>
      <c r="D11" s="8" t="inlineStr">
        <is>
          <t>Mike Rogers</t>
        </is>
      </c>
      <c r="E11" s="9">
        <f>(SUMIFS(Counties!$F$2:$F$1583,Counties!$A$2:$A$1583,$A11)-SUMIFS(Counties!$G$2:$G$1583,Counties!$A$2:$A$1583,$A11))/(SUMIFS(Counties!$F$2:$F$1583,Counties!$A$2:$A$1583,$A11)+SUMIFS(Counties!$G$2:$G$1583,Counties!$A$2:$A$1583,$A11))</f>
        <v/>
      </c>
      <c r="F11" s="10">
        <f>-SUMIFS(Counties!$AR$2:$AR$1583,Counties!$A$2:$A$1583,$A11)/SUMIFS(Counties!$AQ$2:$AQ$1583,Counties!$A$2:$A$1583,$A11)</f>
        <v/>
      </c>
      <c r="G11" s="11" t="n">
        <v>1</v>
      </c>
      <c r="H11" s="12">
        <f>SUMIFS(Counties!$U$2:$U$1583,Counties!$A$2:$A$1583,$A11)</f>
        <v/>
      </c>
      <c r="I11" s="12">
        <f>SUMIFS(Counties!$AF$2:$AF$1583,Counties!$A$2:$A$1583,$A11)</f>
        <v/>
      </c>
      <c r="J11" s="13">
        <f>IF(H11&gt;0,I11/H11,0)</f>
        <v/>
      </c>
      <c r="K11" s="8">
        <f>COUNTIFS(Counties!$A$2:$A$1583,$A11,Counties!$AG$2:$AG$1583,1)</f>
        <v/>
      </c>
      <c r="L11" s="8">
        <f>COUNTIF(Counties!$A$2:$A$1583,$A11)</f>
        <v/>
      </c>
      <c r="M11" s="13">
        <f>IF(H11&gt;0,SUMIFS(Counties!$U$2:$U$1583,Counties!$A$2:$A$1583,$A11,Counties!$AG$2:$AG$1583,1)/H11,0)</f>
        <v/>
      </c>
      <c r="N11" s="10">
        <f>IF(K11&gt;0,SUMIFS(Counties!$AP$2:$AP$1583,Counties!$A$2:$A$1583,$A11)/SUMIFS(Counties!$AF$2:$AF$1583,Counties!$A$2:$A$1583,$A11,Counties!$AG$2:$AG$1583,1),"")</f>
        <v/>
      </c>
      <c r="O11" s="10">
        <f>IF(N11="","",N11-F11)</f>
        <v/>
      </c>
      <c r="P11" s="9">
        <f>IF(I11&gt;0,(SUMIFS(Counties!$AD$2:$AD$1583,Counties!$A$2:$A$1583,$A11)-SUMIFS(Counties!$AE$2:$AE$1583,Counties!$A$2:$A$1583,$A11))/I11,"")</f>
        <v/>
      </c>
      <c r="Q11" s="9">
        <f>IF(K11&gt;0,(SUMIFS(Counties!$AL$2:$AL$1583,Counties!$A$2:$A$1583,$A11)-SUMIFS(Counties!$AM$2:$AM$1583,Counties!$A$2:$A$1583,$A11))/(SUMIFS(Counties!$AL$2:$AL$1583,Counties!$A$2:$A$1583,$A11)+SUMIFS(Counties!$AM$2:$AM$1583,Counties!$A$2:$A$1583,$A11)),"")</f>
        <v/>
      </c>
      <c r="R11" s="8">
        <f>IF(Q11="","",IF(Q11&gt;=0,C11,D11)&amp;" +"&amp;TEXT(ABS(Q11)*100,"0.0"))</f>
        <v/>
      </c>
      <c r="S11" s="14">
        <f>IF(Q11="","",IF(Q11&gt;=0.05,"Great for "&amp;TRIM(RIGHT(SUBSTITUTE(C11," ",REPT(" ",50)),50)),IF(Q11&gt;=0.01,TRIM(RIGHT(SUBSTITUTE(C11," ",REPT(" ",50)),50))&amp;" on track",IF(Q11&gt;-0.01,"Toss-up",IF(Q11&gt;-0.05,TRIM(RIGHT(SUBSTITUTE(D11," ",REPT(" ",50)),50))&amp;" on track","Great for "&amp;TRIM(RIGHT(SUBSTITUTE(D11," ",REPT(" ",50)),50)))))))</f>
        <v/>
      </c>
      <c r="T11" s="8">
        <f>IF(K11=0,"none",IF(OR(M11&lt;0.1,K11&lt;5),"low",IF(M11&lt;0.4,"medium","high")))</f>
        <v/>
      </c>
      <c r="U11" s="12">
        <f>IFERROR(INDEX('Early Vote'!$C$6:$C$22,MATCH($A11,'Early Vote'!$A$6:$A$22,0)),"")</f>
        <v/>
      </c>
      <c r="V11" s="13">
        <f>IFERROR(INDEX('Early Vote'!$E$6:$E$22,MATCH($A11,'Early Vote'!$A$6:$A$22,0)),"")</f>
        <v/>
      </c>
      <c r="W11" s="15">
        <f>IF(K11&gt;0,SUMIFS(Counties!$AF$2:$AF$1583,Counties!$A$2:$A$1583,$A11,Counties!$AG$2:$AG$1583,1)/SUMIFS(Counties!$AQ$2:$AQ$1583,Counties!$A$2:$A$1583,$A11,Counties!$AG$2:$AG$1583,1),"")</f>
        <v/>
      </c>
      <c r="X11" s="15">
        <f>IF(K11&gt;=3,W11,G11)</f>
        <v/>
      </c>
      <c r="Y11" s="15">
        <f>SUMIFS(Counties!$AK$2:$AK$1583,Counties!$A$2:$A$1583,$A11)/SUMIFS(Counties!$AQ$2:$AQ$1583,Counties!$A$2:$A$1583,$A11)</f>
        <v/>
      </c>
      <c r="Z11" s="16">
        <f>IFERROR(100*SUMIFS(Counties!$AF$2:$AF$1583,Counties!$A$2:$A$1583,$A11,Counties!$AG$2:$AG$1583,1,Counties!$T$2:$T$1583,"&gt;=0.1")/SUMIFS(Counties!$AT$2:$AT$1583,Counties!$A$2:$A$1583,$A11,Counties!$AG$2:$AG$1583,1,Counties!$T$2:$T$1583,"&gt;=0.1"),"")</f>
        <v/>
      </c>
      <c r="AA11" s="16">
        <f>IFERROR(100*SUMIFS(Counties!$AF$2:$AF$1583,Counties!$A$2:$A$1583,$A11,Counties!$AG$2:$AG$1583,1,Counties!$T$2:$T$1583,"&lt;=-0.1")/SUMIFS(Counties!$AT$2:$AT$1583,Counties!$A$2:$A$1583,$A11,Counties!$AG$2:$AG$1583,1,Counties!$T$2:$T$1583,"&lt;=-0.1"),"")</f>
        <v/>
      </c>
      <c r="AB11" s="17" t="inlineStr">
        <is>
          <t>No votes counted yet. 2024: R+1.4; with 2022's turnout pattern R+1.8, so El-Sayed needs a 1.8-pt swing toward D from 2024 to win.</t>
        </is>
      </c>
    </row>
    <row r="12" ht="45" customHeight="1">
      <c r="A12" s="8" t="inlineStr">
        <is>
          <t>MN</t>
        </is>
      </c>
      <c r="B12" s="8" t="inlineStr">
        <is>
          <t>Minnesota Senate</t>
        </is>
      </c>
      <c r="C12" s="8" t="inlineStr">
        <is>
          <t>Peggy Flanagan</t>
        </is>
      </c>
      <c r="D12" s="8" t="inlineStr">
        <is>
          <t>Michele Tafoya</t>
        </is>
      </c>
      <c r="E12" s="9">
        <f>(SUMIFS(Counties!$F$2:$F$1583,Counties!$A$2:$A$1583,$A12)-SUMIFS(Counties!$G$2:$G$1583,Counties!$A$2:$A$1583,$A12))/(SUMIFS(Counties!$F$2:$F$1583,Counties!$A$2:$A$1583,$A12)+SUMIFS(Counties!$G$2:$G$1583,Counties!$A$2:$A$1583,$A12))</f>
        <v/>
      </c>
      <c r="F12" s="10">
        <f>-SUMIFS(Counties!$AR$2:$AR$1583,Counties!$A$2:$A$1583,$A12)/SUMIFS(Counties!$AQ$2:$AQ$1583,Counties!$A$2:$A$1583,$A12)</f>
        <v/>
      </c>
      <c r="G12" s="11" t="n">
        <v>1</v>
      </c>
      <c r="H12" s="12">
        <f>SUMIFS(Counties!$U$2:$U$1583,Counties!$A$2:$A$1583,$A12)</f>
        <v/>
      </c>
      <c r="I12" s="12">
        <f>SUMIFS(Counties!$AF$2:$AF$1583,Counties!$A$2:$A$1583,$A12)</f>
        <v/>
      </c>
      <c r="J12" s="13">
        <f>IF(H12&gt;0,I12/H12,0)</f>
        <v/>
      </c>
      <c r="K12" s="8">
        <f>COUNTIFS(Counties!$A$2:$A$1583,$A12,Counties!$AG$2:$AG$1583,1)</f>
        <v/>
      </c>
      <c r="L12" s="8">
        <f>COUNTIF(Counties!$A$2:$A$1583,$A12)</f>
        <v/>
      </c>
      <c r="M12" s="13">
        <f>IF(H12&gt;0,SUMIFS(Counties!$U$2:$U$1583,Counties!$A$2:$A$1583,$A12,Counties!$AG$2:$AG$1583,1)/H12,0)</f>
        <v/>
      </c>
      <c r="N12" s="10">
        <f>IF(K12&gt;0,SUMIFS(Counties!$AP$2:$AP$1583,Counties!$A$2:$A$1583,$A12)/SUMIFS(Counties!$AF$2:$AF$1583,Counties!$A$2:$A$1583,$A12,Counties!$AG$2:$AG$1583,1),"")</f>
        <v/>
      </c>
      <c r="O12" s="10">
        <f>IF(N12="","",N12-F12)</f>
        <v/>
      </c>
      <c r="P12" s="9">
        <f>IF(I12&gt;0,(SUMIFS(Counties!$AD$2:$AD$1583,Counties!$A$2:$A$1583,$A12)-SUMIFS(Counties!$AE$2:$AE$1583,Counties!$A$2:$A$1583,$A12))/I12,"")</f>
        <v/>
      </c>
      <c r="Q12" s="9">
        <f>IF(K12&gt;0,(SUMIFS(Counties!$AL$2:$AL$1583,Counties!$A$2:$A$1583,$A12)-SUMIFS(Counties!$AM$2:$AM$1583,Counties!$A$2:$A$1583,$A12))/(SUMIFS(Counties!$AL$2:$AL$1583,Counties!$A$2:$A$1583,$A12)+SUMIFS(Counties!$AM$2:$AM$1583,Counties!$A$2:$A$1583,$A12)),"")</f>
        <v/>
      </c>
      <c r="R12" s="8">
        <f>IF(Q12="","",IF(Q12&gt;=0,C12,D12)&amp;" +"&amp;TEXT(ABS(Q12)*100,"0.0"))</f>
        <v/>
      </c>
      <c r="S12" s="14">
        <f>IF(Q12="","",IF(Q12&gt;=0.05,"Great for "&amp;TRIM(RIGHT(SUBSTITUTE(C12," ",REPT(" ",50)),50)),IF(Q12&gt;=0.01,TRIM(RIGHT(SUBSTITUTE(C12," ",REPT(" ",50)),50))&amp;" on track",IF(Q12&gt;-0.01,"Toss-up",IF(Q12&gt;-0.05,TRIM(RIGHT(SUBSTITUTE(D12," ",REPT(" ",50)),50))&amp;" on track","Great for "&amp;TRIM(RIGHT(SUBSTITUTE(D12," ",REPT(" ",50)),50)))))))</f>
        <v/>
      </c>
      <c r="T12" s="8">
        <f>IF(K12=0,"none",IF(OR(M12&lt;0.1,K12&lt;5),"low",IF(M12&lt;0.4,"medium","high")))</f>
        <v/>
      </c>
      <c r="U12" s="12">
        <f>IFERROR(INDEX('Early Vote'!$C$6:$C$22,MATCH($A12,'Early Vote'!$A$6:$A$22,0)),"")</f>
        <v/>
      </c>
      <c r="V12" s="13">
        <f>IFERROR(INDEX('Early Vote'!$E$6:$E$22,MATCH($A12,'Early Vote'!$A$6:$A$22,0)),"")</f>
        <v/>
      </c>
      <c r="W12" s="15">
        <f>IF(K12&gt;0,SUMIFS(Counties!$AF$2:$AF$1583,Counties!$A$2:$A$1583,$A12,Counties!$AG$2:$AG$1583,1)/SUMIFS(Counties!$AQ$2:$AQ$1583,Counties!$A$2:$A$1583,$A12,Counties!$AG$2:$AG$1583,1),"")</f>
        <v/>
      </c>
      <c r="X12" s="15">
        <f>IF(K12&gt;=3,W12,G12)</f>
        <v/>
      </c>
      <c r="Y12" s="15">
        <f>SUMIFS(Counties!$AK$2:$AK$1583,Counties!$A$2:$A$1583,$A12)/SUMIFS(Counties!$AQ$2:$AQ$1583,Counties!$A$2:$A$1583,$A12)</f>
        <v/>
      </c>
      <c r="Z12" s="16">
        <f>IFERROR(100*SUMIFS(Counties!$AF$2:$AF$1583,Counties!$A$2:$A$1583,$A12,Counties!$AG$2:$AG$1583,1,Counties!$T$2:$T$1583,"&gt;=0.1")/SUMIFS(Counties!$AT$2:$AT$1583,Counties!$A$2:$A$1583,$A12,Counties!$AG$2:$AG$1583,1,Counties!$T$2:$T$1583,"&gt;=0.1"),"")</f>
        <v/>
      </c>
      <c r="AA12" s="16">
        <f>IFERROR(100*SUMIFS(Counties!$AF$2:$AF$1583,Counties!$A$2:$A$1583,$A12,Counties!$AG$2:$AG$1583,1,Counties!$T$2:$T$1583,"&lt;=-0.1")/SUMIFS(Counties!$AT$2:$AT$1583,Counties!$A$2:$A$1583,$A12,Counties!$AG$2:$AG$1583,1,Counties!$T$2:$T$1583,"&lt;=-0.1"),"")</f>
        <v/>
      </c>
      <c r="AB12" s="17" t="inlineStr">
        <is>
          <t>No votes counted yet. 2024: D+4.3; with 2022's turnout pattern D+4.9, so Flanagan can absorb up to a 4.9-pt swing toward R from 2024 and still win.</t>
        </is>
      </c>
    </row>
    <row r="13" ht="45" customHeight="1">
      <c r="A13" s="8" t="inlineStr">
        <is>
          <t>MS</t>
        </is>
      </c>
      <c r="B13" s="8" t="inlineStr">
        <is>
          <t>Mississippi Senate</t>
        </is>
      </c>
      <c r="C13" s="8" t="inlineStr">
        <is>
          <t>Scott Colom</t>
        </is>
      </c>
      <c r="D13" s="8" t="inlineStr">
        <is>
          <t>Cindy Hyde-Smith</t>
        </is>
      </c>
      <c r="E13" s="9">
        <f>(SUMIFS(Counties!$F$2:$F$1583,Counties!$A$2:$A$1583,$A13)-SUMIFS(Counties!$G$2:$G$1583,Counties!$A$2:$A$1583,$A13))/(SUMIFS(Counties!$F$2:$F$1583,Counties!$A$2:$A$1583,$A13)+SUMIFS(Counties!$G$2:$G$1583,Counties!$A$2:$A$1583,$A13))</f>
        <v/>
      </c>
      <c r="F13" s="10">
        <f>-SUMIFS(Counties!$AR$2:$AR$1583,Counties!$A$2:$A$1583,$A13)/SUMIFS(Counties!$AQ$2:$AQ$1583,Counties!$A$2:$A$1583,$A13)</f>
        <v/>
      </c>
      <c r="G13" s="11" t="n">
        <v>1</v>
      </c>
      <c r="H13" s="12">
        <f>SUMIFS(Counties!$U$2:$U$1583,Counties!$A$2:$A$1583,$A13)</f>
        <v/>
      </c>
      <c r="I13" s="12">
        <f>SUMIFS(Counties!$AF$2:$AF$1583,Counties!$A$2:$A$1583,$A13)</f>
        <v/>
      </c>
      <c r="J13" s="13">
        <f>IF(H13&gt;0,I13/H13,0)</f>
        <v/>
      </c>
      <c r="K13" s="8">
        <f>COUNTIFS(Counties!$A$2:$A$1583,$A13,Counties!$AG$2:$AG$1583,1)</f>
        <v/>
      </c>
      <c r="L13" s="8">
        <f>COUNTIF(Counties!$A$2:$A$1583,$A13)</f>
        <v/>
      </c>
      <c r="M13" s="13">
        <f>IF(H13&gt;0,SUMIFS(Counties!$U$2:$U$1583,Counties!$A$2:$A$1583,$A13,Counties!$AG$2:$AG$1583,1)/H13,0)</f>
        <v/>
      </c>
      <c r="N13" s="10">
        <f>IF(K13&gt;0,SUMIFS(Counties!$AP$2:$AP$1583,Counties!$A$2:$A$1583,$A13)/SUMIFS(Counties!$AF$2:$AF$1583,Counties!$A$2:$A$1583,$A13,Counties!$AG$2:$AG$1583,1),"")</f>
        <v/>
      </c>
      <c r="O13" s="10">
        <f>IF(N13="","",N13-F13)</f>
        <v/>
      </c>
      <c r="P13" s="9">
        <f>IF(I13&gt;0,(SUMIFS(Counties!$AD$2:$AD$1583,Counties!$A$2:$A$1583,$A13)-SUMIFS(Counties!$AE$2:$AE$1583,Counties!$A$2:$A$1583,$A13))/I13,"")</f>
        <v/>
      </c>
      <c r="Q13" s="9">
        <f>IF(K13&gt;0,(SUMIFS(Counties!$AL$2:$AL$1583,Counties!$A$2:$A$1583,$A13)-SUMIFS(Counties!$AM$2:$AM$1583,Counties!$A$2:$A$1583,$A13))/(SUMIFS(Counties!$AL$2:$AL$1583,Counties!$A$2:$A$1583,$A13)+SUMIFS(Counties!$AM$2:$AM$1583,Counties!$A$2:$A$1583,$A13)),"")</f>
        <v/>
      </c>
      <c r="R13" s="8">
        <f>IF(Q13="","",IF(Q13&gt;=0,C13,D13)&amp;" +"&amp;TEXT(ABS(Q13)*100,"0.0"))</f>
        <v/>
      </c>
      <c r="S13" s="14">
        <f>IF(Q13="","",IF(Q13&gt;=0.05,"Great for "&amp;TRIM(RIGHT(SUBSTITUTE(C13," ",REPT(" ",50)),50)),IF(Q13&gt;=0.01,TRIM(RIGHT(SUBSTITUTE(C13," ",REPT(" ",50)),50))&amp;" on track",IF(Q13&gt;-0.01,"Toss-up",IF(Q13&gt;-0.05,TRIM(RIGHT(SUBSTITUTE(D13," ",REPT(" ",50)),50))&amp;" on track","Great for "&amp;TRIM(RIGHT(SUBSTITUTE(D13," ",REPT(" ",50)),50)))))))</f>
        <v/>
      </c>
      <c r="T13" s="8">
        <f>IF(K13=0,"none",IF(OR(M13&lt;0.1,K13&lt;5),"low",IF(M13&lt;0.4,"medium","high")))</f>
        <v/>
      </c>
      <c r="U13" s="12">
        <f>IFERROR(INDEX('Early Vote'!$C$6:$C$22,MATCH($A13,'Early Vote'!$A$6:$A$22,0)),"")</f>
        <v/>
      </c>
      <c r="V13" s="13">
        <f>IFERROR(INDEX('Early Vote'!$E$6:$E$22,MATCH($A13,'Early Vote'!$A$6:$A$22,0)),"")</f>
        <v/>
      </c>
      <c r="W13" s="15">
        <f>IF(K13&gt;0,SUMIFS(Counties!$AF$2:$AF$1583,Counties!$A$2:$A$1583,$A13,Counties!$AG$2:$AG$1583,1)/SUMIFS(Counties!$AQ$2:$AQ$1583,Counties!$A$2:$A$1583,$A13,Counties!$AG$2:$AG$1583,1),"")</f>
        <v/>
      </c>
      <c r="X13" s="15">
        <f>IF(K13&gt;=3,W13,G13)</f>
        <v/>
      </c>
      <c r="Y13" s="15">
        <f>SUMIFS(Counties!$AK$2:$AK$1583,Counties!$A$2:$A$1583,$A13)/SUMIFS(Counties!$AQ$2:$AQ$1583,Counties!$A$2:$A$1583,$A13)</f>
        <v/>
      </c>
      <c r="Z13" s="16">
        <f>IFERROR(100*SUMIFS(Counties!$AF$2:$AF$1583,Counties!$A$2:$A$1583,$A13,Counties!$AG$2:$AG$1583,1,Counties!$T$2:$T$1583,"&gt;=0.1")/SUMIFS(Counties!$AT$2:$AT$1583,Counties!$A$2:$A$1583,$A13,Counties!$AG$2:$AG$1583,1,Counties!$T$2:$T$1583,"&gt;=0.1"),"")</f>
        <v/>
      </c>
      <c r="AA13" s="16">
        <f>IFERROR(100*SUMIFS(Counties!$AF$2:$AF$1583,Counties!$A$2:$A$1583,$A13,Counties!$AG$2:$AG$1583,1,Counties!$T$2:$T$1583,"&lt;=-0.1")/SUMIFS(Counties!$AT$2:$AT$1583,Counties!$A$2:$A$1583,$A13,Counties!$AG$2:$AG$1583,1,Counties!$T$2:$T$1583,"&lt;=-0.1"),"")</f>
        <v/>
      </c>
      <c r="AB13" s="17" t="inlineStr">
        <is>
          <t>No votes counted yet. 2024: R+23.1; with 2022's turnout pattern R+21.8, so Colom needs a 21.8-pt swing toward D from 2024 to win.</t>
        </is>
      </c>
    </row>
    <row r="14" ht="45" customHeight="1">
      <c r="A14" s="8" t="inlineStr">
        <is>
          <t>NC</t>
        </is>
      </c>
      <c r="B14" s="8" t="inlineStr">
        <is>
          <t>North Carolina Senate</t>
        </is>
      </c>
      <c r="C14" s="8" t="inlineStr">
        <is>
          <t>Roy Cooper</t>
        </is>
      </c>
      <c r="D14" s="8" t="inlineStr">
        <is>
          <t>Michael Whatley</t>
        </is>
      </c>
      <c r="E14" s="9">
        <f>(SUMIFS(Counties!$F$2:$F$1583,Counties!$A$2:$A$1583,$A14)-SUMIFS(Counties!$G$2:$G$1583,Counties!$A$2:$A$1583,$A14))/(SUMIFS(Counties!$F$2:$F$1583,Counties!$A$2:$A$1583,$A14)+SUMIFS(Counties!$G$2:$G$1583,Counties!$A$2:$A$1583,$A14))</f>
        <v/>
      </c>
      <c r="F14" s="10">
        <f>-SUMIFS(Counties!$AR$2:$AR$1583,Counties!$A$2:$A$1583,$A14)/SUMIFS(Counties!$AQ$2:$AQ$1583,Counties!$A$2:$A$1583,$A14)</f>
        <v/>
      </c>
      <c r="G14" s="11" t="n">
        <v>1</v>
      </c>
      <c r="H14" s="12">
        <f>SUMIFS(Counties!$U$2:$U$1583,Counties!$A$2:$A$1583,$A14)</f>
        <v/>
      </c>
      <c r="I14" s="12">
        <f>SUMIFS(Counties!$AF$2:$AF$1583,Counties!$A$2:$A$1583,$A14)</f>
        <v/>
      </c>
      <c r="J14" s="13">
        <f>IF(H14&gt;0,I14/H14,0)</f>
        <v/>
      </c>
      <c r="K14" s="8">
        <f>COUNTIFS(Counties!$A$2:$A$1583,$A14,Counties!$AG$2:$AG$1583,1)</f>
        <v/>
      </c>
      <c r="L14" s="8">
        <f>COUNTIF(Counties!$A$2:$A$1583,$A14)</f>
        <v/>
      </c>
      <c r="M14" s="13">
        <f>IF(H14&gt;0,SUMIFS(Counties!$U$2:$U$1583,Counties!$A$2:$A$1583,$A14,Counties!$AG$2:$AG$1583,1)/H14,0)</f>
        <v/>
      </c>
      <c r="N14" s="10">
        <f>IF(K14&gt;0,SUMIFS(Counties!$AP$2:$AP$1583,Counties!$A$2:$A$1583,$A14)/SUMIFS(Counties!$AF$2:$AF$1583,Counties!$A$2:$A$1583,$A14,Counties!$AG$2:$AG$1583,1),"")</f>
        <v/>
      </c>
      <c r="O14" s="10">
        <f>IF(N14="","",N14-F14)</f>
        <v/>
      </c>
      <c r="P14" s="9">
        <f>IF(I14&gt;0,(SUMIFS(Counties!$AD$2:$AD$1583,Counties!$A$2:$A$1583,$A14)-SUMIFS(Counties!$AE$2:$AE$1583,Counties!$A$2:$A$1583,$A14))/I14,"")</f>
        <v/>
      </c>
      <c r="Q14" s="9">
        <f>IF(K14&gt;0,(SUMIFS(Counties!$AL$2:$AL$1583,Counties!$A$2:$A$1583,$A14)-SUMIFS(Counties!$AM$2:$AM$1583,Counties!$A$2:$A$1583,$A14))/(SUMIFS(Counties!$AL$2:$AL$1583,Counties!$A$2:$A$1583,$A14)+SUMIFS(Counties!$AM$2:$AM$1583,Counties!$A$2:$A$1583,$A14)),"")</f>
        <v/>
      </c>
      <c r="R14" s="8">
        <f>IF(Q14="","",IF(Q14&gt;=0,C14,D14)&amp;" +"&amp;TEXT(ABS(Q14)*100,"0.0"))</f>
        <v/>
      </c>
      <c r="S14" s="14">
        <f>IF(Q14="","",IF(Q14&gt;=0.05,"Great for "&amp;TRIM(RIGHT(SUBSTITUTE(C14," ",REPT(" ",50)),50)),IF(Q14&gt;=0.01,TRIM(RIGHT(SUBSTITUTE(C14," ",REPT(" ",50)),50))&amp;" on track",IF(Q14&gt;-0.01,"Toss-up",IF(Q14&gt;-0.05,TRIM(RIGHT(SUBSTITUTE(D14," ",REPT(" ",50)),50))&amp;" on track","Great for "&amp;TRIM(RIGHT(SUBSTITUTE(D14," ",REPT(" ",50)),50)))))))</f>
        <v/>
      </c>
      <c r="T14" s="8">
        <f>IF(K14=0,"none",IF(OR(M14&lt;0.1,K14&lt;5),"low",IF(M14&lt;0.4,"medium","high")))</f>
        <v/>
      </c>
      <c r="U14" s="12">
        <f>IFERROR(INDEX('Early Vote'!$C$6:$C$22,MATCH($A14,'Early Vote'!$A$6:$A$22,0)),"")</f>
        <v/>
      </c>
      <c r="V14" s="13">
        <f>IFERROR(INDEX('Early Vote'!$E$6:$E$22,MATCH($A14,'Early Vote'!$A$6:$A$22,0)),"")</f>
        <v/>
      </c>
      <c r="W14" s="15">
        <f>IF(K14&gt;0,SUMIFS(Counties!$AF$2:$AF$1583,Counties!$A$2:$A$1583,$A14,Counties!$AG$2:$AG$1583,1)/SUMIFS(Counties!$AQ$2:$AQ$1583,Counties!$A$2:$A$1583,$A14,Counties!$AG$2:$AG$1583,1),"")</f>
        <v/>
      </c>
      <c r="X14" s="15">
        <f>IF(K14&gt;=3,W14,G14)</f>
        <v/>
      </c>
      <c r="Y14" s="15">
        <f>SUMIFS(Counties!$AK$2:$AK$1583,Counties!$A$2:$A$1583,$A14)/SUMIFS(Counties!$AQ$2:$AQ$1583,Counties!$A$2:$A$1583,$A14)</f>
        <v/>
      </c>
      <c r="Z14" s="16">
        <f>IFERROR(100*SUMIFS(Counties!$AF$2:$AF$1583,Counties!$A$2:$A$1583,$A14,Counties!$AG$2:$AG$1583,1,Counties!$T$2:$T$1583,"&gt;=0.1")/SUMIFS(Counties!$AT$2:$AT$1583,Counties!$A$2:$A$1583,$A14,Counties!$AG$2:$AG$1583,1,Counties!$T$2:$T$1583,"&gt;=0.1"),"")</f>
        <v/>
      </c>
      <c r="AA14" s="16">
        <f>IFERROR(100*SUMIFS(Counties!$AF$2:$AF$1583,Counties!$A$2:$A$1583,$A14,Counties!$AG$2:$AG$1583,1,Counties!$T$2:$T$1583,"&lt;=-0.1")/SUMIFS(Counties!$AT$2:$AT$1583,Counties!$A$2:$A$1583,$A14,Counties!$AG$2:$AG$1583,1,Counties!$T$2:$T$1583,"&lt;=-0.1"),"")</f>
        <v/>
      </c>
      <c r="AB14" s="17" t="inlineStr">
        <is>
          <t>No votes counted yet. 2024: R+3.3; with 2022's turnout pattern R+2.8, so Cooper needs a 2.8-pt swing toward D from 2024 to win.
In 2022 the early vote was D+9.0 and the Election Day vote R+20.7, so counts that are mostly early votes flatter Democrats.</t>
        </is>
      </c>
    </row>
    <row r="15" ht="45" customHeight="1">
      <c r="A15" s="8" t="inlineStr">
        <is>
          <t>NE</t>
        </is>
      </c>
      <c r="B15" s="8" t="inlineStr">
        <is>
          <t>Nebraska Senate</t>
        </is>
      </c>
      <c r="C15" s="8" t="inlineStr">
        <is>
          <t>Dan Osborn</t>
        </is>
      </c>
      <c r="D15" s="8" t="inlineStr">
        <is>
          <t>Pete Ricketts</t>
        </is>
      </c>
      <c r="E15" s="9">
        <f>(SUMIFS(Counties!$F$2:$F$1583,Counties!$A$2:$A$1583,$A15)-SUMIFS(Counties!$G$2:$G$1583,Counties!$A$2:$A$1583,$A15))/(SUMIFS(Counties!$F$2:$F$1583,Counties!$A$2:$A$1583,$A15)+SUMIFS(Counties!$G$2:$G$1583,Counties!$A$2:$A$1583,$A15))</f>
        <v/>
      </c>
      <c r="F15" s="10">
        <f>-SUMIFS(Counties!$AR$2:$AR$1583,Counties!$A$2:$A$1583,$A15)/SUMIFS(Counties!$AQ$2:$AQ$1583,Counties!$A$2:$A$1583,$A15)</f>
        <v/>
      </c>
      <c r="G15" s="11" t="n">
        <v>1</v>
      </c>
      <c r="H15" s="12">
        <f>SUMIFS(Counties!$U$2:$U$1583,Counties!$A$2:$A$1583,$A15)</f>
        <v/>
      </c>
      <c r="I15" s="12">
        <f>SUMIFS(Counties!$AF$2:$AF$1583,Counties!$A$2:$A$1583,$A15)</f>
        <v/>
      </c>
      <c r="J15" s="13">
        <f>IF(H15&gt;0,I15/H15,0)</f>
        <v/>
      </c>
      <c r="K15" s="8">
        <f>COUNTIFS(Counties!$A$2:$A$1583,$A15,Counties!$AG$2:$AG$1583,1)</f>
        <v/>
      </c>
      <c r="L15" s="8">
        <f>COUNTIF(Counties!$A$2:$A$1583,$A15)</f>
        <v/>
      </c>
      <c r="M15" s="13">
        <f>IF(H15&gt;0,SUMIFS(Counties!$U$2:$U$1583,Counties!$A$2:$A$1583,$A15,Counties!$AG$2:$AG$1583,1)/H15,0)</f>
        <v/>
      </c>
      <c r="N15" s="10">
        <f>IF(K15&gt;0,SUMIFS(Counties!$AP$2:$AP$1583,Counties!$A$2:$A$1583,$A15)/SUMIFS(Counties!$AF$2:$AF$1583,Counties!$A$2:$A$1583,$A15,Counties!$AG$2:$AG$1583,1),"")</f>
        <v/>
      </c>
      <c r="O15" s="10">
        <f>IF(N15="","",N15-F15)</f>
        <v/>
      </c>
      <c r="P15" s="9">
        <f>IF(I15&gt;0,(SUMIFS(Counties!$AD$2:$AD$1583,Counties!$A$2:$A$1583,$A15)-SUMIFS(Counties!$AE$2:$AE$1583,Counties!$A$2:$A$1583,$A15))/I15,"")</f>
        <v/>
      </c>
      <c r="Q15" s="9">
        <f>IF(K15&gt;0,(SUMIFS(Counties!$AL$2:$AL$1583,Counties!$A$2:$A$1583,$A15)-SUMIFS(Counties!$AM$2:$AM$1583,Counties!$A$2:$A$1583,$A15))/(SUMIFS(Counties!$AL$2:$AL$1583,Counties!$A$2:$A$1583,$A15)+SUMIFS(Counties!$AM$2:$AM$1583,Counties!$A$2:$A$1583,$A15)),"")</f>
        <v/>
      </c>
      <c r="R15" s="8">
        <f>IF(Q15="","",IF(Q15&gt;=0,C15,D15)&amp;" +"&amp;TEXT(ABS(Q15)*100,"0.0"))</f>
        <v/>
      </c>
      <c r="S15" s="14">
        <f>IF(Q15="","",IF(Q15&gt;=0.05,"Great for "&amp;TRIM(RIGHT(SUBSTITUTE(C15," ",REPT(" ",50)),50)),IF(Q15&gt;=0.01,TRIM(RIGHT(SUBSTITUTE(C15," ",REPT(" ",50)),50))&amp;" on track",IF(Q15&gt;-0.01,"Toss-up",IF(Q15&gt;-0.05,TRIM(RIGHT(SUBSTITUTE(D15," ",REPT(" ",50)),50))&amp;" on track","Great for "&amp;TRIM(RIGHT(SUBSTITUTE(D15," ",REPT(" ",50)),50)))))))</f>
        <v/>
      </c>
      <c r="T15" s="8">
        <f>IF(K15=0,"none",IF(OR(M15&lt;0.1,K15&lt;5),"low",IF(M15&lt;0.4,"medium","high")))</f>
        <v/>
      </c>
      <c r="U15" s="12">
        <f>IFERROR(INDEX('Early Vote'!$C$6:$C$22,MATCH($A15,'Early Vote'!$A$6:$A$22,0)),"")</f>
        <v/>
      </c>
      <c r="V15" s="13">
        <f>IFERROR(INDEX('Early Vote'!$E$6:$E$22,MATCH($A15,'Early Vote'!$A$6:$A$22,0)),"")</f>
        <v/>
      </c>
      <c r="W15" s="15">
        <f>IF(K15&gt;0,SUMIFS(Counties!$AF$2:$AF$1583,Counties!$A$2:$A$1583,$A15,Counties!$AG$2:$AG$1583,1)/SUMIFS(Counties!$AQ$2:$AQ$1583,Counties!$A$2:$A$1583,$A15,Counties!$AG$2:$AG$1583,1),"")</f>
        <v/>
      </c>
      <c r="X15" s="15">
        <f>IF(K15&gt;=3,W15,G15)</f>
        <v/>
      </c>
      <c r="Y15" s="15">
        <f>SUMIFS(Counties!$AK$2:$AK$1583,Counties!$A$2:$A$1583,$A15)/SUMIFS(Counties!$AQ$2:$AQ$1583,Counties!$A$2:$A$1583,$A15)</f>
        <v/>
      </c>
      <c r="Z15" s="16">
        <f>IFERROR(100*SUMIFS(Counties!$AF$2:$AF$1583,Counties!$A$2:$A$1583,$A15,Counties!$AG$2:$AG$1583,1,Counties!$T$2:$T$1583,"&gt;=0.1")/SUMIFS(Counties!$AT$2:$AT$1583,Counties!$A$2:$A$1583,$A15,Counties!$AG$2:$AG$1583,1,Counties!$T$2:$T$1583,"&gt;=0.1"),"")</f>
        <v/>
      </c>
      <c r="AA15" s="16">
        <f>IFERROR(100*SUMIFS(Counties!$AF$2:$AF$1583,Counties!$A$2:$A$1583,$A15,Counties!$AG$2:$AG$1583,1,Counties!$T$2:$T$1583,"&lt;=-0.1")/SUMIFS(Counties!$AT$2:$AT$1583,Counties!$A$2:$A$1583,$A15,Counties!$AG$2:$AG$1583,1,Counties!$T$2:$T$1583,"&lt;=-0.1"),"")</f>
        <v/>
      </c>
      <c r="AB15" s="17" t="inlineStr">
        <is>
          <t>No votes counted yet. 2024: R+20.8; with 2022's turnout pattern R+21.3, so Osborn needs a 21.3-pt swing toward D from 2024 to win.</t>
        </is>
      </c>
    </row>
    <row r="16" ht="45" customHeight="1">
      <c r="A16" s="8" t="inlineStr">
        <is>
          <t>NH</t>
        </is>
      </c>
      <c r="B16" s="8" t="inlineStr">
        <is>
          <t>New Hampshire Senate</t>
        </is>
      </c>
      <c r="C16" s="8" t="inlineStr">
        <is>
          <t>Chris Pappas</t>
        </is>
      </c>
      <c r="D16" s="8" t="inlineStr">
        <is>
          <t>John E. Sununu</t>
        </is>
      </c>
      <c r="E16" s="9">
        <f>(SUMIFS(Counties!$F$2:$F$1583,Counties!$A$2:$A$1583,$A16)-SUMIFS(Counties!$G$2:$G$1583,Counties!$A$2:$A$1583,$A16))/(SUMIFS(Counties!$F$2:$F$1583,Counties!$A$2:$A$1583,$A16)+SUMIFS(Counties!$G$2:$G$1583,Counties!$A$2:$A$1583,$A16))</f>
        <v/>
      </c>
      <c r="F16" s="10">
        <f>-SUMIFS(Counties!$AR$2:$AR$1583,Counties!$A$2:$A$1583,$A16)/SUMIFS(Counties!$AQ$2:$AQ$1583,Counties!$A$2:$A$1583,$A16)</f>
        <v/>
      </c>
      <c r="G16" s="11" t="n">
        <v>1</v>
      </c>
      <c r="H16" s="12">
        <f>SUMIFS(Counties!$U$2:$U$1583,Counties!$A$2:$A$1583,$A16)</f>
        <v/>
      </c>
      <c r="I16" s="12">
        <f>SUMIFS(Counties!$AF$2:$AF$1583,Counties!$A$2:$A$1583,$A16)</f>
        <v/>
      </c>
      <c r="J16" s="13">
        <f>IF(H16&gt;0,I16/H16,0)</f>
        <v/>
      </c>
      <c r="K16" s="8">
        <f>COUNTIFS(Counties!$A$2:$A$1583,$A16,Counties!$AG$2:$AG$1583,1)</f>
        <v/>
      </c>
      <c r="L16" s="8">
        <f>COUNTIF(Counties!$A$2:$A$1583,$A16)</f>
        <v/>
      </c>
      <c r="M16" s="13">
        <f>IF(H16&gt;0,SUMIFS(Counties!$U$2:$U$1583,Counties!$A$2:$A$1583,$A16,Counties!$AG$2:$AG$1583,1)/H16,0)</f>
        <v/>
      </c>
      <c r="N16" s="10">
        <f>IF(K16&gt;0,SUMIFS(Counties!$AP$2:$AP$1583,Counties!$A$2:$A$1583,$A16)/SUMIFS(Counties!$AF$2:$AF$1583,Counties!$A$2:$A$1583,$A16,Counties!$AG$2:$AG$1583,1),"")</f>
        <v/>
      </c>
      <c r="O16" s="10">
        <f>IF(N16="","",N16-F16)</f>
        <v/>
      </c>
      <c r="P16" s="9">
        <f>IF(I16&gt;0,(SUMIFS(Counties!$AD$2:$AD$1583,Counties!$A$2:$A$1583,$A16)-SUMIFS(Counties!$AE$2:$AE$1583,Counties!$A$2:$A$1583,$A16))/I16,"")</f>
        <v/>
      </c>
      <c r="Q16" s="9">
        <f>IF(K16&gt;0,(SUMIFS(Counties!$AL$2:$AL$1583,Counties!$A$2:$A$1583,$A16)-SUMIFS(Counties!$AM$2:$AM$1583,Counties!$A$2:$A$1583,$A16))/(SUMIFS(Counties!$AL$2:$AL$1583,Counties!$A$2:$A$1583,$A16)+SUMIFS(Counties!$AM$2:$AM$1583,Counties!$A$2:$A$1583,$A16)),"")</f>
        <v/>
      </c>
      <c r="R16" s="8">
        <f>IF(Q16="","",IF(Q16&gt;=0,C16,D16)&amp;" +"&amp;TEXT(ABS(Q16)*100,"0.0"))</f>
        <v/>
      </c>
      <c r="S16" s="14">
        <f>IF(Q16="","",IF(Q16&gt;=0.05,"Great for "&amp;TRIM(RIGHT(SUBSTITUTE(C16," ",REPT(" ",50)),50)),IF(Q16&gt;=0.01,TRIM(RIGHT(SUBSTITUTE(C16," ",REPT(" ",50)),50))&amp;" on track",IF(Q16&gt;-0.01,"Toss-up",IF(Q16&gt;-0.05,TRIM(RIGHT(SUBSTITUTE(D16," ",REPT(" ",50)),50))&amp;" on track","Great for "&amp;TRIM(RIGHT(SUBSTITUTE(D16," ",REPT(" ",50)),50)))))))</f>
        <v/>
      </c>
      <c r="T16" s="8">
        <f>IF(K16=0,"none",IF(OR(M16&lt;0.1,K16&lt;5),"low",IF(M16&lt;0.4,"medium","high")))</f>
        <v/>
      </c>
      <c r="U16" s="12">
        <f>IFERROR(INDEX('Early Vote'!$C$6:$C$22,MATCH($A16,'Early Vote'!$A$6:$A$22,0)),"")</f>
        <v/>
      </c>
      <c r="V16" s="13">
        <f>IFERROR(INDEX('Early Vote'!$E$6:$E$22,MATCH($A16,'Early Vote'!$A$6:$A$22,0)),"")</f>
        <v/>
      </c>
      <c r="W16" s="15">
        <f>IF(K16&gt;0,SUMIFS(Counties!$AF$2:$AF$1583,Counties!$A$2:$A$1583,$A16,Counties!$AG$2:$AG$1583,1)/SUMIFS(Counties!$AQ$2:$AQ$1583,Counties!$A$2:$A$1583,$A16,Counties!$AG$2:$AG$1583,1),"")</f>
        <v/>
      </c>
      <c r="X16" s="15">
        <f>IF(K16&gt;=3,W16,G16)</f>
        <v/>
      </c>
      <c r="Y16" s="15">
        <f>SUMIFS(Counties!$AK$2:$AK$1583,Counties!$A$2:$A$1583,$A16)/SUMIFS(Counties!$AQ$2:$AQ$1583,Counties!$A$2:$A$1583,$A16)</f>
        <v/>
      </c>
      <c r="Z16" s="16">
        <f>IFERROR(100*SUMIFS(Counties!$AF$2:$AF$1583,Counties!$A$2:$A$1583,$A16,Counties!$AG$2:$AG$1583,1,Counties!$T$2:$T$1583,"&gt;=0.1")/SUMIFS(Counties!$AT$2:$AT$1583,Counties!$A$2:$A$1583,$A16,Counties!$AG$2:$AG$1583,1,Counties!$T$2:$T$1583,"&gt;=0.1"),"")</f>
        <v/>
      </c>
      <c r="AA16" s="16">
        <f>IFERROR(100*SUMIFS(Counties!$AF$2:$AF$1583,Counties!$A$2:$A$1583,$A16,Counties!$AG$2:$AG$1583,1,Counties!$T$2:$T$1583,"&lt;=-0.1")/SUMIFS(Counties!$AT$2:$AT$1583,Counties!$A$2:$A$1583,$A16,Counties!$AG$2:$AG$1583,1,Counties!$T$2:$T$1583,"&lt;=-0.1"),"")</f>
        <v/>
      </c>
      <c r="AB16" s="17" t="inlineStr">
        <is>
          <t>No votes counted yet. 2024: D+2.8; with 2022's turnout pattern D+2.8, so Pappas can absorb up to a 2.8-pt swing toward R from 2024 and still win.</t>
        </is>
      </c>
    </row>
    <row r="17" ht="45" customHeight="1">
      <c r="A17" s="8" t="inlineStr">
        <is>
          <t>OH</t>
        </is>
      </c>
      <c r="B17" s="8" t="inlineStr">
        <is>
          <t>Ohio Senate</t>
        </is>
      </c>
      <c r="C17" s="8" t="inlineStr">
        <is>
          <t>Sherrod Brown</t>
        </is>
      </c>
      <c r="D17" s="8" t="inlineStr">
        <is>
          <t>Jon Husted</t>
        </is>
      </c>
      <c r="E17" s="9">
        <f>(SUMIFS(Counties!$F$2:$F$1583,Counties!$A$2:$A$1583,$A17)-SUMIFS(Counties!$G$2:$G$1583,Counties!$A$2:$A$1583,$A17))/(SUMIFS(Counties!$F$2:$F$1583,Counties!$A$2:$A$1583,$A17)+SUMIFS(Counties!$G$2:$G$1583,Counties!$A$2:$A$1583,$A17))</f>
        <v/>
      </c>
      <c r="F17" s="10">
        <f>-SUMIFS(Counties!$AR$2:$AR$1583,Counties!$A$2:$A$1583,$A17)/SUMIFS(Counties!$AQ$2:$AQ$1583,Counties!$A$2:$A$1583,$A17)</f>
        <v/>
      </c>
      <c r="G17" s="11" t="n">
        <v>1</v>
      </c>
      <c r="H17" s="12">
        <f>SUMIFS(Counties!$U$2:$U$1583,Counties!$A$2:$A$1583,$A17)</f>
        <v/>
      </c>
      <c r="I17" s="12">
        <f>SUMIFS(Counties!$AF$2:$AF$1583,Counties!$A$2:$A$1583,$A17)</f>
        <v/>
      </c>
      <c r="J17" s="13">
        <f>IF(H17&gt;0,I17/H17,0)</f>
        <v/>
      </c>
      <c r="K17" s="8">
        <f>COUNTIFS(Counties!$A$2:$A$1583,$A17,Counties!$AG$2:$AG$1583,1)</f>
        <v/>
      </c>
      <c r="L17" s="8">
        <f>COUNTIF(Counties!$A$2:$A$1583,$A17)</f>
        <v/>
      </c>
      <c r="M17" s="13">
        <f>IF(H17&gt;0,SUMIFS(Counties!$U$2:$U$1583,Counties!$A$2:$A$1583,$A17,Counties!$AG$2:$AG$1583,1)/H17,0)</f>
        <v/>
      </c>
      <c r="N17" s="10">
        <f>IF(K17&gt;0,SUMIFS(Counties!$AP$2:$AP$1583,Counties!$A$2:$A$1583,$A17)/SUMIFS(Counties!$AF$2:$AF$1583,Counties!$A$2:$A$1583,$A17,Counties!$AG$2:$AG$1583,1),"")</f>
        <v/>
      </c>
      <c r="O17" s="10">
        <f>IF(N17="","",N17-F17)</f>
        <v/>
      </c>
      <c r="P17" s="9">
        <f>IF(I17&gt;0,(SUMIFS(Counties!$AD$2:$AD$1583,Counties!$A$2:$A$1583,$A17)-SUMIFS(Counties!$AE$2:$AE$1583,Counties!$A$2:$A$1583,$A17))/I17,"")</f>
        <v/>
      </c>
      <c r="Q17" s="9">
        <f>IF(K17&gt;0,(SUMIFS(Counties!$AL$2:$AL$1583,Counties!$A$2:$A$1583,$A17)-SUMIFS(Counties!$AM$2:$AM$1583,Counties!$A$2:$A$1583,$A17))/(SUMIFS(Counties!$AL$2:$AL$1583,Counties!$A$2:$A$1583,$A17)+SUMIFS(Counties!$AM$2:$AM$1583,Counties!$A$2:$A$1583,$A17)),"")</f>
        <v/>
      </c>
      <c r="R17" s="8">
        <f>IF(Q17="","",IF(Q17&gt;=0,C17,D17)&amp;" +"&amp;TEXT(ABS(Q17)*100,"0.0"))</f>
        <v/>
      </c>
      <c r="S17" s="14">
        <f>IF(Q17="","",IF(Q17&gt;=0.05,"Great for "&amp;TRIM(RIGHT(SUBSTITUTE(C17," ",REPT(" ",50)),50)),IF(Q17&gt;=0.01,TRIM(RIGHT(SUBSTITUTE(C17," ",REPT(" ",50)),50))&amp;" on track",IF(Q17&gt;-0.01,"Toss-up",IF(Q17&gt;-0.05,TRIM(RIGHT(SUBSTITUTE(D17," ",REPT(" ",50)),50))&amp;" on track","Great for "&amp;TRIM(RIGHT(SUBSTITUTE(D17," ",REPT(" ",50)),50)))))))</f>
        <v/>
      </c>
      <c r="T17" s="8">
        <f>IF(K17=0,"none",IF(OR(M17&lt;0.1,K17&lt;5),"low",IF(M17&lt;0.4,"medium","high")))</f>
        <v/>
      </c>
      <c r="U17" s="12">
        <f>IFERROR(INDEX('Early Vote'!$C$6:$C$22,MATCH($A17,'Early Vote'!$A$6:$A$22,0)),"")</f>
        <v/>
      </c>
      <c r="V17" s="13">
        <f>IFERROR(INDEX('Early Vote'!$E$6:$E$22,MATCH($A17,'Early Vote'!$A$6:$A$22,0)),"")</f>
        <v/>
      </c>
      <c r="W17" s="15">
        <f>IF(K17&gt;0,SUMIFS(Counties!$AF$2:$AF$1583,Counties!$A$2:$A$1583,$A17,Counties!$AG$2:$AG$1583,1)/SUMIFS(Counties!$AQ$2:$AQ$1583,Counties!$A$2:$A$1583,$A17,Counties!$AG$2:$AG$1583,1),"")</f>
        <v/>
      </c>
      <c r="X17" s="15">
        <f>IF(K17&gt;=3,W17,G17)</f>
        <v/>
      </c>
      <c r="Y17" s="15">
        <f>SUMIFS(Counties!$AK$2:$AK$1583,Counties!$A$2:$A$1583,$A17)/SUMIFS(Counties!$AQ$2:$AQ$1583,Counties!$A$2:$A$1583,$A17)</f>
        <v/>
      </c>
      <c r="Z17" s="16">
        <f>IFERROR(100*SUMIFS(Counties!$AF$2:$AF$1583,Counties!$A$2:$A$1583,$A17,Counties!$AG$2:$AG$1583,1,Counties!$T$2:$T$1583,"&gt;=0.1")/SUMIFS(Counties!$AT$2:$AT$1583,Counties!$A$2:$A$1583,$A17,Counties!$AG$2:$AG$1583,1,Counties!$T$2:$T$1583,"&gt;=0.1"),"")</f>
        <v/>
      </c>
      <c r="AA17" s="16">
        <f>IFERROR(100*SUMIFS(Counties!$AF$2:$AF$1583,Counties!$A$2:$A$1583,$A17,Counties!$AG$2:$AG$1583,1,Counties!$T$2:$T$1583,"&lt;=-0.1")/SUMIFS(Counties!$AT$2:$AT$1583,Counties!$A$2:$A$1583,$A17,Counties!$AG$2:$AG$1583,1,Counties!$T$2:$T$1583,"&lt;=-0.1"),"")</f>
        <v/>
      </c>
      <c r="AB17" s="17" t="inlineStr">
        <is>
          <t>No votes counted yet. 2024: R+11.3; with 2022's turnout pattern R+11.2, so Brown needs a 11.2-pt swing toward D from 2024 to win.</t>
        </is>
      </c>
    </row>
    <row r="18" ht="45" customHeight="1">
      <c r="A18" s="8" t="inlineStr">
        <is>
          <t>SC</t>
        </is>
      </c>
      <c r="B18" s="8" t="inlineStr">
        <is>
          <t>South Carolina Senate</t>
        </is>
      </c>
      <c r="C18" s="8" t="inlineStr">
        <is>
          <t>Annie Andrews</t>
        </is>
      </c>
      <c r="D18" s="8" t="inlineStr">
        <is>
          <t>Darline Graham</t>
        </is>
      </c>
      <c r="E18" s="9">
        <f>(SUMIFS(Counties!$F$2:$F$1583,Counties!$A$2:$A$1583,$A18)-SUMIFS(Counties!$G$2:$G$1583,Counties!$A$2:$A$1583,$A18))/(SUMIFS(Counties!$F$2:$F$1583,Counties!$A$2:$A$1583,$A18)+SUMIFS(Counties!$G$2:$G$1583,Counties!$A$2:$A$1583,$A18))</f>
        <v/>
      </c>
      <c r="F18" s="10">
        <f>-SUMIFS(Counties!$AR$2:$AR$1583,Counties!$A$2:$A$1583,$A18)/SUMIFS(Counties!$AQ$2:$AQ$1583,Counties!$A$2:$A$1583,$A18)</f>
        <v/>
      </c>
      <c r="G18" s="11" t="n">
        <v>1</v>
      </c>
      <c r="H18" s="12">
        <f>SUMIFS(Counties!$U$2:$U$1583,Counties!$A$2:$A$1583,$A18)</f>
        <v/>
      </c>
      <c r="I18" s="12">
        <f>SUMIFS(Counties!$AF$2:$AF$1583,Counties!$A$2:$A$1583,$A18)</f>
        <v/>
      </c>
      <c r="J18" s="13">
        <f>IF(H18&gt;0,I18/H18,0)</f>
        <v/>
      </c>
      <c r="K18" s="8">
        <f>COUNTIFS(Counties!$A$2:$A$1583,$A18,Counties!$AG$2:$AG$1583,1)</f>
        <v/>
      </c>
      <c r="L18" s="8">
        <f>COUNTIF(Counties!$A$2:$A$1583,$A18)</f>
        <v/>
      </c>
      <c r="M18" s="13">
        <f>IF(H18&gt;0,SUMIFS(Counties!$U$2:$U$1583,Counties!$A$2:$A$1583,$A18,Counties!$AG$2:$AG$1583,1)/H18,0)</f>
        <v/>
      </c>
      <c r="N18" s="10">
        <f>IF(K18&gt;0,SUMIFS(Counties!$AP$2:$AP$1583,Counties!$A$2:$A$1583,$A18)/SUMIFS(Counties!$AF$2:$AF$1583,Counties!$A$2:$A$1583,$A18,Counties!$AG$2:$AG$1583,1),"")</f>
        <v/>
      </c>
      <c r="O18" s="10">
        <f>IF(N18="","",N18-F18)</f>
        <v/>
      </c>
      <c r="P18" s="9">
        <f>IF(I18&gt;0,(SUMIFS(Counties!$AD$2:$AD$1583,Counties!$A$2:$A$1583,$A18)-SUMIFS(Counties!$AE$2:$AE$1583,Counties!$A$2:$A$1583,$A18))/I18,"")</f>
        <v/>
      </c>
      <c r="Q18" s="9">
        <f>IF(K18&gt;0,(SUMIFS(Counties!$AL$2:$AL$1583,Counties!$A$2:$A$1583,$A18)-SUMIFS(Counties!$AM$2:$AM$1583,Counties!$A$2:$A$1583,$A18))/(SUMIFS(Counties!$AL$2:$AL$1583,Counties!$A$2:$A$1583,$A18)+SUMIFS(Counties!$AM$2:$AM$1583,Counties!$A$2:$A$1583,$A18)),"")</f>
        <v/>
      </c>
      <c r="R18" s="8">
        <f>IF(Q18="","",IF(Q18&gt;=0,C18,D18)&amp;" +"&amp;TEXT(ABS(Q18)*100,"0.0"))</f>
        <v/>
      </c>
      <c r="S18" s="14">
        <f>IF(Q18="","",IF(Q18&gt;=0.05,"Great for "&amp;TRIM(RIGHT(SUBSTITUTE(C18," ",REPT(" ",50)),50)),IF(Q18&gt;=0.01,TRIM(RIGHT(SUBSTITUTE(C18," ",REPT(" ",50)),50))&amp;" on track",IF(Q18&gt;-0.01,"Toss-up",IF(Q18&gt;-0.05,TRIM(RIGHT(SUBSTITUTE(D18," ",REPT(" ",50)),50))&amp;" on track","Great for "&amp;TRIM(RIGHT(SUBSTITUTE(D18," ",REPT(" ",50)),50)))))))</f>
        <v/>
      </c>
      <c r="T18" s="8">
        <f>IF(K18=0,"none",IF(OR(M18&lt;0.1,K18&lt;5),"low",IF(M18&lt;0.4,"medium","high")))</f>
        <v/>
      </c>
      <c r="U18" s="12">
        <f>IFERROR(INDEX('Early Vote'!$C$6:$C$22,MATCH($A18,'Early Vote'!$A$6:$A$22,0)),"")</f>
        <v/>
      </c>
      <c r="V18" s="13">
        <f>IFERROR(INDEX('Early Vote'!$E$6:$E$22,MATCH($A18,'Early Vote'!$A$6:$A$22,0)),"")</f>
        <v/>
      </c>
      <c r="W18" s="15">
        <f>IF(K18&gt;0,SUMIFS(Counties!$AF$2:$AF$1583,Counties!$A$2:$A$1583,$A18,Counties!$AG$2:$AG$1583,1)/SUMIFS(Counties!$AQ$2:$AQ$1583,Counties!$A$2:$A$1583,$A18,Counties!$AG$2:$AG$1583,1),"")</f>
        <v/>
      </c>
      <c r="X18" s="15">
        <f>IF(K18&gt;=3,W18,G18)</f>
        <v/>
      </c>
      <c r="Y18" s="15">
        <f>SUMIFS(Counties!$AK$2:$AK$1583,Counties!$A$2:$A$1583,$A18)/SUMIFS(Counties!$AQ$2:$AQ$1583,Counties!$A$2:$A$1583,$A18)</f>
        <v/>
      </c>
      <c r="Z18" s="16">
        <f>IFERROR(100*SUMIFS(Counties!$AF$2:$AF$1583,Counties!$A$2:$A$1583,$A18,Counties!$AG$2:$AG$1583,1,Counties!$T$2:$T$1583,"&gt;=0.1")/SUMIFS(Counties!$AT$2:$AT$1583,Counties!$A$2:$A$1583,$A18,Counties!$AG$2:$AG$1583,1,Counties!$T$2:$T$1583,"&gt;=0.1"),"")</f>
        <v/>
      </c>
      <c r="AA18" s="16">
        <f>IFERROR(100*SUMIFS(Counties!$AF$2:$AF$1583,Counties!$A$2:$A$1583,$A18,Counties!$AG$2:$AG$1583,1,Counties!$T$2:$T$1583,"&lt;=-0.1")/SUMIFS(Counties!$AT$2:$AT$1583,Counties!$A$2:$A$1583,$A18,Counties!$AG$2:$AG$1583,1,Counties!$T$2:$T$1583,"&lt;=-0.1"),"")</f>
        <v/>
      </c>
      <c r="AB18" s="17" t="inlineStr">
        <is>
          <t>No votes counted yet. 2024: R+18.1; with 2022's turnout pattern R+17.7, so Andrews needs a 17.7-pt swing toward D from 2024 to win.
In 2022 the early vote was R+10.4 and the Election Day vote R+34.6, so counts that are mostly early votes flatter Democrats.</t>
        </is>
      </c>
    </row>
    <row r="19" ht="45" customHeight="1">
      <c r="A19" s="8" t="inlineStr">
        <is>
          <t>TX</t>
        </is>
      </c>
      <c r="B19" s="8" t="inlineStr">
        <is>
          <t>Texas Senate</t>
        </is>
      </c>
      <c r="C19" s="8" t="inlineStr">
        <is>
          <t>James Talarico</t>
        </is>
      </c>
      <c r="D19" s="8" t="inlineStr">
        <is>
          <t>Ken Paxton</t>
        </is>
      </c>
      <c r="E19" s="9">
        <f>(SUMIFS(Counties!$F$2:$F$1583,Counties!$A$2:$A$1583,$A19)-SUMIFS(Counties!$G$2:$G$1583,Counties!$A$2:$A$1583,$A19))/(SUMIFS(Counties!$F$2:$F$1583,Counties!$A$2:$A$1583,$A19)+SUMIFS(Counties!$G$2:$G$1583,Counties!$A$2:$A$1583,$A19))</f>
        <v/>
      </c>
      <c r="F19" s="10">
        <f>-SUMIFS(Counties!$AR$2:$AR$1583,Counties!$A$2:$A$1583,$A19)/SUMIFS(Counties!$AQ$2:$AQ$1583,Counties!$A$2:$A$1583,$A19)</f>
        <v/>
      </c>
      <c r="G19" s="11" t="n">
        <v>1</v>
      </c>
      <c r="H19" s="12">
        <f>SUMIFS(Counties!$U$2:$U$1583,Counties!$A$2:$A$1583,$A19)</f>
        <v/>
      </c>
      <c r="I19" s="12">
        <f>SUMIFS(Counties!$AF$2:$AF$1583,Counties!$A$2:$A$1583,$A19)</f>
        <v/>
      </c>
      <c r="J19" s="13">
        <f>IF(H19&gt;0,I19/H19,0)</f>
        <v/>
      </c>
      <c r="K19" s="8">
        <f>COUNTIFS(Counties!$A$2:$A$1583,$A19,Counties!$AG$2:$AG$1583,1)</f>
        <v/>
      </c>
      <c r="L19" s="8">
        <f>COUNTIF(Counties!$A$2:$A$1583,$A19)</f>
        <v/>
      </c>
      <c r="M19" s="13">
        <f>IF(H19&gt;0,SUMIFS(Counties!$U$2:$U$1583,Counties!$A$2:$A$1583,$A19,Counties!$AG$2:$AG$1583,1)/H19,0)</f>
        <v/>
      </c>
      <c r="N19" s="10">
        <f>IF(K19&gt;0,SUMIFS(Counties!$AP$2:$AP$1583,Counties!$A$2:$A$1583,$A19)/SUMIFS(Counties!$AF$2:$AF$1583,Counties!$A$2:$A$1583,$A19,Counties!$AG$2:$AG$1583,1),"")</f>
        <v/>
      </c>
      <c r="O19" s="10">
        <f>IF(N19="","",N19-F19)</f>
        <v/>
      </c>
      <c r="P19" s="9">
        <f>IF(I19&gt;0,(SUMIFS(Counties!$AD$2:$AD$1583,Counties!$A$2:$A$1583,$A19)-SUMIFS(Counties!$AE$2:$AE$1583,Counties!$A$2:$A$1583,$A19))/I19,"")</f>
        <v/>
      </c>
      <c r="Q19" s="9">
        <f>IF(K19&gt;0,(SUMIFS(Counties!$AL$2:$AL$1583,Counties!$A$2:$A$1583,$A19)-SUMIFS(Counties!$AM$2:$AM$1583,Counties!$A$2:$A$1583,$A19))/(SUMIFS(Counties!$AL$2:$AL$1583,Counties!$A$2:$A$1583,$A19)+SUMIFS(Counties!$AM$2:$AM$1583,Counties!$A$2:$A$1583,$A19)),"")</f>
        <v/>
      </c>
      <c r="R19" s="8">
        <f>IF(Q19="","",IF(Q19&gt;=0,C19,D19)&amp;" +"&amp;TEXT(ABS(Q19)*100,"0.0"))</f>
        <v/>
      </c>
      <c r="S19" s="14">
        <f>IF(Q19="","",IF(Q19&gt;=0.05,"Great for "&amp;TRIM(RIGHT(SUBSTITUTE(C19," ",REPT(" ",50)),50)),IF(Q19&gt;=0.01,TRIM(RIGHT(SUBSTITUTE(C19," ",REPT(" ",50)),50))&amp;" on track",IF(Q19&gt;-0.01,"Toss-up",IF(Q19&gt;-0.05,TRIM(RIGHT(SUBSTITUTE(D19," ",REPT(" ",50)),50))&amp;" on track","Great for "&amp;TRIM(RIGHT(SUBSTITUTE(D19," ",REPT(" ",50)),50)))))))</f>
        <v/>
      </c>
      <c r="T19" s="8">
        <f>IF(K19=0,"none",IF(OR(M19&lt;0.1,K19&lt;5),"low",IF(M19&lt;0.4,"medium","high")))</f>
        <v/>
      </c>
      <c r="U19" s="12">
        <f>IFERROR(INDEX('Early Vote'!$C$6:$C$22,MATCH($A19,'Early Vote'!$A$6:$A$22,0)),"")</f>
        <v/>
      </c>
      <c r="V19" s="13">
        <f>IFERROR(INDEX('Early Vote'!$E$6:$E$22,MATCH($A19,'Early Vote'!$A$6:$A$22,0)),"")</f>
        <v/>
      </c>
      <c r="W19" s="15">
        <f>IF(K19&gt;0,SUMIFS(Counties!$AF$2:$AF$1583,Counties!$A$2:$A$1583,$A19,Counties!$AG$2:$AG$1583,1)/SUMIFS(Counties!$AQ$2:$AQ$1583,Counties!$A$2:$A$1583,$A19,Counties!$AG$2:$AG$1583,1),"")</f>
        <v/>
      </c>
      <c r="X19" s="15">
        <f>IF(K19&gt;=3,W19,G19)</f>
        <v/>
      </c>
      <c r="Y19" s="15">
        <f>SUMIFS(Counties!$AK$2:$AK$1583,Counties!$A$2:$A$1583,$A19)/SUMIFS(Counties!$AQ$2:$AQ$1583,Counties!$A$2:$A$1583,$A19)</f>
        <v/>
      </c>
      <c r="Z19" s="16">
        <f>IFERROR(100*SUMIFS(Counties!$AF$2:$AF$1583,Counties!$A$2:$A$1583,$A19,Counties!$AG$2:$AG$1583,1,Counties!$T$2:$T$1583,"&gt;=0.1")/SUMIFS(Counties!$AT$2:$AT$1583,Counties!$A$2:$A$1583,$A19,Counties!$AG$2:$AG$1583,1,Counties!$T$2:$T$1583,"&gt;=0.1"),"")</f>
        <v/>
      </c>
      <c r="AA19" s="16">
        <f>IFERROR(100*SUMIFS(Counties!$AF$2:$AF$1583,Counties!$A$2:$A$1583,$A19,Counties!$AG$2:$AG$1583,1,Counties!$T$2:$T$1583,"&lt;=-0.1")/SUMIFS(Counties!$AT$2:$AT$1583,Counties!$A$2:$A$1583,$A19,Counties!$AG$2:$AG$1583,1,Counties!$T$2:$T$1583,"&lt;=-0.1"),"")</f>
        <v/>
      </c>
      <c r="AB19" s="17" t="inlineStr">
        <is>
          <t>No votes counted yet. 2024: R+13.9; with 2022's turnout pattern R+13.5, so Talarico needs a 13.5-pt swing toward D from 2024 to win.</t>
        </is>
      </c>
    </row>
    <row r="20" ht="45" customHeight="1">
      <c r="A20" s="8" t="inlineStr">
        <is>
          <t>FL</t>
        </is>
      </c>
      <c r="B20" s="8" t="inlineStr">
        <is>
          <t>Florida Senate</t>
        </is>
      </c>
      <c r="C20" s="8" t="inlineStr">
        <is>
          <t>Angie Nixon</t>
        </is>
      </c>
      <c r="D20" s="8" t="inlineStr">
        <is>
          <t>Ashley Moody</t>
        </is>
      </c>
      <c r="E20" s="9">
        <f>(SUMIFS(Counties!$F$2:$F$1583,Counties!$A$2:$A$1583,$A20)-SUMIFS(Counties!$G$2:$G$1583,Counties!$A$2:$A$1583,$A20))/(SUMIFS(Counties!$F$2:$F$1583,Counties!$A$2:$A$1583,$A20)+SUMIFS(Counties!$G$2:$G$1583,Counties!$A$2:$A$1583,$A20))</f>
        <v/>
      </c>
      <c r="F20" s="10">
        <f>-SUMIFS(Counties!$AR$2:$AR$1583,Counties!$A$2:$A$1583,$A20)/SUMIFS(Counties!$AQ$2:$AQ$1583,Counties!$A$2:$A$1583,$A20)</f>
        <v/>
      </c>
      <c r="G20" s="11" t="n">
        <v>1</v>
      </c>
      <c r="H20" s="12">
        <f>SUMIFS(Counties!$U$2:$U$1583,Counties!$A$2:$A$1583,$A20)</f>
        <v/>
      </c>
      <c r="I20" s="12">
        <f>SUMIFS(Counties!$AF$2:$AF$1583,Counties!$A$2:$A$1583,$A20)</f>
        <v/>
      </c>
      <c r="J20" s="13">
        <f>IF(H20&gt;0,I20/H20,0)</f>
        <v/>
      </c>
      <c r="K20" s="8">
        <f>COUNTIFS(Counties!$A$2:$A$1583,$A20,Counties!$AG$2:$AG$1583,1)</f>
        <v/>
      </c>
      <c r="L20" s="8">
        <f>COUNTIF(Counties!$A$2:$A$1583,$A20)</f>
        <v/>
      </c>
      <c r="M20" s="13">
        <f>IF(H20&gt;0,SUMIFS(Counties!$U$2:$U$1583,Counties!$A$2:$A$1583,$A20,Counties!$AG$2:$AG$1583,1)/H20,0)</f>
        <v/>
      </c>
      <c r="N20" s="10">
        <f>IF(K20&gt;0,SUMIFS(Counties!$AP$2:$AP$1583,Counties!$A$2:$A$1583,$A20)/SUMIFS(Counties!$AF$2:$AF$1583,Counties!$A$2:$A$1583,$A20,Counties!$AG$2:$AG$1583,1),"")</f>
        <v/>
      </c>
      <c r="O20" s="10">
        <f>IF(N20="","",N20-F20)</f>
        <v/>
      </c>
      <c r="P20" s="9">
        <f>IF(I20&gt;0,(SUMIFS(Counties!$AD$2:$AD$1583,Counties!$A$2:$A$1583,$A20)-SUMIFS(Counties!$AE$2:$AE$1583,Counties!$A$2:$A$1583,$A20))/I20,"")</f>
        <v/>
      </c>
      <c r="Q20" s="9">
        <f>IF(K20&gt;0,(SUMIFS(Counties!$AL$2:$AL$1583,Counties!$A$2:$A$1583,$A20)-SUMIFS(Counties!$AM$2:$AM$1583,Counties!$A$2:$A$1583,$A20))/(SUMIFS(Counties!$AL$2:$AL$1583,Counties!$A$2:$A$1583,$A20)+SUMIFS(Counties!$AM$2:$AM$1583,Counties!$A$2:$A$1583,$A20)),"")</f>
        <v/>
      </c>
      <c r="R20" s="8">
        <f>IF(Q20="","",IF(Q20&gt;=0,C20,D20)&amp;" +"&amp;TEXT(ABS(Q20)*100,"0.0"))</f>
        <v/>
      </c>
      <c r="S20" s="14">
        <f>IF(Q20="","",IF(Q20&gt;=0.05,"Great for "&amp;TRIM(RIGHT(SUBSTITUTE(C20," ",REPT(" ",50)),50)),IF(Q20&gt;=0.01,TRIM(RIGHT(SUBSTITUTE(C20," ",REPT(" ",50)),50))&amp;" on track",IF(Q20&gt;-0.01,"Toss-up",IF(Q20&gt;-0.05,TRIM(RIGHT(SUBSTITUTE(D20," ",REPT(" ",50)),50))&amp;" on track","Great for "&amp;TRIM(RIGHT(SUBSTITUTE(D20," ",REPT(" ",50)),50)))))))</f>
        <v/>
      </c>
      <c r="T20" s="8">
        <f>IF(K20=0,"none",IF(OR(M20&lt;0.1,K20&lt;5),"low",IF(M20&lt;0.4,"medium","high")))</f>
        <v/>
      </c>
      <c r="U20" s="12">
        <f>IFERROR(INDEX('Early Vote'!$C$6:$C$22,MATCH($A20,'Early Vote'!$A$6:$A$22,0)),"")</f>
        <v/>
      </c>
      <c r="V20" s="13">
        <f>IFERROR(INDEX('Early Vote'!$E$6:$E$22,MATCH($A20,'Early Vote'!$A$6:$A$22,0)),"")</f>
        <v/>
      </c>
      <c r="W20" s="15">
        <f>IF(K20&gt;0,SUMIFS(Counties!$AF$2:$AF$1583,Counties!$A$2:$A$1583,$A20,Counties!$AG$2:$AG$1583,1)/SUMIFS(Counties!$AQ$2:$AQ$1583,Counties!$A$2:$A$1583,$A20,Counties!$AG$2:$AG$1583,1),"")</f>
        <v/>
      </c>
      <c r="X20" s="15">
        <f>IF(K20&gt;=3,W20,G20)</f>
        <v/>
      </c>
      <c r="Y20" s="15">
        <f>SUMIFS(Counties!$AK$2:$AK$1583,Counties!$A$2:$A$1583,$A20)/SUMIFS(Counties!$AQ$2:$AQ$1583,Counties!$A$2:$A$1583,$A20)</f>
        <v/>
      </c>
      <c r="Z20" s="16">
        <f>IFERROR(100*SUMIFS(Counties!$AF$2:$AF$1583,Counties!$A$2:$A$1583,$A20,Counties!$AG$2:$AG$1583,1,Counties!$T$2:$T$1583,"&gt;=0.1")/SUMIFS(Counties!$AT$2:$AT$1583,Counties!$A$2:$A$1583,$A20,Counties!$AG$2:$AG$1583,1,Counties!$T$2:$T$1583,"&gt;=0.1"),"")</f>
        <v/>
      </c>
      <c r="AA20" s="16">
        <f>IFERROR(100*SUMIFS(Counties!$AF$2:$AF$1583,Counties!$A$2:$A$1583,$A20,Counties!$AG$2:$AG$1583,1,Counties!$T$2:$T$1583,"&lt;=-0.1")/SUMIFS(Counties!$AT$2:$AT$1583,Counties!$A$2:$A$1583,$A20,Counties!$AG$2:$AG$1583,1,Counties!$T$2:$T$1583,"&lt;=-0.1"),"")</f>
        <v/>
      </c>
      <c r="AB20" s="17" t="inlineStr">
        <is>
          <t>No votes counted yet. 2024: R+13.2; with 2022's turnout pattern R+13.5, so Nixon needs a 13.5-pt swing toward D from 2024 to win.</t>
        </is>
      </c>
    </row>
    <row r="21" ht="45" customHeight="1">
      <c r="A21" s="8" t="inlineStr">
        <is>
          <t>VA</t>
        </is>
      </c>
      <c r="B21" s="8" t="inlineStr">
        <is>
          <t>Virginia Senate (bellwether)</t>
        </is>
      </c>
      <c r="C21" s="8" t="inlineStr">
        <is>
          <t>Mark Warner</t>
        </is>
      </c>
      <c r="D21" s="8" t="inlineStr">
        <is>
          <t>Bert Mizusawa</t>
        </is>
      </c>
      <c r="E21" s="9">
        <f>(SUMIFS(Counties!$F$2:$F$1583,Counties!$A$2:$A$1583,$A21)-SUMIFS(Counties!$G$2:$G$1583,Counties!$A$2:$A$1583,$A21))/(SUMIFS(Counties!$F$2:$F$1583,Counties!$A$2:$A$1583,$A21)+SUMIFS(Counties!$G$2:$G$1583,Counties!$A$2:$A$1583,$A21))</f>
        <v/>
      </c>
      <c r="F21" s="10">
        <f>-SUMIFS(Counties!$AR$2:$AR$1583,Counties!$A$2:$A$1583,$A21)/SUMIFS(Counties!$AQ$2:$AQ$1583,Counties!$A$2:$A$1583,$A21)</f>
        <v/>
      </c>
      <c r="G21" s="11" t="n">
        <v>1</v>
      </c>
      <c r="H21" s="12">
        <f>SUMIFS(Counties!$U$2:$U$1583,Counties!$A$2:$A$1583,$A21)</f>
        <v/>
      </c>
      <c r="I21" s="12">
        <f>SUMIFS(Counties!$AF$2:$AF$1583,Counties!$A$2:$A$1583,$A21)</f>
        <v/>
      </c>
      <c r="J21" s="13">
        <f>IF(H21&gt;0,I21/H21,0)</f>
        <v/>
      </c>
      <c r="K21" s="8">
        <f>COUNTIFS(Counties!$A$2:$A$1583,$A21,Counties!$AG$2:$AG$1583,1)</f>
        <v/>
      </c>
      <c r="L21" s="8">
        <f>COUNTIF(Counties!$A$2:$A$1583,$A21)</f>
        <v/>
      </c>
      <c r="M21" s="13">
        <f>IF(H21&gt;0,SUMIFS(Counties!$U$2:$U$1583,Counties!$A$2:$A$1583,$A21,Counties!$AG$2:$AG$1583,1)/H21,0)</f>
        <v/>
      </c>
      <c r="N21" s="10">
        <f>IF(K21&gt;0,SUMIFS(Counties!$AP$2:$AP$1583,Counties!$A$2:$A$1583,$A21)/SUMIFS(Counties!$AF$2:$AF$1583,Counties!$A$2:$A$1583,$A21,Counties!$AG$2:$AG$1583,1),"")</f>
        <v/>
      </c>
      <c r="O21" s="10">
        <f>IF(N21="","",N21-F21)</f>
        <v/>
      </c>
      <c r="P21" s="9">
        <f>IF(I21&gt;0,(SUMIFS(Counties!$AD$2:$AD$1583,Counties!$A$2:$A$1583,$A21)-SUMIFS(Counties!$AE$2:$AE$1583,Counties!$A$2:$A$1583,$A21))/I21,"")</f>
        <v/>
      </c>
      <c r="Q21" s="9">
        <f>IF(K21&gt;0,(SUMIFS(Counties!$AL$2:$AL$1583,Counties!$A$2:$A$1583,$A21)-SUMIFS(Counties!$AM$2:$AM$1583,Counties!$A$2:$A$1583,$A21))/(SUMIFS(Counties!$AL$2:$AL$1583,Counties!$A$2:$A$1583,$A21)+SUMIFS(Counties!$AM$2:$AM$1583,Counties!$A$2:$A$1583,$A21)),"")</f>
        <v/>
      </c>
      <c r="R21" s="8">
        <f>IF(Q21="","",IF(Q21&gt;=0,C21,D21)&amp;" +"&amp;TEXT(ABS(Q21)*100,"0.0"))</f>
        <v/>
      </c>
      <c r="S21" s="14">
        <f>IF(Q21="","",IF(Q21&gt;=0.05,"Great for "&amp;TRIM(RIGHT(SUBSTITUTE(C21," ",REPT(" ",50)),50)),IF(Q21&gt;=0.01,TRIM(RIGHT(SUBSTITUTE(C21," ",REPT(" ",50)),50))&amp;" on track",IF(Q21&gt;-0.01,"Toss-up",IF(Q21&gt;-0.05,TRIM(RIGHT(SUBSTITUTE(D21," ",REPT(" ",50)),50))&amp;" on track","Great for "&amp;TRIM(RIGHT(SUBSTITUTE(D21," ",REPT(" ",50)),50)))))))</f>
        <v/>
      </c>
      <c r="T21" s="8">
        <f>IF(K21=0,"none",IF(OR(M21&lt;0.1,K21&lt;5),"low",IF(M21&lt;0.4,"medium","high")))</f>
        <v/>
      </c>
      <c r="U21" s="12">
        <f>IFERROR(INDEX('Early Vote'!$C$6:$C$22,MATCH($A21,'Early Vote'!$A$6:$A$22,0)),"")</f>
        <v/>
      </c>
      <c r="V21" s="13">
        <f>IFERROR(INDEX('Early Vote'!$E$6:$E$22,MATCH($A21,'Early Vote'!$A$6:$A$22,0)),"")</f>
        <v/>
      </c>
      <c r="W21" s="15">
        <f>IF(K21&gt;0,SUMIFS(Counties!$AF$2:$AF$1583,Counties!$A$2:$A$1583,$A21,Counties!$AG$2:$AG$1583,1)/SUMIFS(Counties!$AQ$2:$AQ$1583,Counties!$A$2:$A$1583,$A21,Counties!$AG$2:$AG$1583,1),"")</f>
        <v/>
      </c>
      <c r="X21" s="15">
        <f>IF(K21&gt;=3,W21,G21)</f>
        <v/>
      </c>
      <c r="Y21" s="15">
        <f>SUMIFS(Counties!$AK$2:$AK$1583,Counties!$A$2:$A$1583,$A21)/SUMIFS(Counties!$AQ$2:$AQ$1583,Counties!$A$2:$A$1583,$A21)</f>
        <v/>
      </c>
      <c r="Z21" s="16">
        <f>IFERROR(100*SUMIFS(Counties!$AF$2:$AF$1583,Counties!$A$2:$A$1583,$A21,Counties!$AG$2:$AG$1583,1,Counties!$T$2:$T$1583,"&gt;=0.1")/SUMIFS(Counties!$AT$2:$AT$1583,Counties!$A$2:$A$1583,$A21,Counties!$AG$2:$AG$1583,1,Counties!$T$2:$T$1583,"&gt;=0.1"),"")</f>
        <v/>
      </c>
      <c r="AA21" s="16">
        <f>IFERROR(100*SUMIFS(Counties!$AF$2:$AF$1583,Counties!$A$2:$A$1583,$A21,Counties!$AG$2:$AG$1583,1,Counties!$T$2:$T$1583,"&lt;=-0.1")/SUMIFS(Counties!$AT$2:$AT$1583,Counties!$A$2:$A$1583,$A21,Counties!$AG$2:$AG$1583,1,Counties!$T$2:$T$1583,"&lt;=-0.1"),"")</f>
        <v/>
      </c>
      <c r="AB21" s="17" t="inlineStr">
        <is>
          <t>No votes counted yet. 2024: D+5.9; with 2022's turnout pattern D+6.4, so Warner can absorb up to a 6.4-pt swing toward R from 2024 and still win.</t>
        </is>
      </c>
    </row>
    <row r="22" ht="45" customHeight="1">
      <c r="A22" s="8" t="inlineStr">
        <is>
          <t>KY</t>
        </is>
      </c>
      <c r="B22" s="8" t="inlineStr">
        <is>
          <t>Kentucky Senate (bellwether)</t>
        </is>
      </c>
      <c r="C22" s="8" t="inlineStr">
        <is>
          <t>Charles Booker</t>
        </is>
      </c>
      <c r="D22" s="8" t="inlineStr">
        <is>
          <t>Andy Barr</t>
        </is>
      </c>
      <c r="E22" s="9">
        <f>(SUMIFS(Counties!$F$2:$F$1583,Counties!$A$2:$A$1583,$A22)-SUMIFS(Counties!$G$2:$G$1583,Counties!$A$2:$A$1583,$A22))/(SUMIFS(Counties!$F$2:$F$1583,Counties!$A$2:$A$1583,$A22)+SUMIFS(Counties!$G$2:$G$1583,Counties!$A$2:$A$1583,$A22))</f>
        <v/>
      </c>
      <c r="F22" s="10">
        <f>-SUMIFS(Counties!$AR$2:$AR$1583,Counties!$A$2:$A$1583,$A22)/SUMIFS(Counties!$AQ$2:$AQ$1583,Counties!$A$2:$A$1583,$A22)</f>
        <v/>
      </c>
      <c r="G22" s="11" t="n">
        <v>1</v>
      </c>
      <c r="H22" s="12">
        <f>SUMIFS(Counties!$U$2:$U$1583,Counties!$A$2:$A$1583,$A22)</f>
        <v/>
      </c>
      <c r="I22" s="12">
        <f>SUMIFS(Counties!$AF$2:$AF$1583,Counties!$A$2:$A$1583,$A22)</f>
        <v/>
      </c>
      <c r="J22" s="13">
        <f>IF(H22&gt;0,I22/H22,0)</f>
        <v/>
      </c>
      <c r="K22" s="8">
        <f>COUNTIFS(Counties!$A$2:$A$1583,$A22,Counties!$AG$2:$AG$1583,1)</f>
        <v/>
      </c>
      <c r="L22" s="8">
        <f>COUNTIF(Counties!$A$2:$A$1583,$A22)</f>
        <v/>
      </c>
      <c r="M22" s="13">
        <f>IF(H22&gt;0,SUMIFS(Counties!$U$2:$U$1583,Counties!$A$2:$A$1583,$A22,Counties!$AG$2:$AG$1583,1)/H22,0)</f>
        <v/>
      </c>
      <c r="N22" s="10">
        <f>IF(K22&gt;0,SUMIFS(Counties!$AP$2:$AP$1583,Counties!$A$2:$A$1583,$A22)/SUMIFS(Counties!$AF$2:$AF$1583,Counties!$A$2:$A$1583,$A22,Counties!$AG$2:$AG$1583,1),"")</f>
        <v/>
      </c>
      <c r="O22" s="10">
        <f>IF(N22="","",N22-F22)</f>
        <v/>
      </c>
      <c r="P22" s="9">
        <f>IF(I22&gt;0,(SUMIFS(Counties!$AD$2:$AD$1583,Counties!$A$2:$A$1583,$A22)-SUMIFS(Counties!$AE$2:$AE$1583,Counties!$A$2:$A$1583,$A22))/I22,"")</f>
        <v/>
      </c>
      <c r="Q22" s="9">
        <f>IF(K22&gt;0,(SUMIFS(Counties!$AL$2:$AL$1583,Counties!$A$2:$A$1583,$A22)-SUMIFS(Counties!$AM$2:$AM$1583,Counties!$A$2:$A$1583,$A22))/(SUMIFS(Counties!$AL$2:$AL$1583,Counties!$A$2:$A$1583,$A22)+SUMIFS(Counties!$AM$2:$AM$1583,Counties!$A$2:$A$1583,$A22)),"")</f>
        <v/>
      </c>
      <c r="R22" s="8">
        <f>IF(Q22="","",IF(Q22&gt;=0,C22,D22)&amp;" +"&amp;TEXT(ABS(Q22)*100,"0.0"))</f>
        <v/>
      </c>
      <c r="S22" s="14">
        <f>IF(Q22="","",IF(Q22&gt;=0.05,"Great for "&amp;TRIM(RIGHT(SUBSTITUTE(C22," ",REPT(" ",50)),50)),IF(Q22&gt;=0.01,TRIM(RIGHT(SUBSTITUTE(C22," ",REPT(" ",50)),50))&amp;" on track",IF(Q22&gt;-0.01,"Toss-up",IF(Q22&gt;-0.05,TRIM(RIGHT(SUBSTITUTE(D22," ",REPT(" ",50)),50))&amp;" on track","Great for "&amp;TRIM(RIGHT(SUBSTITUTE(D22," ",REPT(" ",50)),50)))))))</f>
        <v/>
      </c>
      <c r="T22" s="8">
        <f>IF(K22=0,"none",IF(OR(M22&lt;0.1,K22&lt;5),"low",IF(M22&lt;0.4,"medium","high")))</f>
        <v/>
      </c>
      <c r="U22" s="12">
        <f>IFERROR(INDEX('Early Vote'!$C$6:$C$22,MATCH($A22,'Early Vote'!$A$6:$A$22,0)),"")</f>
        <v/>
      </c>
      <c r="V22" s="13">
        <f>IFERROR(INDEX('Early Vote'!$E$6:$E$22,MATCH($A22,'Early Vote'!$A$6:$A$22,0)),"")</f>
        <v/>
      </c>
      <c r="W22" s="15">
        <f>IF(K22&gt;0,SUMIFS(Counties!$AF$2:$AF$1583,Counties!$A$2:$A$1583,$A22,Counties!$AG$2:$AG$1583,1)/SUMIFS(Counties!$AQ$2:$AQ$1583,Counties!$A$2:$A$1583,$A22,Counties!$AG$2:$AG$1583,1),"")</f>
        <v/>
      </c>
      <c r="X22" s="15">
        <f>IF(K22&gt;=3,W22,G22)</f>
        <v/>
      </c>
      <c r="Y22" s="15">
        <f>SUMIFS(Counties!$AK$2:$AK$1583,Counties!$A$2:$A$1583,$A22)/SUMIFS(Counties!$AQ$2:$AQ$1583,Counties!$A$2:$A$1583,$A22)</f>
        <v/>
      </c>
      <c r="Z22" s="16">
        <f>IFERROR(100*SUMIFS(Counties!$AF$2:$AF$1583,Counties!$A$2:$A$1583,$A22,Counties!$AG$2:$AG$1583,1,Counties!$T$2:$T$1583,"&gt;=0.1")/SUMIFS(Counties!$AT$2:$AT$1583,Counties!$A$2:$A$1583,$A22,Counties!$AG$2:$AG$1583,1,Counties!$T$2:$T$1583,"&gt;=0.1"),"")</f>
        <v/>
      </c>
      <c r="AA22" s="16">
        <f>IFERROR(100*SUMIFS(Counties!$AF$2:$AF$1583,Counties!$A$2:$A$1583,$A22,Counties!$AG$2:$AG$1583,1,Counties!$T$2:$T$1583,"&lt;=-0.1")/SUMIFS(Counties!$AT$2:$AT$1583,Counties!$A$2:$A$1583,$A22,Counties!$AG$2:$AG$1583,1,Counties!$T$2:$T$1583,"&lt;=-0.1"),"")</f>
        <v/>
      </c>
      <c r="AB22" s="17" t="inlineStr">
        <is>
          <t>No votes counted yet. 2024: R+31.0; with 2022's turnout pattern R+29.8, so Booker needs a 29.8-pt swing toward D from 2024 to win.</t>
        </is>
      </c>
    </row>
    <row r="24">
      <c r="A24" s="18" t="inlineStr">
        <is>
          <t>How to read it</t>
        </is>
      </c>
    </row>
    <row r="25">
      <c r="A25" s="19" t="inlineStr">
        <is>
          <t>• Before anything is fully counted there's no projection. The raw margin will mislead early on because states count one vote method first (see each state's read).</t>
        </is>
      </c>
    </row>
    <row r="26">
      <c r="A26" s="19" t="inlineStr">
        <is>
          <t>• Confidence: low under 10% of the expected vote in complete counties or fewer than 5 counties; medium under 40%; high above.</t>
        </is>
      </c>
    </row>
    <row r="27">
      <c r="A27" s="19" t="inlineStr">
        <is>
          <t>• Nebraska: the Democratic side is Dan Osborn (independent). His benchmarks use Harris's 2024 margins, which understate him in rural counties (he ran 14 points ahead of Harris statewide in 2024).</t>
        </is>
      </c>
    </row>
    <row r="28">
      <c r="A28" s="19" t="inlineStr">
        <is>
          <t>• Alaska reports by state House district, not county, and most results come in after 1 AM ET.</t>
        </is>
      </c>
    </row>
    <row r="29">
      <c r="A29" s="19" t="inlineStr">
        <is>
          <t>• Mississippi's 2022 column is the US House races (no statewide race that year), so its 2022 margins are rough.</t>
        </is>
      </c>
    </row>
  </sheetData>
  <conditionalFormatting sqref="S6:S22">
    <cfRule type="expression" priority="1" dxfId="0" stopIfTrue="1">
      <formula>AND($Q6&lt;&gt;"",$Q6&gt;=0.05)</formula>
    </cfRule>
    <cfRule type="expression" priority="2" dxfId="1" stopIfTrue="1">
      <formula>AND($Q6&lt;&gt;"",$Q6&gt;=0.01)</formula>
    </cfRule>
    <cfRule type="expression" priority="3" dxfId="2" stopIfTrue="1">
      <formula>AND($Q6&lt;&gt;"",$Q6&gt;-0.01)</formula>
    </cfRule>
    <cfRule type="expression" priority="4" dxfId="3" stopIfTrue="1">
      <formula>AND($Q6&lt;&gt;"",$Q6&gt;-0.05)</formula>
    </cfRule>
    <cfRule type="expression" priority="5" dxfId="4" stopIfTrue="1">
      <formula>AND($Q6&lt;&gt;"",TRUE)</formula>
    </cfRule>
  </conditionalFormatting>
  <conditionalFormatting sqref="Q6:Q22">
    <cfRule type="expression" priority="6" dxfId="0" stopIfTrue="1">
      <formula>AND($Q6&lt;&gt;"",$Q6&gt;=0.05)</formula>
    </cfRule>
    <cfRule type="expression" priority="7" dxfId="1" stopIfTrue="1">
      <formula>AND($Q6&lt;&gt;"",$Q6&gt;=0.01)</formula>
    </cfRule>
    <cfRule type="expression" priority="8" dxfId="2" stopIfTrue="1">
      <formula>AND($Q6&lt;&gt;"",$Q6&gt;-0.01)</formula>
    </cfRule>
    <cfRule type="expression" priority="9" dxfId="3" stopIfTrue="1">
      <formula>AND($Q6&lt;&gt;"",$Q6&gt;-0.05)</formula>
    </cfRule>
    <cfRule type="expression" priority="10" dxfId="4" stopIfTrue="1">
      <formula>AND($Q6&lt;&gt;"",TRUE)</formula>
    </cfRule>
  </conditionalFormatting>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W17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44" customWidth="1" min="3" max="3"/>
    <col width="44" customWidth="1" min="4" max="4"/>
    <col width="16" customWidth="1" min="5" max="5"/>
    <col width="9" customWidth="1" min="6" max="6"/>
    <col width="9" customWidth="1" min="7" max="7"/>
    <col width="9" customWidth="1" min="8" max="8"/>
    <col width="9" customWidth="1" min="9" max="9"/>
    <col width="9" customWidth="1" min="10" max="10"/>
    <col width="9" customWidth="1" min="11" max="11"/>
    <col width="9" customWidth="1" min="12" max="12"/>
    <col width="7" customWidth="1" min="13" max="13"/>
    <col width="9" customWidth="1" min="14" max="14"/>
    <col width="18" customWidth="1" min="15" max="15"/>
    <col width="9" customWidth="1" min="16" max="16"/>
    <col width="10" customWidth="1" min="17" max="17"/>
    <col width="10" customWidth="1" min="18" max="18"/>
    <col width="9" customWidth="1" min="19" max="19"/>
    <col width="10" customWidth="1" min="20" max="20"/>
    <col width="11" customWidth="1" min="21" max="21"/>
    <col width="20" customWidth="1" min="22" max="22"/>
    <col hidden="1" width="7" customWidth="1" min="23" max="23"/>
  </cols>
  <sheetData>
    <row r="1">
      <c r="A1" s="20" t="inlineStr">
        <is>
          <t>Key counties: why they matter and how they're doing, on margin and turnout</t>
        </is>
      </c>
    </row>
    <row r="2" ht="44" customHeight="1">
      <c r="A2" s="21" t="inlineStr">
        <is>
          <t>Break-even = the margin the Democratic side needs in that county for a statewide tie if every county swings equally from 2024 and turnout follows 2022's pattern. Turnout index = the county's votes vs its par (2022 pattern x the state's pace): 100 = in line with the state. Weak turnout in a Democratic county raises the margin it needs; strong turnout in a Republican county means Democrats must hold it closer. 'Margin + turnout' combines both in margin points; turnout columns fill in once a county is fully counted. The last row in each state is all its small-town and rural counties together.</t>
        </is>
      </c>
    </row>
    <row r="4" ht="66" customHeight="1">
      <c r="A4" s="7" t="inlineStr">
        <is>
          <t>State</t>
        </is>
      </c>
      <c r="B4" s="7" t="inlineStr">
        <is>
          <t>County</t>
        </is>
      </c>
      <c r="C4" s="7" t="inlineStr">
        <is>
          <t>Why it matters</t>
        </is>
      </c>
      <c r="D4" s="7" t="inlineStr">
        <is>
          <t>What to watch</t>
        </is>
      </c>
      <c r="E4" s="7" t="inlineStr">
        <is>
          <t>Type</t>
        </is>
      </c>
      <c r="F4" s="7" t="inlineStr">
        <is>
          <t>Margin 2024</t>
        </is>
      </c>
      <c r="G4" s="7" t="inlineStr">
        <is>
          <t>Swing 20→24</t>
        </is>
      </c>
      <c r="H4" s="7" t="inlineStr">
        <is>
          <t>Margin 2022</t>
        </is>
      </c>
      <c r="I4" s="7" t="inlineStr">
        <is>
          <t>Share of state vote 2024</t>
        </is>
      </c>
      <c r="J4" s="7" t="inlineStr">
        <is>
          <t>Expected share (2022 turnout)</t>
        </is>
      </c>
      <c r="K4" s="7" t="inlineStr">
        <is>
          <t>D break-even</t>
        </is>
      </c>
      <c r="L4" s="7" t="inlineStr">
        <is>
          <t>Live margin</t>
        </is>
      </c>
      <c r="M4" s="7" t="inlineStr">
        <is>
          <t>Est. % in</t>
        </is>
      </c>
      <c r="N4" s="7" t="inlineStr">
        <is>
          <t>Live vs break-even</t>
        </is>
      </c>
      <c r="O4" s="7" t="inlineStr">
        <is>
          <t>Margin status</t>
        </is>
      </c>
      <c r="P4" s="7" t="inlineStr">
        <is>
          <t>Turnout index (100 = state pace)</t>
        </is>
      </c>
      <c r="Q4" s="7" t="inlineStr">
        <is>
          <t>Break-even at actual turnout</t>
        </is>
      </c>
      <c r="R4" s="7" t="inlineStr">
        <is>
          <t>Turnout index needed at live margin</t>
        </is>
      </c>
      <c r="S4" s="7" t="inlineStr">
        <is>
          <t>Turnout effect (pts)</t>
        </is>
      </c>
      <c r="T4" s="7" t="inlineStr">
        <is>
          <t>Margin + turnout vs tie pace (pts)</t>
        </is>
      </c>
      <c r="U4" s="7" t="inlineStr">
        <is>
          <t>Net votes vs tie pace</t>
        </is>
      </c>
      <c r="V4" s="7" t="inlineStr">
        <is>
          <t>Overall read</t>
        </is>
      </c>
      <c r="W4" s="7" t="inlineStr">
        <is>
          <t>FIPS</t>
        </is>
      </c>
    </row>
    <row r="5">
      <c r="A5" s="22" t="inlineStr">
        <is>
          <t>Georgia  ·  2024: R+2.2 (R+1.1 with 2022's turnout pattern)  ·  Jon Ossoff vs Mike Collins</t>
        </is>
      </c>
      <c r="B5" s="22" t="n"/>
      <c r="C5" s="22" t="n"/>
      <c r="D5" s="22" t="n"/>
      <c r="E5" s="22" t="n"/>
      <c r="F5" s="22" t="n"/>
      <c r="G5" s="22" t="n"/>
      <c r="H5" s="22" t="n"/>
      <c r="I5" s="22" t="n"/>
      <c r="J5" s="22" t="n"/>
      <c r="K5" s="22" t="n"/>
      <c r="L5" s="22" t="n"/>
      <c r="M5" s="22" t="n"/>
      <c r="N5" s="22" t="n"/>
      <c r="O5" s="22" t="n"/>
      <c r="P5" s="22" t="n"/>
      <c r="Q5" s="22" t="n"/>
      <c r="R5" s="22" t="n"/>
      <c r="S5" s="22" t="n"/>
      <c r="T5" s="22" t="n"/>
      <c r="U5" s="22" t="n"/>
      <c r="V5" s="22" t="n"/>
      <c r="W5" s="22" t="n"/>
    </row>
    <row r="6" ht="54" customHeight="1">
      <c r="A6" s="17" t="inlineStr">
        <is>
          <t>GA</t>
        </is>
      </c>
      <c r="B6" s="17" t="inlineStr">
        <is>
          <t>Fulton</t>
        </is>
      </c>
      <c r="C6" s="17" t="inlineStr">
        <is>
          <t>Largest vote bank for Democrats (Atlanta).</t>
        </is>
      </c>
      <c r="D6" s="17" t="inlineStr">
        <is>
          <t>Raw D vote margin matters more than the percentage. If turnout lags 2022, Democrats need bigger margins elsewhere.</t>
        </is>
      </c>
      <c r="E6" s="17" t="inlineStr">
        <is>
          <t>Big metro core</t>
        </is>
      </c>
      <c r="F6" s="23">
        <f>Counties!O101</f>
        <v/>
      </c>
      <c r="G6" s="24">
        <f>Counties!Q101</f>
        <v/>
      </c>
      <c r="H6" s="23">
        <f>Counties!R101</f>
        <v/>
      </c>
      <c r="I6" s="25">
        <f>Counties!S101</f>
        <v/>
      </c>
      <c r="J6" s="25">
        <f>Counties!AQ101/SUMIFS(Counties!$AQ:$AQ,Counties!$A:$A,"GA")</f>
        <v/>
      </c>
      <c r="K6" s="23">
        <f>Counties!T101</f>
        <v/>
      </c>
      <c r="L6" s="23">
        <f>Counties!AH101</f>
        <v/>
      </c>
      <c r="M6" s="26">
        <f>Counties!AO101</f>
        <v/>
      </c>
      <c r="N6" s="24">
        <f>Counties!AN101</f>
        <v/>
      </c>
      <c r="O6" s="17">
        <f>IF(L6="","not in yet",IF(N6&gt;=0.05,"Great for Ossoff",IF(N6&gt;=0.01,"Ossoff on track",IF(N6&gt;-0.01,"Toss-up",IF(N6&gt;-0.05,"Collins on track","Great for Collins"))))&amp;IF(Counties!AG101=1,""," (partial)"))</f>
        <v/>
      </c>
      <c r="P6" s="27">
        <f>Counties!AU101</f>
        <v/>
      </c>
      <c r="Q6" s="23">
        <f>Counties!AV101</f>
        <v/>
      </c>
      <c r="R6" s="27">
        <f>Counties!AW101</f>
        <v/>
      </c>
      <c r="S6" s="24">
        <f>Counties!AX101</f>
        <v/>
      </c>
      <c r="T6" s="24">
        <f>Counties!AY101</f>
        <v/>
      </c>
      <c r="U6" s="28">
        <f>IF(T6="","",T6*Counties!AF101)</f>
        <v/>
      </c>
      <c r="V6" s="17">
        <f>IF(T6="",IF(L6="","not in yet","waiting for the full count"),IF(T6&gt;=0.05,"Great for Ossoff",IF(T6&gt;=0.01,"Ossoff on track",IF(T6&gt;-0.01,"Toss-up",IF(T6&gt;-0.05,"Collins on track","Great for Collins")))))</f>
        <v/>
      </c>
      <c r="W6" s="17" t="inlineStr">
        <is>
          <t>13121</t>
        </is>
      </c>
    </row>
    <row r="7" ht="54" customHeight="1">
      <c r="A7" s="17" t="inlineStr">
        <is>
          <t>GA</t>
        </is>
      </c>
      <c r="B7" s="17" t="inlineStr">
        <is>
          <t>Gwinnett</t>
        </is>
      </c>
      <c r="C7" s="17" t="inlineStr">
        <is>
          <t>Most diverse big county in the state; swung slightly R from 2020 to 2024 as Hispanic and Asian voters moved.</t>
        </is>
      </c>
      <c r="D7" s="17" t="inlineStr">
        <is>
          <t>Whether the 2024 drift toward R continues or snaps back. Best single read on nonwhite swing voters.</t>
        </is>
      </c>
      <c r="E7" s="17" t="inlineStr">
        <is>
          <t>Big metro core</t>
        </is>
      </c>
      <c r="F7" s="23">
        <f>Counties!O108</f>
        <v/>
      </c>
      <c r="G7" s="24">
        <f>Counties!Q108</f>
        <v/>
      </c>
      <c r="H7" s="23">
        <f>Counties!R108</f>
        <v/>
      </c>
      <c r="I7" s="25">
        <f>Counties!S108</f>
        <v/>
      </c>
      <c r="J7" s="25">
        <f>Counties!AQ108/SUMIFS(Counties!$AQ:$AQ,Counties!$A:$A,"GA")</f>
        <v/>
      </c>
      <c r="K7" s="23">
        <f>Counties!T108</f>
        <v/>
      </c>
      <c r="L7" s="23">
        <f>Counties!AH108</f>
        <v/>
      </c>
      <c r="M7" s="26">
        <f>Counties!AO108</f>
        <v/>
      </c>
      <c r="N7" s="24">
        <f>Counties!AN108</f>
        <v/>
      </c>
      <c r="O7" s="17">
        <f>IF(L7="","not in yet",IF(N7&gt;=0.05,"Great for Ossoff",IF(N7&gt;=0.01,"Ossoff on track",IF(N7&gt;-0.01,"Toss-up",IF(N7&gt;-0.05,"Collins on track","Great for Collins"))))&amp;IF(Counties!AG108=1,""," (partial)"))</f>
        <v/>
      </c>
      <c r="P7" s="27">
        <f>Counties!AU108</f>
        <v/>
      </c>
      <c r="Q7" s="23">
        <f>Counties!AV108</f>
        <v/>
      </c>
      <c r="R7" s="27">
        <f>Counties!AW108</f>
        <v/>
      </c>
      <c r="S7" s="24">
        <f>Counties!AX108</f>
        <v/>
      </c>
      <c r="T7" s="24">
        <f>Counties!AY108</f>
        <v/>
      </c>
      <c r="U7" s="28">
        <f>IF(T7="","",T7*Counties!AF108)</f>
        <v/>
      </c>
      <c r="V7" s="17">
        <f>IF(T7="",IF(L7="","not in yet","waiting for the full count"),IF(T7&gt;=0.05,"Great for Ossoff",IF(T7&gt;=0.01,"Ossoff on track",IF(T7&gt;-0.01,"Toss-up",IF(T7&gt;-0.05,"Collins on track","Great for Collins")))))</f>
        <v/>
      </c>
      <c r="W7" s="17" t="inlineStr">
        <is>
          <t>13135</t>
        </is>
      </c>
    </row>
    <row r="8" ht="54" customHeight="1">
      <c r="A8" s="17" t="inlineStr">
        <is>
          <t>GA</t>
        </is>
      </c>
      <c r="B8" s="17" t="inlineStr">
        <is>
          <t>Cobb</t>
        </is>
      </c>
      <c r="C8" s="17" t="inlineStr">
        <is>
          <t>College-educated suburbs that flipped D in 2016 and kept moving left.</t>
        </is>
      </c>
      <c r="D8" s="17" t="inlineStr">
        <is>
          <t>A margin above 2024 means the suburban realignment is still paying Democrats.</t>
        </is>
      </c>
      <c r="E8" s="17" t="inlineStr">
        <is>
          <t>Big metro core</t>
        </is>
      </c>
      <c r="F8" s="23">
        <f>Counties!O74</f>
        <v/>
      </c>
      <c r="G8" s="24">
        <f>Counties!Q74</f>
        <v/>
      </c>
      <c r="H8" s="23">
        <f>Counties!R74</f>
        <v/>
      </c>
      <c r="I8" s="25">
        <f>Counties!S74</f>
        <v/>
      </c>
      <c r="J8" s="25">
        <f>Counties!AQ74/SUMIFS(Counties!$AQ:$AQ,Counties!$A:$A,"GA")</f>
        <v/>
      </c>
      <c r="K8" s="23">
        <f>Counties!T74</f>
        <v/>
      </c>
      <c r="L8" s="23">
        <f>Counties!AH74</f>
        <v/>
      </c>
      <c r="M8" s="26">
        <f>Counties!AO74</f>
        <v/>
      </c>
      <c r="N8" s="24">
        <f>Counties!AN74</f>
        <v/>
      </c>
      <c r="O8" s="17">
        <f>IF(L8="","not in yet",IF(N8&gt;=0.05,"Great for Ossoff",IF(N8&gt;=0.01,"Ossoff on track",IF(N8&gt;-0.01,"Toss-up",IF(N8&gt;-0.05,"Collins on track","Great for Collins"))))&amp;IF(Counties!AG74=1,""," (partial)"))</f>
        <v/>
      </c>
      <c r="P8" s="27">
        <f>Counties!AU74</f>
        <v/>
      </c>
      <c r="Q8" s="23">
        <f>Counties!AV74</f>
        <v/>
      </c>
      <c r="R8" s="27">
        <f>Counties!AW74</f>
        <v/>
      </c>
      <c r="S8" s="24">
        <f>Counties!AX74</f>
        <v/>
      </c>
      <c r="T8" s="24">
        <f>Counties!AY74</f>
        <v/>
      </c>
      <c r="U8" s="28">
        <f>IF(T8="","",T8*Counties!AF74)</f>
        <v/>
      </c>
      <c r="V8" s="17">
        <f>IF(T8="",IF(L8="","not in yet","waiting for the full count"),IF(T8&gt;=0.05,"Great for Ossoff",IF(T8&gt;=0.01,"Ossoff on track",IF(T8&gt;-0.01,"Toss-up",IF(T8&gt;-0.05,"Collins on track","Great for Collins")))))</f>
        <v/>
      </c>
      <c r="W8" s="17" t="inlineStr">
        <is>
          <t>13067</t>
        </is>
      </c>
    </row>
    <row r="9" ht="54" customHeight="1">
      <c r="A9" s="17" t="inlineStr">
        <is>
          <t>GA</t>
        </is>
      </c>
      <c r="B9" s="17" t="inlineStr">
        <is>
          <t>DeKalb</t>
        </is>
      </c>
      <c r="C9" s="17" t="inlineStr">
        <is>
          <t>Heavily Black, highly educated D base.</t>
        </is>
      </c>
      <c r="D9" s="17" t="inlineStr">
        <is>
          <t>Turnout versus 2022. Its margin barely moves, so the vote count is the signal.</t>
        </is>
      </c>
      <c r="E9" s="17" t="inlineStr">
        <is>
          <t>Big metro core</t>
        </is>
      </c>
      <c r="F9" s="23">
        <f>Counties!O84</f>
        <v/>
      </c>
      <c r="G9" s="24">
        <f>Counties!Q84</f>
        <v/>
      </c>
      <c r="H9" s="23">
        <f>Counties!R84</f>
        <v/>
      </c>
      <c r="I9" s="25">
        <f>Counties!S84</f>
        <v/>
      </c>
      <c r="J9" s="25">
        <f>Counties!AQ84/SUMIFS(Counties!$AQ:$AQ,Counties!$A:$A,"GA")</f>
        <v/>
      </c>
      <c r="K9" s="23">
        <f>Counties!T84</f>
        <v/>
      </c>
      <c r="L9" s="23">
        <f>Counties!AH84</f>
        <v/>
      </c>
      <c r="M9" s="26">
        <f>Counties!AO84</f>
        <v/>
      </c>
      <c r="N9" s="24">
        <f>Counties!AN84</f>
        <v/>
      </c>
      <c r="O9" s="17">
        <f>IF(L9="","not in yet",IF(N9&gt;=0.05,"Great for Ossoff",IF(N9&gt;=0.01,"Ossoff on track",IF(N9&gt;-0.01,"Toss-up",IF(N9&gt;-0.05,"Collins on track","Great for Collins"))))&amp;IF(Counties!AG84=1,""," (partial)"))</f>
        <v/>
      </c>
      <c r="P9" s="27">
        <f>Counties!AU84</f>
        <v/>
      </c>
      <c r="Q9" s="23">
        <f>Counties!AV84</f>
        <v/>
      </c>
      <c r="R9" s="27">
        <f>Counties!AW84</f>
        <v/>
      </c>
      <c r="S9" s="24">
        <f>Counties!AX84</f>
        <v/>
      </c>
      <c r="T9" s="24">
        <f>Counties!AY84</f>
        <v/>
      </c>
      <c r="U9" s="28">
        <f>IF(T9="","",T9*Counties!AF84)</f>
        <v/>
      </c>
      <c r="V9" s="17">
        <f>IF(T9="",IF(L9="","not in yet","waiting for the full count"),IF(T9&gt;=0.05,"Great for Ossoff",IF(T9&gt;=0.01,"Ossoff on track",IF(T9&gt;-0.01,"Toss-up",IF(T9&gt;-0.05,"Collins on track","Great for Collins")))))</f>
        <v/>
      </c>
      <c r="W9" s="17" t="inlineStr">
        <is>
          <t>13089</t>
        </is>
      </c>
    </row>
    <row r="10" ht="54" customHeight="1">
      <c r="A10" s="17" t="inlineStr">
        <is>
          <t>GA</t>
        </is>
      </c>
      <c r="B10" s="17" t="inlineStr">
        <is>
          <t>Cherokee</t>
        </is>
      </c>
      <c r="C10" s="17" t="inlineStr">
        <is>
          <t>Georgia's biggest Republican vote bank: a fast-growing exurb north of Atlanta that gave Trump about 63,000 net votes in 2024.</t>
        </is>
      </c>
      <c r="D10" s="17" t="inlineStr">
        <is>
          <t>Republican turnout. Its margin barely moves (R+40 in 2020, 2022 and 2024), so a turnout index under 100 here is the clearest sign of a Republican enthusiasm gap.</t>
        </is>
      </c>
      <c r="E10" s="17" t="inlineStr">
        <is>
          <t>Mid-size/working metro</t>
        </is>
      </c>
      <c r="F10" s="23">
        <f>Counties!O69</f>
        <v/>
      </c>
      <c r="G10" s="24">
        <f>Counties!Q69</f>
        <v/>
      </c>
      <c r="H10" s="23">
        <f>Counties!R69</f>
        <v/>
      </c>
      <c r="I10" s="25">
        <f>Counties!S69</f>
        <v/>
      </c>
      <c r="J10" s="25">
        <f>Counties!AQ69/SUMIFS(Counties!$AQ:$AQ,Counties!$A:$A,"GA")</f>
        <v/>
      </c>
      <c r="K10" s="23">
        <f>Counties!T69</f>
        <v/>
      </c>
      <c r="L10" s="23">
        <f>Counties!AH69</f>
        <v/>
      </c>
      <c r="M10" s="26">
        <f>Counties!AO69</f>
        <v/>
      </c>
      <c r="N10" s="24">
        <f>Counties!AN69</f>
        <v/>
      </c>
      <c r="O10" s="17">
        <f>IF(L10="","not in yet",IF(N10&gt;=0.05,"Great for Ossoff",IF(N10&gt;=0.01,"Ossoff on track",IF(N10&gt;-0.01,"Toss-up",IF(N10&gt;-0.05,"Collins on track","Great for Collins"))))&amp;IF(Counties!AG69=1,""," (partial)"))</f>
        <v/>
      </c>
      <c r="P10" s="27">
        <f>Counties!AU69</f>
        <v/>
      </c>
      <c r="Q10" s="23">
        <f>Counties!AV69</f>
        <v/>
      </c>
      <c r="R10" s="27">
        <f>Counties!AW69</f>
        <v/>
      </c>
      <c r="S10" s="24">
        <f>Counties!AX69</f>
        <v/>
      </c>
      <c r="T10" s="24">
        <f>Counties!AY69</f>
        <v/>
      </c>
      <c r="U10" s="28">
        <f>IF(T10="","",T10*Counties!AF69)</f>
        <v/>
      </c>
      <c r="V10" s="17">
        <f>IF(T10="",IF(L10="","not in yet","waiting for the full count"),IF(T10&gt;=0.05,"Great for Ossoff",IF(T10&gt;=0.01,"Ossoff on track",IF(T10&gt;-0.01,"Toss-up",IF(T10&gt;-0.05,"Collins on track","Great for Collins")))))</f>
        <v/>
      </c>
      <c r="W10" s="17" t="inlineStr">
        <is>
          <t>13057</t>
        </is>
      </c>
    </row>
    <row r="11" ht="54" customHeight="1">
      <c r="A11" s="17" t="inlineStr">
        <is>
          <t>GA</t>
        </is>
      </c>
      <c r="B11" s="17" t="inlineStr">
        <is>
          <t>Chatham</t>
        </is>
      </c>
      <c r="C11" s="17" t="inlineStr">
        <is>
          <t>Savannah. A mid-size D county with a large Black population.</t>
        </is>
      </c>
      <c r="D11" s="17" t="inlineStr">
        <is>
          <t>A non-Atlanta check on Black turnout and margin.</t>
        </is>
      </c>
      <c r="E11" s="17" t="inlineStr">
        <is>
          <t>Mid-size/working metro</t>
        </is>
      </c>
      <c r="F11" s="23">
        <f>Counties!O66</f>
        <v/>
      </c>
      <c r="G11" s="24">
        <f>Counties!Q66</f>
        <v/>
      </c>
      <c r="H11" s="23">
        <f>Counties!R66</f>
        <v/>
      </c>
      <c r="I11" s="25">
        <f>Counties!S66</f>
        <v/>
      </c>
      <c r="J11" s="25">
        <f>Counties!AQ66/SUMIFS(Counties!$AQ:$AQ,Counties!$A:$A,"GA")</f>
        <v/>
      </c>
      <c r="K11" s="23">
        <f>Counties!T66</f>
        <v/>
      </c>
      <c r="L11" s="23">
        <f>Counties!AH66</f>
        <v/>
      </c>
      <c r="M11" s="26">
        <f>Counties!AO66</f>
        <v/>
      </c>
      <c r="N11" s="24">
        <f>Counties!AN66</f>
        <v/>
      </c>
      <c r="O11" s="17">
        <f>IF(L11="","not in yet",IF(N11&gt;=0.05,"Great for Ossoff",IF(N11&gt;=0.01,"Ossoff on track",IF(N11&gt;-0.01,"Toss-up",IF(N11&gt;-0.05,"Collins on track","Great for Collins"))))&amp;IF(Counties!AG66=1,""," (partial)"))</f>
        <v/>
      </c>
      <c r="P11" s="27">
        <f>Counties!AU66</f>
        <v/>
      </c>
      <c r="Q11" s="23">
        <f>Counties!AV66</f>
        <v/>
      </c>
      <c r="R11" s="27">
        <f>Counties!AW66</f>
        <v/>
      </c>
      <c r="S11" s="24">
        <f>Counties!AX66</f>
        <v/>
      </c>
      <c r="T11" s="24">
        <f>Counties!AY66</f>
        <v/>
      </c>
      <c r="U11" s="28">
        <f>IF(T11="","",T11*Counties!AF66)</f>
        <v/>
      </c>
      <c r="V11" s="17">
        <f>IF(T11="",IF(L11="","not in yet","waiting for the full count"),IF(T11&gt;=0.05,"Great for Ossoff",IF(T11&gt;=0.01,"Ossoff on track",IF(T11&gt;-0.01,"Toss-up",IF(T11&gt;-0.05,"Collins on track","Great for Collins")))))</f>
        <v/>
      </c>
      <c r="W11" s="17" t="inlineStr">
        <is>
          <t>13051</t>
        </is>
      </c>
    </row>
    <row r="12" ht="54" customHeight="1">
      <c r="A12" s="17" t="inlineStr">
        <is>
          <t>GA</t>
        </is>
      </c>
      <c r="B12" s="17" t="inlineStr">
        <is>
          <t>Forsyth</t>
        </is>
      </c>
      <c r="C12" s="17" t="inlineStr">
        <is>
          <t>Wealthy, college-educated exurb that's still strongly R.</t>
        </is>
      </c>
      <c r="D12" s="17" t="inlineStr">
        <is>
          <t>Any shrinking of the R margin here signals college-educated Republicans defecting.</t>
        </is>
      </c>
      <c r="E12" s="17" t="inlineStr">
        <is>
          <t>College suburb/metro</t>
        </is>
      </c>
      <c r="F12" s="23">
        <f>Counties!O99</f>
        <v/>
      </c>
      <c r="G12" s="24">
        <f>Counties!Q99</f>
        <v/>
      </c>
      <c r="H12" s="23">
        <f>Counties!R99</f>
        <v/>
      </c>
      <c r="I12" s="25">
        <f>Counties!S99</f>
        <v/>
      </c>
      <c r="J12" s="25">
        <f>Counties!AQ99/SUMIFS(Counties!$AQ:$AQ,Counties!$A:$A,"GA")</f>
        <v/>
      </c>
      <c r="K12" s="23">
        <f>Counties!T99</f>
        <v/>
      </c>
      <c r="L12" s="23">
        <f>Counties!AH99</f>
        <v/>
      </c>
      <c r="M12" s="26">
        <f>Counties!AO99</f>
        <v/>
      </c>
      <c r="N12" s="24">
        <f>Counties!AN99</f>
        <v/>
      </c>
      <c r="O12" s="17">
        <f>IF(L12="","not in yet",IF(N12&gt;=0.05,"Great for Ossoff",IF(N12&gt;=0.01,"Ossoff on track",IF(N12&gt;-0.01,"Toss-up",IF(N12&gt;-0.05,"Collins on track","Great for Collins"))))&amp;IF(Counties!AG99=1,""," (partial)"))</f>
        <v/>
      </c>
      <c r="P12" s="27">
        <f>Counties!AU99</f>
        <v/>
      </c>
      <c r="Q12" s="23">
        <f>Counties!AV99</f>
        <v/>
      </c>
      <c r="R12" s="27">
        <f>Counties!AW99</f>
        <v/>
      </c>
      <c r="S12" s="24">
        <f>Counties!AX99</f>
        <v/>
      </c>
      <c r="T12" s="24">
        <f>Counties!AY99</f>
        <v/>
      </c>
      <c r="U12" s="28">
        <f>IF(T12="","",T12*Counties!AF99)</f>
        <v/>
      </c>
      <c r="V12" s="17">
        <f>IF(T12="",IF(L12="","not in yet","waiting for the full count"),IF(T12&gt;=0.05,"Great for Ossoff",IF(T12&gt;=0.01,"Ossoff on track",IF(T12&gt;-0.01,"Toss-up",IF(T12&gt;-0.05,"Collins on track","Great for Collins")))))</f>
        <v/>
      </c>
      <c r="W12" s="17" t="inlineStr">
        <is>
          <t>13117</t>
        </is>
      </c>
    </row>
    <row r="13" ht="54" customHeight="1">
      <c r="A13" s="17" t="inlineStr">
        <is>
          <t>GA</t>
        </is>
      </c>
      <c r="B13" s="17" t="inlineStr">
        <is>
          <t>Henry</t>
        </is>
      </c>
      <c r="C13" s="17" t="inlineStr">
        <is>
          <t>Fast-growing Black suburb south of Atlanta, and the biggest D gain of any large Georgia county from 2020 to 2024 (about 9 points).</t>
        </is>
      </c>
      <c r="D13" s="17" t="inlineStr">
        <is>
          <t>Whether that gain holds in a midterm with lower Black turnout.</t>
        </is>
      </c>
      <c r="E13" s="17" t="inlineStr">
        <is>
          <t>Black Belt</t>
        </is>
      </c>
      <c r="F13" s="23">
        <f>Counties!O116</f>
        <v/>
      </c>
      <c r="G13" s="24">
        <f>Counties!Q116</f>
        <v/>
      </c>
      <c r="H13" s="23">
        <f>Counties!R116</f>
        <v/>
      </c>
      <c r="I13" s="25">
        <f>Counties!S116</f>
        <v/>
      </c>
      <c r="J13" s="25">
        <f>Counties!AQ116/SUMIFS(Counties!$AQ:$AQ,Counties!$A:$A,"GA")</f>
        <v/>
      </c>
      <c r="K13" s="23">
        <f>Counties!T116</f>
        <v/>
      </c>
      <c r="L13" s="23">
        <f>Counties!AH116</f>
        <v/>
      </c>
      <c r="M13" s="26">
        <f>Counties!AO116</f>
        <v/>
      </c>
      <c r="N13" s="24">
        <f>Counties!AN116</f>
        <v/>
      </c>
      <c r="O13" s="17">
        <f>IF(L13="","not in yet",IF(N13&gt;=0.05,"Great for Ossoff",IF(N13&gt;=0.01,"Ossoff on track",IF(N13&gt;-0.01,"Toss-up",IF(N13&gt;-0.05,"Collins on track","Great for Collins"))))&amp;IF(Counties!AG116=1,""," (partial)"))</f>
        <v/>
      </c>
      <c r="P13" s="27">
        <f>Counties!AU116</f>
        <v/>
      </c>
      <c r="Q13" s="23">
        <f>Counties!AV116</f>
        <v/>
      </c>
      <c r="R13" s="27">
        <f>Counties!AW116</f>
        <v/>
      </c>
      <c r="S13" s="24">
        <f>Counties!AX116</f>
        <v/>
      </c>
      <c r="T13" s="24">
        <f>Counties!AY116</f>
        <v/>
      </c>
      <c r="U13" s="28">
        <f>IF(T13="","",T13*Counties!AF116)</f>
        <v/>
      </c>
      <c r="V13" s="17">
        <f>IF(T13="",IF(L13="","not in yet","waiting for the full count"),IF(T13&gt;=0.05,"Great for Ossoff",IF(T13&gt;=0.01,"Ossoff on track",IF(T13&gt;-0.01,"Toss-up",IF(T13&gt;-0.05,"Collins on track","Great for Collins")))))</f>
        <v/>
      </c>
      <c r="W13" s="17" t="inlineStr">
        <is>
          <t>13151</t>
        </is>
      </c>
    </row>
    <row r="14" ht="54" customHeight="1">
      <c r="A14" s="17" t="inlineStr">
        <is>
          <t>GA</t>
        </is>
      </c>
      <c r="B14" s="17" t="inlineStr">
        <is>
          <t>Clayton</t>
        </is>
      </c>
      <c r="C14" s="17" t="inlineStr">
        <is>
          <t>Most Democratic county in Georgia, majority Black.</t>
        </is>
      </c>
      <c r="D14" s="17" t="inlineStr">
        <is>
          <t>Turnout. Its margin barely moves, so the raw vote count is what matters.</t>
        </is>
      </c>
      <c r="E14" s="17" t="inlineStr">
        <is>
          <t>Black Belt</t>
        </is>
      </c>
      <c r="F14" s="23">
        <f>Counties!O72</f>
        <v/>
      </c>
      <c r="G14" s="24">
        <f>Counties!Q72</f>
        <v/>
      </c>
      <c r="H14" s="23">
        <f>Counties!R72</f>
        <v/>
      </c>
      <c r="I14" s="25">
        <f>Counties!S72</f>
        <v/>
      </c>
      <c r="J14" s="25">
        <f>Counties!AQ72/SUMIFS(Counties!$AQ:$AQ,Counties!$A:$A,"GA")</f>
        <v/>
      </c>
      <c r="K14" s="23">
        <f>Counties!T72</f>
        <v/>
      </c>
      <c r="L14" s="23">
        <f>Counties!AH72</f>
        <v/>
      </c>
      <c r="M14" s="26">
        <f>Counties!AO72</f>
        <v/>
      </c>
      <c r="N14" s="24">
        <f>Counties!AN72</f>
        <v/>
      </c>
      <c r="O14" s="17">
        <f>IF(L14="","not in yet",IF(N14&gt;=0.05,"Great for Ossoff",IF(N14&gt;=0.01,"Ossoff on track",IF(N14&gt;-0.01,"Toss-up",IF(N14&gt;-0.05,"Collins on track","Great for Collins"))))&amp;IF(Counties!AG72=1,""," (partial)"))</f>
        <v/>
      </c>
      <c r="P14" s="27">
        <f>Counties!AU72</f>
        <v/>
      </c>
      <c r="Q14" s="23">
        <f>Counties!AV72</f>
        <v/>
      </c>
      <c r="R14" s="27">
        <f>Counties!AW72</f>
        <v/>
      </c>
      <c r="S14" s="24">
        <f>Counties!AX72</f>
        <v/>
      </c>
      <c r="T14" s="24">
        <f>Counties!AY72</f>
        <v/>
      </c>
      <c r="U14" s="28">
        <f>IF(T14="","",T14*Counties!AF72)</f>
        <v/>
      </c>
      <c r="V14" s="17">
        <f>IF(T14="",IF(L14="","not in yet","waiting for the full count"),IF(T14&gt;=0.05,"Great for Ossoff",IF(T14&gt;=0.01,"Ossoff on track",IF(T14&gt;-0.01,"Toss-up",IF(T14&gt;-0.05,"Collins on track","Great for Collins")))))</f>
        <v/>
      </c>
      <c r="W14" s="17" t="inlineStr">
        <is>
          <t>13063</t>
        </is>
      </c>
    </row>
    <row r="15" ht="54" customHeight="1">
      <c r="A15" s="17" t="inlineStr">
        <is>
          <t>GA</t>
        </is>
      </c>
      <c r="B15" s="17" t="inlineStr">
        <is>
          <t>Hall</t>
        </is>
      </c>
      <c r="C15" s="17" t="inlineStr">
        <is>
          <t>Gainesville. The third-biggest R net-vote county, and nearly 30% Hispanic.</t>
        </is>
      </c>
      <c r="D15" s="17" t="inlineStr">
        <is>
          <t>Margin and turnout both. An R margin well under R+44 points to Hispanic voters moving back toward Democrats; turnout under the state pace means the exurban base isn't showing up.</t>
        </is>
      </c>
      <c r="E15" s="17" t="inlineStr">
        <is>
          <t>Mid-size/working metro</t>
        </is>
      </c>
      <c r="F15" s="23">
        <f>Counties!O110</f>
        <v/>
      </c>
      <c r="G15" s="24">
        <f>Counties!Q110</f>
        <v/>
      </c>
      <c r="H15" s="23">
        <f>Counties!R110</f>
        <v/>
      </c>
      <c r="I15" s="25">
        <f>Counties!S110</f>
        <v/>
      </c>
      <c r="J15" s="25">
        <f>Counties!AQ110/SUMIFS(Counties!$AQ:$AQ,Counties!$A:$A,"GA")</f>
        <v/>
      </c>
      <c r="K15" s="23">
        <f>Counties!T110</f>
        <v/>
      </c>
      <c r="L15" s="23">
        <f>Counties!AH110</f>
        <v/>
      </c>
      <c r="M15" s="26">
        <f>Counties!AO110</f>
        <v/>
      </c>
      <c r="N15" s="24">
        <f>Counties!AN110</f>
        <v/>
      </c>
      <c r="O15" s="17">
        <f>IF(L15="","not in yet",IF(N15&gt;=0.05,"Great for Ossoff",IF(N15&gt;=0.01,"Ossoff on track",IF(N15&gt;-0.01,"Toss-up",IF(N15&gt;-0.05,"Collins on track","Great for Collins"))))&amp;IF(Counties!AG110=1,""," (partial)"))</f>
        <v/>
      </c>
      <c r="P15" s="27">
        <f>Counties!AU110</f>
        <v/>
      </c>
      <c r="Q15" s="23">
        <f>Counties!AV110</f>
        <v/>
      </c>
      <c r="R15" s="27">
        <f>Counties!AW110</f>
        <v/>
      </c>
      <c r="S15" s="24">
        <f>Counties!AX110</f>
        <v/>
      </c>
      <c r="T15" s="24">
        <f>Counties!AY110</f>
        <v/>
      </c>
      <c r="U15" s="28">
        <f>IF(T15="","",T15*Counties!AF110)</f>
        <v/>
      </c>
      <c r="V15" s="17">
        <f>IF(T15="",IF(L15="","not in yet","waiting for the full count"),IF(T15&gt;=0.05,"Great for Ossoff",IF(T15&gt;=0.01,"Ossoff on track",IF(T15&gt;-0.01,"Toss-up",IF(T15&gt;-0.05,"Collins on track","Great for Collins")))))</f>
        <v/>
      </c>
      <c r="W15" s="17" t="inlineStr">
        <is>
          <t>13139</t>
        </is>
      </c>
    </row>
    <row r="16" ht="54" customHeight="1">
      <c r="A16" s="17" t="inlineStr">
        <is>
          <t>GA</t>
        </is>
      </c>
      <c r="B16" s="17" t="inlineStr">
        <is>
          <t>Bartow</t>
        </is>
      </c>
      <c r="C16" s="17" t="inlineStr">
        <is>
          <t>Northwest Georgia exurb along I-75 at R+51, a stand-in for the small-town Republican base.</t>
        </is>
      </c>
      <c r="D16" s="17" t="inlineStr">
        <is>
          <t>Turnout. The margin is locked in (R+51 in 2020, 2022 and 2024), so the vote count is the signal.</t>
        </is>
      </c>
      <c r="E16" s="17" t="inlineStr">
        <is>
          <t>Mid-size/working metro</t>
        </is>
      </c>
      <c r="F16" s="23">
        <f>Counties!O49</f>
        <v/>
      </c>
      <c r="G16" s="24">
        <f>Counties!Q49</f>
        <v/>
      </c>
      <c r="H16" s="23">
        <f>Counties!R49</f>
        <v/>
      </c>
      <c r="I16" s="25">
        <f>Counties!S49</f>
        <v/>
      </c>
      <c r="J16" s="25">
        <f>Counties!AQ49/SUMIFS(Counties!$AQ:$AQ,Counties!$A:$A,"GA")</f>
        <v/>
      </c>
      <c r="K16" s="23">
        <f>Counties!T49</f>
        <v/>
      </c>
      <c r="L16" s="23">
        <f>Counties!AH49</f>
        <v/>
      </c>
      <c r="M16" s="26">
        <f>Counties!AO49</f>
        <v/>
      </c>
      <c r="N16" s="24">
        <f>Counties!AN49</f>
        <v/>
      </c>
      <c r="O16" s="17">
        <f>IF(L16="","not in yet",IF(N16&gt;=0.05,"Great for Ossoff",IF(N16&gt;=0.01,"Ossoff on track",IF(N16&gt;-0.01,"Toss-up",IF(N16&gt;-0.05,"Collins on track","Great for Collins"))))&amp;IF(Counties!AG49=1,""," (partial)"))</f>
        <v/>
      </c>
      <c r="P16" s="27">
        <f>Counties!AU49</f>
        <v/>
      </c>
      <c r="Q16" s="23">
        <f>Counties!AV49</f>
        <v/>
      </c>
      <c r="R16" s="27">
        <f>Counties!AW49</f>
        <v/>
      </c>
      <c r="S16" s="24">
        <f>Counties!AX49</f>
        <v/>
      </c>
      <c r="T16" s="24">
        <f>Counties!AY49</f>
        <v/>
      </c>
      <c r="U16" s="28">
        <f>IF(T16="","",T16*Counties!AF49)</f>
        <v/>
      </c>
      <c r="V16" s="17">
        <f>IF(T16="",IF(L16="","not in yet","waiting for the full count"),IF(T16&gt;=0.05,"Great for Ossoff",IF(T16&gt;=0.01,"Ossoff on track",IF(T16&gt;-0.01,"Toss-up",IF(T16&gt;-0.05,"Collins on track","Great for Collins")))))</f>
        <v/>
      </c>
      <c r="W16" s="17" t="inlineStr">
        <is>
          <t>13015</t>
        </is>
      </c>
    </row>
    <row r="17" ht="54" customHeight="1">
      <c r="A17" s="29" t="inlineStr">
        <is>
          <t>GA</t>
        </is>
      </c>
      <c r="B17" s="29" t="inlineStr">
        <is>
          <t>All rural (103)</t>
        </is>
      </c>
      <c r="C17" s="29" t="inlineStr">
        <is>
          <t>Every small-town and rural county together: the Republican base's turnout test.</t>
        </is>
      </c>
      <c r="D17" s="29" t="inlineStr">
        <is>
          <t>Turnout index from its finished counties. Above 100 means the rural base is a bigger share of the vote than a tie assumes; the margin rarely moves much.</t>
        </is>
      </c>
      <c r="E17" s="29" t="inlineStr">
        <is>
          <t>Small town &amp; rural</t>
        </is>
      </c>
      <c r="F17" s="30">
        <f>Types!M9</f>
        <v/>
      </c>
      <c r="G17" s="31" t="n"/>
      <c r="H17" s="30" t="n"/>
      <c r="I17" s="32" t="n"/>
      <c r="J17" s="32">
        <f>Types!L9</f>
        <v/>
      </c>
      <c r="K17" s="30">
        <f>Types!P9</f>
        <v/>
      </c>
      <c r="L17" s="30">
        <f>Types!S9</f>
        <v/>
      </c>
      <c r="M17" s="33">
        <f>IFERROR(Types!E9/Types!D9,"")</f>
        <v/>
      </c>
      <c r="N17" s="31">
        <f>IF(L17="","",L17-K17)</f>
        <v/>
      </c>
      <c r="O17" s="29">
        <f>IF(Types!F9=0,"not in yet",IF(N17&gt;=0.05,"Great for Ossoff",IF(N17&gt;=0.01,"Ossoff on track",IF(N17&gt;-0.01,"Toss-up",IF(N17&gt;-0.05,"Collins on track","Great for Collins"))))&amp;" (projected)")</f>
        <v/>
      </c>
      <c r="P17" s="34">
        <f>Types!V9</f>
        <v/>
      </c>
      <c r="Q17" s="30">
        <f>Types!W9</f>
        <v/>
      </c>
      <c r="R17" s="34" t="n"/>
      <c r="S17" s="31">
        <f>IF(Q17="","",K17-Q17)</f>
        <v/>
      </c>
      <c r="T17" s="31">
        <f>Types!X9</f>
        <v/>
      </c>
      <c r="U17" s="35">
        <f>Types!Y9</f>
        <v/>
      </c>
      <c r="V17" s="29">
        <f>IF(T17="","not in yet",IF(T17&gt;=0.05,"Great for Ossoff",IF(T17&gt;=0.01,"Ossoff on track",IF(T17&gt;-0.01,"Toss-up",IF(T17&gt;-0.05,"Collins on track","Great for Collins"))))&amp;" (finished counties)")</f>
        <v/>
      </c>
      <c r="W17" s="29" t="n"/>
    </row>
    <row r="18">
      <c r="A18" s="22" t="inlineStr">
        <is>
          <t>Iowa  ·  2024: R+13.4 (R+13.2 with 2022's turnout pattern)  ·  Josh Turek vs Ashley Hinson</t>
        </is>
      </c>
      <c r="B18" s="22" t="n"/>
      <c r="C18" s="22" t="n"/>
      <c r="D18" s="22" t="n"/>
      <c r="E18" s="22" t="n"/>
      <c r="F18" s="22" t="n"/>
      <c r="G18" s="22" t="n"/>
      <c r="H18" s="22" t="n"/>
      <c r="I18" s="22" t="n"/>
      <c r="J18" s="22" t="n"/>
      <c r="K18" s="22" t="n"/>
      <c r="L18" s="22" t="n"/>
      <c r="M18" s="22" t="n"/>
      <c r="N18" s="22" t="n"/>
      <c r="O18" s="22" t="n"/>
      <c r="P18" s="22" t="n"/>
      <c r="Q18" s="22" t="n"/>
      <c r="R18" s="22" t="n"/>
      <c r="S18" s="22" t="n"/>
      <c r="T18" s="22" t="n"/>
      <c r="U18" s="22" t="n"/>
      <c r="V18" s="22" t="n"/>
      <c r="W18" s="22" t="n"/>
    </row>
    <row r="19" ht="54" customHeight="1">
      <c r="A19" s="17" t="inlineStr">
        <is>
          <t>IA</t>
        </is>
      </c>
      <c r="B19" s="17" t="inlineStr">
        <is>
          <t>Polk</t>
        </is>
      </c>
      <c r="C19" s="17" t="inlineStr">
        <is>
          <t>Des Moines. The D vote bank, about 15% of the state's vote.</t>
        </is>
      </c>
      <c r="D19" s="17" t="inlineStr">
        <is>
          <t>Margin and turnout. Democrats need it well above 2024's +11.</t>
        </is>
      </c>
      <c r="E19" s="17" t="inlineStr">
        <is>
          <t>Mid-size/working metro</t>
        </is>
      </c>
      <c r="F19" s="23">
        <f>Counties!O277</f>
        <v/>
      </c>
      <c r="G19" s="24">
        <f>Counties!Q277</f>
        <v/>
      </c>
      <c r="H19" s="23">
        <f>Counties!R277</f>
        <v/>
      </c>
      <c r="I19" s="25">
        <f>Counties!S277</f>
        <v/>
      </c>
      <c r="J19" s="25">
        <f>Counties!AQ277/SUMIFS(Counties!$AQ:$AQ,Counties!$A:$A,"IA")</f>
        <v/>
      </c>
      <c r="K19" s="23">
        <f>Counties!T277</f>
        <v/>
      </c>
      <c r="L19" s="23">
        <f>Counties!AH277</f>
        <v/>
      </c>
      <c r="M19" s="26">
        <f>Counties!AO277</f>
        <v/>
      </c>
      <c r="N19" s="24">
        <f>Counties!AN277</f>
        <v/>
      </c>
      <c r="O19" s="17">
        <f>IF(L19="","not in yet",IF(N19&gt;=0.05,"Great for Turek",IF(N19&gt;=0.01,"Turek on track",IF(N19&gt;-0.01,"Toss-up",IF(N19&gt;-0.05,"Hinson on track","Great for Hinson"))))&amp;IF(Counties!AG277=1,""," (partial)"))</f>
        <v/>
      </c>
      <c r="P19" s="27">
        <f>Counties!AU277</f>
        <v/>
      </c>
      <c r="Q19" s="23">
        <f>Counties!AV277</f>
        <v/>
      </c>
      <c r="R19" s="27">
        <f>Counties!AW277</f>
        <v/>
      </c>
      <c r="S19" s="24">
        <f>Counties!AX277</f>
        <v/>
      </c>
      <c r="T19" s="24">
        <f>Counties!AY277</f>
        <v/>
      </c>
      <c r="U19" s="28">
        <f>IF(T19="","",T19*Counties!AF277)</f>
        <v/>
      </c>
      <c r="V19" s="17">
        <f>IF(T19="",IF(L19="","not in yet","waiting for the full count"),IF(T19&gt;=0.05,"Great for Turek",IF(T19&gt;=0.01,"Turek on track",IF(T19&gt;-0.01,"Toss-up",IF(T19&gt;-0.05,"Hinson on track","Great for Hinson")))))</f>
        <v/>
      </c>
      <c r="W19" s="17" t="inlineStr">
        <is>
          <t>19153</t>
        </is>
      </c>
    </row>
    <row r="20" ht="54" customHeight="1">
      <c r="A20" s="17" t="inlineStr">
        <is>
          <t>IA</t>
        </is>
      </c>
      <c r="B20" s="17" t="inlineStr">
        <is>
          <t>Linn</t>
        </is>
      </c>
      <c r="C20" s="17" t="inlineStr">
        <is>
          <t>Cedar Rapids. A union county that's been sliding toward R.</t>
        </is>
      </c>
      <c r="D20" s="17" t="inlineStr">
        <is>
          <t>A D margin near +15 is a good sign.</t>
        </is>
      </c>
      <c r="E20" s="17" t="inlineStr">
        <is>
          <t>Mid-size/working metro</t>
        </is>
      </c>
      <c r="F20" s="23">
        <f>Counties!O257</f>
        <v/>
      </c>
      <c r="G20" s="24">
        <f>Counties!Q257</f>
        <v/>
      </c>
      <c r="H20" s="23">
        <f>Counties!R257</f>
        <v/>
      </c>
      <c r="I20" s="25">
        <f>Counties!S257</f>
        <v/>
      </c>
      <c r="J20" s="25">
        <f>Counties!AQ257/SUMIFS(Counties!$AQ:$AQ,Counties!$A:$A,"IA")</f>
        <v/>
      </c>
      <c r="K20" s="23">
        <f>Counties!T257</f>
        <v/>
      </c>
      <c r="L20" s="23">
        <f>Counties!AH257</f>
        <v/>
      </c>
      <c r="M20" s="26">
        <f>Counties!AO257</f>
        <v/>
      </c>
      <c r="N20" s="24">
        <f>Counties!AN257</f>
        <v/>
      </c>
      <c r="O20" s="17">
        <f>IF(L20="","not in yet",IF(N20&gt;=0.05,"Great for Turek",IF(N20&gt;=0.01,"Turek on track",IF(N20&gt;-0.01,"Toss-up",IF(N20&gt;-0.05,"Hinson on track","Great for Hinson"))))&amp;IF(Counties!AG257=1,""," (partial)"))</f>
        <v/>
      </c>
      <c r="P20" s="27">
        <f>Counties!AU257</f>
        <v/>
      </c>
      <c r="Q20" s="23">
        <f>Counties!AV257</f>
        <v/>
      </c>
      <c r="R20" s="27">
        <f>Counties!AW257</f>
        <v/>
      </c>
      <c r="S20" s="24">
        <f>Counties!AX257</f>
        <v/>
      </c>
      <c r="T20" s="24">
        <f>Counties!AY257</f>
        <v/>
      </c>
      <c r="U20" s="28">
        <f>IF(T20="","",T20*Counties!AF257)</f>
        <v/>
      </c>
      <c r="V20" s="17">
        <f>IF(T20="",IF(L20="","not in yet","waiting for the full count"),IF(T20&gt;=0.05,"Great for Turek",IF(T20&gt;=0.01,"Turek on track",IF(T20&gt;-0.01,"Toss-up",IF(T20&gt;-0.05,"Hinson on track","Great for Hinson")))))</f>
        <v/>
      </c>
      <c r="W20" s="17" t="inlineStr">
        <is>
          <t>19113</t>
        </is>
      </c>
    </row>
    <row r="21" ht="54" customHeight="1">
      <c r="A21" s="17" t="inlineStr">
        <is>
          <t>IA</t>
        </is>
      </c>
      <c r="B21" s="17" t="inlineStr">
        <is>
          <t>Scott</t>
        </is>
      </c>
      <c r="C21" s="17" t="inlineStr">
        <is>
          <t>Davenport. Former D county that went R in 2024.</t>
        </is>
      </c>
      <c r="D21" s="17" t="inlineStr">
        <is>
          <t>Classic Mississippi River swing county.</t>
        </is>
      </c>
      <c r="E21" s="17" t="inlineStr">
        <is>
          <t>Mid-size/working metro</t>
        </is>
      </c>
      <c r="F21" s="23">
        <f>Counties!O282</f>
        <v/>
      </c>
      <c r="G21" s="24">
        <f>Counties!Q282</f>
        <v/>
      </c>
      <c r="H21" s="23">
        <f>Counties!R282</f>
        <v/>
      </c>
      <c r="I21" s="25">
        <f>Counties!S282</f>
        <v/>
      </c>
      <c r="J21" s="25">
        <f>Counties!AQ282/SUMIFS(Counties!$AQ:$AQ,Counties!$A:$A,"IA")</f>
        <v/>
      </c>
      <c r="K21" s="23">
        <f>Counties!T282</f>
        <v/>
      </c>
      <c r="L21" s="23">
        <f>Counties!AH282</f>
        <v/>
      </c>
      <c r="M21" s="26">
        <f>Counties!AO282</f>
        <v/>
      </c>
      <c r="N21" s="24">
        <f>Counties!AN282</f>
        <v/>
      </c>
      <c r="O21" s="17">
        <f>IF(L21="","not in yet",IF(N21&gt;=0.05,"Great for Turek",IF(N21&gt;=0.01,"Turek on track",IF(N21&gt;-0.01,"Toss-up",IF(N21&gt;-0.05,"Hinson on track","Great for Hinson"))))&amp;IF(Counties!AG282=1,""," (partial)"))</f>
        <v/>
      </c>
      <c r="P21" s="27">
        <f>Counties!AU282</f>
        <v/>
      </c>
      <c r="Q21" s="23">
        <f>Counties!AV282</f>
        <v/>
      </c>
      <c r="R21" s="27">
        <f>Counties!AW282</f>
        <v/>
      </c>
      <c r="S21" s="24">
        <f>Counties!AX282</f>
        <v/>
      </c>
      <c r="T21" s="24">
        <f>Counties!AY282</f>
        <v/>
      </c>
      <c r="U21" s="28">
        <f>IF(T21="","",T21*Counties!AF282)</f>
        <v/>
      </c>
      <c r="V21" s="17">
        <f>IF(T21="",IF(L21="","not in yet","waiting for the full count"),IF(T21&gt;=0.05,"Great for Turek",IF(T21&gt;=0.01,"Turek on track",IF(T21&gt;-0.01,"Toss-up",IF(T21&gt;-0.05,"Hinson on track","Great for Hinson")))))</f>
        <v/>
      </c>
      <c r="W21" s="17" t="inlineStr">
        <is>
          <t>19163</t>
        </is>
      </c>
    </row>
    <row r="22" ht="54" customHeight="1">
      <c r="A22" s="17" t="inlineStr">
        <is>
          <t>IA</t>
        </is>
      </c>
      <c r="B22" s="17" t="inlineStr">
        <is>
          <t>Johnson</t>
        </is>
      </c>
      <c r="C22" s="17" t="inlineStr">
        <is>
          <t>Iowa City. University of Iowa, very D.</t>
        </is>
      </c>
      <c r="D22" s="17" t="inlineStr">
        <is>
          <t>Student turnout.</t>
        </is>
      </c>
      <c r="E22" s="17" t="inlineStr">
        <is>
          <t>College suburb/metro</t>
        </is>
      </c>
      <c r="F22" s="23">
        <f>Counties!O252</f>
        <v/>
      </c>
      <c r="G22" s="24">
        <f>Counties!Q252</f>
        <v/>
      </c>
      <c r="H22" s="23">
        <f>Counties!R252</f>
        <v/>
      </c>
      <c r="I22" s="25">
        <f>Counties!S252</f>
        <v/>
      </c>
      <c r="J22" s="25">
        <f>Counties!AQ252/SUMIFS(Counties!$AQ:$AQ,Counties!$A:$A,"IA")</f>
        <v/>
      </c>
      <c r="K22" s="23">
        <f>Counties!T252</f>
        <v/>
      </c>
      <c r="L22" s="23">
        <f>Counties!AH252</f>
        <v/>
      </c>
      <c r="M22" s="26">
        <f>Counties!AO252</f>
        <v/>
      </c>
      <c r="N22" s="24">
        <f>Counties!AN252</f>
        <v/>
      </c>
      <c r="O22" s="17">
        <f>IF(L22="","not in yet",IF(N22&gt;=0.05,"Great for Turek",IF(N22&gt;=0.01,"Turek on track",IF(N22&gt;-0.01,"Toss-up",IF(N22&gt;-0.05,"Hinson on track","Great for Hinson"))))&amp;IF(Counties!AG252=1,""," (partial)"))</f>
        <v/>
      </c>
      <c r="P22" s="27">
        <f>Counties!AU252</f>
        <v/>
      </c>
      <c r="Q22" s="23">
        <f>Counties!AV252</f>
        <v/>
      </c>
      <c r="R22" s="27">
        <f>Counties!AW252</f>
        <v/>
      </c>
      <c r="S22" s="24">
        <f>Counties!AX252</f>
        <v/>
      </c>
      <c r="T22" s="24">
        <f>Counties!AY252</f>
        <v/>
      </c>
      <c r="U22" s="28">
        <f>IF(T22="","",T22*Counties!AF252)</f>
        <v/>
      </c>
      <c r="V22" s="17">
        <f>IF(T22="",IF(L22="","not in yet","waiting for the full count"),IF(T22&gt;=0.05,"Great for Turek",IF(T22&gt;=0.01,"Turek on track",IF(T22&gt;-0.01,"Toss-up",IF(T22&gt;-0.05,"Hinson on track","Great for Hinson")))))</f>
        <v/>
      </c>
      <c r="W22" s="17" t="inlineStr">
        <is>
          <t>19103</t>
        </is>
      </c>
    </row>
    <row r="23" ht="54" customHeight="1">
      <c r="A23" s="17" t="inlineStr">
        <is>
          <t>IA</t>
        </is>
      </c>
      <c r="B23" s="17" t="inlineStr">
        <is>
          <t>Black Hawk</t>
        </is>
      </c>
      <c r="C23" s="17" t="inlineStr">
        <is>
          <t>Waterloo. Union and Black voters, almost tied in 2024.</t>
        </is>
      </c>
      <c r="D23" s="17" t="inlineStr">
        <is>
          <t>Working-class D strength.</t>
        </is>
      </c>
      <c r="E23" s="17" t="inlineStr">
        <is>
          <t>Mid-size/working metro</t>
        </is>
      </c>
      <c r="F23" s="23">
        <f>Counties!O207</f>
        <v/>
      </c>
      <c r="G23" s="24">
        <f>Counties!Q207</f>
        <v/>
      </c>
      <c r="H23" s="23">
        <f>Counties!R207</f>
        <v/>
      </c>
      <c r="I23" s="25">
        <f>Counties!S207</f>
        <v/>
      </c>
      <c r="J23" s="25">
        <f>Counties!AQ207/SUMIFS(Counties!$AQ:$AQ,Counties!$A:$A,"IA")</f>
        <v/>
      </c>
      <c r="K23" s="23">
        <f>Counties!T207</f>
        <v/>
      </c>
      <c r="L23" s="23">
        <f>Counties!AH207</f>
        <v/>
      </c>
      <c r="M23" s="26">
        <f>Counties!AO207</f>
        <v/>
      </c>
      <c r="N23" s="24">
        <f>Counties!AN207</f>
        <v/>
      </c>
      <c r="O23" s="17">
        <f>IF(L23="","not in yet",IF(N23&gt;=0.05,"Great for Turek",IF(N23&gt;=0.01,"Turek on track",IF(N23&gt;-0.01,"Toss-up",IF(N23&gt;-0.05,"Hinson on track","Great for Hinson"))))&amp;IF(Counties!AG207=1,""," (partial)"))</f>
        <v/>
      </c>
      <c r="P23" s="27">
        <f>Counties!AU207</f>
        <v/>
      </c>
      <c r="Q23" s="23">
        <f>Counties!AV207</f>
        <v/>
      </c>
      <c r="R23" s="27">
        <f>Counties!AW207</f>
        <v/>
      </c>
      <c r="S23" s="24">
        <f>Counties!AX207</f>
        <v/>
      </c>
      <c r="T23" s="24">
        <f>Counties!AY207</f>
        <v/>
      </c>
      <c r="U23" s="28">
        <f>IF(T23="","",T23*Counties!AF207)</f>
        <v/>
      </c>
      <c r="V23" s="17">
        <f>IF(T23="",IF(L23="","not in yet","waiting for the full count"),IF(T23&gt;=0.05,"Great for Turek",IF(T23&gt;=0.01,"Turek on track",IF(T23&gt;-0.01,"Toss-up",IF(T23&gt;-0.05,"Hinson on track","Great for Hinson")))))</f>
        <v/>
      </c>
      <c r="W23" s="17" t="inlineStr">
        <is>
          <t>19013</t>
        </is>
      </c>
    </row>
    <row r="24" ht="54" customHeight="1">
      <c r="A24" s="17" t="inlineStr">
        <is>
          <t>IA</t>
        </is>
      </c>
      <c r="B24" s="17" t="inlineStr">
        <is>
          <t>Dallas</t>
        </is>
      </c>
      <c r="C24" s="17" t="inlineStr">
        <is>
          <t>Fast-growing, college-educated Des Moines suburb, still R.</t>
        </is>
      </c>
      <c r="D24" s="17" t="inlineStr">
        <is>
          <t>Suburban defections. Flipping it would be a big D night.</t>
        </is>
      </c>
      <c r="E24" s="17" t="inlineStr">
        <is>
          <t>College suburb/metro</t>
        </is>
      </c>
      <c r="F24" s="23">
        <f>Counties!O225</f>
        <v/>
      </c>
      <c r="G24" s="24">
        <f>Counties!Q225</f>
        <v/>
      </c>
      <c r="H24" s="23">
        <f>Counties!R225</f>
        <v/>
      </c>
      <c r="I24" s="25">
        <f>Counties!S225</f>
        <v/>
      </c>
      <c r="J24" s="25">
        <f>Counties!AQ225/SUMIFS(Counties!$AQ:$AQ,Counties!$A:$A,"IA")</f>
        <v/>
      </c>
      <c r="K24" s="23">
        <f>Counties!T225</f>
        <v/>
      </c>
      <c r="L24" s="23">
        <f>Counties!AH225</f>
        <v/>
      </c>
      <c r="M24" s="26">
        <f>Counties!AO225</f>
        <v/>
      </c>
      <c r="N24" s="24">
        <f>Counties!AN225</f>
        <v/>
      </c>
      <c r="O24" s="17">
        <f>IF(L24="","not in yet",IF(N24&gt;=0.05,"Great for Turek",IF(N24&gt;=0.01,"Turek on track",IF(N24&gt;-0.01,"Toss-up",IF(N24&gt;-0.05,"Hinson on track","Great for Hinson"))))&amp;IF(Counties!AG225=1,""," (partial)"))</f>
        <v/>
      </c>
      <c r="P24" s="27">
        <f>Counties!AU225</f>
        <v/>
      </c>
      <c r="Q24" s="23">
        <f>Counties!AV225</f>
        <v/>
      </c>
      <c r="R24" s="27">
        <f>Counties!AW225</f>
        <v/>
      </c>
      <c r="S24" s="24">
        <f>Counties!AX225</f>
        <v/>
      </c>
      <c r="T24" s="24">
        <f>Counties!AY225</f>
        <v/>
      </c>
      <c r="U24" s="28">
        <f>IF(T24="","",T24*Counties!AF225)</f>
        <v/>
      </c>
      <c r="V24" s="17">
        <f>IF(T24="",IF(L24="","not in yet","waiting for the full count"),IF(T24&gt;=0.05,"Great for Turek",IF(T24&gt;=0.01,"Turek on track",IF(T24&gt;-0.01,"Toss-up",IF(T24&gt;-0.05,"Hinson on track","Great for Hinson")))))</f>
        <v/>
      </c>
      <c r="W24" s="17" t="inlineStr">
        <is>
          <t>19049</t>
        </is>
      </c>
    </row>
    <row r="25" ht="54" customHeight="1">
      <c r="A25" s="17" t="inlineStr">
        <is>
          <t>IA</t>
        </is>
      </c>
      <c r="B25" s="17" t="inlineStr">
        <is>
          <t>Dubuque</t>
        </is>
      </c>
      <c r="C25" s="17" t="inlineStr">
        <is>
          <t>Catholic working-class river county that went from D to R.</t>
        </is>
      </c>
      <c r="D25" s="17" t="inlineStr">
        <is>
          <t>Ancestral Democrats returning or not.</t>
        </is>
      </c>
      <c r="E25" s="17" t="inlineStr">
        <is>
          <t>Small town &amp; rural</t>
        </is>
      </c>
      <c r="F25" s="23">
        <f>Counties!O231</f>
        <v/>
      </c>
      <c r="G25" s="24">
        <f>Counties!Q231</f>
        <v/>
      </c>
      <c r="H25" s="23">
        <f>Counties!R231</f>
        <v/>
      </c>
      <c r="I25" s="25">
        <f>Counties!S231</f>
        <v/>
      </c>
      <c r="J25" s="25">
        <f>Counties!AQ231/SUMIFS(Counties!$AQ:$AQ,Counties!$A:$A,"IA")</f>
        <v/>
      </c>
      <c r="K25" s="23">
        <f>Counties!T231</f>
        <v/>
      </c>
      <c r="L25" s="23">
        <f>Counties!AH231</f>
        <v/>
      </c>
      <c r="M25" s="26">
        <f>Counties!AO231</f>
        <v/>
      </c>
      <c r="N25" s="24">
        <f>Counties!AN231</f>
        <v/>
      </c>
      <c r="O25" s="17">
        <f>IF(L25="","not in yet",IF(N25&gt;=0.05,"Great for Turek",IF(N25&gt;=0.01,"Turek on track",IF(N25&gt;-0.01,"Toss-up",IF(N25&gt;-0.05,"Hinson on track","Great for Hinson"))))&amp;IF(Counties!AG231=1,""," (partial)"))</f>
        <v/>
      </c>
      <c r="P25" s="27">
        <f>Counties!AU231</f>
        <v/>
      </c>
      <c r="Q25" s="23">
        <f>Counties!AV231</f>
        <v/>
      </c>
      <c r="R25" s="27">
        <f>Counties!AW231</f>
        <v/>
      </c>
      <c r="S25" s="24">
        <f>Counties!AX231</f>
        <v/>
      </c>
      <c r="T25" s="24">
        <f>Counties!AY231</f>
        <v/>
      </c>
      <c r="U25" s="28">
        <f>IF(T25="","",T25*Counties!AF231)</f>
        <v/>
      </c>
      <c r="V25" s="17">
        <f>IF(T25="",IF(L25="","not in yet","waiting for the full count"),IF(T25&gt;=0.05,"Great for Turek",IF(T25&gt;=0.01,"Turek on track",IF(T25&gt;-0.01,"Toss-up",IF(T25&gt;-0.05,"Hinson on track","Great for Hinson")))))</f>
        <v/>
      </c>
      <c r="W25" s="17" t="inlineStr">
        <is>
          <t>19061</t>
        </is>
      </c>
    </row>
    <row r="26" ht="54" customHeight="1">
      <c r="A26" s="17" t="inlineStr">
        <is>
          <t>IA</t>
        </is>
      </c>
      <c r="B26" s="17" t="inlineStr">
        <is>
          <t>Pottawattamie</t>
        </is>
      </c>
      <c r="C26" s="17" t="inlineStr">
        <is>
          <t>Council Bluffs, Iowa's side of metro Omaha: working-class and R+20.</t>
        </is>
      </c>
      <c r="D26" s="17" t="inlineStr">
        <is>
          <t>Working-class swing: R+17 in 2020, R+20 in 2024. Its turnout also tests whether the Republican base outside the big metros is showing up.</t>
        </is>
      </c>
      <c r="E26" s="17" t="inlineStr">
        <is>
          <t>Small town &amp; rural</t>
        </is>
      </c>
      <c r="F26" s="23">
        <f>Counties!O278</f>
        <v/>
      </c>
      <c r="G26" s="24">
        <f>Counties!Q278</f>
        <v/>
      </c>
      <c r="H26" s="23">
        <f>Counties!R278</f>
        <v/>
      </c>
      <c r="I26" s="25">
        <f>Counties!S278</f>
        <v/>
      </c>
      <c r="J26" s="25">
        <f>Counties!AQ278/SUMIFS(Counties!$AQ:$AQ,Counties!$A:$A,"IA")</f>
        <v/>
      </c>
      <c r="K26" s="23">
        <f>Counties!T278</f>
        <v/>
      </c>
      <c r="L26" s="23">
        <f>Counties!AH278</f>
        <v/>
      </c>
      <c r="M26" s="26">
        <f>Counties!AO278</f>
        <v/>
      </c>
      <c r="N26" s="24">
        <f>Counties!AN278</f>
        <v/>
      </c>
      <c r="O26" s="17">
        <f>IF(L26="","not in yet",IF(N26&gt;=0.05,"Great for Turek",IF(N26&gt;=0.01,"Turek on track",IF(N26&gt;-0.01,"Toss-up",IF(N26&gt;-0.05,"Hinson on track","Great for Hinson"))))&amp;IF(Counties!AG278=1,""," (partial)"))</f>
        <v/>
      </c>
      <c r="P26" s="27">
        <f>Counties!AU278</f>
        <v/>
      </c>
      <c r="Q26" s="23">
        <f>Counties!AV278</f>
        <v/>
      </c>
      <c r="R26" s="27">
        <f>Counties!AW278</f>
        <v/>
      </c>
      <c r="S26" s="24">
        <f>Counties!AX278</f>
        <v/>
      </c>
      <c r="T26" s="24">
        <f>Counties!AY278</f>
        <v/>
      </c>
      <c r="U26" s="28">
        <f>IF(T26="","",T26*Counties!AF278)</f>
        <v/>
      </c>
      <c r="V26" s="17">
        <f>IF(T26="",IF(L26="","not in yet","waiting for the full count"),IF(T26&gt;=0.05,"Great for Turek",IF(T26&gt;=0.01,"Turek on track",IF(T26&gt;-0.01,"Toss-up",IF(T26&gt;-0.05,"Hinson on track","Great for Hinson")))))</f>
        <v/>
      </c>
      <c r="W26" s="17" t="inlineStr">
        <is>
          <t>19155</t>
        </is>
      </c>
    </row>
    <row r="27" ht="54" customHeight="1">
      <c r="A27" s="17" t="inlineStr">
        <is>
          <t>IA</t>
        </is>
      </c>
      <c r="B27" s="17" t="inlineStr">
        <is>
          <t>Woodbury</t>
        </is>
      </c>
      <c r="C27" s="17" t="inlineStr">
        <is>
          <t>Sioux City, 20% Hispanic; moved 7.5 pts toward R from 2020 to 2024.</t>
        </is>
      </c>
      <c r="D27" s="17" t="inlineStr">
        <is>
          <t>Hispanic and working-class voters. A margin back toward 2020 (R+16) is good for Democrats.</t>
        </is>
      </c>
      <c r="E27" s="17" t="inlineStr">
        <is>
          <t>Mid-size/working metro</t>
        </is>
      </c>
      <c r="F27" s="23">
        <f>Counties!O297</f>
        <v/>
      </c>
      <c r="G27" s="24">
        <f>Counties!Q297</f>
        <v/>
      </c>
      <c r="H27" s="23">
        <f>Counties!R297</f>
        <v/>
      </c>
      <c r="I27" s="25">
        <f>Counties!S297</f>
        <v/>
      </c>
      <c r="J27" s="25">
        <f>Counties!AQ297/SUMIFS(Counties!$AQ:$AQ,Counties!$A:$A,"IA")</f>
        <v/>
      </c>
      <c r="K27" s="23">
        <f>Counties!T297</f>
        <v/>
      </c>
      <c r="L27" s="23">
        <f>Counties!AH297</f>
        <v/>
      </c>
      <c r="M27" s="26">
        <f>Counties!AO297</f>
        <v/>
      </c>
      <c r="N27" s="24">
        <f>Counties!AN297</f>
        <v/>
      </c>
      <c r="O27" s="17">
        <f>IF(L27="","not in yet",IF(N27&gt;=0.05,"Great for Turek",IF(N27&gt;=0.01,"Turek on track",IF(N27&gt;-0.01,"Toss-up",IF(N27&gt;-0.05,"Hinson on track","Great for Hinson"))))&amp;IF(Counties!AG297=1,""," (partial)"))</f>
        <v/>
      </c>
      <c r="P27" s="27">
        <f>Counties!AU297</f>
        <v/>
      </c>
      <c r="Q27" s="23">
        <f>Counties!AV297</f>
        <v/>
      </c>
      <c r="R27" s="27">
        <f>Counties!AW297</f>
        <v/>
      </c>
      <c r="S27" s="24">
        <f>Counties!AX297</f>
        <v/>
      </c>
      <c r="T27" s="24">
        <f>Counties!AY297</f>
        <v/>
      </c>
      <c r="U27" s="28">
        <f>IF(T27="","",T27*Counties!AF297)</f>
        <v/>
      </c>
      <c r="V27" s="17">
        <f>IF(T27="",IF(L27="","not in yet","waiting for the full count"),IF(T27&gt;=0.05,"Great for Turek",IF(T27&gt;=0.01,"Turek on track",IF(T27&gt;-0.01,"Toss-up",IF(T27&gt;-0.05,"Hinson on track","Great for Hinson")))))</f>
        <v/>
      </c>
      <c r="W27" s="17" t="inlineStr">
        <is>
          <t>19193</t>
        </is>
      </c>
    </row>
    <row r="28" ht="54" customHeight="1">
      <c r="A28" s="17" t="inlineStr">
        <is>
          <t>IA</t>
        </is>
      </c>
      <c r="B28" s="17" t="inlineStr">
        <is>
          <t>Sioux</t>
        </is>
      </c>
      <c r="C28" s="17" t="inlineStr">
        <is>
          <t>Iowa's most Republican county (R+72), the core of northwest Iowa's Republican base.</t>
        </is>
      </c>
      <c r="D28" s="17" t="inlineStr">
        <is>
          <t>Turnout. The margin is maxed out, so the R vote count is the signal.</t>
        </is>
      </c>
      <c r="E28" s="17" t="inlineStr">
        <is>
          <t>Small town &amp; rural</t>
        </is>
      </c>
      <c r="F28" s="23">
        <f>Counties!O284</f>
        <v/>
      </c>
      <c r="G28" s="24">
        <f>Counties!Q284</f>
        <v/>
      </c>
      <c r="H28" s="23">
        <f>Counties!R284</f>
        <v/>
      </c>
      <c r="I28" s="25">
        <f>Counties!S284</f>
        <v/>
      </c>
      <c r="J28" s="25">
        <f>Counties!AQ284/SUMIFS(Counties!$AQ:$AQ,Counties!$A:$A,"IA")</f>
        <v/>
      </c>
      <c r="K28" s="23">
        <f>Counties!T284</f>
        <v/>
      </c>
      <c r="L28" s="23">
        <f>Counties!AH284</f>
        <v/>
      </c>
      <c r="M28" s="26">
        <f>Counties!AO284</f>
        <v/>
      </c>
      <c r="N28" s="24">
        <f>Counties!AN284</f>
        <v/>
      </c>
      <c r="O28" s="17">
        <f>IF(L28="","not in yet",IF(N28&gt;=0.05,"Great for Turek",IF(N28&gt;=0.01,"Turek on track",IF(N28&gt;-0.01,"Toss-up",IF(N28&gt;-0.05,"Hinson on track","Great for Hinson"))))&amp;IF(Counties!AG284=1,""," (partial)"))</f>
        <v/>
      </c>
      <c r="P28" s="27">
        <f>Counties!AU284</f>
        <v/>
      </c>
      <c r="Q28" s="23">
        <f>Counties!AV284</f>
        <v/>
      </c>
      <c r="R28" s="27">
        <f>Counties!AW284</f>
        <v/>
      </c>
      <c r="S28" s="24">
        <f>Counties!AX284</f>
        <v/>
      </c>
      <c r="T28" s="24">
        <f>Counties!AY284</f>
        <v/>
      </c>
      <c r="U28" s="28">
        <f>IF(T28="","",T28*Counties!AF284)</f>
        <v/>
      </c>
      <c r="V28" s="17">
        <f>IF(T28="",IF(L28="","not in yet","waiting for the full count"),IF(T28&gt;=0.05,"Great for Turek",IF(T28&gt;=0.01,"Turek on track",IF(T28&gt;-0.01,"Toss-up",IF(T28&gt;-0.05,"Hinson on track","Great for Hinson")))))</f>
        <v/>
      </c>
      <c r="W28" s="17" t="inlineStr">
        <is>
          <t>19167</t>
        </is>
      </c>
    </row>
    <row r="29" ht="54" customHeight="1">
      <c r="A29" s="29" t="inlineStr">
        <is>
          <t>IA</t>
        </is>
      </c>
      <c r="B29" s="29" t="inlineStr">
        <is>
          <t>All rural (92)</t>
        </is>
      </c>
      <c r="C29" s="29" t="inlineStr">
        <is>
          <t>Every small-town and rural county together: the Republican base's turnout test.</t>
        </is>
      </c>
      <c r="D29" s="29" t="inlineStr">
        <is>
          <t>Turnout index from its finished counties. Above 100 means the rural base is a bigger share of the vote than a tie assumes; the margin rarely moves much.</t>
        </is>
      </c>
      <c r="E29" s="29" t="inlineStr">
        <is>
          <t>Small town &amp; rural</t>
        </is>
      </c>
      <c r="F29" s="30">
        <f>Types!M12</f>
        <v/>
      </c>
      <c r="G29" s="31" t="n"/>
      <c r="H29" s="30" t="n"/>
      <c r="I29" s="32" t="n"/>
      <c r="J29" s="32">
        <f>Types!L12</f>
        <v/>
      </c>
      <c r="K29" s="30">
        <f>Types!P12</f>
        <v/>
      </c>
      <c r="L29" s="30">
        <f>Types!S12</f>
        <v/>
      </c>
      <c r="M29" s="33">
        <f>IFERROR(Types!E12/Types!D12,"")</f>
        <v/>
      </c>
      <c r="N29" s="31">
        <f>IF(L29="","",L29-K29)</f>
        <v/>
      </c>
      <c r="O29" s="29">
        <f>IF(Types!F12=0,"not in yet",IF(N29&gt;=0.05,"Great for Turek",IF(N29&gt;=0.01,"Turek on track",IF(N29&gt;-0.01,"Toss-up",IF(N29&gt;-0.05,"Hinson on track","Great for Hinson"))))&amp;" (projected)")</f>
        <v/>
      </c>
      <c r="P29" s="34">
        <f>Types!V12</f>
        <v/>
      </c>
      <c r="Q29" s="30">
        <f>Types!W12</f>
        <v/>
      </c>
      <c r="R29" s="34" t="n"/>
      <c r="S29" s="31">
        <f>IF(Q29="","",K29-Q29)</f>
        <v/>
      </c>
      <c r="T29" s="31">
        <f>Types!X12</f>
        <v/>
      </c>
      <c r="U29" s="35">
        <f>Types!Y12</f>
        <v/>
      </c>
      <c r="V29" s="29">
        <f>IF(T29="","not in yet",IF(T29&gt;=0.05,"Great for Turek",IF(T29&gt;=0.01,"Turek on track",IF(T29&gt;-0.01,"Toss-up",IF(T29&gt;-0.05,"Hinson on track","Great for Hinson"))))&amp;" (finished counties)")</f>
        <v/>
      </c>
      <c r="W29" s="29" t="n"/>
    </row>
    <row r="30">
      <c r="A30" s="22" t="inlineStr">
        <is>
          <t>Kansas  ·  2024: R+16.4 (R+16.5 with 2022's turnout pattern)  ·  Adam Hamilton vs Roger Marshall</t>
        </is>
      </c>
      <c r="B30" s="22" t="n"/>
      <c r="C30" s="22" t="n"/>
      <c r="D30" s="22" t="n"/>
      <c r="E30" s="22" t="n"/>
      <c r="F30" s="22" t="n"/>
      <c r="G30" s="22" t="n"/>
      <c r="H30" s="22" t="n"/>
      <c r="I30" s="22" t="n"/>
      <c r="J30" s="22" t="n"/>
      <c r="K30" s="22" t="n"/>
      <c r="L30" s="22" t="n"/>
      <c r="M30" s="22" t="n"/>
      <c r="N30" s="22" t="n"/>
      <c r="O30" s="22" t="n"/>
      <c r="P30" s="22" t="n"/>
      <c r="Q30" s="22" t="n"/>
      <c r="R30" s="22" t="n"/>
      <c r="S30" s="22" t="n"/>
      <c r="T30" s="22" t="n"/>
      <c r="U30" s="22" t="n"/>
      <c r="V30" s="22" t="n"/>
      <c r="W30" s="22" t="n"/>
    </row>
    <row r="31" ht="54" customHeight="1">
      <c r="A31" s="17" t="inlineStr">
        <is>
          <t>KS</t>
        </is>
      </c>
      <c r="B31" s="17" t="inlineStr">
        <is>
          <t>Johnson</t>
        </is>
      </c>
      <c r="C31" s="17" t="inlineStr">
        <is>
          <t>Kansas City suburbs. A quarter of the state's vote, college-educated, trending D.</t>
        </is>
      </c>
      <c r="D31" s="17" t="inlineStr">
        <is>
          <t>A big D margin here is required for any upset.</t>
        </is>
      </c>
      <c r="E31" s="17" t="inlineStr">
        <is>
          <t>College suburb/metro</t>
        </is>
      </c>
      <c r="F31" s="23">
        <f>Counties!O345</f>
        <v/>
      </c>
      <c r="G31" s="24">
        <f>Counties!Q345</f>
        <v/>
      </c>
      <c r="H31" s="23">
        <f>Counties!R345</f>
        <v/>
      </c>
      <c r="I31" s="25">
        <f>Counties!S345</f>
        <v/>
      </c>
      <c r="J31" s="25">
        <f>Counties!AQ345/SUMIFS(Counties!$AQ:$AQ,Counties!$A:$A,"KS")</f>
        <v/>
      </c>
      <c r="K31" s="23">
        <f>Counties!T345</f>
        <v/>
      </c>
      <c r="L31" s="23">
        <f>Counties!AH345</f>
        <v/>
      </c>
      <c r="M31" s="26">
        <f>Counties!AO345</f>
        <v/>
      </c>
      <c r="N31" s="24">
        <f>Counties!AN345</f>
        <v/>
      </c>
      <c r="O31" s="17">
        <f>IF(L31="","not in yet",IF(N31&gt;=0.05,"Great for Hamilton",IF(N31&gt;=0.01,"Hamilton on track",IF(N31&gt;-0.01,"Toss-up",IF(N31&gt;-0.05,"Marshall on track","Great for Marshall"))))&amp;IF(Counties!AG345=1,""," (partial)"))</f>
        <v/>
      </c>
      <c r="P31" s="27">
        <f>Counties!AU345</f>
        <v/>
      </c>
      <c r="Q31" s="23">
        <f>Counties!AV345</f>
        <v/>
      </c>
      <c r="R31" s="27">
        <f>Counties!AW345</f>
        <v/>
      </c>
      <c r="S31" s="24">
        <f>Counties!AX345</f>
        <v/>
      </c>
      <c r="T31" s="24">
        <f>Counties!AY345</f>
        <v/>
      </c>
      <c r="U31" s="28">
        <f>IF(T31="","",T31*Counties!AF345)</f>
        <v/>
      </c>
      <c r="V31" s="17">
        <f>IF(T31="",IF(L31="","not in yet","waiting for the full count"),IF(T31&gt;=0.05,"Great for Hamilton",IF(T31&gt;=0.01,"Hamilton on track",IF(T31&gt;-0.01,"Toss-up",IF(T31&gt;-0.05,"Marshall on track","Great for Marshall")))))</f>
        <v/>
      </c>
      <c r="W31" s="17" t="inlineStr">
        <is>
          <t>20091</t>
        </is>
      </c>
    </row>
    <row r="32" ht="54" customHeight="1">
      <c r="A32" s="17" t="inlineStr">
        <is>
          <t>KS</t>
        </is>
      </c>
      <c r="B32" s="17" t="inlineStr">
        <is>
          <t>Sedgwick</t>
        </is>
      </c>
      <c r="C32" s="17" t="inlineStr">
        <is>
          <t>Wichita. R-leaning swing county.</t>
        </is>
      </c>
      <c r="D32" s="17" t="inlineStr">
        <is>
          <t>If Democrats get within single digits, they're competitive statewide.</t>
        </is>
      </c>
      <c r="E32" s="17" t="inlineStr">
        <is>
          <t>Mid-size/working metro</t>
        </is>
      </c>
      <c r="F32" s="23">
        <f>Counties!O386</f>
        <v/>
      </c>
      <c r="G32" s="24">
        <f>Counties!Q386</f>
        <v/>
      </c>
      <c r="H32" s="23">
        <f>Counties!R386</f>
        <v/>
      </c>
      <c r="I32" s="25">
        <f>Counties!S386</f>
        <v/>
      </c>
      <c r="J32" s="25">
        <f>Counties!AQ386/SUMIFS(Counties!$AQ:$AQ,Counties!$A:$A,"KS")</f>
        <v/>
      </c>
      <c r="K32" s="23">
        <f>Counties!T386</f>
        <v/>
      </c>
      <c r="L32" s="23">
        <f>Counties!AH386</f>
        <v/>
      </c>
      <c r="M32" s="26">
        <f>Counties!AO386</f>
        <v/>
      </c>
      <c r="N32" s="24">
        <f>Counties!AN386</f>
        <v/>
      </c>
      <c r="O32" s="17">
        <f>IF(L32="","not in yet",IF(N32&gt;=0.05,"Great for Hamilton",IF(N32&gt;=0.01,"Hamilton on track",IF(N32&gt;-0.01,"Toss-up",IF(N32&gt;-0.05,"Marshall on track","Great for Marshall"))))&amp;IF(Counties!AG386=1,""," (partial)"))</f>
        <v/>
      </c>
      <c r="P32" s="27">
        <f>Counties!AU386</f>
        <v/>
      </c>
      <c r="Q32" s="23">
        <f>Counties!AV386</f>
        <v/>
      </c>
      <c r="R32" s="27">
        <f>Counties!AW386</f>
        <v/>
      </c>
      <c r="S32" s="24">
        <f>Counties!AX386</f>
        <v/>
      </c>
      <c r="T32" s="24">
        <f>Counties!AY386</f>
        <v/>
      </c>
      <c r="U32" s="28">
        <f>IF(T32="","",T32*Counties!AF386)</f>
        <v/>
      </c>
      <c r="V32" s="17">
        <f>IF(T32="",IF(L32="","not in yet","waiting for the full count"),IF(T32&gt;=0.05,"Great for Hamilton",IF(T32&gt;=0.01,"Hamilton on track",IF(T32&gt;-0.01,"Toss-up",IF(T32&gt;-0.05,"Marshall on track","Great for Marshall")))))</f>
        <v/>
      </c>
      <c r="W32" s="17" t="inlineStr">
        <is>
          <t>20173</t>
        </is>
      </c>
    </row>
    <row r="33" ht="54" customHeight="1">
      <c r="A33" s="17" t="inlineStr">
        <is>
          <t>KS</t>
        </is>
      </c>
      <c r="B33" s="17" t="inlineStr">
        <is>
          <t>Shawnee</t>
        </is>
      </c>
      <c r="C33" s="17" t="inlineStr">
        <is>
          <t>Topeka. Roughly even in 2024.</t>
        </is>
      </c>
      <c r="D33" s="17" t="inlineStr">
        <is>
          <t>Democrats need to win it clearly for an upset.</t>
        </is>
      </c>
      <c r="E33" s="17" t="inlineStr">
        <is>
          <t>Mid-size/working metro</t>
        </is>
      </c>
      <c r="F33" s="23">
        <f>Counties!O388</f>
        <v/>
      </c>
      <c r="G33" s="24">
        <f>Counties!Q388</f>
        <v/>
      </c>
      <c r="H33" s="23">
        <f>Counties!R388</f>
        <v/>
      </c>
      <c r="I33" s="25">
        <f>Counties!S388</f>
        <v/>
      </c>
      <c r="J33" s="25">
        <f>Counties!AQ388/SUMIFS(Counties!$AQ:$AQ,Counties!$A:$A,"KS")</f>
        <v/>
      </c>
      <c r="K33" s="23">
        <f>Counties!T388</f>
        <v/>
      </c>
      <c r="L33" s="23">
        <f>Counties!AH388</f>
        <v/>
      </c>
      <c r="M33" s="26">
        <f>Counties!AO388</f>
        <v/>
      </c>
      <c r="N33" s="24">
        <f>Counties!AN388</f>
        <v/>
      </c>
      <c r="O33" s="17">
        <f>IF(L33="","not in yet",IF(N33&gt;=0.05,"Great for Hamilton",IF(N33&gt;=0.01,"Hamilton on track",IF(N33&gt;-0.01,"Toss-up",IF(N33&gt;-0.05,"Marshall on track","Great for Marshall"))))&amp;IF(Counties!AG388=1,""," (partial)"))</f>
        <v/>
      </c>
      <c r="P33" s="27">
        <f>Counties!AU388</f>
        <v/>
      </c>
      <c r="Q33" s="23">
        <f>Counties!AV388</f>
        <v/>
      </c>
      <c r="R33" s="27">
        <f>Counties!AW388</f>
        <v/>
      </c>
      <c r="S33" s="24">
        <f>Counties!AX388</f>
        <v/>
      </c>
      <c r="T33" s="24">
        <f>Counties!AY388</f>
        <v/>
      </c>
      <c r="U33" s="28">
        <f>IF(T33="","",T33*Counties!AF388)</f>
        <v/>
      </c>
      <c r="V33" s="17">
        <f>IF(T33="",IF(L33="","not in yet","waiting for the full count"),IF(T33&gt;=0.05,"Great for Hamilton",IF(T33&gt;=0.01,"Hamilton on track",IF(T33&gt;-0.01,"Toss-up",IF(T33&gt;-0.05,"Marshall on track","Great for Marshall")))))</f>
        <v/>
      </c>
      <c r="W33" s="17" t="inlineStr">
        <is>
          <t>20177</t>
        </is>
      </c>
    </row>
    <row r="34" ht="54" customHeight="1">
      <c r="A34" s="17" t="inlineStr">
        <is>
          <t>KS</t>
        </is>
      </c>
      <c r="B34" s="17" t="inlineStr">
        <is>
          <t>Douglas</t>
        </is>
      </c>
      <c r="C34" s="17" t="inlineStr">
        <is>
          <t>Lawrence (KU). Very D.</t>
        </is>
      </c>
      <c r="D34" s="17" t="inlineStr">
        <is>
          <t>Student turnout.</t>
        </is>
      </c>
      <c r="E34" s="17" t="inlineStr">
        <is>
          <t>College suburb/metro</t>
        </is>
      </c>
      <c r="F34" s="23">
        <f>Counties!O322</f>
        <v/>
      </c>
      <c r="G34" s="24">
        <f>Counties!Q322</f>
        <v/>
      </c>
      <c r="H34" s="23">
        <f>Counties!R322</f>
        <v/>
      </c>
      <c r="I34" s="25">
        <f>Counties!S322</f>
        <v/>
      </c>
      <c r="J34" s="25">
        <f>Counties!AQ322/SUMIFS(Counties!$AQ:$AQ,Counties!$A:$A,"KS")</f>
        <v/>
      </c>
      <c r="K34" s="23">
        <f>Counties!T322</f>
        <v/>
      </c>
      <c r="L34" s="23">
        <f>Counties!AH322</f>
        <v/>
      </c>
      <c r="M34" s="26">
        <f>Counties!AO322</f>
        <v/>
      </c>
      <c r="N34" s="24">
        <f>Counties!AN322</f>
        <v/>
      </c>
      <c r="O34" s="17">
        <f>IF(L34="","not in yet",IF(N34&gt;=0.05,"Great for Hamilton",IF(N34&gt;=0.01,"Hamilton on track",IF(N34&gt;-0.01,"Toss-up",IF(N34&gt;-0.05,"Marshall on track","Great for Marshall"))))&amp;IF(Counties!AG322=1,""," (partial)"))</f>
        <v/>
      </c>
      <c r="P34" s="27">
        <f>Counties!AU322</f>
        <v/>
      </c>
      <c r="Q34" s="23">
        <f>Counties!AV322</f>
        <v/>
      </c>
      <c r="R34" s="27">
        <f>Counties!AW322</f>
        <v/>
      </c>
      <c r="S34" s="24">
        <f>Counties!AX322</f>
        <v/>
      </c>
      <c r="T34" s="24">
        <f>Counties!AY322</f>
        <v/>
      </c>
      <c r="U34" s="28">
        <f>IF(T34="","",T34*Counties!AF322)</f>
        <v/>
      </c>
      <c r="V34" s="17">
        <f>IF(T34="",IF(L34="","not in yet","waiting for the full count"),IF(T34&gt;=0.05,"Great for Hamilton",IF(T34&gt;=0.01,"Hamilton on track",IF(T34&gt;-0.01,"Toss-up",IF(T34&gt;-0.05,"Marshall on track","Great for Marshall")))))</f>
        <v/>
      </c>
      <c r="W34" s="17" t="inlineStr">
        <is>
          <t>20045</t>
        </is>
      </c>
    </row>
    <row r="35" ht="54" customHeight="1">
      <c r="A35" s="17" t="inlineStr">
        <is>
          <t>KS</t>
        </is>
      </c>
      <c r="B35" s="17" t="inlineStr">
        <is>
          <t>Wyandotte</t>
        </is>
      </c>
      <c r="C35" s="17" t="inlineStr">
        <is>
          <t>Kansas City, Kansas. Black and Hispanic D base that swung R in 2024.</t>
        </is>
      </c>
      <c r="D35" s="17" t="inlineStr">
        <is>
          <t>Turnout and Hispanic swing.</t>
        </is>
      </c>
      <c r="E35" s="17" t="inlineStr">
        <is>
          <t>Mid-size/working metro</t>
        </is>
      </c>
      <c r="F35" s="23">
        <f>Counties!O404</f>
        <v/>
      </c>
      <c r="G35" s="24">
        <f>Counties!Q404</f>
        <v/>
      </c>
      <c r="H35" s="23">
        <f>Counties!R404</f>
        <v/>
      </c>
      <c r="I35" s="25">
        <f>Counties!S404</f>
        <v/>
      </c>
      <c r="J35" s="25">
        <f>Counties!AQ404/SUMIFS(Counties!$AQ:$AQ,Counties!$A:$A,"KS")</f>
        <v/>
      </c>
      <c r="K35" s="23">
        <f>Counties!T404</f>
        <v/>
      </c>
      <c r="L35" s="23">
        <f>Counties!AH404</f>
        <v/>
      </c>
      <c r="M35" s="26">
        <f>Counties!AO404</f>
        <v/>
      </c>
      <c r="N35" s="24">
        <f>Counties!AN404</f>
        <v/>
      </c>
      <c r="O35" s="17">
        <f>IF(L35="","not in yet",IF(N35&gt;=0.05,"Great for Hamilton",IF(N35&gt;=0.01,"Hamilton on track",IF(N35&gt;-0.01,"Toss-up",IF(N35&gt;-0.05,"Marshall on track","Great for Marshall"))))&amp;IF(Counties!AG404=1,""," (partial)"))</f>
        <v/>
      </c>
      <c r="P35" s="27">
        <f>Counties!AU404</f>
        <v/>
      </c>
      <c r="Q35" s="23">
        <f>Counties!AV404</f>
        <v/>
      </c>
      <c r="R35" s="27">
        <f>Counties!AW404</f>
        <v/>
      </c>
      <c r="S35" s="24">
        <f>Counties!AX404</f>
        <v/>
      </c>
      <c r="T35" s="24">
        <f>Counties!AY404</f>
        <v/>
      </c>
      <c r="U35" s="28">
        <f>IF(T35="","",T35*Counties!AF404)</f>
        <v/>
      </c>
      <c r="V35" s="17">
        <f>IF(T35="",IF(L35="","not in yet","waiting for the full count"),IF(T35&gt;=0.05,"Great for Hamilton",IF(T35&gt;=0.01,"Hamilton on track",IF(T35&gt;-0.01,"Toss-up",IF(T35&gt;-0.05,"Marshall on track","Great for Marshall")))))</f>
        <v/>
      </c>
      <c r="W35" s="17" t="inlineStr">
        <is>
          <t>20209</t>
        </is>
      </c>
    </row>
    <row r="36" ht="54" customHeight="1">
      <c r="A36" s="17" t="inlineStr">
        <is>
          <t>KS</t>
        </is>
      </c>
      <c r="B36" s="17" t="inlineStr">
        <is>
          <t>Butler</t>
        </is>
      </c>
      <c r="C36" s="17" t="inlineStr">
        <is>
          <t>Wichita's eastern exurb and the biggest R net-vote county after Sedgwick.</t>
        </is>
      </c>
      <c r="D36" s="17" t="inlineStr">
        <is>
          <t>Turnout plus a margin near R+42. A softer margin means suburban Wichita Republicans are drifting.</t>
        </is>
      </c>
      <c r="E36" s="17" t="inlineStr">
        <is>
          <t>Small town &amp; rural</t>
        </is>
      </c>
      <c r="F36" s="23">
        <f>Counties!O307</f>
        <v/>
      </c>
      <c r="G36" s="24">
        <f>Counties!Q307</f>
        <v/>
      </c>
      <c r="H36" s="23">
        <f>Counties!R307</f>
        <v/>
      </c>
      <c r="I36" s="25">
        <f>Counties!S307</f>
        <v/>
      </c>
      <c r="J36" s="25">
        <f>Counties!AQ307/SUMIFS(Counties!$AQ:$AQ,Counties!$A:$A,"KS")</f>
        <v/>
      </c>
      <c r="K36" s="23">
        <f>Counties!T307</f>
        <v/>
      </c>
      <c r="L36" s="23">
        <f>Counties!AH307</f>
        <v/>
      </c>
      <c r="M36" s="26">
        <f>Counties!AO307</f>
        <v/>
      </c>
      <c r="N36" s="24">
        <f>Counties!AN307</f>
        <v/>
      </c>
      <c r="O36" s="17">
        <f>IF(L36="","not in yet",IF(N36&gt;=0.05,"Great for Hamilton",IF(N36&gt;=0.01,"Hamilton on track",IF(N36&gt;-0.01,"Toss-up",IF(N36&gt;-0.05,"Marshall on track","Great for Marshall"))))&amp;IF(Counties!AG307=1,""," (partial)"))</f>
        <v/>
      </c>
      <c r="P36" s="27">
        <f>Counties!AU307</f>
        <v/>
      </c>
      <c r="Q36" s="23">
        <f>Counties!AV307</f>
        <v/>
      </c>
      <c r="R36" s="27">
        <f>Counties!AW307</f>
        <v/>
      </c>
      <c r="S36" s="24">
        <f>Counties!AX307</f>
        <v/>
      </c>
      <c r="T36" s="24">
        <f>Counties!AY307</f>
        <v/>
      </c>
      <c r="U36" s="28">
        <f>IF(T36="","",T36*Counties!AF307)</f>
        <v/>
      </c>
      <c r="V36" s="17">
        <f>IF(T36="",IF(L36="","not in yet","waiting for the full count"),IF(T36&gt;=0.05,"Great for Hamilton",IF(T36&gt;=0.01,"Hamilton on track",IF(T36&gt;-0.01,"Toss-up",IF(T36&gt;-0.05,"Marshall on track","Great for Marshall")))))</f>
        <v/>
      </c>
      <c r="W36" s="17" t="inlineStr">
        <is>
          <t>20015</t>
        </is>
      </c>
    </row>
    <row r="37" ht="54" customHeight="1">
      <c r="A37" s="17" t="inlineStr">
        <is>
          <t>KS</t>
        </is>
      </c>
      <c r="B37" s="17" t="inlineStr">
        <is>
          <t>Reno</t>
        </is>
      </c>
      <c r="C37" s="17" t="inlineStr">
        <is>
          <t>Hutchinson. A small-city county that stands in for central Kansas.</t>
        </is>
      </c>
      <c r="D37" s="17" t="inlineStr">
        <is>
          <t>Midterm turnout leans R here: R+45 in the 2022 Senate race vs R+35 in 2024. Republicans want it closer to 2022.</t>
        </is>
      </c>
      <c r="E37" s="17" t="inlineStr">
        <is>
          <t>Small town &amp; rural</t>
        </is>
      </c>
      <c r="F37" s="23">
        <f>Counties!O377</f>
        <v/>
      </c>
      <c r="G37" s="24">
        <f>Counties!Q377</f>
        <v/>
      </c>
      <c r="H37" s="23">
        <f>Counties!R377</f>
        <v/>
      </c>
      <c r="I37" s="25">
        <f>Counties!S377</f>
        <v/>
      </c>
      <c r="J37" s="25">
        <f>Counties!AQ377/SUMIFS(Counties!$AQ:$AQ,Counties!$A:$A,"KS")</f>
        <v/>
      </c>
      <c r="K37" s="23">
        <f>Counties!T377</f>
        <v/>
      </c>
      <c r="L37" s="23">
        <f>Counties!AH377</f>
        <v/>
      </c>
      <c r="M37" s="26">
        <f>Counties!AO377</f>
        <v/>
      </c>
      <c r="N37" s="24">
        <f>Counties!AN377</f>
        <v/>
      </c>
      <c r="O37" s="17">
        <f>IF(L37="","not in yet",IF(N37&gt;=0.05,"Great for Hamilton",IF(N37&gt;=0.01,"Hamilton on track",IF(N37&gt;-0.01,"Toss-up",IF(N37&gt;-0.05,"Marshall on track","Great for Marshall"))))&amp;IF(Counties!AG377=1,""," (partial)"))</f>
        <v/>
      </c>
      <c r="P37" s="27">
        <f>Counties!AU377</f>
        <v/>
      </c>
      <c r="Q37" s="23">
        <f>Counties!AV377</f>
        <v/>
      </c>
      <c r="R37" s="27">
        <f>Counties!AW377</f>
        <v/>
      </c>
      <c r="S37" s="24">
        <f>Counties!AX377</f>
        <v/>
      </c>
      <c r="T37" s="24">
        <f>Counties!AY377</f>
        <v/>
      </c>
      <c r="U37" s="28">
        <f>IF(T37="","",T37*Counties!AF377)</f>
        <v/>
      </c>
      <c r="V37" s="17">
        <f>IF(T37="",IF(L37="","not in yet","waiting for the full count"),IF(T37&gt;=0.05,"Great for Hamilton",IF(T37&gt;=0.01,"Hamilton on track",IF(T37&gt;-0.01,"Toss-up",IF(T37&gt;-0.05,"Marshall on track","Great for Marshall")))))</f>
        <v/>
      </c>
      <c r="W37" s="17" t="inlineStr">
        <is>
          <t>20155</t>
        </is>
      </c>
    </row>
    <row r="38" ht="54" customHeight="1">
      <c r="A38" s="17" t="inlineStr">
        <is>
          <t>KS</t>
        </is>
      </c>
      <c r="B38" s="17" t="inlineStr">
        <is>
          <t>Riley</t>
        </is>
      </c>
      <c r="C38" s="17" t="inlineStr">
        <is>
          <t>Manhattan (K-State, Fort Riley). Swingy college town.</t>
        </is>
      </c>
      <c r="D38" s="17" t="inlineStr">
        <is>
          <t>Youth turnout.</t>
        </is>
      </c>
      <c r="E38" s="17" t="inlineStr">
        <is>
          <t>Small town &amp; rural</t>
        </is>
      </c>
      <c r="F38" s="23">
        <f>Counties!O380</f>
        <v/>
      </c>
      <c r="G38" s="24">
        <f>Counties!Q380</f>
        <v/>
      </c>
      <c r="H38" s="23">
        <f>Counties!R380</f>
        <v/>
      </c>
      <c r="I38" s="25">
        <f>Counties!S380</f>
        <v/>
      </c>
      <c r="J38" s="25">
        <f>Counties!AQ380/SUMIFS(Counties!$AQ:$AQ,Counties!$A:$A,"KS")</f>
        <v/>
      </c>
      <c r="K38" s="23">
        <f>Counties!T380</f>
        <v/>
      </c>
      <c r="L38" s="23">
        <f>Counties!AH380</f>
        <v/>
      </c>
      <c r="M38" s="26">
        <f>Counties!AO380</f>
        <v/>
      </c>
      <c r="N38" s="24">
        <f>Counties!AN380</f>
        <v/>
      </c>
      <c r="O38" s="17">
        <f>IF(L38="","not in yet",IF(N38&gt;=0.05,"Great for Hamilton",IF(N38&gt;=0.01,"Hamilton on track",IF(N38&gt;-0.01,"Toss-up",IF(N38&gt;-0.05,"Marshall on track","Great for Marshall"))))&amp;IF(Counties!AG380=1,""," (partial)"))</f>
        <v/>
      </c>
      <c r="P38" s="27">
        <f>Counties!AU380</f>
        <v/>
      </c>
      <c r="Q38" s="23">
        <f>Counties!AV380</f>
        <v/>
      </c>
      <c r="R38" s="27">
        <f>Counties!AW380</f>
        <v/>
      </c>
      <c r="S38" s="24">
        <f>Counties!AX380</f>
        <v/>
      </c>
      <c r="T38" s="24">
        <f>Counties!AY380</f>
        <v/>
      </c>
      <c r="U38" s="28">
        <f>IF(T38="","",T38*Counties!AF380)</f>
        <v/>
      </c>
      <c r="V38" s="17">
        <f>IF(T38="",IF(L38="","not in yet","waiting for the full count"),IF(T38&gt;=0.05,"Great for Hamilton",IF(T38&gt;=0.01,"Hamilton on track",IF(T38&gt;-0.01,"Toss-up",IF(T38&gt;-0.05,"Marshall on track","Great for Marshall")))))</f>
        <v/>
      </c>
      <c r="W38" s="17" t="inlineStr">
        <is>
          <t>20161</t>
        </is>
      </c>
    </row>
    <row r="39" ht="54" customHeight="1">
      <c r="A39" s="29" t="inlineStr">
        <is>
          <t>KS</t>
        </is>
      </c>
      <c r="B39" s="29" t="inlineStr">
        <is>
          <t>All rural (94)</t>
        </is>
      </c>
      <c r="C39" s="29" t="inlineStr">
        <is>
          <t>Every small-town and rural county together: the Republican base's turnout test.</t>
        </is>
      </c>
      <c r="D39" s="29" t="inlineStr">
        <is>
          <t>Turnout index from its finished counties. Above 100 means the rural base is a bigger share of the vote than a tie assumes; the margin rarely moves much.</t>
        </is>
      </c>
      <c r="E39" s="29" t="inlineStr">
        <is>
          <t>Small town &amp; rural</t>
        </is>
      </c>
      <c r="F39" s="30">
        <f>Types!M16</f>
        <v/>
      </c>
      <c r="G39" s="31" t="n"/>
      <c r="H39" s="30" t="n"/>
      <c r="I39" s="32" t="n"/>
      <c r="J39" s="32">
        <f>Types!L16</f>
        <v/>
      </c>
      <c r="K39" s="30">
        <f>Types!P16</f>
        <v/>
      </c>
      <c r="L39" s="30">
        <f>Types!S16</f>
        <v/>
      </c>
      <c r="M39" s="33">
        <f>IFERROR(Types!E16/Types!D16,"")</f>
        <v/>
      </c>
      <c r="N39" s="31">
        <f>IF(L39="","",L39-K39)</f>
        <v/>
      </c>
      <c r="O39" s="29">
        <f>IF(Types!F16=0,"not in yet",IF(N39&gt;=0.05,"Great for Hamilton",IF(N39&gt;=0.01,"Hamilton on track",IF(N39&gt;-0.01,"Toss-up",IF(N39&gt;-0.05,"Marshall on track","Great for Marshall"))))&amp;" (projected)")</f>
        <v/>
      </c>
      <c r="P39" s="34">
        <f>Types!V16</f>
        <v/>
      </c>
      <c r="Q39" s="30">
        <f>Types!W16</f>
        <v/>
      </c>
      <c r="R39" s="34" t="n"/>
      <c r="S39" s="31">
        <f>IF(Q39="","",K39-Q39)</f>
        <v/>
      </c>
      <c r="T39" s="31">
        <f>Types!X16</f>
        <v/>
      </c>
      <c r="U39" s="35">
        <f>Types!Y16</f>
        <v/>
      </c>
      <c r="V39" s="29">
        <f>IF(T39="","not in yet",IF(T39&gt;=0.05,"Great for Hamilton",IF(T39&gt;=0.01,"Hamilton on track",IF(T39&gt;-0.01,"Toss-up",IF(T39&gt;-0.05,"Marshall on track","Great for Marshall"))))&amp;" (finished counties)")</f>
        <v/>
      </c>
      <c r="W39" s="29" t="n"/>
    </row>
    <row r="40">
      <c r="A40" s="22" t="inlineStr">
        <is>
          <t>Maine  ·  2024: D+7.1 (D+7.2 with 2022's turnout pattern)  ·  Troy Jackson vs Susan Collins</t>
        </is>
      </c>
      <c r="B40" s="22" t="n"/>
      <c r="C40" s="22" t="n"/>
      <c r="D40" s="22" t="n"/>
      <c r="E40" s="22" t="n"/>
      <c r="F40" s="22" t="n"/>
      <c r="G40" s="22" t="n"/>
      <c r="H40" s="22" t="n"/>
      <c r="I40" s="22" t="n"/>
      <c r="J40" s="22" t="n"/>
      <c r="K40" s="22" t="n"/>
      <c r="L40" s="22" t="n"/>
      <c r="M40" s="22" t="n"/>
      <c r="N40" s="22" t="n"/>
      <c r="O40" s="22" t="n"/>
      <c r="P40" s="22" t="n"/>
      <c r="Q40" s="22" t="n"/>
      <c r="R40" s="22" t="n"/>
      <c r="S40" s="22" t="n"/>
      <c r="T40" s="22" t="n"/>
      <c r="U40" s="22" t="n"/>
      <c r="V40" s="22" t="n"/>
      <c r="W40" s="22" t="n"/>
    </row>
    <row r="41" ht="54" customHeight="1">
      <c r="A41" s="17" t="inlineStr">
        <is>
          <t>ME</t>
        </is>
      </c>
      <c r="B41" s="17" t="inlineStr">
        <is>
          <t>Cumberland</t>
        </is>
      </c>
      <c r="C41" s="17" t="inlineStr">
        <is>
          <t>Portland. A quarter of the state's vote and very D.</t>
        </is>
      </c>
      <c r="D41" s="17" t="inlineStr">
        <is>
          <t>Margin and turnout. Collins has historically cut into it.</t>
        </is>
      </c>
      <c r="E41" s="17" t="inlineStr">
        <is>
          <t>College suburb/metro</t>
        </is>
      </c>
      <c r="F41" s="23">
        <f>Counties!O407</f>
        <v/>
      </c>
      <c r="G41" s="24">
        <f>Counties!Q407</f>
        <v/>
      </c>
      <c r="H41" s="23">
        <f>Counties!R407</f>
        <v/>
      </c>
      <c r="I41" s="25">
        <f>Counties!S407</f>
        <v/>
      </c>
      <c r="J41" s="25">
        <f>Counties!AQ407/SUMIFS(Counties!$AQ:$AQ,Counties!$A:$A,"ME")</f>
        <v/>
      </c>
      <c r="K41" s="23">
        <f>Counties!T407</f>
        <v/>
      </c>
      <c r="L41" s="23">
        <f>Counties!AH407</f>
        <v/>
      </c>
      <c r="M41" s="26">
        <f>Counties!AO407</f>
        <v/>
      </c>
      <c r="N41" s="24">
        <f>Counties!AN407</f>
        <v/>
      </c>
      <c r="O41" s="17">
        <f>IF(L41="","not in yet",IF(N41&gt;=0.05,"Great for Jackson",IF(N41&gt;=0.01,"Jackson on track",IF(N41&gt;-0.01,"Toss-up",IF(N41&gt;-0.05,"Collins on track","Great for Collins"))))&amp;IF(Counties!AG407=1,""," (partial)"))</f>
        <v/>
      </c>
      <c r="P41" s="27">
        <f>Counties!AU407</f>
        <v/>
      </c>
      <c r="Q41" s="23">
        <f>Counties!AV407</f>
        <v/>
      </c>
      <c r="R41" s="27">
        <f>Counties!AW407</f>
        <v/>
      </c>
      <c r="S41" s="24">
        <f>Counties!AX407</f>
        <v/>
      </c>
      <c r="T41" s="24">
        <f>Counties!AY407</f>
        <v/>
      </c>
      <c r="U41" s="28">
        <f>IF(T41="","",T41*Counties!AF407)</f>
        <v/>
      </c>
      <c r="V41" s="17">
        <f>IF(T41="",IF(L41="","not in yet","waiting for the full count"),IF(T41&gt;=0.05,"Great for Jackson",IF(T41&gt;=0.01,"Jackson on track",IF(T41&gt;-0.01,"Toss-up",IF(T41&gt;-0.05,"Collins on track","Great for Collins")))))</f>
        <v/>
      </c>
      <c r="W41" s="17" t="inlineStr">
        <is>
          <t>23005</t>
        </is>
      </c>
    </row>
    <row r="42" ht="54" customHeight="1">
      <c r="A42" s="17" t="inlineStr">
        <is>
          <t>ME</t>
        </is>
      </c>
      <c r="B42" s="17" t="inlineStr">
        <is>
          <t>York</t>
        </is>
      </c>
      <c r="C42" s="17" t="inlineStr">
        <is>
          <t>Southern Maine. Bigger and more swingy than Cumberland.</t>
        </is>
      </c>
      <c r="D42" s="17" t="inlineStr">
        <is>
          <t>Collins's crossover strength. Democrats want about +15.</t>
        </is>
      </c>
      <c r="E42" s="17" t="inlineStr">
        <is>
          <t>Mid-size/working metro</t>
        </is>
      </c>
      <c r="F42" s="23">
        <f>Counties!O420</f>
        <v/>
      </c>
      <c r="G42" s="24">
        <f>Counties!Q420</f>
        <v/>
      </c>
      <c r="H42" s="23">
        <f>Counties!R420</f>
        <v/>
      </c>
      <c r="I42" s="25">
        <f>Counties!S420</f>
        <v/>
      </c>
      <c r="J42" s="25">
        <f>Counties!AQ420/SUMIFS(Counties!$AQ:$AQ,Counties!$A:$A,"ME")</f>
        <v/>
      </c>
      <c r="K42" s="23">
        <f>Counties!T420</f>
        <v/>
      </c>
      <c r="L42" s="23">
        <f>Counties!AH420</f>
        <v/>
      </c>
      <c r="M42" s="26">
        <f>Counties!AO420</f>
        <v/>
      </c>
      <c r="N42" s="24">
        <f>Counties!AN420</f>
        <v/>
      </c>
      <c r="O42" s="17">
        <f>IF(L42="","not in yet",IF(N42&gt;=0.05,"Great for Jackson",IF(N42&gt;=0.01,"Jackson on track",IF(N42&gt;-0.01,"Toss-up",IF(N42&gt;-0.05,"Collins on track","Great for Collins"))))&amp;IF(Counties!AG420=1,""," (partial)"))</f>
        <v/>
      </c>
      <c r="P42" s="27">
        <f>Counties!AU420</f>
        <v/>
      </c>
      <c r="Q42" s="23">
        <f>Counties!AV420</f>
        <v/>
      </c>
      <c r="R42" s="27">
        <f>Counties!AW420</f>
        <v/>
      </c>
      <c r="S42" s="24">
        <f>Counties!AX420</f>
        <v/>
      </c>
      <c r="T42" s="24">
        <f>Counties!AY420</f>
        <v/>
      </c>
      <c r="U42" s="28">
        <f>IF(T42="","",T42*Counties!AF420)</f>
        <v/>
      </c>
      <c r="V42" s="17">
        <f>IF(T42="",IF(L42="","not in yet","waiting for the full count"),IF(T42&gt;=0.05,"Great for Jackson",IF(T42&gt;=0.01,"Jackson on track",IF(T42&gt;-0.01,"Toss-up",IF(T42&gt;-0.05,"Collins on track","Great for Collins")))))</f>
        <v/>
      </c>
      <c r="W42" s="17" t="inlineStr">
        <is>
          <t>23031</t>
        </is>
      </c>
    </row>
    <row r="43" ht="54" customHeight="1">
      <c r="A43" s="17" t="inlineStr">
        <is>
          <t>ME</t>
        </is>
      </c>
      <c r="B43" s="17" t="inlineStr">
        <is>
          <t>Penobscot</t>
        </is>
      </c>
      <c r="C43" s="17" t="inlineStr">
        <is>
          <t>Bangor. The 2nd District's population center, leans R.</t>
        </is>
      </c>
      <c r="D43" s="17" t="inlineStr">
        <is>
          <t>Jackson is from northern Maine. Watch whether he cuts into the R margin here.</t>
        </is>
      </c>
      <c r="E43" s="17" t="inlineStr">
        <is>
          <t>Mid-size/working metro</t>
        </is>
      </c>
      <c r="F43" s="23">
        <f>Counties!O414</f>
        <v/>
      </c>
      <c r="G43" s="24">
        <f>Counties!Q414</f>
        <v/>
      </c>
      <c r="H43" s="23">
        <f>Counties!R414</f>
        <v/>
      </c>
      <c r="I43" s="25">
        <f>Counties!S414</f>
        <v/>
      </c>
      <c r="J43" s="25">
        <f>Counties!AQ414/SUMIFS(Counties!$AQ:$AQ,Counties!$A:$A,"ME")</f>
        <v/>
      </c>
      <c r="K43" s="23">
        <f>Counties!T414</f>
        <v/>
      </c>
      <c r="L43" s="23">
        <f>Counties!AH414</f>
        <v/>
      </c>
      <c r="M43" s="26">
        <f>Counties!AO414</f>
        <v/>
      </c>
      <c r="N43" s="24">
        <f>Counties!AN414</f>
        <v/>
      </c>
      <c r="O43" s="17">
        <f>IF(L43="","not in yet",IF(N43&gt;=0.05,"Great for Jackson",IF(N43&gt;=0.01,"Jackson on track",IF(N43&gt;-0.01,"Toss-up",IF(N43&gt;-0.05,"Collins on track","Great for Collins"))))&amp;IF(Counties!AG414=1,""," (partial)"))</f>
        <v/>
      </c>
      <c r="P43" s="27">
        <f>Counties!AU414</f>
        <v/>
      </c>
      <c r="Q43" s="23">
        <f>Counties!AV414</f>
        <v/>
      </c>
      <c r="R43" s="27">
        <f>Counties!AW414</f>
        <v/>
      </c>
      <c r="S43" s="24">
        <f>Counties!AX414</f>
        <v/>
      </c>
      <c r="T43" s="24">
        <f>Counties!AY414</f>
        <v/>
      </c>
      <c r="U43" s="28">
        <f>IF(T43="","",T43*Counties!AF414)</f>
        <v/>
      </c>
      <c r="V43" s="17">
        <f>IF(T43="",IF(L43="","not in yet","waiting for the full count"),IF(T43&gt;=0.05,"Great for Jackson",IF(T43&gt;=0.01,"Jackson on track",IF(T43&gt;-0.01,"Toss-up",IF(T43&gt;-0.05,"Collins on track","Great for Collins")))))</f>
        <v/>
      </c>
      <c r="W43" s="17" t="inlineStr">
        <is>
          <t>23019</t>
        </is>
      </c>
    </row>
    <row r="44" ht="54" customHeight="1">
      <c r="A44" s="17" t="inlineStr">
        <is>
          <t>ME</t>
        </is>
      </c>
      <c r="B44" s="17" t="inlineStr">
        <is>
          <t>Kennebec</t>
        </is>
      </c>
      <c r="C44" s="17" t="inlineStr">
        <is>
          <t>Augusta. Roughly even, about 10 points right of the state in 2024.</t>
        </is>
      </c>
      <c r="D44" s="17" t="inlineStr">
        <is>
          <t>A Jackson win here would point to a comfortable statewide win.</t>
        </is>
      </c>
      <c r="E44" s="17" t="inlineStr">
        <is>
          <t>Mid-size/working metro</t>
        </is>
      </c>
      <c r="F44" s="23">
        <f>Counties!O410</f>
        <v/>
      </c>
      <c r="G44" s="24">
        <f>Counties!Q410</f>
        <v/>
      </c>
      <c r="H44" s="23">
        <f>Counties!R410</f>
        <v/>
      </c>
      <c r="I44" s="25">
        <f>Counties!S410</f>
        <v/>
      </c>
      <c r="J44" s="25">
        <f>Counties!AQ410/SUMIFS(Counties!$AQ:$AQ,Counties!$A:$A,"ME")</f>
        <v/>
      </c>
      <c r="K44" s="23">
        <f>Counties!T410</f>
        <v/>
      </c>
      <c r="L44" s="23">
        <f>Counties!AH410</f>
        <v/>
      </c>
      <c r="M44" s="26">
        <f>Counties!AO410</f>
        <v/>
      </c>
      <c r="N44" s="24">
        <f>Counties!AN410</f>
        <v/>
      </c>
      <c r="O44" s="17">
        <f>IF(L44="","not in yet",IF(N44&gt;=0.05,"Great for Jackson",IF(N44&gt;=0.01,"Jackson on track",IF(N44&gt;-0.01,"Toss-up",IF(N44&gt;-0.05,"Collins on track","Great for Collins"))))&amp;IF(Counties!AG410=1,""," (partial)"))</f>
        <v/>
      </c>
      <c r="P44" s="27">
        <f>Counties!AU410</f>
        <v/>
      </c>
      <c r="Q44" s="23">
        <f>Counties!AV410</f>
        <v/>
      </c>
      <c r="R44" s="27">
        <f>Counties!AW410</f>
        <v/>
      </c>
      <c r="S44" s="24">
        <f>Counties!AX410</f>
        <v/>
      </c>
      <c r="T44" s="24">
        <f>Counties!AY410</f>
        <v/>
      </c>
      <c r="U44" s="28">
        <f>IF(T44="","",T44*Counties!AF410)</f>
        <v/>
      </c>
      <c r="V44" s="17">
        <f>IF(T44="",IF(L44="","not in yet","waiting for the full count"),IF(T44&gt;=0.05,"Great for Jackson",IF(T44&gt;=0.01,"Jackson on track",IF(T44&gt;-0.01,"Toss-up",IF(T44&gt;-0.05,"Collins on track","Great for Collins")))))</f>
        <v/>
      </c>
      <c r="W44" s="17" t="inlineStr">
        <is>
          <t>23011</t>
        </is>
      </c>
    </row>
    <row r="45" ht="54" customHeight="1">
      <c r="A45" s="17" t="inlineStr">
        <is>
          <t>ME</t>
        </is>
      </c>
      <c r="B45" s="17" t="inlineStr">
        <is>
          <t>Androscoggin</t>
        </is>
      </c>
      <c r="C45" s="17" t="inlineStr">
        <is>
          <t>Lewiston-Auburn. A blue-collar former D county that now leans R.</t>
        </is>
      </c>
      <c r="D45" s="17" t="inlineStr">
        <is>
          <t>Working-class swing.</t>
        </is>
      </c>
      <c r="E45" s="17" t="inlineStr">
        <is>
          <t>Mid-size/working metro</t>
        </is>
      </c>
      <c r="F45" s="23">
        <f>Counties!O405</f>
        <v/>
      </c>
      <c r="G45" s="24">
        <f>Counties!Q405</f>
        <v/>
      </c>
      <c r="H45" s="23">
        <f>Counties!R405</f>
        <v/>
      </c>
      <c r="I45" s="25">
        <f>Counties!S405</f>
        <v/>
      </c>
      <c r="J45" s="25">
        <f>Counties!AQ405/SUMIFS(Counties!$AQ:$AQ,Counties!$A:$A,"ME")</f>
        <v/>
      </c>
      <c r="K45" s="23">
        <f>Counties!T405</f>
        <v/>
      </c>
      <c r="L45" s="23">
        <f>Counties!AH405</f>
        <v/>
      </c>
      <c r="M45" s="26">
        <f>Counties!AO405</f>
        <v/>
      </c>
      <c r="N45" s="24">
        <f>Counties!AN405</f>
        <v/>
      </c>
      <c r="O45" s="17">
        <f>IF(L45="","not in yet",IF(N45&gt;=0.05,"Great for Jackson",IF(N45&gt;=0.01,"Jackson on track",IF(N45&gt;-0.01,"Toss-up",IF(N45&gt;-0.05,"Collins on track","Great for Collins"))))&amp;IF(Counties!AG405=1,""," (partial)"))</f>
        <v/>
      </c>
      <c r="P45" s="27">
        <f>Counties!AU405</f>
        <v/>
      </c>
      <c r="Q45" s="23">
        <f>Counties!AV405</f>
        <v/>
      </c>
      <c r="R45" s="27">
        <f>Counties!AW405</f>
        <v/>
      </c>
      <c r="S45" s="24">
        <f>Counties!AX405</f>
        <v/>
      </c>
      <c r="T45" s="24">
        <f>Counties!AY405</f>
        <v/>
      </c>
      <c r="U45" s="28">
        <f>IF(T45="","",T45*Counties!AF405)</f>
        <v/>
      </c>
      <c r="V45" s="17">
        <f>IF(T45="",IF(L45="","not in yet","waiting for the full count"),IF(T45&gt;=0.05,"Great for Jackson",IF(T45&gt;=0.01,"Jackson on track",IF(T45&gt;-0.01,"Toss-up",IF(T45&gt;-0.05,"Collins on track","Great for Collins")))))</f>
        <v/>
      </c>
      <c r="W45" s="17" t="inlineStr">
        <is>
          <t>23001</t>
        </is>
      </c>
    </row>
    <row r="46" ht="54" customHeight="1">
      <c r="A46" s="17" t="inlineStr">
        <is>
          <t>ME</t>
        </is>
      </c>
      <c r="B46" s="17" t="inlineStr">
        <is>
          <t>Aroostook</t>
        </is>
      </c>
      <c r="C46" s="17" t="inlineStr">
        <is>
          <t>The County. Rural far north, where Jackson is from.</t>
        </is>
      </c>
      <c r="D46" s="17" t="inlineStr">
        <is>
          <t>A home-region bounce for Jackson would show up here first.</t>
        </is>
      </c>
      <c r="E46" s="17" t="inlineStr">
        <is>
          <t>Small town &amp; rural</t>
        </is>
      </c>
      <c r="F46" s="23">
        <f>Counties!O406</f>
        <v/>
      </c>
      <c r="G46" s="24">
        <f>Counties!Q406</f>
        <v/>
      </c>
      <c r="H46" s="23">
        <f>Counties!R406</f>
        <v/>
      </c>
      <c r="I46" s="25">
        <f>Counties!S406</f>
        <v/>
      </c>
      <c r="J46" s="25">
        <f>Counties!AQ406/SUMIFS(Counties!$AQ:$AQ,Counties!$A:$A,"ME")</f>
        <v/>
      </c>
      <c r="K46" s="23">
        <f>Counties!T406</f>
        <v/>
      </c>
      <c r="L46" s="23">
        <f>Counties!AH406</f>
        <v/>
      </c>
      <c r="M46" s="26">
        <f>Counties!AO406</f>
        <v/>
      </c>
      <c r="N46" s="24">
        <f>Counties!AN406</f>
        <v/>
      </c>
      <c r="O46" s="17">
        <f>IF(L46="","not in yet",IF(N46&gt;=0.05,"Great for Jackson",IF(N46&gt;=0.01,"Jackson on track",IF(N46&gt;-0.01,"Toss-up",IF(N46&gt;-0.05,"Collins on track","Great for Collins"))))&amp;IF(Counties!AG406=1,""," (partial)"))</f>
        <v/>
      </c>
      <c r="P46" s="27">
        <f>Counties!AU406</f>
        <v/>
      </c>
      <c r="Q46" s="23">
        <f>Counties!AV406</f>
        <v/>
      </c>
      <c r="R46" s="27">
        <f>Counties!AW406</f>
        <v/>
      </c>
      <c r="S46" s="24">
        <f>Counties!AX406</f>
        <v/>
      </c>
      <c r="T46" s="24">
        <f>Counties!AY406</f>
        <v/>
      </c>
      <c r="U46" s="28">
        <f>IF(T46="","",T46*Counties!AF406)</f>
        <v/>
      </c>
      <c r="V46" s="17">
        <f>IF(T46="",IF(L46="","not in yet","waiting for the full count"),IF(T46&gt;=0.05,"Great for Jackson",IF(T46&gt;=0.01,"Jackson on track",IF(T46&gt;-0.01,"Toss-up",IF(T46&gt;-0.05,"Collins on track","Great for Collins")))))</f>
        <v/>
      </c>
      <c r="W46" s="17" t="inlineStr">
        <is>
          <t>23003</t>
        </is>
      </c>
    </row>
    <row r="47" ht="54" customHeight="1">
      <c r="A47" s="17" t="inlineStr">
        <is>
          <t>ME</t>
        </is>
      </c>
      <c r="B47" s="17" t="inlineStr">
        <is>
          <t>Somerset</t>
        </is>
      </c>
      <c r="C47" s="17" t="inlineStr">
        <is>
          <t>Rural central Maine (Skowhegan), R+28 and among the three biggest R net-vote counties.</t>
        </is>
      </c>
      <c r="D47" s="17" t="inlineStr">
        <is>
          <t>Rural Republican turnout in the 2nd District. It moved 3.5 pts toward R from 2020 to 2024 but was only R+19 in the 2022 governor race.</t>
        </is>
      </c>
      <c r="E47" s="17" t="inlineStr">
        <is>
          <t>Small town &amp; rural</t>
        </is>
      </c>
      <c r="F47" s="23">
        <f>Counties!O417</f>
        <v/>
      </c>
      <c r="G47" s="24">
        <f>Counties!Q417</f>
        <v/>
      </c>
      <c r="H47" s="23">
        <f>Counties!R417</f>
        <v/>
      </c>
      <c r="I47" s="25">
        <f>Counties!S417</f>
        <v/>
      </c>
      <c r="J47" s="25">
        <f>Counties!AQ417/SUMIFS(Counties!$AQ:$AQ,Counties!$A:$A,"ME")</f>
        <v/>
      </c>
      <c r="K47" s="23">
        <f>Counties!T417</f>
        <v/>
      </c>
      <c r="L47" s="23">
        <f>Counties!AH417</f>
        <v/>
      </c>
      <c r="M47" s="26">
        <f>Counties!AO417</f>
        <v/>
      </c>
      <c r="N47" s="24">
        <f>Counties!AN417</f>
        <v/>
      </c>
      <c r="O47" s="17">
        <f>IF(L47="","not in yet",IF(N47&gt;=0.05,"Great for Jackson",IF(N47&gt;=0.01,"Jackson on track",IF(N47&gt;-0.01,"Toss-up",IF(N47&gt;-0.05,"Collins on track","Great for Collins"))))&amp;IF(Counties!AG417=1,""," (partial)"))</f>
        <v/>
      </c>
      <c r="P47" s="27">
        <f>Counties!AU417</f>
        <v/>
      </c>
      <c r="Q47" s="23">
        <f>Counties!AV417</f>
        <v/>
      </c>
      <c r="R47" s="27">
        <f>Counties!AW417</f>
        <v/>
      </c>
      <c r="S47" s="24">
        <f>Counties!AX417</f>
        <v/>
      </c>
      <c r="T47" s="24">
        <f>Counties!AY417</f>
        <v/>
      </c>
      <c r="U47" s="28">
        <f>IF(T47="","",T47*Counties!AF417)</f>
        <v/>
      </c>
      <c r="V47" s="17">
        <f>IF(T47="",IF(L47="","not in yet","waiting for the full count"),IF(T47&gt;=0.05,"Great for Jackson",IF(T47&gt;=0.01,"Jackson on track",IF(T47&gt;-0.01,"Toss-up",IF(T47&gt;-0.05,"Collins on track","Great for Collins")))))</f>
        <v/>
      </c>
      <c r="W47" s="17" t="inlineStr">
        <is>
          <t>23025</t>
        </is>
      </c>
    </row>
    <row r="48" ht="54" customHeight="1">
      <c r="A48" s="29" t="inlineStr">
        <is>
          <t>ME</t>
        </is>
      </c>
      <c r="B48" s="29" t="inlineStr">
        <is>
          <t>All rural (11)</t>
        </is>
      </c>
      <c r="C48" s="29" t="inlineStr">
        <is>
          <t>Every small-town and rural county together: the Republican base's turnout test.</t>
        </is>
      </c>
      <c r="D48" s="29" t="inlineStr">
        <is>
          <t>Turnout index from its finished counties. Above 100 means the rural base is a bigger share of the vote than a tie assumes; the margin rarely moves much.</t>
        </is>
      </c>
      <c r="E48" s="29" t="inlineStr">
        <is>
          <t>Small town &amp; rural</t>
        </is>
      </c>
      <c r="F48" s="30">
        <f>Types!M19</f>
        <v/>
      </c>
      <c r="G48" s="31" t="n"/>
      <c r="H48" s="30" t="n"/>
      <c r="I48" s="32" t="n"/>
      <c r="J48" s="32">
        <f>Types!L19</f>
        <v/>
      </c>
      <c r="K48" s="30">
        <f>Types!P19</f>
        <v/>
      </c>
      <c r="L48" s="30">
        <f>Types!S19</f>
        <v/>
      </c>
      <c r="M48" s="33">
        <f>IFERROR(Types!E19/Types!D19,"")</f>
        <v/>
      </c>
      <c r="N48" s="31">
        <f>IF(L48="","",L48-K48)</f>
        <v/>
      </c>
      <c r="O48" s="29">
        <f>IF(Types!F19=0,"not in yet",IF(N48&gt;=0.05,"Great for Jackson",IF(N48&gt;=0.01,"Jackson on track",IF(N48&gt;-0.01,"Toss-up",IF(N48&gt;-0.05,"Collins on track","Great for Collins"))))&amp;" (projected)")</f>
        <v/>
      </c>
      <c r="P48" s="34">
        <f>Types!V19</f>
        <v/>
      </c>
      <c r="Q48" s="30">
        <f>Types!W19</f>
        <v/>
      </c>
      <c r="R48" s="34" t="n"/>
      <c r="S48" s="31">
        <f>IF(Q48="","",K48-Q48)</f>
        <v/>
      </c>
      <c r="T48" s="31">
        <f>Types!X19</f>
        <v/>
      </c>
      <c r="U48" s="35">
        <f>Types!Y19</f>
        <v/>
      </c>
      <c r="V48" s="29">
        <f>IF(T48="","not in yet",IF(T48&gt;=0.05,"Great for Jackson",IF(T48&gt;=0.01,"Jackson on track",IF(T48&gt;-0.01,"Toss-up",IF(T48&gt;-0.05,"Collins on track","Great for Collins"))))&amp;" (finished counties)")</f>
        <v/>
      </c>
      <c r="W48" s="29" t="n"/>
    </row>
    <row r="49">
      <c r="A49" s="22" t="inlineStr">
        <is>
          <t>Michigan  ·  2024: R+1.4 (R+1.8 with 2022's turnout pattern)  ·  Abdul El-Sayed vs Mike Rogers</t>
        </is>
      </c>
      <c r="B49" s="22" t="n"/>
      <c r="C49" s="22" t="n"/>
      <c r="D49" s="22" t="n"/>
      <c r="E49" s="22" t="n"/>
      <c r="F49" s="22" t="n"/>
      <c r="G49" s="22" t="n"/>
      <c r="H49" s="22" t="n"/>
      <c r="I49" s="22" t="n"/>
      <c r="J49" s="22" t="n"/>
      <c r="K49" s="22" t="n"/>
      <c r="L49" s="22" t="n"/>
      <c r="M49" s="22" t="n"/>
      <c r="N49" s="22" t="n"/>
      <c r="O49" s="22" t="n"/>
      <c r="P49" s="22" t="n"/>
      <c r="Q49" s="22" t="n"/>
      <c r="R49" s="22" t="n"/>
      <c r="S49" s="22" t="n"/>
      <c r="T49" s="22" t="n"/>
      <c r="U49" s="22" t="n"/>
      <c r="V49" s="22" t="n"/>
      <c r="W49" s="22" t="n"/>
    </row>
    <row r="50" ht="54" customHeight="1">
      <c r="A50" s="17" t="inlineStr">
        <is>
          <t>MI</t>
        </is>
      </c>
      <c r="B50" s="17" t="inlineStr">
        <is>
          <t>Wayne</t>
        </is>
      </c>
      <c r="C50" s="17" t="inlineStr">
        <is>
          <t>Detroit and its inner suburbs. The biggest D vote bank, which collapsed 8.6 points toward R in 2024 (including Dearborn's Arab American vote).</t>
        </is>
      </c>
      <c r="D50" s="17" t="inlineStr">
        <is>
          <t>Detroit turnout and Dearborn-area margins. A rebound toward 2022's +44 is the clearest D path.</t>
        </is>
      </c>
      <c r="E50" s="17" t="inlineStr">
        <is>
          <t>Big metro core</t>
        </is>
      </c>
      <c r="F50" s="23">
        <f>Counties!O502</f>
        <v/>
      </c>
      <c r="G50" s="24">
        <f>Counties!Q502</f>
        <v/>
      </c>
      <c r="H50" s="23">
        <f>Counties!R502</f>
        <v/>
      </c>
      <c r="I50" s="25">
        <f>Counties!S502</f>
        <v/>
      </c>
      <c r="J50" s="25">
        <f>Counties!AQ502/SUMIFS(Counties!$AQ:$AQ,Counties!$A:$A,"MI")</f>
        <v/>
      </c>
      <c r="K50" s="23">
        <f>Counties!T502</f>
        <v/>
      </c>
      <c r="L50" s="23">
        <f>Counties!AH502</f>
        <v/>
      </c>
      <c r="M50" s="26">
        <f>Counties!AO502</f>
        <v/>
      </c>
      <c r="N50" s="24">
        <f>Counties!AN502</f>
        <v/>
      </c>
      <c r="O50" s="17">
        <f>IF(L50="","not in yet",IF(N50&gt;=0.05,"Great for El-Sayed",IF(N50&gt;=0.01,"El-Sayed on track",IF(N50&gt;-0.01,"Toss-up",IF(N50&gt;-0.05,"Rogers on track","Great for Rogers"))))&amp;IF(Counties!AG502=1,""," (partial)"))</f>
        <v/>
      </c>
      <c r="P50" s="27">
        <f>Counties!AU502</f>
        <v/>
      </c>
      <c r="Q50" s="23">
        <f>Counties!AV502</f>
        <v/>
      </c>
      <c r="R50" s="27">
        <f>Counties!AW502</f>
        <v/>
      </c>
      <c r="S50" s="24">
        <f>Counties!AX502</f>
        <v/>
      </c>
      <c r="T50" s="24">
        <f>Counties!AY502</f>
        <v/>
      </c>
      <c r="U50" s="28">
        <f>IF(T50="","",T50*Counties!AF502)</f>
        <v/>
      </c>
      <c r="V50" s="17">
        <f>IF(T50="",IF(L50="","not in yet","waiting for the full count"),IF(T50&gt;=0.05,"Great for El-Sayed",IF(T50&gt;=0.01,"El-Sayed on track",IF(T50&gt;-0.01,"Toss-up",IF(T50&gt;-0.05,"Rogers on track","Great for Rogers")))))</f>
        <v/>
      </c>
      <c r="W50" s="17" t="inlineStr">
        <is>
          <t>26163</t>
        </is>
      </c>
    </row>
    <row r="51" ht="54" customHeight="1">
      <c r="A51" s="17" t="inlineStr">
        <is>
          <t>MI</t>
        </is>
      </c>
      <c r="B51" s="17" t="inlineStr">
        <is>
          <t>Oakland</t>
        </is>
      </c>
      <c r="C51" s="17" t="inlineStr">
        <is>
          <t>Large, educated suburban county that anchors D statewide wins.</t>
        </is>
      </c>
      <c r="D51" s="17" t="inlineStr">
        <is>
          <t>Margin. It was D+23 in 2022 (Whitmer) but only D+11 for Harris.</t>
        </is>
      </c>
      <c r="E51" s="17" t="inlineStr">
        <is>
          <t>Big metro core</t>
        </is>
      </c>
      <c r="F51" s="23">
        <f>Counties!O483</f>
        <v/>
      </c>
      <c r="G51" s="24">
        <f>Counties!Q483</f>
        <v/>
      </c>
      <c r="H51" s="23">
        <f>Counties!R483</f>
        <v/>
      </c>
      <c r="I51" s="25">
        <f>Counties!S483</f>
        <v/>
      </c>
      <c r="J51" s="25">
        <f>Counties!AQ483/SUMIFS(Counties!$AQ:$AQ,Counties!$A:$A,"MI")</f>
        <v/>
      </c>
      <c r="K51" s="23">
        <f>Counties!T483</f>
        <v/>
      </c>
      <c r="L51" s="23">
        <f>Counties!AH483</f>
        <v/>
      </c>
      <c r="M51" s="26">
        <f>Counties!AO483</f>
        <v/>
      </c>
      <c r="N51" s="24">
        <f>Counties!AN483</f>
        <v/>
      </c>
      <c r="O51" s="17">
        <f>IF(L51="","not in yet",IF(N51&gt;=0.05,"Great for El-Sayed",IF(N51&gt;=0.01,"El-Sayed on track",IF(N51&gt;-0.01,"Toss-up",IF(N51&gt;-0.05,"Rogers on track","Great for Rogers"))))&amp;IF(Counties!AG483=1,""," (partial)"))</f>
        <v/>
      </c>
      <c r="P51" s="27">
        <f>Counties!AU483</f>
        <v/>
      </c>
      <c r="Q51" s="23">
        <f>Counties!AV483</f>
        <v/>
      </c>
      <c r="R51" s="27">
        <f>Counties!AW483</f>
        <v/>
      </c>
      <c r="S51" s="24">
        <f>Counties!AX483</f>
        <v/>
      </c>
      <c r="T51" s="24">
        <f>Counties!AY483</f>
        <v/>
      </c>
      <c r="U51" s="28">
        <f>IF(T51="","",T51*Counties!AF483)</f>
        <v/>
      </c>
      <c r="V51" s="17">
        <f>IF(T51="",IF(L51="","not in yet","waiting for the full count"),IF(T51&gt;=0.05,"Great for El-Sayed",IF(T51&gt;=0.01,"El-Sayed on track",IF(T51&gt;-0.01,"Toss-up",IF(T51&gt;-0.05,"Rogers on track","Great for Rogers")))))</f>
        <v/>
      </c>
      <c r="W51" s="17" t="inlineStr">
        <is>
          <t>26125</t>
        </is>
      </c>
    </row>
    <row r="52" ht="54" customHeight="1">
      <c r="A52" s="17" t="inlineStr">
        <is>
          <t>MI</t>
        </is>
      </c>
      <c r="B52" s="17" t="inlineStr">
        <is>
          <t>Macomb</t>
        </is>
      </c>
      <c r="C52" s="17" t="inlineStr">
        <is>
          <t>Classic blue-collar bellwether that went R+14 in 2024.</t>
        </is>
      </c>
      <c r="D52" s="17" t="inlineStr">
        <is>
          <t>Whether Democrats get it back toward even, as Whitmer did in 2022 (D+5).</t>
        </is>
      </c>
      <c r="E52" s="17" t="inlineStr">
        <is>
          <t>Big metro core</t>
        </is>
      </c>
      <c r="F52" s="23">
        <f>Counties!O470</f>
        <v/>
      </c>
      <c r="G52" s="24">
        <f>Counties!Q470</f>
        <v/>
      </c>
      <c r="H52" s="23">
        <f>Counties!R470</f>
        <v/>
      </c>
      <c r="I52" s="25">
        <f>Counties!S470</f>
        <v/>
      </c>
      <c r="J52" s="25">
        <f>Counties!AQ470/SUMIFS(Counties!$AQ:$AQ,Counties!$A:$A,"MI")</f>
        <v/>
      </c>
      <c r="K52" s="23">
        <f>Counties!T470</f>
        <v/>
      </c>
      <c r="L52" s="23">
        <f>Counties!AH470</f>
        <v/>
      </c>
      <c r="M52" s="26">
        <f>Counties!AO470</f>
        <v/>
      </c>
      <c r="N52" s="24">
        <f>Counties!AN470</f>
        <v/>
      </c>
      <c r="O52" s="17">
        <f>IF(L52="","not in yet",IF(N52&gt;=0.05,"Great for El-Sayed",IF(N52&gt;=0.01,"El-Sayed on track",IF(N52&gt;-0.01,"Toss-up",IF(N52&gt;-0.05,"Rogers on track","Great for Rogers"))))&amp;IF(Counties!AG470=1,""," (partial)"))</f>
        <v/>
      </c>
      <c r="P52" s="27">
        <f>Counties!AU470</f>
        <v/>
      </c>
      <c r="Q52" s="23">
        <f>Counties!AV470</f>
        <v/>
      </c>
      <c r="R52" s="27">
        <f>Counties!AW470</f>
        <v/>
      </c>
      <c r="S52" s="24">
        <f>Counties!AX470</f>
        <v/>
      </c>
      <c r="T52" s="24">
        <f>Counties!AY470</f>
        <v/>
      </c>
      <c r="U52" s="28">
        <f>IF(T52="","",T52*Counties!AF470)</f>
        <v/>
      </c>
      <c r="V52" s="17">
        <f>IF(T52="",IF(L52="","not in yet","waiting for the full count"),IF(T52&gt;=0.05,"Great for El-Sayed",IF(T52&gt;=0.01,"El-Sayed on track",IF(T52&gt;-0.01,"Toss-up",IF(T52&gt;-0.05,"Rogers on track","Great for Rogers")))))</f>
        <v/>
      </c>
      <c r="W52" s="17" t="inlineStr">
        <is>
          <t>26099</t>
        </is>
      </c>
    </row>
    <row r="53" ht="54" customHeight="1">
      <c r="A53" s="17" t="inlineStr">
        <is>
          <t>MI</t>
        </is>
      </c>
      <c r="B53" s="17" t="inlineStr">
        <is>
          <t>Kent</t>
        </is>
      </c>
      <c r="C53" s="17" t="inlineStr">
        <is>
          <t>Grand Rapids. West Michigan swing county, D since 2020.</t>
        </is>
      </c>
      <c r="D53" s="17" t="inlineStr">
        <is>
          <t>College-educated and religious voters. A margin above +10 is very good for D.</t>
        </is>
      </c>
      <c r="E53" s="17" t="inlineStr">
        <is>
          <t>Mid-size/working metro</t>
        </is>
      </c>
      <c r="F53" s="23">
        <f>Counties!O461</f>
        <v/>
      </c>
      <c r="G53" s="24">
        <f>Counties!Q461</f>
        <v/>
      </c>
      <c r="H53" s="23">
        <f>Counties!R461</f>
        <v/>
      </c>
      <c r="I53" s="25">
        <f>Counties!S461</f>
        <v/>
      </c>
      <c r="J53" s="25">
        <f>Counties!AQ461/SUMIFS(Counties!$AQ:$AQ,Counties!$A:$A,"MI")</f>
        <v/>
      </c>
      <c r="K53" s="23">
        <f>Counties!T461</f>
        <v/>
      </c>
      <c r="L53" s="23">
        <f>Counties!AH461</f>
        <v/>
      </c>
      <c r="M53" s="26">
        <f>Counties!AO461</f>
        <v/>
      </c>
      <c r="N53" s="24">
        <f>Counties!AN461</f>
        <v/>
      </c>
      <c r="O53" s="17">
        <f>IF(L53="","not in yet",IF(N53&gt;=0.05,"Great for El-Sayed",IF(N53&gt;=0.01,"El-Sayed on track",IF(N53&gt;-0.01,"Toss-up",IF(N53&gt;-0.05,"Rogers on track","Great for Rogers"))))&amp;IF(Counties!AG461=1,""," (partial)"))</f>
        <v/>
      </c>
      <c r="P53" s="27">
        <f>Counties!AU461</f>
        <v/>
      </c>
      <c r="Q53" s="23">
        <f>Counties!AV461</f>
        <v/>
      </c>
      <c r="R53" s="27">
        <f>Counties!AW461</f>
        <v/>
      </c>
      <c r="S53" s="24">
        <f>Counties!AX461</f>
        <v/>
      </c>
      <c r="T53" s="24">
        <f>Counties!AY461</f>
        <v/>
      </c>
      <c r="U53" s="28">
        <f>IF(T53="","",T53*Counties!AF461)</f>
        <v/>
      </c>
      <c r="V53" s="17">
        <f>IF(T53="",IF(L53="","not in yet","waiting for the full count"),IF(T53&gt;=0.05,"Great for El-Sayed",IF(T53&gt;=0.01,"El-Sayed on track",IF(T53&gt;-0.01,"Toss-up",IF(T53&gt;-0.05,"Rogers on track","Great for Rogers")))))</f>
        <v/>
      </c>
      <c r="W53" s="17" t="inlineStr">
        <is>
          <t>26081</t>
        </is>
      </c>
    </row>
    <row r="54" ht="54" customHeight="1">
      <c r="A54" s="17" t="inlineStr">
        <is>
          <t>MI</t>
        </is>
      </c>
      <c r="B54" s="17" t="inlineStr">
        <is>
          <t>Genesee</t>
        </is>
      </c>
      <c r="C54" s="17" t="inlineStr">
        <is>
          <t>Flint. A union-heavy county where the D margin has been eroding.</t>
        </is>
      </c>
      <c r="D54" s="17" t="inlineStr">
        <is>
          <t>Working-class Black and white voters. A margin near 2022's +19 is a strong D sign.</t>
        </is>
      </c>
      <c r="E54" s="17" t="inlineStr">
        <is>
          <t>Mid-size/working metro</t>
        </is>
      </c>
      <c r="F54" s="23">
        <f>Counties!O445</f>
        <v/>
      </c>
      <c r="G54" s="24">
        <f>Counties!Q445</f>
        <v/>
      </c>
      <c r="H54" s="23">
        <f>Counties!R445</f>
        <v/>
      </c>
      <c r="I54" s="25">
        <f>Counties!S445</f>
        <v/>
      </c>
      <c r="J54" s="25">
        <f>Counties!AQ445/SUMIFS(Counties!$AQ:$AQ,Counties!$A:$A,"MI")</f>
        <v/>
      </c>
      <c r="K54" s="23">
        <f>Counties!T445</f>
        <v/>
      </c>
      <c r="L54" s="23">
        <f>Counties!AH445</f>
        <v/>
      </c>
      <c r="M54" s="26">
        <f>Counties!AO445</f>
        <v/>
      </c>
      <c r="N54" s="24">
        <f>Counties!AN445</f>
        <v/>
      </c>
      <c r="O54" s="17">
        <f>IF(L54="","not in yet",IF(N54&gt;=0.05,"Great for El-Sayed",IF(N54&gt;=0.01,"El-Sayed on track",IF(N54&gt;-0.01,"Toss-up",IF(N54&gt;-0.05,"Rogers on track","Great for Rogers"))))&amp;IF(Counties!AG445=1,""," (partial)"))</f>
        <v/>
      </c>
      <c r="P54" s="27">
        <f>Counties!AU445</f>
        <v/>
      </c>
      <c r="Q54" s="23">
        <f>Counties!AV445</f>
        <v/>
      </c>
      <c r="R54" s="27">
        <f>Counties!AW445</f>
        <v/>
      </c>
      <c r="S54" s="24">
        <f>Counties!AX445</f>
        <v/>
      </c>
      <c r="T54" s="24">
        <f>Counties!AY445</f>
        <v/>
      </c>
      <c r="U54" s="28">
        <f>IF(T54="","",T54*Counties!AF445)</f>
        <v/>
      </c>
      <c r="V54" s="17">
        <f>IF(T54="",IF(L54="","not in yet","waiting for the full count"),IF(T54&gt;=0.05,"Great for El-Sayed",IF(T54&gt;=0.01,"El-Sayed on track",IF(T54&gt;-0.01,"Toss-up",IF(T54&gt;-0.05,"Rogers on track","Great for Rogers")))))</f>
        <v/>
      </c>
      <c r="W54" s="17" t="inlineStr">
        <is>
          <t>26049</t>
        </is>
      </c>
    </row>
    <row r="55" ht="54" customHeight="1">
      <c r="A55" s="17" t="inlineStr">
        <is>
          <t>MI</t>
        </is>
      </c>
      <c r="B55" s="17" t="inlineStr">
        <is>
          <t>Washtenaw</t>
        </is>
      </c>
      <c r="C55" s="17" t="inlineStr">
        <is>
          <t>Ann Arbor. Students and university staff.</t>
        </is>
      </c>
      <c r="D55" s="17" t="inlineStr">
        <is>
          <t>Turnout, especially campus precincts. Midterm youth turnout drops are the risk.</t>
        </is>
      </c>
      <c r="E55" s="17" t="inlineStr">
        <is>
          <t>College suburb/metro</t>
        </is>
      </c>
      <c r="F55" s="23">
        <f>Counties!O501</f>
        <v/>
      </c>
      <c r="G55" s="24">
        <f>Counties!Q501</f>
        <v/>
      </c>
      <c r="H55" s="23">
        <f>Counties!R501</f>
        <v/>
      </c>
      <c r="I55" s="25">
        <f>Counties!S501</f>
        <v/>
      </c>
      <c r="J55" s="25">
        <f>Counties!AQ501/SUMIFS(Counties!$AQ:$AQ,Counties!$A:$A,"MI")</f>
        <v/>
      </c>
      <c r="K55" s="23">
        <f>Counties!T501</f>
        <v/>
      </c>
      <c r="L55" s="23">
        <f>Counties!AH501</f>
        <v/>
      </c>
      <c r="M55" s="26">
        <f>Counties!AO501</f>
        <v/>
      </c>
      <c r="N55" s="24">
        <f>Counties!AN501</f>
        <v/>
      </c>
      <c r="O55" s="17">
        <f>IF(L55="","not in yet",IF(N55&gt;=0.05,"Great for El-Sayed",IF(N55&gt;=0.01,"El-Sayed on track",IF(N55&gt;-0.01,"Toss-up",IF(N55&gt;-0.05,"Rogers on track","Great for Rogers"))))&amp;IF(Counties!AG501=1,""," (partial)"))</f>
        <v/>
      </c>
      <c r="P55" s="27">
        <f>Counties!AU501</f>
        <v/>
      </c>
      <c r="Q55" s="23">
        <f>Counties!AV501</f>
        <v/>
      </c>
      <c r="R55" s="27">
        <f>Counties!AW501</f>
        <v/>
      </c>
      <c r="S55" s="24">
        <f>Counties!AX501</f>
        <v/>
      </c>
      <c r="T55" s="24">
        <f>Counties!AY501</f>
        <v/>
      </c>
      <c r="U55" s="28">
        <f>IF(T55="","",T55*Counties!AF501)</f>
        <v/>
      </c>
      <c r="V55" s="17">
        <f>IF(T55="",IF(L55="","not in yet","waiting for the full count"),IF(T55&gt;=0.05,"Great for El-Sayed",IF(T55&gt;=0.01,"El-Sayed on track",IF(T55&gt;-0.01,"Toss-up",IF(T55&gt;-0.05,"Rogers on track","Great for Rogers")))))</f>
        <v/>
      </c>
      <c r="W55" s="17" t="inlineStr">
        <is>
          <t>26161</t>
        </is>
      </c>
    </row>
    <row r="56" ht="54" customHeight="1">
      <c r="A56" s="17" t="inlineStr">
        <is>
          <t>MI</t>
        </is>
      </c>
      <c r="B56" s="17" t="inlineStr">
        <is>
          <t>Ottawa</t>
        </is>
      </c>
      <c r="C56" s="17" t="inlineStr">
        <is>
          <t>Deep-red, religious, increasingly college-educated West Michigan suburb.</t>
        </is>
      </c>
      <c r="D56" s="17" t="inlineStr">
        <is>
          <t>The R margin shrinking below 20 means GOP erosion with educated conservatives.</t>
        </is>
      </c>
      <c r="E56" s="17" t="inlineStr">
        <is>
          <t>Mid-size/working metro</t>
        </is>
      </c>
      <c r="F56" s="23">
        <f>Counties!O490</f>
        <v/>
      </c>
      <c r="G56" s="24">
        <f>Counties!Q490</f>
        <v/>
      </c>
      <c r="H56" s="23">
        <f>Counties!R490</f>
        <v/>
      </c>
      <c r="I56" s="25">
        <f>Counties!S490</f>
        <v/>
      </c>
      <c r="J56" s="25">
        <f>Counties!AQ490/SUMIFS(Counties!$AQ:$AQ,Counties!$A:$A,"MI")</f>
        <v/>
      </c>
      <c r="K56" s="23">
        <f>Counties!T490</f>
        <v/>
      </c>
      <c r="L56" s="23">
        <f>Counties!AH490</f>
        <v/>
      </c>
      <c r="M56" s="26">
        <f>Counties!AO490</f>
        <v/>
      </c>
      <c r="N56" s="24">
        <f>Counties!AN490</f>
        <v/>
      </c>
      <c r="O56" s="17">
        <f>IF(L56="","not in yet",IF(N56&gt;=0.05,"Great for El-Sayed",IF(N56&gt;=0.01,"El-Sayed on track",IF(N56&gt;-0.01,"Toss-up",IF(N56&gt;-0.05,"Rogers on track","Great for Rogers"))))&amp;IF(Counties!AG490=1,""," (partial)"))</f>
        <v/>
      </c>
      <c r="P56" s="27">
        <f>Counties!AU490</f>
        <v/>
      </c>
      <c r="Q56" s="23">
        <f>Counties!AV490</f>
        <v/>
      </c>
      <c r="R56" s="27">
        <f>Counties!AW490</f>
        <v/>
      </c>
      <c r="S56" s="24">
        <f>Counties!AX490</f>
        <v/>
      </c>
      <c r="T56" s="24">
        <f>Counties!AY490</f>
        <v/>
      </c>
      <c r="U56" s="28">
        <f>IF(T56="","",T56*Counties!AF490)</f>
        <v/>
      </c>
      <c r="V56" s="17">
        <f>IF(T56="",IF(L56="","not in yet","waiting for the full count"),IF(T56&gt;=0.05,"Great for El-Sayed",IF(T56&gt;=0.01,"El-Sayed on track",IF(T56&gt;-0.01,"Toss-up",IF(T56&gt;-0.05,"Rogers on track","Great for Rogers")))))</f>
        <v/>
      </c>
      <c r="W56" s="17" t="inlineStr">
        <is>
          <t>26139</t>
        </is>
      </c>
    </row>
    <row r="57" ht="54" customHeight="1">
      <c r="A57" s="17" t="inlineStr">
        <is>
          <t>MI</t>
        </is>
      </c>
      <c r="B57" s="17" t="inlineStr">
        <is>
          <t>Livingston</t>
        </is>
      </c>
      <c r="C57" s="17" t="inlineStr">
        <is>
          <t>Affluent, college-educated exurb between Detroit and Lansing: R+24 in 2024 but only R+13 in the 2022 governor race.</t>
        </is>
      </c>
      <c r="D57" s="17" t="inlineStr">
        <is>
          <t>Whether Republicans hold their presidential margin in a midterm. Closer to 2022's R+13 than 2024's R+24 means suburban Republicans are defecting or staying home.</t>
        </is>
      </c>
      <c r="E57" s="17" t="inlineStr">
        <is>
          <t>Mid-size/working metro</t>
        </is>
      </c>
      <c r="F57" s="23">
        <f>Counties!O467</f>
        <v/>
      </c>
      <c r="G57" s="24">
        <f>Counties!Q467</f>
        <v/>
      </c>
      <c r="H57" s="23">
        <f>Counties!R467</f>
        <v/>
      </c>
      <c r="I57" s="25">
        <f>Counties!S467</f>
        <v/>
      </c>
      <c r="J57" s="25">
        <f>Counties!AQ467/SUMIFS(Counties!$AQ:$AQ,Counties!$A:$A,"MI")</f>
        <v/>
      </c>
      <c r="K57" s="23">
        <f>Counties!T467</f>
        <v/>
      </c>
      <c r="L57" s="23">
        <f>Counties!AH467</f>
        <v/>
      </c>
      <c r="M57" s="26">
        <f>Counties!AO467</f>
        <v/>
      </c>
      <c r="N57" s="24">
        <f>Counties!AN467</f>
        <v/>
      </c>
      <c r="O57" s="17">
        <f>IF(L57="","not in yet",IF(N57&gt;=0.05,"Great for El-Sayed",IF(N57&gt;=0.01,"El-Sayed on track",IF(N57&gt;-0.01,"Toss-up",IF(N57&gt;-0.05,"Rogers on track","Great for Rogers"))))&amp;IF(Counties!AG467=1,""," (partial)"))</f>
        <v/>
      </c>
      <c r="P57" s="27">
        <f>Counties!AU467</f>
        <v/>
      </c>
      <c r="Q57" s="23">
        <f>Counties!AV467</f>
        <v/>
      </c>
      <c r="R57" s="27">
        <f>Counties!AW467</f>
        <v/>
      </c>
      <c r="S57" s="24">
        <f>Counties!AX467</f>
        <v/>
      </c>
      <c r="T57" s="24">
        <f>Counties!AY467</f>
        <v/>
      </c>
      <c r="U57" s="28">
        <f>IF(T57="","",T57*Counties!AF467)</f>
        <v/>
      </c>
      <c r="V57" s="17">
        <f>IF(T57="",IF(L57="","not in yet","waiting for the full count"),IF(T57&gt;=0.05,"Great for El-Sayed",IF(T57&gt;=0.01,"El-Sayed on track",IF(T57&gt;-0.01,"Toss-up",IF(T57&gt;-0.05,"Rogers on track","Great for Rogers")))))</f>
        <v/>
      </c>
      <c r="W57" s="17" t="inlineStr">
        <is>
          <t>26093</t>
        </is>
      </c>
    </row>
    <row r="58" ht="54" customHeight="1">
      <c r="A58" s="17" t="inlineStr">
        <is>
          <t>MI</t>
        </is>
      </c>
      <c r="B58" s="17" t="inlineStr">
        <is>
          <t>Saginaw</t>
        </is>
      </c>
      <c r="C58" s="17" t="inlineStr">
        <is>
          <t>Long-running bellwether that has gone with the statewide winner in most recent races.</t>
        </is>
      </c>
      <c r="D58" s="17" t="inlineStr">
        <is>
          <t>Whoever wins it likely wins the state.</t>
        </is>
      </c>
      <c r="E58" s="17" t="inlineStr">
        <is>
          <t>Mid-size/working metro</t>
        </is>
      </c>
      <c r="F58" s="23">
        <f>Counties!O493</f>
        <v/>
      </c>
      <c r="G58" s="24">
        <f>Counties!Q493</f>
        <v/>
      </c>
      <c r="H58" s="23">
        <f>Counties!R493</f>
        <v/>
      </c>
      <c r="I58" s="25">
        <f>Counties!S493</f>
        <v/>
      </c>
      <c r="J58" s="25">
        <f>Counties!AQ493/SUMIFS(Counties!$AQ:$AQ,Counties!$A:$A,"MI")</f>
        <v/>
      </c>
      <c r="K58" s="23">
        <f>Counties!T493</f>
        <v/>
      </c>
      <c r="L58" s="23">
        <f>Counties!AH493</f>
        <v/>
      </c>
      <c r="M58" s="26">
        <f>Counties!AO493</f>
        <v/>
      </c>
      <c r="N58" s="24">
        <f>Counties!AN493</f>
        <v/>
      </c>
      <c r="O58" s="17">
        <f>IF(L58="","not in yet",IF(N58&gt;=0.05,"Great for El-Sayed",IF(N58&gt;=0.01,"El-Sayed on track",IF(N58&gt;-0.01,"Toss-up",IF(N58&gt;-0.05,"Rogers on track","Great for Rogers"))))&amp;IF(Counties!AG493=1,""," (partial)"))</f>
        <v/>
      </c>
      <c r="P58" s="27">
        <f>Counties!AU493</f>
        <v/>
      </c>
      <c r="Q58" s="23">
        <f>Counties!AV493</f>
        <v/>
      </c>
      <c r="R58" s="27">
        <f>Counties!AW493</f>
        <v/>
      </c>
      <c r="S58" s="24">
        <f>Counties!AX493</f>
        <v/>
      </c>
      <c r="T58" s="24">
        <f>Counties!AY493</f>
        <v/>
      </c>
      <c r="U58" s="28">
        <f>IF(T58="","",T58*Counties!AF493)</f>
        <v/>
      </c>
      <c r="V58" s="17">
        <f>IF(T58="",IF(L58="","not in yet","waiting for the full count"),IF(T58&gt;=0.05,"Great for El-Sayed",IF(T58&gt;=0.01,"El-Sayed on track",IF(T58&gt;-0.01,"Toss-up",IF(T58&gt;-0.05,"Rogers on track","Great for Rogers")))))</f>
        <v/>
      </c>
      <c r="W58" s="17" t="inlineStr">
        <is>
          <t>26145</t>
        </is>
      </c>
    </row>
    <row r="59" ht="54" customHeight="1">
      <c r="A59" s="17" t="inlineStr">
        <is>
          <t>MI</t>
        </is>
      </c>
      <c r="B59" s="17" t="inlineStr">
        <is>
          <t>St. Clair</t>
        </is>
      </c>
      <c r="C59" s="17" t="inlineStr">
        <is>
          <t>Blue-collar Thumb county (Port Huron) that moved 4.4 pts toward R from 2020 to 2024.</t>
        </is>
      </c>
      <c r="D59" s="17" t="inlineStr">
        <is>
          <t>Working-class Republican turnout. Its 2022 margin (R+17) was half its 2024 margin, so a midterm drop-off among these voters shows up here first.</t>
        </is>
      </c>
      <c r="E59" s="17" t="inlineStr">
        <is>
          <t>Mid-size/working metro</t>
        </is>
      </c>
      <c r="F59" s="23">
        <f>Counties!O497</f>
        <v/>
      </c>
      <c r="G59" s="24">
        <f>Counties!Q497</f>
        <v/>
      </c>
      <c r="H59" s="23">
        <f>Counties!R497</f>
        <v/>
      </c>
      <c r="I59" s="25">
        <f>Counties!S497</f>
        <v/>
      </c>
      <c r="J59" s="25">
        <f>Counties!AQ497/SUMIFS(Counties!$AQ:$AQ,Counties!$A:$A,"MI")</f>
        <v/>
      </c>
      <c r="K59" s="23">
        <f>Counties!T497</f>
        <v/>
      </c>
      <c r="L59" s="23">
        <f>Counties!AH497</f>
        <v/>
      </c>
      <c r="M59" s="26">
        <f>Counties!AO497</f>
        <v/>
      </c>
      <c r="N59" s="24">
        <f>Counties!AN497</f>
        <v/>
      </c>
      <c r="O59" s="17">
        <f>IF(L59="","not in yet",IF(N59&gt;=0.05,"Great for El-Sayed",IF(N59&gt;=0.01,"El-Sayed on track",IF(N59&gt;-0.01,"Toss-up",IF(N59&gt;-0.05,"Rogers on track","Great for Rogers"))))&amp;IF(Counties!AG497=1,""," (partial)"))</f>
        <v/>
      </c>
      <c r="P59" s="27">
        <f>Counties!AU497</f>
        <v/>
      </c>
      <c r="Q59" s="23">
        <f>Counties!AV497</f>
        <v/>
      </c>
      <c r="R59" s="27">
        <f>Counties!AW497</f>
        <v/>
      </c>
      <c r="S59" s="24">
        <f>Counties!AX497</f>
        <v/>
      </c>
      <c r="T59" s="24">
        <f>Counties!AY497</f>
        <v/>
      </c>
      <c r="U59" s="28">
        <f>IF(T59="","",T59*Counties!AF497)</f>
        <v/>
      </c>
      <c r="V59" s="17">
        <f>IF(T59="",IF(L59="","not in yet","waiting for the full count"),IF(T59&gt;=0.05,"Great for El-Sayed",IF(T59&gt;=0.01,"El-Sayed on track",IF(T59&gt;-0.01,"Toss-up",IF(T59&gt;-0.05,"Rogers on track","Great for Rogers")))))</f>
        <v/>
      </c>
      <c r="W59" s="17" t="inlineStr">
        <is>
          <t>26147</t>
        </is>
      </c>
    </row>
    <row r="60" ht="54" customHeight="1">
      <c r="A60" s="29" t="inlineStr">
        <is>
          <t>MI</t>
        </is>
      </c>
      <c r="B60" s="29" t="inlineStr">
        <is>
          <t>All rural (63)</t>
        </is>
      </c>
      <c r="C60" s="29" t="inlineStr">
        <is>
          <t>Every small-town and rural county together: the Republican base's turnout test.</t>
        </is>
      </c>
      <c r="D60" s="29" t="inlineStr">
        <is>
          <t>Turnout index from its finished counties. Above 100 means the rural base is a bigger share of the vote than a tie assumes; the margin rarely moves much.</t>
        </is>
      </c>
      <c r="E60" s="29" t="inlineStr">
        <is>
          <t>Small town &amp; rural</t>
        </is>
      </c>
      <c r="F60" s="30">
        <f>Types!M23</f>
        <v/>
      </c>
      <c r="G60" s="31" t="n"/>
      <c r="H60" s="30" t="n"/>
      <c r="I60" s="32" t="n"/>
      <c r="J60" s="32">
        <f>Types!L23</f>
        <v/>
      </c>
      <c r="K60" s="30">
        <f>Types!P23</f>
        <v/>
      </c>
      <c r="L60" s="30">
        <f>Types!S23</f>
        <v/>
      </c>
      <c r="M60" s="33">
        <f>IFERROR(Types!E23/Types!D23,"")</f>
        <v/>
      </c>
      <c r="N60" s="31">
        <f>IF(L60="","",L60-K60)</f>
        <v/>
      </c>
      <c r="O60" s="29">
        <f>IF(Types!F23=0,"not in yet",IF(N60&gt;=0.05,"Great for El-Sayed",IF(N60&gt;=0.01,"El-Sayed on track",IF(N60&gt;-0.01,"Toss-up",IF(N60&gt;-0.05,"Rogers on track","Great for Rogers"))))&amp;" (projected)")</f>
        <v/>
      </c>
      <c r="P60" s="34">
        <f>Types!V23</f>
        <v/>
      </c>
      <c r="Q60" s="30">
        <f>Types!W23</f>
        <v/>
      </c>
      <c r="R60" s="34" t="n"/>
      <c r="S60" s="31">
        <f>IF(Q60="","",K60-Q60)</f>
        <v/>
      </c>
      <c r="T60" s="31">
        <f>Types!X23</f>
        <v/>
      </c>
      <c r="U60" s="35">
        <f>Types!Y23</f>
        <v/>
      </c>
      <c r="V60" s="29">
        <f>IF(T60="","not in yet",IF(T60&gt;=0.05,"Great for El-Sayed",IF(T60&gt;=0.01,"El-Sayed on track",IF(T60&gt;-0.01,"Toss-up",IF(T60&gt;-0.05,"Rogers on track","Great for Rogers"))))&amp;" (finished counties)")</f>
        <v/>
      </c>
      <c r="W60" s="29" t="n"/>
    </row>
    <row r="61">
      <c r="A61" s="22" t="inlineStr">
        <is>
          <t>Minnesota  ·  2024: D+4.3 (D+4.9 with 2022's turnout pattern)  ·  Peggy Flanagan vs Michele Tafoya</t>
        </is>
      </c>
      <c r="B61" s="22" t="n"/>
      <c r="C61" s="22" t="n"/>
      <c r="D61" s="22" t="n"/>
      <c r="E61" s="22" t="n"/>
      <c r="F61" s="22" t="n"/>
      <c r="G61" s="22" t="n"/>
      <c r="H61" s="22" t="n"/>
      <c r="I61" s="22" t="n"/>
      <c r="J61" s="22" t="n"/>
      <c r="K61" s="22" t="n"/>
      <c r="L61" s="22" t="n"/>
      <c r="M61" s="22" t="n"/>
      <c r="N61" s="22" t="n"/>
      <c r="O61" s="22" t="n"/>
      <c r="P61" s="22" t="n"/>
      <c r="Q61" s="22" t="n"/>
      <c r="R61" s="22" t="n"/>
      <c r="S61" s="22" t="n"/>
      <c r="T61" s="22" t="n"/>
      <c r="U61" s="22" t="n"/>
      <c r="V61" s="22" t="n"/>
      <c r="W61" s="22" t="n"/>
    </row>
    <row r="62" ht="54" customHeight="1">
      <c r="A62" s="17" t="inlineStr">
        <is>
          <t>MN</t>
        </is>
      </c>
      <c r="B62" s="17" t="inlineStr">
        <is>
          <t>Hennepin</t>
        </is>
      </c>
      <c r="C62" s="17" t="inlineStr">
        <is>
          <t>Minneapolis. The giant D vote bank, about 22% of the state.</t>
        </is>
      </c>
      <c r="D62" s="17" t="inlineStr">
        <is>
          <t>Turnout. Its margin is near the ceiling.</t>
        </is>
      </c>
      <c r="E62" s="17" t="inlineStr">
        <is>
          <t>Big metro core</t>
        </is>
      </c>
      <c r="F62" s="23">
        <f>Counties!O530</f>
        <v/>
      </c>
      <c r="G62" s="24">
        <f>Counties!Q530</f>
        <v/>
      </c>
      <c r="H62" s="23">
        <f>Counties!R530</f>
        <v/>
      </c>
      <c r="I62" s="25">
        <f>Counties!S530</f>
        <v/>
      </c>
      <c r="J62" s="25">
        <f>Counties!AQ530/SUMIFS(Counties!$AQ:$AQ,Counties!$A:$A,"MN")</f>
        <v/>
      </c>
      <c r="K62" s="23">
        <f>Counties!T530</f>
        <v/>
      </c>
      <c r="L62" s="23">
        <f>Counties!AH530</f>
        <v/>
      </c>
      <c r="M62" s="26">
        <f>Counties!AO530</f>
        <v/>
      </c>
      <c r="N62" s="24">
        <f>Counties!AN530</f>
        <v/>
      </c>
      <c r="O62" s="17">
        <f>IF(L62="","not in yet",IF(N62&gt;=0.05,"Great for Flanagan",IF(N62&gt;=0.01,"Flanagan on track",IF(N62&gt;-0.01,"Toss-up",IF(N62&gt;-0.05,"Tafoya on track","Great for Tafoya"))))&amp;IF(Counties!AG530=1,""," (partial)"))</f>
        <v/>
      </c>
      <c r="P62" s="27">
        <f>Counties!AU530</f>
        <v/>
      </c>
      <c r="Q62" s="23">
        <f>Counties!AV530</f>
        <v/>
      </c>
      <c r="R62" s="27">
        <f>Counties!AW530</f>
        <v/>
      </c>
      <c r="S62" s="24">
        <f>Counties!AX530</f>
        <v/>
      </c>
      <c r="T62" s="24">
        <f>Counties!AY530</f>
        <v/>
      </c>
      <c r="U62" s="28">
        <f>IF(T62="","",T62*Counties!AF530)</f>
        <v/>
      </c>
      <c r="V62" s="17">
        <f>IF(T62="",IF(L62="","not in yet","waiting for the full count"),IF(T62&gt;=0.05,"Great for Flanagan",IF(T62&gt;=0.01,"Flanagan on track",IF(T62&gt;-0.01,"Toss-up",IF(T62&gt;-0.05,"Tafoya on track","Great for Tafoya")))))</f>
        <v/>
      </c>
      <c r="W62" s="17" t="inlineStr">
        <is>
          <t>27053</t>
        </is>
      </c>
    </row>
    <row r="63" ht="54" customHeight="1">
      <c r="A63" s="17" t="inlineStr">
        <is>
          <t>MN</t>
        </is>
      </c>
      <c r="B63" s="17" t="inlineStr">
        <is>
          <t>Ramsey</t>
        </is>
      </c>
      <c r="C63" s="17" t="inlineStr">
        <is>
          <t>St. Paul. Very D.</t>
        </is>
      </c>
      <c r="D63" s="17" t="inlineStr">
        <is>
          <t>Turnout.</t>
        </is>
      </c>
      <c r="E63" s="17" t="inlineStr">
        <is>
          <t>College suburb/metro</t>
        </is>
      </c>
      <c r="F63" s="23">
        <f>Counties!O565</f>
        <v/>
      </c>
      <c r="G63" s="24">
        <f>Counties!Q565</f>
        <v/>
      </c>
      <c r="H63" s="23">
        <f>Counties!R565</f>
        <v/>
      </c>
      <c r="I63" s="25">
        <f>Counties!S565</f>
        <v/>
      </c>
      <c r="J63" s="25">
        <f>Counties!AQ565/SUMIFS(Counties!$AQ:$AQ,Counties!$A:$A,"MN")</f>
        <v/>
      </c>
      <c r="K63" s="23">
        <f>Counties!T565</f>
        <v/>
      </c>
      <c r="L63" s="23">
        <f>Counties!AH565</f>
        <v/>
      </c>
      <c r="M63" s="26">
        <f>Counties!AO565</f>
        <v/>
      </c>
      <c r="N63" s="24">
        <f>Counties!AN565</f>
        <v/>
      </c>
      <c r="O63" s="17">
        <f>IF(L63="","not in yet",IF(N63&gt;=0.05,"Great for Flanagan",IF(N63&gt;=0.01,"Flanagan on track",IF(N63&gt;-0.01,"Toss-up",IF(N63&gt;-0.05,"Tafoya on track","Great for Tafoya"))))&amp;IF(Counties!AG565=1,""," (partial)"))</f>
        <v/>
      </c>
      <c r="P63" s="27">
        <f>Counties!AU565</f>
        <v/>
      </c>
      <c r="Q63" s="23">
        <f>Counties!AV565</f>
        <v/>
      </c>
      <c r="R63" s="27">
        <f>Counties!AW565</f>
        <v/>
      </c>
      <c r="S63" s="24">
        <f>Counties!AX565</f>
        <v/>
      </c>
      <c r="T63" s="24">
        <f>Counties!AY565</f>
        <v/>
      </c>
      <c r="U63" s="28">
        <f>IF(T63="","",T63*Counties!AF565)</f>
        <v/>
      </c>
      <c r="V63" s="17">
        <f>IF(T63="",IF(L63="","not in yet","waiting for the full count"),IF(T63&gt;=0.05,"Great for Flanagan",IF(T63&gt;=0.01,"Flanagan on track",IF(T63&gt;-0.01,"Toss-up",IF(T63&gt;-0.05,"Tafoya on track","Great for Tafoya")))))</f>
        <v/>
      </c>
      <c r="W63" s="17" t="inlineStr">
        <is>
          <t>27123</t>
        </is>
      </c>
    </row>
    <row r="64" ht="54" customHeight="1">
      <c r="A64" s="17" t="inlineStr">
        <is>
          <t>MN</t>
        </is>
      </c>
      <c r="B64" s="17" t="inlineStr">
        <is>
          <t>Dakota</t>
        </is>
      </c>
      <c r="C64" s="17" t="inlineStr">
        <is>
          <t>Southern Twin Cities suburbs, D-leaning swing.</t>
        </is>
      </c>
      <c r="D64" s="17" t="inlineStr">
        <is>
          <t>Margin above +13 (2024) is good for Flanagan.</t>
        </is>
      </c>
      <c r="E64" s="17" t="inlineStr">
        <is>
          <t>College suburb/metro</t>
        </is>
      </c>
      <c r="F64" s="23">
        <f>Counties!O522</f>
        <v/>
      </c>
      <c r="G64" s="24">
        <f>Counties!Q522</f>
        <v/>
      </c>
      <c r="H64" s="23">
        <f>Counties!R522</f>
        <v/>
      </c>
      <c r="I64" s="25">
        <f>Counties!S522</f>
        <v/>
      </c>
      <c r="J64" s="25">
        <f>Counties!AQ522/SUMIFS(Counties!$AQ:$AQ,Counties!$A:$A,"MN")</f>
        <v/>
      </c>
      <c r="K64" s="23">
        <f>Counties!T522</f>
        <v/>
      </c>
      <c r="L64" s="23">
        <f>Counties!AH522</f>
        <v/>
      </c>
      <c r="M64" s="26">
        <f>Counties!AO522</f>
        <v/>
      </c>
      <c r="N64" s="24">
        <f>Counties!AN522</f>
        <v/>
      </c>
      <c r="O64" s="17">
        <f>IF(L64="","not in yet",IF(N64&gt;=0.05,"Great for Flanagan",IF(N64&gt;=0.01,"Flanagan on track",IF(N64&gt;-0.01,"Toss-up",IF(N64&gt;-0.05,"Tafoya on track","Great for Tafoya"))))&amp;IF(Counties!AG522=1,""," (partial)"))</f>
        <v/>
      </c>
      <c r="P64" s="27">
        <f>Counties!AU522</f>
        <v/>
      </c>
      <c r="Q64" s="23">
        <f>Counties!AV522</f>
        <v/>
      </c>
      <c r="R64" s="27">
        <f>Counties!AW522</f>
        <v/>
      </c>
      <c r="S64" s="24">
        <f>Counties!AX522</f>
        <v/>
      </c>
      <c r="T64" s="24">
        <f>Counties!AY522</f>
        <v/>
      </c>
      <c r="U64" s="28">
        <f>IF(T64="","",T64*Counties!AF522)</f>
        <v/>
      </c>
      <c r="V64" s="17">
        <f>IF(T64="",IF(L64="","not in yet","waiting for the full count"),IF(T64&gt;=0.05,"Great for Flanagan",IF(T64&gt;=0.01,"Flanagan on track",IF(T64&gt;-0.01,"Toss-up",IF(T64&gt;-0.05,"Tafoya on track","Great for Tafoya")))))</f>
        <v/>
      </c>
      <c r="W64" s="17" t="inlineStr">
        <is>
          <t>27037</t>
        </is>
      </c>
    </row>
    <row r="65" ht="54" customHeight="1">
      <c r="A65" s="17" t="inlineStr">
        <is>
          <t>MN</t>
        </is>
      </c>
      <c r="B65" s="17" t="inlineStr">
        <is>
          <t>Anoka</t>
        </is>
      </c>
      <c r="C65" s="17" t="inlineStr">
        <is>
          <t>Northern suburbs, R-leaning blue-collar swing.</t>
        </is>
      </c>
      <c r="D65" s="17" t="inlineStr">
        <is>
          <t>Tafoya needs a clear win here.</t>
        </is>
      </c>
      <c r="E65" s="17" t="inlineStr">
        <is>
          <t>Mid-size/working metro</t>
        </is>
      </c>
      <c r="F65" s="23">
        <f>Counties!O505</f>
        <v/>
      </c>
      <c r="G65" s="24">
        <f>Counties!Q505</f>
        <v/>
      </c>
      <c r="H65" s="23">
        <f>Counties!R505</f>
        <v/>
      </c>
      <c r="I65" s="25">
        <f>Counties!S505</f>
        <v/>
      </c>
      <c r="J65" s="25">
        <f>Counties!AQ505/SUMIFS(Counties!$AQ:$AQ,Counties!$A:$A,"MN")</f>
        <v/>
      </c>
      <c r="K65" s="23">
        <f>Counties!T505</f>
        <v/>
      </c>
      <c r="L65" s="23">
        <f>Counties!AH505</f>
        <v/>
      </c>
      <c r="M65" s="26">
        <f>Counties!AO505</f>
        <v/>
      </c>
      <c r="N65" s="24">
        <f>Counties!AN505</f>
        <v/>
      </c>
      <c r="O65" s="17">
        <f>IF(L65="","not in yet",IF(N65&gt;=0.05,"Great for Flanagan",IF(N65&gt;=0.01,"Flanagan on track",IF(N65&gt;-0.01,"Toss-up",IF(N65&gt;-0.05,"Tafoya on track","Great for Tafoya"))))&amp;IF(Counties!AG505=1,""," (partial)"))</f>
        <v/>
      </c>
      <c r="P65" s="27">
        <f>Counties!AU505</f>
        <v/>
      </c>
      <c r="Q65" s="23">
        <f>Counties!AV505</f>
        <v/>
      </c>
      <c r="R65" s="27">
        <f>Counties!AW505</f>
        <v/>
      </c>
      <c r="S65" s="24">
        <f>Counties!AX505</f>
        <v/>
      </c>
      <c r="T65" s="24">
        <f>Counties!AY505</f>
        <v/>
      </c>
      <c r="U65" s="28">
        <f>IF(T65="","",T65*Counties!AF505)</f>
        <v/>
      </c>
      <c r="V65" s="17">
        <f>IF(T65="",IF(L65="","not in yet","waiting for the full count"),IF(T65&gt;=0.05,"Great for Flanagan",IF(T65&gt;=0.01,"Flanagan on track",IF(T65&gt;-0.01,"Toss-up",IF(T65&gt;-0.05,"Tafoya on track","Great for Tafoya")))))</f>
        <v/>
      </c>
      <c r="W65" s="17" t="inlineStr">
        <is>
          <t>27003</t>
        </is>
      </c>
    </row>
    <row r="66" ht="54" customHeight="1">
      <c r="A66" s="17" t="inlineStr">
        <is>
          <t>MN</t>
        </is>
      </c>
      <c r="B66" s="17" t="inlineStr">
        <is>
          <t>Washington</t>
        </is>
      </c>
      <c r="C66" s="17" t="inlineStr">
        <is>
          <t>Eastern suburbs, college-educated, D-leaning.</t>
        </is>
      </c>
      <c r="D66" s="17" t="inlineStr">
        <is>
          <t>Suburban margin.</t>
        </is>
      </c>
      <c r="E66" s="17" t="inlineStr">
        <is>
          <t>College suburb/metro</t>
        </is>
      </c>
      <c r="F66" s="23">
        <f>Counties!O585</f>
        <v/>
      </c>
      <c r="G66" s="24">
        <f>Counties!Q585</f>
        <v/>
      </c>
      <c r="H66" s="23">
        <f>Counties!R585</f>
        <v/>
      </c>
      <c r="I66" s="25">
        <f>Counties!S585</f>
        <v/>
      </c>
      <c r="J66" s="25">
        <f>Counties!AQ585/SUMIFS(Counties!$AQ:$AQ,Counties!$A:$A,"MN")</f>
        <v/>
      </c>
      <c r="K66" s="23">
        <f>Counties!T585</f>
        <v/>
      </c>
      <c r="L66" s="23">
        <f>Counties!AH585</f>
        <v/>
      </c>
      <c r="M66" s="26">
        <f>Counties!AO585</f>
        <v/>
      </c>
      <c r="N66" s="24">
        <f>Counties!AN585</f>
        <v/>
      </c>
      <c r="O66" s="17">
        <f>IF(L66="","not in yet",IF(N66&gt;=0.05,"Great for Flanagan",IF(N66&gt;=0.01,"Flanagan on track",IF(N66&gt;-0.01,"Toss-up",IF(N66&gt;-0.05,"Tafoya on track","Great for Tafoya"))))&amp;IF(Counties!AG585=1,""," (partial)"))</f>
        <v/>
      </c>
      <c r="P66" s="27">
        <f>Counties!AU585</f>
        <v/>
      </c>
      <c r="Q66" s="23">
        <f>Counties!AV585</f>
        <v/>
      </c>
      <c r="R66" s="27">
        <f>Counties!AW585</f>
        <v/>
      </c>
      <c r="S66" s="24">
        <f>Counties!AX585</f>
        <v/>
      </c>
      <c r="T66" s="24">
        <f>Counties!AY585</f>
        <v/>
      </c>
      <c r="U66" s="28">
        <f>IF(T66="","",T66*Counties!AF585)</f>
        <v/>
      </c>
      <c r="V66" s="17">
        <f>IF(T66="",IF(L66="","not in yet","waiting for the full count"),IF(T66&gt;=0.05,"Great for Flanagan",IF(T66&gt;=0.01,"Flanagan on track",IF(T66&gt;-0.01,"Toss-up",IF(T66&gt;-0.05,"Tafoya on track","Great for Tafoya")))))</f>
        <v/>
      </c>
      <c r="W66" s="17" t="inlineStr">
        <is>
          <t>27163</t>
        </is>
      </c>
    </row>
    <row r="67" ht="54" customHeight="1">
      <c r="A67" s="17" t="inlineStr">
        <is>
          <t>MN</t>
        </is>
      </c>
      <c r="B67" s="17" t="inlineStr">
        <is>
          <t>St. Louis</t>
        </is>
      </c>
      <c r="C67" s="17" t="inlineStr">
        <is>
          <t>Duluth and the Iron Range. Historic DFL labor country, eroding.</t>
        </is>
      </c>
      <c r="D67" s="17" t="inlineStr">
        <is>
          <t>Range towns moving R would be bad news for Flanagan.</t>
        </is>
      </c>
      <c r="E67" s="17" t="inlineStr">
        <is>
          <t>Mid-size/working metro</t>
        </is>
      </c>
      <c r="F67" s="23">
        <f>Counties!O575</f>
        <v/>
      </c>
      <c r="G67" s="24">
        <f>Counties!Q575</f>
        <v/>
      </c>
      <c r="H67" s="23">
        <f>Counties!R575</f>
        <v/>
      </c>
      <c r="I67" s="25">
        <f>Counties!S575</f>
        <v/>
      </c>
      <c r="J67" s="25">
        <f>Counties!AQ575/SUMIFS(Counties!$AQ:$AQ,Counties!$A:$A,"MN")</f>
        <v/>
      </c>
      <c r="K67" s="23">
        <f>Counties!T575</f>
        <v/>
      </c>
      <c r="L67" s="23">
        <f>Counties!AH575</f>
        <v/>
      </c>
      <c r="M67" s="26">
        <f>Counties!AO575</f>
        <v/>
      </c>
      <c r="N67" s="24">
        <f>Counties!AN575</f>
        <v/>
      </c>
      <c r="O67" s="17">
        <f>IF(L67="","not in yet",IF(N67&gt;=0.05,"Great for Flanagan",IF(N67&gt;=0.01,"Flanagan on track",IF(N67&gt;-0.01,"Toss-up",IF(N67&gt;-0.05,"Tafoya on track","Great for Tafoya"))))&amp;IF(Counties!AG575=1,""," (partial)"))</f>
        <v/>
      </c>
      <c r="P67" s="27">
        <f>Counties!AU575</f>
        <v/>
      </c>
      <c r="Q67" s="23">
        <f>Counties!AV575</f>
        <v/>
      </c>
      <c r="R67" s="27">
        <f>Counties!AW575</f>
        <v/>
      </c>
      <c r="S67" s="24">
        <f>Counties!AX575</f>
        <v/>
      </c>
      <c r="T67" s="24">
        <f>Counties!AY575</f>
        <v/>
      </c>
      <c r="U67" s="28">
        <f>IF(T67="","",T67*Counties!AF575)</f>
        <v/>
      </c>
      <c r="V67" s="17">
        <f>IF(T67="",IF(L67="","not in yet","waiting for the full count"),IF(T67&gt;=0.05,"Great for Flanagan",IF(T67&gt;=0.01,"Flanagan on track",IF(T67&gt;-0.01,"Toss-up",IF(T67&gt;-0.05,"Tafoya on track","Great for Tafoya")))))</f>
        <v/>
      </c>
      <c r="W67" s="17" t="inlineStr">
        <is>
          <t>27137</t>
        </is>
      </c>
    </row>
    <row r="68" ht="54" customHeight="1">
      <c r="A68" s="17" t="inlineStr">
        <is>
          <t>MN</t>
        </is>
      </c>
      <c r="B68" s="17" t="inlineStr">
        <is>
          <t>Olmsted</t>
        </is>
      </c>
      <c r="C68" s="17" t="inlineStr">
        <is>
          <t>Rochester (Mayo Clinic). Educated, D-leaning, a few points left of the state.</t>
        </is>
      </c>
      <c r="D68" s="17" t="inlineStr">
        <is>
          <t>Margin compared with 2024's +11.</t>
        </is>
      </c>
      <c r="E68" s="17" t="inlineStr">
        <is>
          <t>College suburb/metro</t>
        </is>
      </c>
      <c r="F68" s="23">
        <f>Counties!O558</f>
        <v/>
      </c>
      <c r="G68" s="24">
        <f>Counties!Q558</f>
        <v/>
      </c>
      <c r="H68" s="23">
        <f>Counties!R558</f>
        <v/>
      </c>
      <c r="I68" s="25">
        <f>Counties!S558</f>
        <v/>
      </c>
      <c r="J68" s="25">
        <f>Counties!AQ558/SUMIFS(Counties!$AQ:$AQ,Counties!$A:$A,"MN")</f>
        <v/>
      </c>
      <c r="K68" s="23">
        <f>Counties!T558</f>
        <v/>
      </c>
      <c r="L68" s="23">
        <f>Counties!AH558</f>
        <v/>
      </c>
      <c r="M68" s="26">
        <f>Counties!AO558</f>
        <v/>
      </c>
      <c r="N68" s="24">
        <f>Counties!AN558</f>
        <v/>
      </c>
      <c r="O68" s="17">
        <f>IF(L68="","not in yet",IF(N68&gt;=0.05,"Great for Flanagan",IF(N68&gt;=0.01,"Flanagan on track",IF(N68&gt;-0.01,"Toss-up",IF(N68&gt;-0.05,"Tafoya on track","Great for Tafoya"))))&amp;IF(Counties!AG558=1,""," (partial)"))</f>
        <v/>
      </c>
      <c r="P68" s="27">
        <f>Counties!AU558</f>
        <v/>
      </c>
      <c r="Q68" s="23">
        <f>Counties!AV558</f>
        <v/>
      </c>
      <c r="R68" s="27">
        <f>Counties!AW558</f>
        <v/>
      </c>
      <c r="S68" s="24">
        <f>Counties!AX558</f>
        <v/>
      </c>
      <c r="T68" s="24">
        <f>Counties!AY558</f>
        <v/>
      </c>
      <c r="U68" s="28">
        <f>IF(T68="","",T68*Counties!AF558)</f>
        <v/>
      </c>
      <c r="V68" s="17">
        <f>IF(T68="",IF(L68="","not in yet","waiting for the full count"),IF(T68&gt;=0.05,"Great for Flanagan",IF(T68&gt;=0.01,"Flanagan on track",IF(T68&gt;-0.01,"Toss-up",IF(T68&gt;-0.05,"Tafoya on track","Great for Tafoya")))))</f>
        <v/>
      </c>
      <c r="W68" s="17" t="inlineStr">
        <is>
          <t>27109</t>
        </is>
      </c>
    </row>
    <row r="69" ht="54" customHeight="1">
      <c r="A69" s="17" t="inlineStr">
        <is>
          <t>MN</t>
        </is>
      </c>
      <c r="B69" s="17" t="inlineStr">
        <is>
          <t>Wright</t>
        </is>
      </c>
      <c r="C69" s="17" t="inlineStr">
        <is>
          <t>Fast-growing exurb northwest of the Twin Cities and Minnesota's biggest R net-vote county (about 26,000 in 2024).</t>
        </is>
      </c>
      <c r="D69" s="17" t="inlineStr">
        <is>
          <t>Exurban Republican turnout. An index under 100 here plus strong Hennepin turnout is a bad night for Republicans.</t>
        </is>
      </c>
      <c r="E69" s="17" t="inlineStr">
        <is>
          <t>Mid-size/working metro</t>
        </is>
      </c>
      <c r="F69" s="23">
        <f>Counties!O589</f>
        <v/>
      </c>
      <c r="G69" s="24">
        <f>Counties!Q589</f>
        <v/>
      </c>
      <c r="H69" s="23">
        <f>Counties!R589</f>
        <v/>
      </c>
      <c r="I69" s="25">
        <f>Counties!S589</f>
        <v/>
      </c>
      <c r="J69" s="25">
        <f>Counties!AQ589/SUMIFS(Counties!$AQ:$AQ,Counties!$A:$A,"MN")</f>
        <v/>
      </c>
      <c r="K69" s="23">
        <f>Counties!T589</f>
        <v/>
      </c>
      <c r="L69" s="23">
        <f>Counties!AH589</f>
        <v/>
      </c>
      <c r="M69" s="26">
        <f>Counties!AO589</f>
        <v/>
      </c>
      <c r="N69" s="24">
        <f>Counties!AN589</f>
        <v/>
      </c>
      <c r="O69" s="17">
        <f>IF(L69="","not in yet",IF(N69&gt;=0.05,"Great for Flanagan",IF(N69&gt;=0.01,"Flanagan on track",IF(N69&gt;-0.01,"Toss-up",IF(N69&gt;-0.05,"Tafoya on track","Great for Tafoya"))))&amp;IF(Counties!AG589=1,""," (partial)"))</f>
        <v/>
      </c>
      <c r="P69" s="27">
        <f>Counties!AU589</f>
        <v/>
      </c>
      <c r="Q69" s="23">
        <f>Counties!AV589</f>
        <v/>
      </c>
      <c r="R69" s="27">
        <f>Counties!AW589</f>
        <v/>
      </c>
      <c r="S69" s="24">
        <f>Counties!AX589</f>
        <v/>
      </c>
      <c r="T69" s="24">
        <f>Counties!AY589</f>
        <v/>
      </c>
      <c r="U69" s="28">
        <f>IF(T69="","",T69*Counties!AF589)</f>
        <v/>
      </c>
      <c r="V69" s="17">
        <f>IF(T69="",IF(L69="","not in yet","waiting for the full count"),IF(T69&gt;=0.05,"Great for Flanagan",IF(T69&gt;=0.01,"Flanagan on track",IF(T69&gt;-0.01,"Toss-up",IF(T69&gt;-0.05,"Tafoya on track","Great for Tafoya")))))</f>
        <v/>
      </c>
      <c r="W69" s="17" t="inlineStr">
        <is>
          <t>27171</t>
        </is>
      </c>
    </row>
    <row r="70" ht="54" customHeight="1">
      <c r="A70" s="17" t="inlineStr">
        <is>
          <t>MN</t>
        </is>
      </c>
      <c r="B70" s="17" t="inlineStr">
        <is>
          <t>Stearns</t>
        </is>
      </c>
      <c r="C70" s="17" t="inlineStr">
        <is>
          <t>St. Cloud. Strongly R central Minnesota.</t>
        </is>
      </c>
      <c r="D70" s="17" t="inlineStr">
        <is>
          <t>R turnout and margin.</t>
        </is>
      </c>
      <c r="E70" s="17" t="inlineStr">
        <is>
          <t>Mid-size/working metro</t>
        </is>
      </c>
      <c r="F70" s="23">
        <f>Counties!O576</f>
        <v/>
      </c>
      <c r="G70" s="24">
        <f>Counties!Q576</f>
        <v/>
      </c>
      <c r="H70" s="23">
        <f>Counties!R576</f>
        <v/>
      </c>
      <c r="I70" s="25">
        <f>Counties!S576</f>
        <v/>
      </c>
      <c r="J70" s="25">
        <f>Counties!AQ576/SUMIFS(Counties!$AQ:$AQ,Counties!$A:$A,"MN")</f>
        <v/>
      </c>
      <c r="K70" s="23">
        <f>Counties!T576</f>
        <v/>
      </c>
      <c r="L70" s="23">
        <f>Counties!AH576</f>
        <v/>
      </c>
      <c r="M70" s="26">
        <f>Counties!AO576</f>
        <v/>
      </c>
      <c r="N70" s="24">
        <f>Counties!AN576</f>
        <v/>
      </c>
      <c r="O70" s="17">
        <f>IF(L70="","not in yet",IF(N70&gt;=0.05,"Great for Flanagan",IF(N70&gt;=0.01,"Flanagan on track",IF(N70&gt;-0.01,"Toss-up",IF(N70&gt;-0.05,"Tafoya on track","Great for Tafoya"))))&amp;IF(Counties!AG576=1,""," (partial)"))</f>
        <v/>
      </c>
      <c r="P70" s="27">
        <f>Counties!AU576</f>
        <v/>
      </c>
      <c r="Q70" s="23">
        <f>Counties!AV576</f>
        <v/>
      </c>
      <c r="R70" s="27">
        <f>Counties!AW576</f>
        <v/>
      </c>
      <c r="S70" s="24">
        <f>Counties!AX576</f>
        <v/>
      </c>
      <c r="T70" s="24">
        <f>Counties!AY576</f>
        <v/>
      </c>
      <c r="U70" s="28">
        <f>IF(T70="","",T70*Counties!AF576)</f>
        <v/>
      </c>
      <c r="V70" s="17">
        <f>IF(T70="",IF(L70="","not in yet","waiting for the full count"),IF(T70&gt;=0.05,"Great for Flanagan",IF(T70&gt;=0.01,"Flanagan on track",IF(T70&gt;-0.01,"Toss-up",IF(T70&gt;-0.05,"Tafoya on track","Great for Tafoya")))))</f>
        <v/>
      </c>
      <c r="W70" s="17" t="inlineStr">
        <is>
          <t>27145</t>
        </is>
      </c>
    </row>
    <row r="71" ht="54" customHeight="1">
      <c r="A71" s="17" t="inlineStr">
        <is>
          <t>MN</t>
        </is>
      </c>
      <c r="B71" s="17" t="inlineStr">
        <is>
          <t>Sherburne</t>
        </is>
      </c>
      <c r="C71" s="17" t="inlineStr">
        <is>
          <t>Exurban corridor northwest of the Twin Cities, R+35.</t>
        </is>
      </c>
      <c r="D71" s="17" t="inlineStr">
        <is>
          <t>Margin and turnout. It moved 2 pts toward R from 2020 to 2024; a reversal is an early D sign.</t>
        </is>
      </c>
      <c r="E71" s="17" t="inlineStr">
        <is>
          <t>Mid-size/working metro</t>
        </is>
      </c>
      <c r="F71" s="23">
        <f>Counties!O573</f>
        <v/>
      </c>
      <c r="G71" s="24">
        <f>Counties!Q573</f>
        <v/>
      </c>
      <c r="H71" s="23">
        <f>Counties!R573</f>
        <v/>
      </c>
      <c r="I71" s="25">
        <f>Counties!S573</f>
        <v/>
      </c>
      <c r="J71" s="25">
        <f>Counties!AQ573/SUMIFS(Counties!$AQ:$AQ,Counties!$A:$A,"MN")</f>
        <v/>
      </c>
      <c r="K71" s="23">
        <f>Counties!T573</f>
        <v/>
      </c>
      <c r="L71" s="23">
        <f>Counties!AH573</f>
        <v/>
      </c>
      <c r="M71" s="26">
        <f>Counties!AO573</f>
        <v/>
      </c>
      <c r="N71" s="24">
        <f>Counties!AN573</f>
        <v/>
      </c>
      <c r="O71" s="17">
        <f>IF(L71="","not in yet",IF(N71&gt;=0.05,"Great for Flanagan",IF(N71&gt;=0.01,"Flanagan on track",IF(N71&gt;-0.01,"Toss-up",IF(N71&gt;-0.05,"Tafoya on track","Great for Tafoya"))))&amp;IF(Counties!AG573=1,""," (partial)"))</f>
        <v/>
      </c>
      <c r="P71" s="27">
        <f>Counties!AU573</f>
        <v/>
      </c>
      <c r="Q71" s="23">
        <f>Counties!AV573</f>
        <v/>
      </c>
      <c r="R71" s="27">
        <f>Counties!AW573</f>
        <v/>
      </c>
      <c r="S71" s="24">
        <f>Counties!AX573</f>
        <v/>
      </c>
      <c r="T71" s="24">
        <f>Counties!AY573</f>
        <v/>
      </c>
      <c r="U71" s="28">
        <f>IF(T71="","",T71*Counties!AF573)</f>
        <v/>
      </c>
      <c r="V71" s="17">
        <f>IF(T71="",IF(L71="","not in yet","waiting for the full count"),IF(T71&gt;=0.05,"Great for Flanagan",IF(T71&gt;=0.01,"Flanagan on track",IF(T71&gt;-0.01,"Toss-up",IF(T71&gt;-0.05,"Tafoya on track","Great for Tafoya")))))</f>
        <v/>
      </c>
      <c r="W71" s="17" t="inlineStr">
        <is>
          <t>27141</t>
        </is>
      </c>
    </row>
    <row r="72" ht="54" customHeight="1">
      <c r="A72" s="29" t="inlineStr">
        <is>
          <t>MN</t>
        </is>
      </c>
      <c r="B72" s="29" t="inlineStr">
        <is>
          <t>All rural (74)</t>
        </is>
      </c>
      <c r="C72" s="29" t="inlineStr">
        <is>
          <t>Every small-town and rural county together: the Republican base's turnout test.</t>
        </is>
      </c>
      <c r="D72" s="29" t="inlineStr">
        <is>
          <t>Turnout index from its finished counties. Above 100 means the rural base is a bigger share of the vote than a tie assumes; the margin rarely moves much.</t>
        </is>
      </c>
      <c r="E72" s="29" t="inlineStr">
        <is>
          <t>Small town &amp; rural</t>
        </is>
      </c>
      <c r="F72" s="30">
        <f>Types!M28</f>
        <v/>
      </c>
      <c r="G72" s="31" t="n"/>
      <c r="H72" s="30" t="n"/>
      <c r="I72" s="32" t="n"/>
      <c r="J72" s="32">
        <f>Types!L28</f>
        <v/>
      </c>
      <c r="K72" s="30">
        <f>Types!P28</f>
        <v/>
      </c>
      <c r="L72" s="30">
        <f>Types!S28</f>
        <v/>
      </c>
      <c r="M72" s="33">
        <f>IFERROR(Types!E28/Types!D28,"")</f>
        <v/>
      </c>
      <c r="N72" s="31">
        <f>IF(L72="","",L72-K72)</f>
        <v/>
      </c>
      <c r="O72" s="29">
        <f>IF(Types!F28=0,"not in yet",IF(N72&gt;=0.05,"Great for Flanagan",IF(N72&gt;=0.01,"Flanagan on track",IF(N72&gt;-0.01,"Toss-up",IF(N72&gt;-0.05,"Tafoya on track","Great for Tafoya"))))&amp;" (projected)")</f>
        <v/>
      </c>
      <c r="P72" s="34">
        <f>Types!V28</f>
        <v/>
      </c>
      <c r="Q72" s="30">
        <f>Types!W28</f>
        <v/>
      </c>
      <c r="R72" s="34" t="n"/>
      <c r="S72" s="31">
        <f>IF(Q72="","",K72-Q72)</f>
        <v/>
      </c>
      <c r="T72" s="31">
        <f>Types!X28</f>
        <v/>
      </c>
      <c r="U72" s="35">
        <f>Types!Y28</f>
        <v/>
      </c>
      <c r="V72" s="29">
        <f>IF(T72="","not in yet",IF(T72&gt;=0.05,"Great for Flanagan",IF(T72&gt;=0.01,"Flanagan on track",IF(T72&gt;-0.01,"Toss-up",IF(T72&gt;-0.05,"Tafoya on track","Great for Tafoya"))))&amp;" (finished counties)")</f>
        <v/>
      </c>
      <c r="W72" s="29" t="n"/>
    </row>
    <row r="73">
      <c r="A73" s="22" t="inlineStr">
        <is>
          <t>Mississippi  ·  2024: R+23.1 (R+21.8 with 2022's turnout pattern)  ·  Scott Colom vs Cindy Hyde-Smith</t>
        </is>
      </c>
      <c r="B73" s="22" t="n"/>
      <c r="C73" s="22" t="n"/>
      <c r="D73" s="22" t="n"/>
      <c r="E73" s="22" t="n"/>
      <c r="F73" s="22" t="n"/>
      <c r="G73" s="22" t="n"/>
      <c r="H73" s="22" t="n"/>
      <c r="I73" s="22" t="n"/>
      <c r="J73" s="22" t="n"/>
      <c r="K73" s="22" t="n"/>
      <c r="L73" s="22" t="n"/>
      <c r="M73" s="22" t="n"/>
      <c r="N73" s="22" t="n"/>
      <c r="O73" s="22" t="n"/>
      <c r="P73" s="22" t="n"/>
      <c r="Q73" s="22" t="n"/>
      <c r="R73" s="22" t="n"/>
      <c r="S73" s="22" t="n"/>
      <c r="T73" s="22" t="n"/>
      <c r="U73" s="22" t="n"/>
      <c r="V73" s="22" t="n"/>
      <c r="W73" s="22" t="n"/>
    </row>
    <row r="74" ht="54" customHeight="1">
      <c r="A74" s="17" t="inlineStr">
        <is>
          <t>MS</t>
        </is>
      </c>
      <c r="B74" s="17" t="inlineStr">
        <is>
          <t>Hinds</t>
        </is>
      </c>
      <c r="C74" s="17" t="inlineStr">
        <is>
          <t>Jackson. Majority Black, the D base.</t>
        </is>
      </c>
      <c r="D74" s="17" t="inlineStr">
        <is>
          <t>Black turnout. Democrats need it high everywhere in the Delta too.</t>
        </is>
      </c>
      <c r="E74" s="17" t="inlineStr">
        <is>
          <t>Black Belt</t>
        </is>
      </c>
      <c r="F74" s="23">
        <f>Counties!O615</f>
        <v/>
      </c>
      <c r="G74" s="24">
        <f>Counties!Q615</f>
        <v/>
      </c>
      <c r="H74" s="23">
        <f>Counties!R615</f>
        <v/>
      </c>
      <c r="I74" s="25">
        <f>Counties!S615</f>
        <v/>
      </c>
      <c r="J74" s="25">
        <f>Counties!AQ615/SUMIFS(Counties!$AQ:$AQ,Counties!$A:$A,"MS")</f>
        <v/>
      </c>
      <c r="K74" s="23">
        <f>Counties!T615</f>
        <v/>
      </c>
      <c r="L74" s="23">
        <f>Counties!AH615</f>
        <v/>
      </c>
      <c r="M74" s="26">
        <f>Counties!AO615</f>
        <v/>
      </c>
      <c r="N74" s="24">
        <f>Counties!AN615</f>
        <v/>
      </c>
      <c r="O74" s="17">
        <f>IF(L74="","not in yet",IF(N74&gt;=0.05,"Great for Colom",IF(N74&gt;=0.01,"Colom on track",IF(N74&gt;-0.01,"Toss-up",IF(N74&gt;-0.05,"Hyde-Smith on track","Great for Hyde-Smith"))))&amp;IF(Counties!AG615=1,""," (partial)"))</f>
        <v/>
      </c>
      <c r="P74" s="27">
        <f>Counties!AU615</f>
        <v/>
      </c>
      <c r="Q74" s="23">
        <f>Counties!AV615</f>
        <v/>
      </c>
      <c r="R74" s="27">
        <f>Counties!AW615</f>
        <v/>
      </c>
      <c r="S74" s="24">
        <f>Counties!AX615</f>
        <v/>
      </c>
      <c r="T74" s="24">
        <f>Counties!AY615</f>
        <v/>
      </c>
      <c r="U74" s="28">
        <f>IF(T74="","",T74*Counties!AF615)</f>
        <v/>
      </c>
      <c r="V74" s="17">
        <f>IF(T74="",IF(L74="","not in yet","waiting for the full count"),IF(T74&gt;=0.05,"Great for Colom",IF(T74&gt;=0.01,"Colom on track",IF(T74&gt;-0.01,"Toss-up",IF(T74&gt;-0.05,"Hyde-Smith on track","Great for Hyde-Smith")))))</f>
        <v/>
      </c>
      <c r="W74" s="17" t="inlineStr">
        <is>
          <t>28049</t>
        </is>
      </c>
    </row>
    <row r="75" ht="54" customHeight="1">
      <c r="A75" s="17" t="inlineStr">
        <is>
          <t>MS</t>
        </is>
      </c>
      <c r="B75" s="17" t="inlineStr">
        <is>
          <t>DeSoto</t>
        </is>
      </c>
      <c r="C75" s="17" t="inlineStr">
        <is>
          <t>Memphis suburbs, fast-growing, increasingly Black.</t>
        </is>
      </c>
      <c r="D75" s="17" t="inlineStr">
        <is>
          <t>The R margin shrinking is a long-term D trend.</t>
        </is>
      </c>
      <c r="E75" s="17" t="inlineStr">
        <is>
          <t>Mid-size/working metro</t>
        </is>
      </c>
      <c r="F75" s="23">
        <f>Counties!O607</f>
        <v/>
      </c>
      <c r="G75" s="24">
        <f>Counties!Q607</f>
        <v/>
      </c>
      <c r="H75" s="23">
        <f>Counties!R607</f>
        <v/>
      </c>
      <c r="I75" s="25">
        <f>Counties!S607</f>
        <v/>
      </c>
      <c r="J75" s="25">
        <f>Counties!AQ607/SUMIFS(Counties!$AQ:$AQ,Counties!$A:$A,"MS")</f>
        <v/>
      </c>
      <c r="K75" s="23">
        <f>Counties!T607</f>
        <v/>
      </c>
      <c r="L75" s="23">
        <f>Counties!AH607</f>
        <v/>
      </c>
      <c r="M75" s="26">
        <f>Counties!AO607</f>
        <v/>
      </c>
      <c r="N75" s="24">
        <f>Counties!AN607</f>
        <v/>
      </c>
      <c r="O75" s="17">
        <f>IF(L75="","not in yet",IF(N75&gt;=0.05,"Great for Colom",IF(N75&gt;=0.01,"Colom on track",IF(N75&gt;-0.01,"Toss-up",IF(N75&gt;-0.05,"Hyde-Smith on track","Great for Hyde-Smith"))))&amp;IF(Counties!AG607=1,""," (partial)"))</f>
        <v/>
      </c>
      <c r="P75" s="27">
        <f>Counties!AU607</f>
        <v/>
      </c>
      <c r="Q75" s="23">
        <f>Counties!AV607</f>
        <v/>
      </c>
      <c r="R75" s="27">
        <f>Counties!AW607</f>
        <v/>
      </c>
      <c r="S75" s="24">
        <f>Counties!AX607</f>
        <v/>
      </c>
      <c r="T75" s="24">
        <f>Counties!AY607</f>
        <v/>
      </c>
      <c r="U75" s="28">
        <f>IF(T75="","",T75*Counties!AF607)</f>
        <v/>
      </c>
      <c r="V75" s="17">
        <f>IF(T75="",IF(L75="","not in yet","waiting for the full count"),IF(T75&gt;=0.05,"Great for Colom",IF(T75&gt;=0.01,"Colom on track",IF(T75&gt;-0.01,"Toss-up",IF(T75&gt;-0.05,"Hyde-Smith on track","Great for Hyde-Smith")))))</f>
        <v/>
      </c>
      <c r="W75" s="17" t="inlineStr">
        <is>
          <t>28033</t>
        </is>
      </c>
    </row>
    <row r="76" ht="54" customHeight="1">
      <c r="A76" s="17" t="inlineStr">
        <is>
          <t>MS</t>
        </is>
      </c>
      <c r="B76" s="17" t="inlineStr">
        <is>
          <t>Harrison</t>
        </is>
      </c>
      <c r="C76" s="17" t="inlineStr">
        <is>
          <t>Gulfport and Biloxi. The Gulf Coast.</t>
        </is>
      </c>
      <c r="D76" s="17" t="inlineStr">
        <is>
          <t>R margin.</t>
        </is>
      </c>
      <c r="E76" s="17" t="inlineStr">
        <is>
          <t>Mid-size/working metro</t>
        </is>
      </c>
      <c r="F76" s="23">
        <f>Counties!O614</f>
        <v/>
      </c>
      <c r="G76" s="24">
        <f>Counties!Q614</f>
        <v/>
      </c>
      <c r="H76" s="23">
        <f>Counties!R614</f>
        <v/>
      </c>
      <c r="I76" s="25">
        <f>Counties!S614</f>
        <v/>
      </c>
      <c r="J76" s="25">
        <f>Counties!AQ614/SUMIFS(Counties!$AQ:$AQ,Counties!$A:$A,"MS")</f>
        <v/>
      </c>
      <c r="K76" s="23">
        <f>Counties!T614</f>
        <v/>
      </c>
      <c r="L76" s="23">
        <f>Counties!AH614</f>
        <v/>
      </c>
      <c r="M76" s="26">
        <f>Counties!AO614</f>
        <v/>
      </c>
      <c r="N76" s="24">
        <f>Counties!AN614</f>
        <v/>
      </c>
      <c r="O76" s="17">
        <f>IF(L76="","not in yet",IF(N76&gt;=0.05,"Great for Colom",IF(N76&gt;=0.01,"Colom on track",IF(N76&gt;-0.01,"Toss-up",IF(N76&gt;-0.05,"Hyde-Smith on track","Great for Hyde-Smith"))))&amp;IF(Counties!AG614=1,""," (partial)"))</f>
        <v/>
      </c>
      <c r="P76" s="27">
        <f>Counties!AU614</f>
        <v/>
      </c>
      <c r="Q76" s="23">
        <f>Counties!AV614</f>
        <v/>
      </c>
      <c r="R76" s="27">
        <f>Counties!AW614</f>
        <v/>
      </c>
      <c r="S76" s="24">
        <f>Counties!AX614</f>
        <v/>
      </c>
      <c r="T76" s="24">
        <f>Counties!AY614</f>
        <v/>
      </c>
      <c r="U76" s="28">
        <f>IF(T76="","",T76*Counties!AF614)</f>
        <v/>
      </c>
      <c r="V76" s="17">
        <f>IF(T76="",IF(L76="","not in yet","waiting for the full count"),IF(T76&gt;=0.05,"Great for Colom",IF(T76&gt;=0.01,"Colom on track",IF(T76&gt;-0.01,"Toss-up",IF(T76&gt;-0.05,"Hyde-Smith on track","Great for Hyde-Smith")))))</f>
        <v/>
      </c>
      <c r="W76" s="17" t="inlineStr">
        <is>
          <t>28047</t>
        </is>
      </c>
    </row>
    <row r="77" ht="54" customHeight="1">
      <c r="A77" s="17" t="inlineStr">
        <is>
          <t>MS</t>
        </is>
      </c>
      <c r="B77" s="17" t="inlineStr">
        <is>
          <t>Rankin</t>
        </is>
      </c>
      <c r="C77" s="17" t="inlineStr">
        <is>
          <t>White suburban Jackson, very R.</t>
        </is>
      </c>
      <c r="D77" s="17" t="inlineStr">
        <is>
          <t>R turnout.</t>
        </is>
      </c>
      <c r="E77" s="17" t="inlineStr">
        <is>
          <t>Mid-size/working metro</t>
        </is>
      </c>
      <c r="F77" s="23">
        <f>Counties!O651</f>
        <v/>
      </c>
      <c r="G77" s="24">
        <f>Counties!Q651</f>
        <v/>
      </c>
      <c r="H77" s="23">
        <f>Counties!R651</f>
        <v/>
      </c>
      <c r="I77" s="25">
        <f>Counties!S651</f>
        <v/>
      </c>
      <c r="J77" s="25">
        <f>Counties!AQ651/SUMIFS(Counties!$AQ:$AQ,Counties!$A:$A,"MS")</f>
        <v/>
      </c>
      <c r="K77" s="23">
        <f>Counties!T651</f>
        <v/>
      </c>
      <c r="L77" s="23">
        <f>Counties!AH651</f>
        <v/>
      </c>
      <c r="M77" s="26">
        <f>Counties!AO651</f>
        <v/>
      </c>
      <c r="N77" s="24">
        <f>Counties!AN651</f>
        <v/>
      </c>
      <c r="O77" s="17">
        <f>IF(L77="","not in yet",IF(N77&gt;=0.05,"Great for Colom",IF(N77&gt;=0.01,"Colom on track",IF(N77&gt;-0.01,"Toss-up",IF(N77&gt;-0.05,"Hyde-Smith on track","Great for Hyde-Smith"))))&amp;IF(Counties!AG651=1,""," (partial)"))</f>
        <v/>
      </c>
      <c r="P77" s="27">
        <f>Counties!AU651</f>
        <v/>
      </c>
      <c r="Q77" s="23">
        <f>Counties!AV651</f>
        <v/>
      </c>
      <c r="R77" s="27">
        <f>Counties!AW651</f>
        <v/>
      </c>
      <c r="S77" s="24">
        <f>Counties!AX651</f>
        <v/>
      </c>
      <c r="T77" s="24">
        <f>Counties!AY651</f>
        <v/>
      </c>
      <c r="U77" s="28">
        <f>IF(T77="","",T77*Counties!AF651)</f>
        <v/>
      </c>
      <c r="V77" s="17">
        <f>IF(T77="",IF(L77="","not in yet","waiting for the full count"),IF(T77&gt;=0.05,"Great for Colom",IF(T77&gt;=0.01,"Colom on track",IF(T77&gt;-0.01,"Toss-up",IF(T77&gt;-0.05,"Hyde-Smith on track","Great for Hyde-Smith")))))</f>
        <v/>
      </c>
      <c r="W77" s="17" t="inlineStr">
        <is>
          <t>28121</t>
        </is>
      </c>
    </row>
    <row r="78" ht="54" customHeight="1">
      <c r="A78" s="17" t="inlineStr">
        <is>
          <t>MS</t>
        </is>
      </c>
      <c r="B78" s="17" t="inlineStr">
        <is>
          <t>Madison</t>
        </is>
      </c>
      <c r="C78" s="17" t="inlineStr">
        <is>
          <t>Affluent Jackson suburb, educated.</t>
        </is>
      </c>
      <c r="D78" s="17" t="inlineStr">
        <is>
          <t>Suburban defections.</t>
        </is>
      </c>
      <c r="E78" s="17" t="inlineStr">
        <is>
          <t>College suburb/metro</t>
        </is>
      </c>
      <c r="F78" s="23">
        <f>Counties!O635</f>
        <v/>
      </c>
      <c r="G78" s="24">
        <f>Counties!Q635</f>
        <v/>
      </c>
      <c r="H78" s="23">
        <f>Counties!R635</f>
        <v/>
      </c>
      <c r="I78" s="25">
        <f>Counties!S635</f>
        <v/>
      </c>
      <c r="J78" s="25">
        <f>Counties!AQ635/SUMIFS(Counties!$AQ:$AQ,Counties!$A:$A,"MS")</f>
        <v/>
      </c>
      <c r="K78" s="23">
        <f>Counties!T635</f>
        <v/>
      </c>
      <c r="L78" s="23">
        <f>Counties!AH635</f>
        <v/>
      </c>
      <c r="M78" s="26">
        <f>Counties!AO635</f>
        <v/>
      </c>
      <c r="N78" s="24">
        <f>Counties!AN635</f>
        <v/>
      </c>
      <c r="O78" s="17">
        <f>IF(L78="","not in yet",IF(N78&gt;=0.05,"Great for Colom",IF(N78&gt;=0.01,"Colom on track",IF(N78&gt;-0.01,"Toss-up",IF(N78&gt;-0.05,"Hyde-Smith on track","Great for Hyde-Smith"))))&amp;IF(Counties!AG635=1,""," (partial)"))</f>
        <v/>
      </c>
      <c r="P78" s="27">
        <f>Counties!AU635</f>
        <v/>
      </c>
      <c r="Q78" s="23">
        <f>Counties!AV635</f>
        <v/>
      </c>
      <c r="R78" s="27">
        <f>Counties!AW635</f>
        <v/>
      </c>
      <c r="S78" s="24">
        <f>Counties!AX635</f>
        <v/>
      </c>
      <c r="T78" s="24">
        <f>Counties!AY635</f>
        <v/>
      </c>
      <c r="U78" s="28">
        <f>IF(T78="","",T78*Counties!AF635)</f>
        <v/>
      </c>
      <c r="V78" s="17">
        <f>IF(T78="",IF(L78="","not in yet","waiting for the full count"),IF(T78&gt;=0.05,"Great for Colom",IF(T78&gt;=0.01,"Colom on track",IF(T78&gt;-0.01,"Toss-up",IF(T78&gt;-0.05,"Hyde-Smith on track","Great for Hyde-Smith")))))</f>
        <v/>
      </c>
      <c r="W78" s="17" t="inlineStr">
        <is>
          <t>28089</t>
        </is>
      </c>
    </row>
    <row r="79" ht="54" customHeight="1">
      <c r="A79" s="17" t="inlineStr">
        <is>
          <t>MS</t>
        </is>
      </c>
      <c r="B79" s="17" t="inlineStr">
        <is>
          <t>Lee</t>
        </is>
      </c>
      <c r="C79" s="17" t="inlineStr">
        <is>
          <t>Tupelo. Northeast Mississippi.</t>
        </is>
      </c>
      <c r="D79" s="17" t="inlineStr">
        <is>
          <t>R margin.</t>
        </is>
      </c>
      <c r="E79" s="17" t="inlineStr">
        <is>
          <t>Small town &amp; rural</t>
        </is>
      </c>
      <c r="F79" s="23">
        <f>Counties!O631</f>
        <v/>
      </c>
      <c r="G79" s="24">
        <f>Counties!Q631</f>
        <v/>
      </c>
      <c r="H79" s="23">
        <f>Counties!R631</f>
        <v/>
      </c>
      <c r="I79" s="25">
        <f>Counties!S631</f>
        <v/>
      </c>
      <c r="J79" s="25">
        <f>Counties!AQ631/SUMIFS(Counties!$AQ:$AQ,Counties!$A:$A,"MS")</f>
        <v/>
      </c>
      <c r="K79" s="23">
        <f>Counties!T631</f>
        <v/>
      </c>
      <c r="L79" s="23">
        <f>Counties!AH631</f>
        <v/>
      </c>
      <c r="M79" s="26">
        <f>Counties!AO631</f>
        <v/>
      </c>
      <c r="N79" s="24">
        <f>Counties!AN631</f>
        <v/>
      </c>
      <c r="O79" s="17">
        <f>IF(L79="","not in yet",IF(N79&gt;=0.05,"Great for Colom",IF(N79&gt;=0.01,"Colom on track",IF(N79&gt;-0.01,"Toss-up",IF(N79&gt;-0.05,"Hyde-Smith on track","Great for Hyde-Smith"))))&amp;IF(Counties!AG631=1,""," (partial)"))</f>
        <v/>
      </c>
      <c r="P79" s="27">
        <f>Counties!AU631</f>
        <v/>
      </c>
      <c r="Q79" s="23">
        <f>Counties!AV631</f>
        <v/>
      </c>
      <c r="R79" s="27">
        <f>Counties!AW631</f>
        <v/>
      </c>
      <c r="S79" s="24">
        <f>Counties!AX631</f>
        <v/>
      </c>
      <c r="T79" s="24">
        <f>Counties!AY631</f>
        <v/>
      </c>
      <c r="U79" s="28">
        <f>IF(T79="","",T79*Counties!AF631)</f>
        <v/>
      </c>
      <c r="V79" s="17">
        <f>IF(T79="",IF(L79="","not in yet","waiting for the full count"),IF(T79&gt;=0.05,"Great for Colom",IF(T79&gt;=0.01,"Colom on track",IF(T79&gt;-0.01,"Toss-up",IF(T79&gt;-0.05,"Hyde-Smith on track","Great for Hyde-Smith")))))</f>
        <v/>
      </c>
      <c r="W79" s="17" t="inlineStr">
        <is>
          <t>28081</t>
        </is>
      </c>
    </row>
    <row r="80" ht="54" customHeight="1">
      <c r="A80" s="29" t="inlineStr">
        <is>
          <t>MS</t>
        </is>
      </c>
      <c r="B80" s="29" t="inlineStr">
        <is>
          <t>All rural (40)</t>
        </is>
      </c>
      <c r="C80" s="29" t="inlineStr">
        <is>
          <t>Every small-town and rural county together: the Republican base's turnout test.</t>
        </is>
      </c>
      <c r="D80" s="29" t="inlineStr">
        <is>
          <t>Turnout index from its finished counties. Above 100 means the rural base is a bigger share of the vote than a tie assumes; the margin rarely moves much.</t>
        </is>
      </c>
      <c r="E80" s="29" t="inlineStr">
        <is>
          <t>Small town &amp; rural</t>
        </is>
      </c>
      <c r="F80" s="30">
        <f>Types!M32</f>
        <v/>
      </c>
      <c r="G80" s="31" t="n"/>
      <c r="H80" s="30" t="n"/>
      <c r="I80" s="32" t="n"/>
      <c r="J80" s="32">
        <f>Types!L32</f>
        <v/>
      </c>
      <c r="K80" s="30">
        <f>Types!P32</f>
        <v/>
      </c>
      <c r="L80" s="30">
        <f>Types!S32</f>
        <v/>
      </c>
      <c r="M80" s="33">
        <f>IFERROR(Types!E32/Types!D32,"")</f>
        <v/>
      </c>
      <c r="N80" s="31">
        <f>IF(L80="","",L80-K80)</f>
        <v/>
      </c>
      <c r="O80" s="29">
        <f>IF(Types!F32=0,"not in yet",IF(N80&gt;=0.05,"Great for Colom",IF(N80&gt;=0.01,"Colom on track",IF(N80&gt;-0.01,"Toss-up",IF(N80&gt;-0.05,"Hyde-Smith on track","Great for Hyde-Smith"))))&amp;" (projected)")</f>
        <v/>
      </c>
      <c r="P80" s="34">
        <f>Types!V32</f>
        <v/>
      </c>
      <c r="Q80" s="30">
        <f>Types!W32</f>
        <v/>
      </c>
      <c r="R80" s="34" t="n"/>
      <c r="S80" s="31">
        <f>IF(Q80="","",K80-Q80)</f>
        <v/>
      </c>
      <c r="T80" s="31">
        <f>Types!X32</f>
        <v/>
      </c>
      <c r="U80" s="35">
        <f>Types!Y32</f>
        <v/>
      </c>
      <c r="V80" s="29">
        <f>IF(T80="","not in yet",IF(T80&gt;=0.05,"Great for Colom",IF(T80&gt;=0.01,"Colom on track",IF(T80&gt;-0.01,"Toss-up",IF(T80&gt;-0.05,"Hyde-Smith on track","Great for Hyde-Smith"))))&amp;" (finished counties)")</f>
        <v/>
      </c>
      <c r="W80" s="29" t="n"/>
    </row>
    <row r="81">
      <c r="A81" s="22" t="inlineStr">
        <is>
          <t>North Carolina  ·  2024: R+3.3 (R+2.8 with 2022's turnout pattern)  ·  Roy Cooper vs Michael Whatley</t>
        </is>
      </c>
      <c r="B81" s="22" t="n"/>
      <c r="C81" s="22" t="n"/>
      <c r="D81" s="22" t="n"/>
      <c r="E81" s="22" t="n"/>
      <c r="F81" s="22" t="n"/>
      <c r="G81" s="22" t="n"/>
      <c r="H81" s="22" t="n"/>
      <c r="I81" s="22" t="n"/>
      <c r="J81" s="22" t="n"/>
      <c r="K81" s="22" t="n"/>
      <c r="L81" s="22" t="n"/>
      <c r="M81" s="22" t="n"/>
      <c r="N81" s="22" t="n"/>
      <c r="O81" s="22" t="n"/>
      <c r="P81" s="22" t="n"/>
      <c r="Q81" s="22" t="n"/>
      <c r="R81" s="22" t="n"/>
      <c r="S81" s="22" t="n"/>
      <c r="T81" s="22" t="n"/>
      <c r="U81" s="22" t="n"/>
      <c r="V81" s="22" t="n"/>
      <c r="W81" s="22" t="n"/>
    </row>
    <row r="82" ht="54" customHeight="1">
      <c r="A82" s="17" t="inlineStr">
        <is>
          <t>NC</t>
        </is>
      </c>
      <c r="B82" s="17" t="inlineStr">
        <is>
          <t>Wake</t>
        </is>
      </c>
      <c r="C82" s="17" t="inlineStr">
        <is>
          <t>Largest county (Raleigh), with fast-growing college-educated suburbs.</t>
        </is>
      </c>
      <c r="D82" s="17" t="inlineStr">
        <is>
          <t>Turnout growth plus margin. Wake has been adding thousands of net D votes every cycle.</t>
        </is>
      </c>
      <c r="E82" s="17" t="inlineStr">
        <is>
          <t>Big metro core</t>
        </is>
      </c>
      <c r="F82" s="23">
        <f>Counties!O764</f>
        <v/>
      </c>
      <c r="G82" s="24">
        <f>Counties!Q764</f>
        <v/>
      </c>
      <c r="H82" s="23">
        <f>Counties!R764</f>
        <v/>
      </c>
      <c r="I82" s="25">
        <f>Counties!S764</f>
        <v/>
      </c>
      <c r="J82" s="25">
        <f>Counties!AQ764/SUMIFS(Counties!$AQ:$AQ,Counties!$A:$A,"NC")</f>
        <v/>
      </c>
      <c r="K82" s="23">
        <f>Counties!T764</f>
        <v/>
      </c>
      <c r="L82" s="23">
        <f>Counties!AH764</f>
        <v/>
      </c>
      <c r="M82" s="26">
        <f>Counties!AO764</f>
        <v/>
      </c>
      <c r="N82" s="24">
        <f>Counties!AN764</f>
        <v/>
      </c>
      <c r="O82" s="17">
        <f>IF(L82="","not in yet",IF(N82&gt;=0.05,"Great for Cooper",IF(N82&gt;=0.01,"Cooper on track",IF(N82&gt;-0.01,"Toss-up",IF(N82&gt;-0.05,"Whatley on track","Great for Whatley"))))&amp;IF(Counties!AG764=1,""," (partial)"))</f>
        <v/>
      </c>
      <c r="P82" s="27">
        <f>Counties!AU764</f>
        <v/>
      </c>
      <c r="Q82" s="23">
        <f>Counties!AV764</f>
        <v/>
      </c>
      <c r="R82" s="27">
        <f>Counties!AW764</f>
        <v/>
      </c>
      <c r="S82" s="24">
        <f>Counties!AX764</f>
        <v/>
      </c>
      <c r="T82" s="24">
        <f>Counties!AY764</f>
        <v/>
      </c>
      <c r="U82" s="28">
        <f>IF(T82="","",T82*Counties!AF764)</f>
        <v/>
      </c>
      <c r="V82" s="17">
        <f>IF(T82="",IF(L82="","not in yet","waiting for the full count"),IF(T82&gt;=0.05,"Great for Cooper",IF(T82&gt;=0.01,"Cooper on track",IF(T82&gt;-0.01,"Toss-up",IF(T82&gt;-0.05,"Whatley on track","Great for Whatley")))))</f>
        <v/>
      </c>
      <c r="W82" s="17" t="inlineStr">
        <is>
          <t>37183</t>
        </is>
      </c>
    </row>
    <row r="83" ht="54" customHeight="1">
      <c r="A83" s="17" t="inlineStr">
        <is>
          <t>NC</t>
        </is>
      </c>
      <c r="B83" s="17" t="inlineStr">
        <is>
          <t>Mecklenburg</t>
        </is>
      </c>
      <c r="C83" s="17" t="inlineStr">
        <is>
          <t>Charlotte. Second-biggest D vote bank, with a large Black population.</t>
        </is>
      </c>
      <c r="D83" s="17" t="inlineStr">
        <is>
          <t>Its margin slipped 2.2 points toward R in 2024. A rebound is a good D sign.</t>
        </is>
      </c>
      <c r="E83" s="17" t="inlineStr">
        <is>
          <t>Big metro core</t>
        </is>
      </c>
      <c r="F83" s="23">
        <f>Counties!O732</f>
        <v/>
      </c>
      <c r="G83" s="24">
        <f>Counties!Q732</f>
        <v/>
      </c>
      <c r="H83" s="23">
        <f>Counties!R732</f>
        <v/>
      </c>
      <c r="I83" s="25">
        <f>Counties!S732</f>
        <v/>
      </c>
      <c r="J83" s="25">
        <f>Counties!AQ732/SUMIFS(Counties!$AQ:$AQ,Counties!$A:$A,"NC")</f>
        <v/>
      </c>
      <c r="K83" s="23">
        <f>Counties!T732</f>
        <v/>
      </c>
      <c r="L83" s="23">
        <f>Counties!AH732</f>
        <v/>
      </c>
      <c r="M83" s="26">
        <f>Counties!AO732</f>
        <v/>
      </c>
      <c r="N83" s="24">
        <f>Counties!AN732</f>
        <v/>
      </c>
      <c r="O83" s="17">
        <f>IF(L83="","not in yet",IF(N83&gt;=0.05,"Great for Cooper",IF(N83&gt;=0.01,"Cooper on track",IF(N83&gt;-0.01,"Toss-up",IF(N83&gt;-0.05,"Whatley on track","Great for Whatley"))))&amp;IF(Counties!AG732=1,""," (partial)"))</f>
        <v/>
      </c>
      <c r="P83" s="27">
        <f>Counties!AU732</f>
        <v/>
      </c>
      <c r="Q83" s="23">
        <f>Counties!AV732</f>
        <v/>
      </c>
      <c r="R83" s="27">
        <f>Counties!AW732</f>
        <v/>
      </c>
      <c r="S83" s="24">
        <f>Counties!AX732</f>
        <v/>
      </c>
      <c r="T83" s="24">
        <f>Counties!AY732</f>
        <v/>
      </c>
      <c r="U83" s="28">
        <f>IF(T83="","",T83*Counties!AF732)</f>
        <v/>
      </c>
      <c r="V83" s="17">
        <f>IF(T83="",IF(L83="","not in yet","waiting for the full count"),IF(T83&gt;=0.05,"Great for Cooper",IF(T83&gt;=0.01,"Cooper on track",IF(T83&gt;-0.01,"Toss-up",IF(T83&gt;-0.05,"Whatley on track","Great for Whatley")))))</f>
        <v/>
      </c>
      <c r="W83" s="17" t="inlineStr">
        <is>
          <t>37119</t>
        </is>
      </c>
    </row>
    <row r="84" ht="54" customHeight="1">
      <c r="A84" s="17" t="inlineStr">
        <is>
          <t>NC</t>
        </is>
      </c>
      <c r="B84" s="17" t="inlineStr">
        <is>
          <t>Guilford</t>
        </is>
      </c>
      <c r="C84" s="17" t="inlineStr">
        <is>
          <t>Greensboro. A big, racially mixed county that tracks the statewide trend.</t>
        </is>
      </c>
      <c r="D84" s="17" t="inlineStr">
        <is>
          <t>Margin compared with its 2022 and 2024 baselines.</t>
        </is>
      </c>
      <c r="E84" s="17" t="inlineStr">
        <is>
          <t>Mid-size/working metro</t>
        </is>
      </c>
      <c r="F84" s="23">
        <f>Counties!O713</f>
        <v/>
      </c>
      <c r="G84" s="24">
        <f>Counties!Q713</f>
        <v/>
      </c>
      <c r="H84" s="23">
        <f>Counties!R713</f>
        <v/>
      </c>
      <c r="I84" s="25">
        <f>Counties!S713</f>
        <v/>
      </c>
      <c r="J84" s="25">
        <f>Counties!AQ713/SUMIFS(Counties!$AQ:$AQ,Counties!$A:$A,"NC")</f>
        <v/>
      </c>
      <c r="K84" s="23">
        <f>Counties!T713</f>
        <v/>
      </c>
      <c r="L84" s="23">
        <f>Counties!AH713</f>
        <v/>
      </c>
      <c r="M84" s="26">
        <f>Counties!AO713</f>
        <v/>
      </c>
      <c r="N84" s="24">
        <f>Counties!AN713</f>
        <v/>
      </c>
      <c r="O84" s="17">
        <f>IF(L84="","not in yet",IF(N84&gt;=0.05,"Great for Cooper",IF(N84&gt;=0.01,"Cooper on track",IF(N84&gt;-0.01,"Toss-up",IF(N84&gt;-0.05,"Whatley on track","Great for Whatley"))))&amp;IF(Counties!AG713=1,""," (partial)"))</f>
        <v/>
      </c>
      <c r="P84" s="27">
        <f>Counties!AU713</f>
        <v/>
      </c>
      <c r="Q84" s="23">
        <f>Counties!AV713</f>
        <v/>
      </c>
      <c r="R84" s="27">
        <f>Counties!AW713</f>
        <v/>
      </c>
      <c r="S84" s="24">
        <f>Counties!AX713</f>
        <v/>
      </c>
      <c r="T84" s="24">
        <f>Counties!AY713</f>
        <v/>
      </c>
      <c r="U84" s="28">
        <f>IF(T84="","",T84*Counties!AF713)</f>
        <v/>
      </c>
      <c r="V84" s="17">
        <f>IF(T84="",IF(L84="","not in yet","waiting for the full count"),IF(T84&gt;=0.05,"Great for Cooper",IF(T84&gt;=0.01,"Cooper on track",IF(T84&gt;-0.01,"Toss-up",IF(T84&gt;-0.05,"Whatley on track","Great for Whatley")))))</f>
        <v/>
      </c>
      <c r="W84" s="17" t="inlineStr">
        <is>
          <t>37081</t>
        </is>
      </c>
    </row>
    <row r="85" ht="54" customHeight="1">
      <c r="A85" s="17" t="inlineStr">
        <is>
          <t>NC</t>
        </is>
      </c>
      <c r="B85" s="17" t="inlineStr">
        <is>
          <t>Durham</t>
        </is>
      </c>
      <c r="C85" s="17" t="inlineStr">
        <is>
          <t>Deep-blue Research Triangle county.</t>
        </is>
      </c>
      <c r="D85" s="17" t="inlineStr">
        <is>
          <t>Turnout. The margin is near its ceiling.</t>
        </is>
      </c>
      <c r="E85" s="17" t="inlineStr">
        <is>
          <t>College suburb/metro</t>
        </is>
      </c>
      <c r="F85" s="23">
        <f>Counties!O704</f>
        <v/>
      </c>
      <c r="G85" s="24">
        <f>Counties!Q704</f>
        <v/>
      </c>
      <c r="H85" s="23">
        <f>Counties!R704</f>
        <v/>
      </c>
      <c r="I85" s="25">
        <f>Counties!S704</f>
        <v/>
      </c>
      <c r="J85" s="25">
        <f>Counties!AQ704/SUMIFS(Counties!$AQ:$AQ,Counties!$A:$A,"NC")</f>
        <v/>
      </c>
      <c r="K85" s="23">
        <f>Counties!T704</f>
        <v/>
      </c>
      <c r="L85" s="23">
        <f>Counties!AH704</f>
        <v/>
      </c>
      <c r="M85" s="26">
        <f>Counties!AO704</f>
        <v/>
      </c>
      <c r="N85" s="24">
        <f>Counties!AN704</f>
        <v/>
      </c>
      <c r="O85" s="17">
        <f>IF(L85="","not in yet",IF(N85&gt;=0.05,"Great for Cooper",IF(N85&gt;=0.01,"Cooper on track",IF(N85&gt;-0.01,"Toss-up",IF(N85&gt;-0.05,"Whatley on track","Great for Whatley"))))&amp;IF(Counties!AG704=1,""," (partial)"))</f>
        <v/>
      </c>
      <c r="P85" s="27">
        <f>Counties!AU704</f>
        <v/>
      </c>
      <c r="Q85" s="23">
        <f>Counties!AV704</f>
        <v/>
      </c>
      <c r="R85" s="27">
        <f>Counties!AW704</f>
        <v/>
      </c>
      <c r="S85" s="24">
        <f>Counties!AX704</f>
        <v/>
      </c>
      <c r="T85" s="24">
        <f>Counties!AY704</f>
        <v/>
      </c>
      <c r="U85" s="28">
        <f>IF(T85="","",T85*Counties!AF704)</f>
        <v/>
      </c>
      <c r="V85" s="17">
        <f>IF(T85="",IF(L85="","not in yet","waiting for the full count"),IF(T85&gt;=0.05,"Great for Cooper",IF(T85&gt;=0.01,"Cooper on track",IF(T85&gt;-0.01,"Toss-up",IF(T85&gt;-0.05,"Whatley on track","Great for Whatley")))))</f>
        <v/>
      </c>
      <c r="W85" s="17" t="inlineStr">
        <is>
          <t>37063</t>
        </is>
      </c>
    </row>
    <row r="86" ht="54" customHeight="1">
      <c r="A86" s="17" t="inlineStr">
        <is>
          <t>NC</t>
        </is>
      </c>
      <c r="B86" s="17" t="inlineStr">
        <is>
          <t>Buncombe</t>
        </is>
      </c>
      <c r="C86" s="17" t="inlineStr">
        <is>
          <t>Asheville. Hurricane Helene hit it in 2024, and it still swung D.</t>
        </is>
      </c>
      <c r="D86" s="17" t="inlineStr">
        <is>
          <t>Turnout recovery after Helene, and whether the 2024 D gain holds.</t>
        </is>
      </c>
      <c r="E86" s="17" t="inlineStr">
        <is>
          <t>College suburb/metro</t>
        </is>
      </c>
      <c r="F86" s="23">
        <f>Counties!O683</f>
        <v/>
      </c>
      <c r="G86" s="24">
        <f>Counties!Q683</f>
        <v/>
      </c>
      <c r="H86" s="23">
        <f>Counties!R683</f>
        <v/>
      </c>
      <c r="I86" s="25">
        <f>Counties!S683</f>
        <v/>
      </c>
      <c r="J86" s="25">
        <f>Counties!AQ683/SUMIFS(Counties!$AQ:$AQ,Counties!$A:$A,"NC")</f>
        <v/>
      </c>
      <c r="K86" s="23">
        <f>Counties!T683</f>
        <v/>
      </c>
      <c r="L86" s="23">
        <f>Counties!AH683</f>
        <v/>
      </c>
      <c r="M86" s="26">
        <f>Counties!AO683</f>
        <v/>
      </c>
      <c r="N86" s="24">
        <f>Counties!AN683</f>
        <v/>
      </c>
      <c r="O86" s="17">
        <f>IF(L86="","not in yet",IF(N86&gt;=0.05,"Great for Cooper",IF(N86&gt;=0.01,"Cooper on track",IF(N86&gt;-0.01,"Toss-up",IF(N86&gt;-0.05,"Whatley on track","Great for Whatley"))))&amp;IF(Counties!AG683=1,""," (partial)"))</f>
        <v/>
      </c>
      <c r="P86" s="27">
        <f>Counties!AU683</f>
        <v/>
      </c>
      <c r="Q86" s="23">
        <f>Counties!AV683</f>
        <v/>
      </c>
      <c r="R86" s="27">
        <f>Counties!AW683</f>
        <v/>
      </c>
      <c r="S86" s="24">
        <f>Counties!AX683</f>
        <v/>
      </c>
      <c r="T86" s="24">
        <f>Counties!AY683</f>
        <v/>
      </c>
      <c r="U86" s="28">
        <f>IF(T86="","",T86*Counties!AF683)</f>
        <v/>
      </c>
      <c r="V86" s="17">
        <f>IF(T86="",IF(L86="","not in yet","waiting for the full count"),IF(T86&gt;=0.05,"Great for Cooper",IF(T86&gt;=0.01,"Cooper on track",IF(T86&gt;-0.01,"Toss-up",IF(T86&gt;-0.05,"Whatley on track","Great for Whatley")))))</f>
        <v/>
      </c>
      <c r="W86" s="17" t="inlineStr">
        <is>
          <t>37021</t>
        </is>
      </c>
    </row>
    <row r="87" ht="54" customHeight="1">
      <c r="A87" s="17" t="inlineStr">
        <is>
          <t>NC</t>
        </is>
      </c>
      <c r="B87" s="17" t="inlineStr">
        <is>
          <t>Union</t>
        </is>
      </c>
      <c r="C87" s="17" t="inlineStr">
        <is>
          <t>Charlotte's fast-growing southeastern exurb, about 35,000 net R votes in 2024.</t>
        </is>
      </c>
      <c r="D87" s="17" t="inlineStr">
        <is>
          <t>Suburban Republicans. College-educated growth has kept it flat (R+24.5 in 2020, R+25.5 in 2024). Well under that, with turnout on pace, means suburban Republicans are slipping.</t>
        </is>
      </c>
      <c r="E87" s="17" t="inlineStr">
        <is>
          <t>Mid-size/working metro</t>
        </is>
      </c>
      <c r="F87" s="23">
        <f>Counties!O762</f>
        <v/>
      </c>
      <c r="G87" s="24">
        <f>Counties!Q762</f>
        <v/>
      </c>
      <c r="H87" s="23">
        <f>Counties!R762</f>
        <v/>
      </c>
      <c r="I87" s="25">
        <f>Counties!S762</f>
        <v/>
      </c>
      <c r="J87" s="25">
        <f>Counties!AQ762/SUMIFS(Counties!$AQ:$AQ,Counties!$A:$A,"NC")</f>
        <v/>
      </c>
      <c r="K87" s="23">
        <f>Counties!T762</f>
        <v/>
      </c>
      <c r="L87" s="23">
        <f>Counties!AH762</f>
        <v/>
      </c>
      <c r="M87" s="26">
        <f>Counties!AO762</f>
        <v/>
      </c>
      <c r="N87" s="24">
        <f>Counties!AN762</f>
        <v/>
      </c>
      <c r="O87" s="17">
        <f>IF(L87="","not in yet",IF(N87&gt;=0.05,"Great for Cooper",IF(N87&gt;=0.01,"Cooper on track",IF(N87&gt;-0.01,"Toss-up",IF(N87&gt;-0.05,"Whatley on track","Great for Whatley"))))&amp;IF(Counties!AG762=1,""," (partial)"))</f>
        <v/>
      </c>
      <c r="P87" s="27">
        <f>Counties!AU762</f>
        <v/>
      </c>
      <c r="Q87" s="23">
        <f>Counties!AV762</f>
        <v/>
      </c>
      <c r="R87" s="27">
        <f>Counties!AW762</f>
        <v/>
      </c>
      <c r="S87" s="24">
        <f>Counties!AX762</f>
        <v/>
      </c>
      <c r="T87" s="24">
        <f>Counties!AY762</f>
        <v/>
      </c>
      <c r="U87" s="28">
        <f>IF(T87="","",T87*Counties!AF762)</f>
        <v/>
      </c>
      <c r="V87" s="17">
        <f>IF(T87="",IF(L87="","not in yet","waiting for the full count"),IF(T87&gt;=0.05,"Great for Cooper",IF(T87&gt;=0.01,"Cooper on track",IF(T87&gt;-0.01,"Toss-up",IF(T87&gt;-0.05,"Whatley on track","Great for Whatley")))))</f>
        <v/>
      </c>
      <c r="W87" s="17" t="inlineStr">
        <is>
          <t>37179</t>
        </is>
      </c>
    </row>
    <row r="88" ht="54" customHeight="1">
      <c r="A88" s="17" t="inlineStr">
        <is>
          <t>NC</t>
        </is>
      </c>
      <c r="B88" s="17" t="inlineStr">
        <is>
          <t>New Hanover</t>
        </is>
      </c>
      <c r="C88" s="17" t="inlineStr">
        <is>
          <t>Wilmington. A true swing county, almost exactly tied in 2024.</t>
        </is>
      </c>
      <c r="D88" s="17" t="inlineStr">
        <is>
          <t>Whichever side wins it by a few points is usually having a good night statewide.</t>
        </is>
      </c>
      <c r="E88" s="17" t="inlineStr">
        <is>
          <t>College suburb/metro</t>
        </is>
      </c>
      <c r="F88" s="23">
        <f>Counties!O737</f>
        <v/>
      </c>
      <c r="G88" s="24">
        <f>Counties!Q737</f>
        <v/>
      </c>
      <c r="H88" s="23">
        <f>Counties!R737</f>
        <v/>
      </c>
      <c r="I88" s="25">
        <f>Counties!S737</f>
        <v/>
      </c>
      <c r="J88" s="25">
        <f>Counties!AQ737/SUMIFS(Counties!$AQ:$AQ,Counties!$A:$A,"NC")</f>
        <v/>
      </c>
      <c r="K88" s="23">
        <f>Counties!T737</f>
        <v/>
      </c>
      <c r="L88" s="23">
        <f>Counties!AH737</f>
        <v/>
      </c>
      <c r="M88" s="26">
        <f>Counties!AO737</f>
        <v/>
      </c>
      <c r="N88" s="24">
        <f>Counties!AN737</f>
        <v/>
      </c>
      <c r="O88" s="17">
        <f>IF(L88="","not in yet",IF(N88&gt;=0.05,"Great for Cooper",IF(N88&gt;=0.01,"Cooper on track",IF(N88&gt;-0.01,"Toss-up",IF(N88&gt;-0.05,"Whatley on track","Great for Whatley"))))&amp;IF(Counties!AG737=1,""," (partial)"))</f>
        <v/>
      </c>
      <c r="P88" s="27">
        <f>Counties!AU737</f>
        <v/>
      </c>
      <c r="Q88" s="23">
        <f>Counties!AV737</f>
        <v/>
      </c>
      <c r="R88" s="27">
        <f>Counties!AW737</f>
        <v/>
      </c>
      <c r="S88" s="24">
        <f>Counties!AX737</f>
        <v/>
      </c>
      <c r="T88" s="24">
        <f>Counties!AY737</f>
        <v/>
      </c>
      <c r="U88" s="28">
        <f>IF(T88="","",T88*Counties!AF737)</f>
        <v/>
      </c>
      <c r="V88" s="17">
        <f>IF(T88="",IF(L88="","not in yet","waiting for the full count"),IF(T88&gt;=0.05,"Great for Cooper",IF(T88&gt;=0.01,"Cooper on track",IF(T88&gt;-0.01,"Toss-up",IF(T88&gt;-0.05,"Whatley on track","Great for Whatley")))))</f>
        <v/>
      </c>
      <c r="W88" s="17" t="inlineStr">
        <is>
          <t>37129</t>
        </is>
      </c>
    </row>
    <row r="89" ht="54" customHeight="1">
      <c r="A89" s="17" t="inlineStr">
        <is>
          <t>NC</t>
        </is>
      </c>
      <c r="B89" s="17" t="inlineStr">
        <is>
          <t>Johnston</t>
        </is>
      </c>
      <c r="C89" s="17" t="inlineStr">
        <is>
          <t>Booming exurb southeast of Raleigh, still strongly R but trending D.</t>
        </is>
      </c>
      <c r="D89" s="17" t="inlineStr">
        <is>
          <t>R margin under about 20 means Democrats are making suburban growth work for them.</t>
        </is>
      </c>
      <c r="E89" s="17" t="inlineStr">
        <is>
          <t>Mid-size/working metro</t>
        </is>
      </c>
      <c r="F89" s="23">
        <f>Counties!O723</f>
        <v/>
      </c>
      <c r="G89" s="24">
        <f>Counties!Q723</f>
        <v/>
      </c>
      <c r="H89" s="23">
        <f>Counties!R723</f>
        <v/>
      </c>
      <c r="I89" s="25">
        <f>Counties!S723</f>
        <v/>
      </c>
      <c r="J89" s="25">
        <f>Counties!AQ723/SUMIFS(Counties!$AQ:$AQ,Counties!$A:$A,"NC")</f>
        <v/>
      </c>
      <c r="K89" s="23">
        <f>Counties!T723</f>
        <v/>
      </c>
      <c r="L89" s="23">
        <f>Counties!AH723</f>
        <v/>
      </c>
      <c r="M89" s="26">
        <f>Counties!AO723</f>
        <v/>
      </c>
      <c r="N89" s="24">
        <f>Counties!AN723</f>
        <v/>
      </c>
      <c r="O89" s="17">
        <f>IF(L89="","not in yet",IF(N89&gt;=0.05,"Great for Cooper",IF(N89&gt;=0.01,"Cooper on track",IF(N89&gt;-0.01,"Toss-up",IF(N89&gt;-0.05,"Whatley on track","Great for Whatley"))))&amp;IF(Counties!AG723=1,""," (partial)"))</f>
        <v/>
      </c>
      <c r="P89" s="27">
        <f>Counties!AU723</f>
        <v/>
      </c>
      <c r="Q89" s="23">
        <f>Counties!AV723</f>
        <v/>
      </c>
      <c r="R89" s="27">
        <f>Counties!AW723</f>
        <v/>
      </c>
      <c r="S89" s="24">
        <f>Counties!AX723</f>
        <v/>
      </c>
      <c r="T89" s="24">
        <f>Counties!AY723</f>
        <v/>
      </c>
      <c r="U89" s="28">
        <f>IF(T89="","",T89*Counties!AF723)</f>
        <v/>
      </c>
      <c r="V89" s="17">
        <f>IF(T89="",IF(L89="","not in yet","waiting for the full count"),IF(T89&gt;=0.05,"Great for Cooper",IF(T89&gt;=0.01,"Cooper on track",IF(T89&gt;-0.01,"Toss-up",IF(T89&gt;-0.05,"Whatley on track","Great for Whatley")))))</f>
        <v/>
      </c>
      <c r="W89" s="17" t="inlineStr">
        <is>
          <t>37101</t>
        </is>
      </c>
    </row>
    <row r="90" ht="54" customHeight="1">
      <c r="A90" s="17" t="inlineStr">
        <is>
          <t>NC</t>
        </is>
      </c>
      <c r="B90" s="17" t="inlineStr">
        <is>
          <t>Davidson</t>
        </is>
      </c>
      <c r="C90" s="17" t="inlineStr">
        <is>
          <t>The state's biggest R net-vote county (about 44,000 in 2024), working-class Piedmont.</t>
        </is>
      </c>
      <c r="D90" s="17" t="inlineStr">
        <is>
          <t>Turnout and margin together: R+48 at a turnout index of 100 or better means the Republican base is fully there.</t>
        </is>
      </c>
      <c r="E90" s="17" t="inlineStr">
        <is>
          <t>Mid-size/working metro</t>
        </is>
      </c>
      <c r="F90" s="23">
        <f>Counties!O701</f>
        <v/>
      </c>
      <c r="G90" s="24">
        <f>Counties!Q701</f>
        <v/>
      </c>
      <c r="H90" s="23">
        <f>Counties!R701</f>
        <v/>
      </c>
      <c r="I90" s="25">
        <f>Counties!S701</f>
        <v/>
      </c>
      <c r="J90" s="25">
        <f>Counties!AQ701/SUMIFS(Counties!$AQ:$AQ,Counties!$A:$A,"NC")</f>
        <v/>
      </c>
      <c r="K90" s="23">
        <f>Counties!T701</f>
        <v/>
      </c>
      <c r="L90" s="23">
        <f>Counties!AH701</f>
        <v/>
      </c>
      <c r="M90" s="26">
        <f>Counties!AO701</f>
        <v/>
      </c>
      <c r="N90" s="24">
        <f>Counties!AN701</f>
        <v/>
      </c>
      <c r="O90" s="17">
        <f>IF(L90="","not in yet",IF(N90&gt;=0.05,"Great for Cooper",IF(N90&gt;=0.01,"Cooper on track",IF(N90&gt;-0.01,"Toss-up",IF(N90&gt;-0.05,"Whatley on track","Great for Whatley"))))&amp;IF(Counties!AG701=1,""," (partial)"))</f>
        <v/>
      </c>
      <c r="P90" s="27">
        <f>Counties!AU701</f>
        <v/>
      </c>
      <c r="Q90" s="23">
        <f>Counties!AV701</f>
        <v/>
      </c>
      <c r="R90" s="27">
        <f>Counties!AW701</f>
        <v/>
      </c>
      <c r="S90" s="24">
        <f>Counties!AX701</f>
        <v/>
      </c>
      <c r="T90" s="24">
        <f>Counties!AY701</f>
        <v/>
      </c>
      <c r="U90" s="28">
        <f>IF(T90="","",T90*Counties!AF701)</f>
        <v/>
      </c>
      <c r="V90" s="17">
        <f>IF(T90="",IF(L90="","not in yet","waiting for the full count"),IF(T90&gt;=0.05,"Great for Cooper",IF(T90&gt;=0.01,"Cooper on track",IF(T90&gt;-0.01,"Toss-up",IF(T90&gt;-0.05,"Whatley on track","Great for Whatley")))))</f>
        <v/>
      </c>
      <c r="W90" s="17" t="inlineStr">
        <is>
          <t>37057</t>
        </is>
      </c>
    </row>
    <row r="91" ht="54" customHeight="1">
      <c r="A91" s="17" t="inlineStr">
        <is>
          <t>NC</t>
        </is>
      </c>
      <c r="B91" s="17" t="inlineStr">
        <is>
          <t>Randolph</t>
        </is>
      </c>
      <c r="C91" s="17" t="inlineStr">
        <is>
          <t>The most Republican county in North Carolina with 100,000+ people (R+58), in the Piedmont between Greensboro and Charlotte.</t>
        </is>
      </c>
      <c r="D91" s="17" t="inlineStr">
        <is>
          <t>Turnout. The margin is near its ceiling, so whether small-town Republicans turn out in a midterm is the question.</t>
        </is>
      </c>
      <c r="E91" s="17" t="inlineStr">
        <is>
          <t>Mid-size/working metro</t>
        </is>
      </c>
      <c r="F91" s="23">
        <f>Counties!O748</f>
        <v/>
      </c>
      <c r="G91" s="24">
        <f>Counties!Q748</f>
        <v/>
      </c>
      <c r="H91" s="23">
        <f>Counties!R748</f>
        <v/>
      </c>
      <c r="I91" s="25">
        <f>Counties!S748</f>
        <v/>
      </c>
      <c r="J91" s="25">
        <f>Counties!AQ748/SUMIFS(Counties!$AQ:$AQ,Counties!$A:$A,"NC")</f>
        <v/>
      </c>
      <c r="K91" s="23">
        <f>Counties!T748</f>
        <v/>
      </c>
      <c r="L91" s="23">
        <f>Counties!AH748</f>
        <v/>
      </c>
      <c r="M91" s="26">
        <f>Counties!AO748</f>
        <v/>
      </c>
      <c r="N91" s="24">
        <f>Counties!AN748</f>
        <v/>
      </c>
      <c r="O91" s="17">
        <f>IF(L91="","not in yet",IF(N91&gt;=0.05,"Great for Cooper",IF(N91&gt;=0.01,"Cooper on track",IF(N91&gt;-0.01,"Toss-up",IF(N91&gt;-0.05,"Whatley on track","Great for Whatley"))))&amp;IF(Counties!AG748=1,""," (partial)"))</f>
        <v/>
      </c>
      <c r="P91" s="27">
        <f>Counties!AU748</f>
        <v/>
      </c>
      <c r="Q91" s="23">
        <f>Counties!AV748</f>
        <v/>
      </c>
      <c r="R91" s="27">
        <f>Counties!AW748</f>
        <v/>
      </c>
      <c r="S91" s="24">
        <f>Counties!AX748</f>
        <v/>
      </c>
      <c r="T91" s="24">
        <f>Counties!AY748</f>
        <v/>
      </c>
      <c r="U91" s="28">
        <f>IF(T91="","",T91*Counties!AF748)</f>
        <v/>
      </c>
      <c r="V91" s="17">
        <f>IF(T91="",IF(L91="","not in yet","waiting for the full count"),IF(T91&gt;=0.05,"Great for Cooper",IF(T91&gt;=0.01,"Cooper on track",IF(T91&gt;-0.01,"Toss-up",IF(T91&gt;-0.05,"Whatley on track","Great for Whatley")))))</f>
        <v/>
      </c>
      <c r="W91" s="17" t="inlineStr">
        <is>
          <t>37151</t>
        </is>
      </c>
    </row>
    <row r="92" ht="54" customHeight="1">
      <c r="A92" s="17" t="inlineStr">
        <is>
          <t>NC</t>
        </is>
      </c>
      <c r="B92" s="17" t="inlineStr">
        <is>
          <t>Robeson</t>
        </is>
      </c>
      <c r="C92" s="17" t="inlineStr">
        <is>
          <t>Lumbee Native American, Black and white rural county that swung hard R (about 9 points in 2024).</t>
        </is>
      </c>
      <c r="D92" s="17" t="inlineStr">
        <is>
          <t>Bellwether for rural working-class nonwhite voters. A Cooper bounce-back here is a strong D signal.</t>
        </is>
      </c>
      <c r="E92" s="17" t="inlineStr">
        <is>
          <t>Native American</t>
        </is>
      </c>
      <c r="F92" s="23">
        <f>Counties!O750</f>
        <v/>
      </c>
      <c r="G92" s="24">
        <f>Counties!Q750</f>
        <v/>
      </c>
      <c r="H92" s="23">
        <f>Counties!R750</f>
        <v/>
      </c>
      <c r="I92" s="25">
        <f>Counties!S750</f>
        <v/>
      </c>
      <c r="J92" s="25">
        <f>Counties!AQ750/SUMIFS(Counties!$AQ:$AQ,Counties!$A:$A,"NC")</f>
        <v/>
      </c>
      <c r="K92" s="23">
        <f>Counties!T750</f>
        <v/>
      </c>
      <c r="L92" s="23">
        <f>Counties!AH750</f>
        <v/>
      </c>
      <c r="M92" s="26">
        <f>Counties!AO750</f>
        <v/>
      </c>
      <c r="N92" s="24">
        <f>Counties!AN750</f>
        <v/>
      </c>
      <c r="O92" s="17">
        <f>IF(L92="","not in yet",IF(N92&gt;=0.05,"Great for Cooper",IF(N92&gt;=0.01,"Cooper on track",IF(N92&gt;-0.01,"Toss-up",IF(N92&gt;-0.05,"Whatley on track","Great for Whatley"))))&amp;IF(Counties!AG750=1,""," (partial)"))</f>
        <v/>
      </c>
      <c r="P92" s="27">
        <f>Counties!AU750</f>
        <v/>
      </c>
      <c r="Q92" s="23">
        <f>Counties!AV750</f>
        <v/>
      </c>
      <c r="R92" s="27">
        <f>Counties!AW750</f>
        <v/>
      </c>
      <c r="S92" s="24">
        <f>Counties!AX750</f>
        <v/>
      </c>
      <c r="T92" s="24">
        <f>Counties!AY750</f>
        <v/>
      </c>
      <c r="U92" s="28">
        <f>IF(T92="","",T92*Counties!AF750)</f>
        <v/>
      </c>
      <c r="V92" s="17">
        <f>IF(T92="",IF(L92="","not in yet","waiting for the full count"),IF(T92&gt;=0.05,"Great for Cooper",IF(T92&gt;=0.01,"Cooper on track",IF(T92&gt;-0.01,"Toss-up",IF(T92&gt;-0.05,"Whatley on track","Great for Whatley")))))</f>
        <v/>
      </c>
      <c r="W92" s="17" t="inlineStr">
        <is>
          <t>37155</t>
        </is>
      </c>
    </row>
    <row r="93" ht="54" customHeight="1">
      <c r="A93" s="29" t="inlineStr">
        <is>
          <t>NC</t>
        </is>
      </c>
      <c r="B93" s="29" t="inlineStr">
        <is>
          <t>All rural (59)</t>
        </is>
      </c>
      <c r="C93" s="29" t="inlineStr">
        <is>
          <t>Every small-town and rural county together: the Republican base's turnout test.</t>
        </is>
      </c>
      <c r="D93" s="29" t="inlineStr">
        <is>
          <t>Turnout index from its finished counties. Above 100 means the rural base is a bigger share of the vote than a tie assumes; the margin rarely moves much.</t>
        </is>
      </c>
      <c r="E93" s="29" t="inlineStr">
        <is>
          <t>Small town &amp; rural</t>
        </is>
      </c>
      <c r="F93" s="30">
        <f>Types!M38</f>
        <v/>
      </c>
      <c r="G93" s="31" t="n"/>
      <c r="H93" s="30" t="n"/>
      <c r="I93" s="32" t="n"/>
      <c r="J93" s="32">
        <f>Types!L38</f>
        <v/>
      </c>
      <c r="K93" s="30">
        <f>Types!P38</f>
        <v/>
      </c>
      <c r="L93" s="30">
        <f>Types!S38</f>
        <v/>
      </c>
      <c r="M93" s="33">
        <f>IFERROR(Types!E38/Types!D38,"")</f>
        <v/>
      </c>
      <c r="N93" s="31">
        <f>IF(L93="","",L93-K93)</f>
        <v/>
      </c>
      <c r="O93" s="29">
        <f>IF(Types!F38=0,"not in yet",IF(N93&gt;=0.05,"Great for Cooper",IF(N93&gt;=0.01,"Cooper on track",IF(N93&gt;-0.01,"Toss-up",IF(N93&gt;-0.05,"Whatley on track","Great for Whatley"))))&amp;" (projected)")</f>
        <v/>
      </c>
      <c r="P93" s="34">
        <f>Types!V38</f>
        <v/>
      </c>
      <c r="Q93" s="30">
        <f>Types!W38</f>
        <v/>
      </c>
      <c r="R93" s="34" t="n"/>
      <c r="S93" s="31">
        <f>IF(Q93="","",K93-Q93)</f>
        <v/>
      </c>
      <c r="T93" s="31">
        <f>Types!X38</f>
        <v/>
      </c>
      <c r="U93" s="35">
        <f>Types!Y38</f>
        <v/>
      </c>
      <c r="V93" s="29">
        <f>IF(T93="","not in yet",IF(T93&gt;=0.05,"Great for Cooper",IF(T93&gt;=0.01,"Cooper on track",IF(T93&gt;-0.01,"Toss-up",IF(T93&gt;-0.05,"Whatley on track","Great for Whatley"))))&amp;" (finished counties)")</f>
        <v/>
      </c>
      <c r="W93" s="29" t="n"/>
    </row>
    <row r="94">
      <c r="A94" s="22" t="inlineStr">
        <is>
          <t>Nebraska  ·  2024: R+20.8 (R+21.3 with 2022's turnout pattern)  ·  Dan Osborn vs Pete Ricketts</t>
        </is>
      </c>
      <c r="B94" s="22" t="n"/>
      <c r="C94" s="22" t="n"/>
      <c r="D94" s="22" t="n"/>
      <c r="E94" s="22" t="n"/>
      <c r="F94" s="22" t="n"/>
      <c r="G94" s="22" t="n"/>
      <c r="H94" s="22" t="n"/>
      <c r="I94" s="22" t="n"/>
      <c r="J94" s="22" t="n"/>
      <c r="K94" s="22" t="n"/>
      <c r="L94" s="22" t="n"/>
      <c r="M94" s="22" t="n"/>
      <c r="N94" s="22" t="n"/>
      <c r="O94" s="22" t="n"/>
      <c r="P94" s="22" t="n"/>
      <c r="Q94" s="22" t="n"/>
      <c r="R94" s="22" t="n"/>
      <c r="S94" s="22" t="n"/>
      <c r="T94" s="22" t="n"/>
      <c r="U94" s="22" t="n"/>
      <c r="V94" s="22" t="n"/>
      <c r="W94" s="22" t="n"/>
    </row>
    <row r="95" ht="54" customHeight="1">
      <c r="A95" s="17" t="inlineStr">
        <is>
          <t>NE</t>
        </is>
      </c>
      <c r="B95" s="17" t="inlineStr">
        <is>
          <t>Douglas</t>
        </is>
      </c>
      <c r="C95" s="17" t="inlineStr">
        <is>
          <t>Omaha. The largest county.</t>
        </is>
      </c>
      <c r="D95" s="17" t="inlineStr">
        <is>
          <t>Osborn needs a big win in Omaha on top of rural crossover.</t>
        </is>
      </c>
      <c r="E95" s="17" t="inlineStr">
        <is>
          <t>College suburb/metro</t>
        </is>
      </c>
      <c r="F95" s="23">
        <f>Counties!O800</f>
        <v/>
      </c>
      <c r="G95" s="24">
        <f>Counties!Q800</f>
        <v/>
      </c>
      <c r="H95" s="23">
        <f>Counties!R800</f>
        <v/>
      </c>
      <c r="I95" s="25">
        <f>Counties!S800</f>
        <v/>
      </c>
      <c r="J95" s="25">
        <f>Counties!AQ800/SUMIFS(Counties!$AQ:$AQ,Counties!$A:$A,"NE")</f>
        <v/>
      </c>
      <c r="K95" s="23">
        <f>Counties!T800</f>
        <v/>
      </c>
      <c r="L95" s="23">
        <f>Counties!AH800</f>
        <v/>
      </c>
      <c r="M95" s="26">
        <f>Counties!AO800</f>
        <v/>
      </c>
      <c r="N95" s="24">
        <f>Counties!AN800</f>
        <v/>
      </c>
      <c r="O95" s="17">
        <f>IF(L95="","not in yet",IF(N95&gt;=0.05,"Great for Osborn",IF(N95&gt;=0.01,"Osborn on track",IF(N95&gt;-0.01,"Toss-up",IF(N95&gt;-0.05,"Ricketts on track","Great for Ricketts"))))&amp;IF(Counties!AG800=1,""," (partial)"))</f>
        <v/>
      </c>
      <c r="P95" s="27">
        <f>Counties!AU800</f>
        <v/>
      </c>
      <c r="Q95" s="23">
        <f>Counties!AV800</f>
        <v/>
      </c>
      <c r="R95" s="27">
        <f>Counties!AW800</f>
        <v/>
      </c>
      <c r="S95" s="24">
        <f>Counties!AX800</f>
        <v/>
      </c>
      <c r="T95" s="24">
        <f>Counties!AY800</f>
        <v/>
      </c>
      <c r="U95" s="28">
        <f>IF(T95="","",T95*Counties!AF800)</f>
        <v/>
      </c>
      <c r="V95" s="17">
        <f>IF(T95="",IF(L95="","not in yet","waiting for the full count"),IF(T95&gt;=0.05,"Great for Osborn",IF(T95&gt;=0.01,"Osborn on track",IF(T95&gt;-0.01,"Toss-up",IF(T95&gt;-0.05,"Ricketts on track","Great for Ricketts")))))</f>
        <v/>
      </c>
      <c r="W95" s="17" t="inlineStr">
        <is>
          <t>31055</t>
        </is>
      </c>
    </row>
    <row r="96" ht="54" customHeight="1">
      <c r="A96" s="17" t="inlineStr">
        <is>
          <t>NE</t>
        </is>
      </c>
      <c r="B96" s="17" t="inlineStr">
        <is>
          <t>Lancaster</t>
        </is>
      </c>
      <c r="C96" s="17" t="inlineStr">
        <is>
          <t>Lincoln. University and state government.</t>
        </is>
      </c>
      <c r="D96" s="17" t="inlineStr">
        <is>
          <t>Margin. Osborn needs it comfortably.</t>
        </is>
      </c>
      <c r="E96" s="17" t="inlineStr">
        <is>
          <t>College suburb/metro</t>
        </is>
      </c>
      <c r="F96" s="23">
        <f>Counties!O827</f>
        <v/>
      </c>
      <c r="G96" s="24">
        <f>Counties!Q827</f>
        <v/>
      </c>
      <c r="H96" s="23">
        <f>Counties!R827</f>
        <v/>
      </c>
      <c r="I96" s="25">
        <f>Counties!S827</f>
        <v/>
      </c>
      <c r="J96" s="25">
        <f>Counties!AQ827/SUMIFS(Counties!$AQ:$AQ,Counties!$A:$A,"NE")</f>
        <v/>
      </c>
      <c r="K96" s="23">
        <f>Counties!T827</f>
        <v/>
      </c>
      <c r="L96" s="23">
        <f>Counties!AH827</f>
        <v/>
      </c>
      <c r="M96" s="26">
        <f>Counties!AO827</f>
        <v/>
      </c>
      <c r="N96" s="24">
        <f>Counties!AN827</f>
        <v/>
      </c>
      <c r="O96" s="17">
        <f>IF(L96="","not in yet",IF(N96&gt;=0.05,"Great for Osborn",IF(N96&gt;=0.01,"Osborn on track",IF(N96&gt;-0.01,"Toss-up",IF(N96&gt;-0.05,"Ricketts on track","Great for Ricketts"))))&amp;IF(Counties!AG827=1,""," (partial)"))</f>
        <v/>
      </c>
      <c r="P96" s="27">
        <f>Counties!AU827</f>
        <v/>
      </c>
      <c r="Q96" s="23">
        <f>Counties!AV827</f>
        <v/>
      </c>
      <c r="R96" s="27">
        <f>Counties!AW827</f>
        <v/>
      </c>
      <c r="S96" s="24">
        <f>Counties!AX827</f>
        <v/>
      </c>
      <c r="T96" s="24">
        <f>Counties!AY827</f>
        <v/>
      </c>
      <c r="U96" s="28">
        <f>IF(T96="","",T96*Counties!AF827)</f>
        <v/>
      </c>
      <c r="V96" s="17">
        <f>IF(T96="",IF(L96="","not in yet","waiting for the full count"),IF(T96&gt;=0.05,"Great for Osborn",IF(T96&gt;=0.01,"Osborn on track",IF(T96&gt;-0.01,"Toss-up",IF(T96&gt;-0.05,"Ricketts on track","Great for Ricketts")))))</f>
        <v/>
      </c>
      <c r="W96" s="17" t="inlineStr">
        <is>
          <t>31109</t>
        </is>
      </c>
    </row>
    <row r="97" ht="54" customHeight="1">
      <c r="A97" s="17" t="inlineStr">
        <is>
          <t>NE</t>
        </is>
      </c>
      <c r="B97" s="17" t="inlineStr">
        <is>
          <t>Sarpy</t>
        </is>
      </c>
      <c r="C97" s="17" t="inlineStr">
        <is>
          <t>Omaha suburbs, R-leaning.</t>
        </is>
      </c>
      <c r="D97" s="17" t="inlineStr">
        <is>
          <t>Close to even here would be a great Osborn sign.</t>
        </is>
      </c>
      <c r="E97" s="17" t="inlineStr">
        <is>
          <t>College suburb/metro</t>
        </is>
      </c>
      <c r="F97" s="23">
        <f>Counties!O849</f>
        <v/>
      </c>
      <c r="G97" s="24">
        <f>Counties!Q849</f>
        <v/>
      </c>
      <c r="H97" s="23">
        <f>Counties!R849</f>
        <v/>
      </c>
      <c r="I97" s="25">
        <f>Counties!S849</f>
        <v/>
      </c>
      <c r="J97" s="25">
        <f>Counties!AQ849/SUMIFS(Counties!$AQ:$AQ,Counties!$A:$A,"NE")</f>
        <v/>
      </c>
      <c r="K97" s="23">
        <f>Counties!T849</f>
        <v/>
      </c>
      <c r="L97" s="23">
        <f>Counties!AH849</f>
        <v/>
      </c>
      <c r="M97" s="26">
        <f>Counties!AO849</f>
        <v/>
      </c>
      <c r="N97" s="24">
        <f>Counties!AN849</f>
        <v/>
      </c>
      <c r="O97" s="17">
        <f>IF(L97="","not in yet",IF(N97&gt;=0.05,"Great for Osborn",IF(N97&gt;=0.01,"Osborn on track",IF(N97&gt;-0.01,"Toss-up",IF(N97&gt;-0.05,"Ricketts on track","Great for Ricketts"))))&amp;IF(Counties!AG849=1,""," (partial)"))</f>
        <v/>
      </c>
      <c r="P97" s="27">
        <f>Counties!AU849</f>
        <v/>
      </c>
      <c r="Q97" s="23">
        <f>Counties!AV849</f>
        <v/>
      </c>
      <c r="R97" s="27">
        <f>Counties!AW849</f>
        <v/>
      </c>
      <c r="S97" s="24">
        <f>Counties!AX849</f>
        <v/>
      </c>
      <c r="T97" s="24">
        <f>Counties!AY849</f>
        <v/>
      </c>
      <c r="U97" s="28">
        <f>IF(T97="","",T97*Counties!AF849)</f>
        <v/>
      </c>
      <c r="V97" s="17">
        <f>IF(T97="",IF(L97="","not in yet","waiting for the full count"),IF(T97&gt;=0.05,"Great for Osborn",IF(T97&gt;=0.01,"Osborn on track",IF(T97&gt;-0.01,"Toss-up",IF(T97&gt;-0.05,"Ricketts on track","Great for Ricketts")))))</f>
        <v/>
      </c>
      <c r="W97" s="17" t="inlineStr">
        <is>
          <t>31153</t>
        </is>
      </c>
    </row>
    <row r="98" ht="54" customHeight="1">
      <c r="A98" s="17" t="inlineStr">
        <is>
          <t>NE</t>
        </is>
      </c>
      <c r="B98" s="17" t="inlineStr">
        <is>
          <t>Buffalo</t>
        </is>
      </c>
      <c r="C98" s="17" t="inlineStr">
        <is>
          <t>Kearney. Rural central Nebraska.</t>
        </is>
      </c>
      <c r="D98" s="17" t="inlineStr">
        <is>
          <t>Osborn's 2024 strategy was cutting rural R margins. Watch whether he does it again.</t>
        </is>
      </c>
      <c r="E98" s="17" t="inlineStr">
        <is>
          <t>Small town &amp; rural</t>
        </is>
      </c>
      <c r="F98" s="23">
        <f>Counties!O782</f>
        <v/>
      </c>
      <c r="G98" s="24">
        <f>Counties!Q782</f>
        <v/>
      </c>
      <c r="H98" s="23">
        <f>Counties!R782</f>
        <v/>
      </c>
      <c r="I98" s="25">
        <f>Counties!S782</f>
        <v/>
      </c>
      <c r="J98" s="25">
        <f>Counties!AQ782/SUMIFS(Counties!$AQ:$AQ,Counties!$A:$A,"NE")</f>
        <v/>
      </c>
      <c r="K98" s="23">
        <f>Counties!T782</f>
        <v/>
      </c>
      <c r="L98" s="23">
        <f>Counties!AH782</f>
        <v/>
      </c>
      <c r="M98" s="26">
        <f>Counties!AO782</f>
        <v/>
      </c>
      <c r="N98" s="24">
        <f>Counties!AN782</f>
        <v/>
      </c>
      <c r="O98" s="17">
        <f>IF(L98="","not in yet",IF(N98&gt;=0.05,"Great for Osborn",IF(N98&gt;=0.01,"Osborn on track",IF(N98&gt;-0.01,"Toss-up",IF(N98&gt;-0.05,"Ricketts on track","Great for Ricketts"))))&amp;IF(Counties!AG782=1,""," (partial)"))</f>
        <v/>
      </c>
      <c r="P98" s="27">
        <f>Counties!AU782</f>
        <v/>
      </c>
      <c r="Q98" s="23">
        <f>Counties!AV782</f>
        <v/>
      </c>
      <c r="R98" s="27">
        <f>Counties!AW782</f>
        <v/>
      </c>
      <c r="S98" s="24">
        <f>Counties!AX782</f>
        <v/>
      </c>
      <c r="T98" s="24">
        <f>Counties!AY782</f>
        <v/>
      </c>
      <c r="U98" s="28">
        <f>IF(T98="","",T98*Counties!AF782)</f>
        <v/>
      </c>
      <c r="V98" s="17">
        <f>IF(T98="",IF(L98="","not in yet","waiting for the full count"),IF(T98&gt;=0.05,"Great for Osborn",IF(T98&gt;=0.01,"Osborn on track",IF(T98&gt;-0.01,"Toss-up",IF(T98&gt;-0.05,"Ricketts on track","Great for Ricketts")))))</f>
        <v/>
      </c>
      <c r="W98" s="17" t="inlineStr">
        <is>
          <t>31019</t>
        </is>
      </c>
    </row>
    <row r="99" ht="54" customHeight="1">
      <c r="A99" s="17" t="inlineStr">
        <is>
          <t>NE</t>
        </is>
      </c>
      <c r="B99" s="17" t="inlineStr">
        <is>
          <t>Hall</t>
        </is>
      </c>
      <c r="C99" s="17" t="inlineStr">
        <is>
          <t>Grand Island. A third Hispanic, meatpacking.</t>
        </is>
      </c>
      <c r="D99" s="17" t="inlineStr">
        <is>
          <t>Osborn's working-class pitch and Hispanic voters.</t>
        </is>
      </c>
      <c r="E99" s="17" t="inlineStr">
        <is>
          <t>Small town &amp; rural</t>
        </is>
      </c>
      <c r="F99" s="23">
        <f>Counties!O812</f>
        <v/>
      </c>
      <c r="G99" s="24">
        <f>Counties!Q812</f>
        <v/>
      </c>
      <c r="H99" s="23">
        <f>Counties!R812</f>
        <v/>
      </c>
      <c r="I99" s="25">
        <f>Counties!S812</f>
        <v/>
      </c>
      <c r="J99" s="25">
        <f>Counties!AQ812/SUMIFS(Counties!$AQ:$AQ,Counties!$A:$A,"NE")</f>
        <v/>
      </c>
      <c r="K99" s="23">
        <f>Counties!T812</f>
        <v/>
      </c>
      <c r="L99" s="23">
        <f>Counties!AH812</f>
        <v/>
      </c>
      <c r="M99" s="26">
        <f>Counties!AO812</f>
        <v/>
      </c>
      <c r="N99" s="24">
        <f>Counties!AN812</f>
        <v/>
      </c>
      <c r="O99" s="17">
        <f>IF(L99="","not in yet",IF(N99&gt;=0.05,"Great for Osborn",IF(N99&gt;=0.01,"Osborn on track",IF(N99&gt;-0.01,"Toss-up",IF(N99&gt;-0.05,"Ricketts on track","Great for Ricketts"))))&amp;IF(Counties!AG812=1,""," (partial)"))</f>
        <v/>
      </c>
      <c r="P99" s="27">
        <f>Counties!AU812</f>
        <v/>
      </c>
      <c r="Q99" s="23">
        <f>Counties!AV812</f>
        <v/>
      </c>
      <c r="R99" s="27">
        <f>Counties!AW812</f>
        <v/>
      </c>
      <c r="S99" s="24">
        <f>Counties!AX812</f>
        <v/>
      </c>
      <c r="T99" s="24">
        <f>Counties!AY812</f>
        <v/>
      </c>
      <c r="U99" s="28">
        <f>IF(T99="","",T99*Counties!AF812)</f>
        <v/>
      </c>
      <c r="V99" s="17">
        <f>IF(T99="",IF(L99="","not in yet","waiting for the full count"),IF(T99&gt;=0.05,"Great for Osborn",IF(T99&gt;=0.01,"Osborn on track",IF(T99&gt;-0.01,"Toss-up",IF(T99&gt;-0.05,"Ricketts on track","Great for Ricketts")))))</f>
        <v/>
      </c>
      <c r="W99" s="17" t="inlineStr">
        <is>
          <t>31079</t>
        </is>
      </c>
    </row>
    <row r="100" ht="54" customHeight="1">
      <c r="A100" s="17" t="inlineStr">
        <is>
          <t>NE</t>
        </is>
      </c>
      <c r="B100" s="17" t="inlineStr">
        <is>
          <t>Lincoln</t>
        </is>
      </c>
      <c r="C100" s="17" t="inlineStr">
        <is>
          <t>North Platte. Rural western Nebraska, railroad and union history.</t>
        </is>
      </c>
      <c r="D100" s="17" t="inlineStr">
        <is>
          <t>Same test, further west.</t>
        </is>
      </c>
      <c r="E100" s="17" t="inlineStr">
        <is>
          <t>Small town &amp; rural</t>
        </is>
      </c>
      <c r="F100" s="23">
        <f>Counties!O828</f>
        <v/>
      </c>
      <c r="G100" s="24">
        <f>Counties!Q828</f>
        <v/>
      </c>
      <c r="H100" s="23">
        <f>Counties!R828</f>
        <v/>
      </c>
      <c r="I100" s="25">
        <f>Counties!S828</f>
        <v/>
      </c>
      <c r="J100" s="25">
        <f>Counties!AQ828/SUMIFS(Counties!$AQ:$AQ,Counties!$A:$A,"NE")</f>
        <v/>
      </c>
      <c r="K100" s="23">
        <f>Counties!T828</f>
        <v/>
      </c>
      <c r="L100" s="23">
        <f>Counties!AH828</f>
        <v/>
      </c>
      <c r="M100" s="26">
        <f>Counties!AO828</f>
        <v/>
      </c>
      <c r="N100" s="24">
        <f>Counties!AN828</f>
        <v/>
      </c>
      <c r="O100" s="17">
        <f>IF(L100="","not in yet",IF(N100&gt;=0.05,"Great for Osborn",IF(N100&gt;=0.01,"Osborn on track",IF(N100&gt;-0.01,"Toss-up",IF(N100&gt;-0.05,"Ricketts on track","Great for Ricketts"))))&amp;IF(Counties!AG828=1,""," (partial)"))</f>
        <v/>
      </c>
      <c r="P100" s="27">
        <f>Counties!AU828</f>
        <v/>
      </c>
      <c r="Q100" s="23">
        <f>Counties!AV828</f>
        <v/>
      </c>
      <c r="R100" s="27">
        <f>Counties!AW828</f>
        <v/>
      </c>
      <c r="S100" s="24">
        <f>Counties!AX828</f>
        <v/>
      </c>
      <c r="T100" s="24">
        <f>Counties!AY828</f>
        <v/>
      </c>
      <c r="U100" s="28">
        <f>IF(T100="","",T100*Counties!AF828)</f>
        <v/>
      </c>
      <c r="V100" s="17">
        <f>IF(T100="",IF(L100="","not in yet","waiting for the full count"),IF(T100&gt;=0.05,"Great for Osborn",IF(T100&gt;=0.01,"Osborn on track",IF(T100&gt;-0.01,"Toss-up",IF(T100&gt;-0.05,"Ricketts on track","Great for Ricketts")))))</f>
        <v/>
      </c>
      <c r="W100" s="17" t="inlineStr">
        <is>
          <t>31111</t>
        </is>
      </c>
    </row>
    <row r="101" ht="54" customHeight="1">
      <c r="A101" s="29" t="inlineStr">
        <is>
          <t>NE</t>
        </is>
      </c>
      <c r="B101" s="29" t="inlineStr">
        <is>
          <t>All rural (87)</t>
        </is>
      </c>
      <c r="C101" s="29" t="inlineStr">
        <is>
          <t>Every small-town and rural county together: the Republican base's turnout test.</t>
        </is>
      </c>
      <c r="D101" s="29" t="inlineStr">
        <is>
          <t>Turnout index from its finished counties. Above 100 means the rural base is a bigger share of the vote than a tie assumes; the margin rarely moves much.</t>
        </is>
      </c>
      <c r="E101" s="29" t="inlineStr">
        <is>
          <t>Small town &amp; rural</t>
        </is>
      </c>
      <c r="F101" s="30">
        <f>Types!M42</f>
        <v/>
      </c>
      <c r="G101" s="31" t="n"/>
      <c r="H101" s="30" t="n"/>
      <c r="I101" s="32" t="n"/>
      <c r="J101" s="32">
        <f>Types!L42</f>
        <v/>
      </c>
      <c r="K101" s="30">
        <f>Types!P42</f>
        <v/>
      </c>
      <c r="L101" s="30">
        <f>Types!S42</f>
        <v/>
      </c>
      <c r="M101" s="33">
        <f>IFERROR(Types!E42/Types!D42,"")</f>
        <v/>
      </c>
      <c r="N101" s="31">
        <f>IF(L101="","",L101-K101)</f>
        <v/>
      </c>
      <c r="O101" s="29">
        <f>IF(Types!F42=0,"not in yet",IF(N101&gt;=0.05,"Great for Osborn",IF(N101&gt;=0.01,"Osborn on track",IF(N101&gt;-0.01,"Toss-up",IF(N101&gt;-0.05,"Ricketts on track","Great for Ricketts"))))&amp;" (projected)")</f>
        <v/>
      </c>
      <c r="P101" s="34">
        <f>Types!V42</f>
        <v/>
      </c>
      <c r="Q101" s="30">
        <f>Types!W42</f>
        <v/>
      </c>
      <c r="R101" s="34" t="n"/>
      <c r="S101" s="31">
        <f>IF(Q101="","",K101-Q101)</f>
        <v/>
      </c>
      <c r="T101" s="31">
        <f>Types!X42</f>
        <v/>
      </c>
      <c r="U101" s="35">
        <f>Types!Y42</f>
        <v/>
      </c>
      <c r="V101" s="29">
        <f>IF(T101="","not in yet",IF(T101&gt;=0.05,"Great for Osborn",IF(T101&gt;=0.01,"Osborn on track",IF(T101&gt;-0.01,"Toss-up",IF(T101&gt;-0.05,"Ricketts on track","Great for Ricketts"))))&amp;" (finished counties)")</f>
        <v/>
      </c>
      <c r="W101" s="29" t="n"/>
    </row>
    <row r="102">
      <c r="A102" s="22" t="inlineStr">
        <is>
          <t>New Hampshire  ·  2024: D+2.8 (D+2.8 with 2022's turnout pattern)  ·  Chris Pappas vs John E. Sununu</t>
        </is>
      </c>
      <c r="B102" s="22" t="n"/>
      <c r="C102" s="22" t="n"/>
      <c r="D102" s="22" t="n"/>
      <c r="E102" s="22" t="n"/>
      <c r="F102" s="22" t="n"/>
      <c r="G102" s="22" t="n"/>
      <c r="H102" s="22" t="n"/>
      <c r="I102" s="22" t="n"/>
      <c r="J102" s="22" t="n"/>
      <c r="K102" s="22" t="n"/>
      <c r="L102" s="22" t="n"/>
      <c r="M102" s="22" t="n"/>
      <c r="N102" s="22" t="n"/>
      <c r="O102" s="22" t="n"/>
      <c r="P102" s="22" t="n"/>
      <c r="Q102" s="22" t="n"/>
      <c r="R102" s="22" t="n"/>
      <c r="S102" s="22" t="n"/>
      <c r="T102" s="22" t="n"/>
      <c r="U102" s="22" t="n"/>
      <c r="V102" s="22" t="n"/>
      <c r="W102" s="22" t="n"/>
    </row>
    <row r="103" ht="54" customHeight="1">
      <c r="A103" s="17" t="inlineStr">
        <is>
          <t>NH</t>
        </is>
      </c>
      <c r="B103" s="17" t="inlineStr">
        <is>
          <t>Hillsborough</t>
        </is>
      </c>
      <c r="C103" s="17" t="inlineStr">
        <is>
          <t>Manchester and Nashua. The biggest county, and it votes close to the state.</t>
        </is>
      </c>
      <c r="D103" s="17" t="inlineStr">
        <is>
          <t>Margin. Whoever wins it big usually wins NH.</t>
        </is>
      </c>
      <c r="E103" s="17" t="inlineStr">
        <is>
          <t>College suburb/metro</t>
        </is>
      </c>
      <c r="F103" s="23">
        <f>Counties!O871</f>
        <v/>
      </c>
      <c r="G103" s="24">
        <f>Counties!Q871</f>
        <v/>
      </c>
      <c r="H103" s="23">
        <f>Counties!R871</f>
        <v/>
      </c>
      <c r="I103" s="25">
        <f>Counties!S871</f>
        <v/>
      </c>
      <c r="J103" s="25">
        <f>Counties!AQ871/SUMIFS(Counties!$AQ:$AQ,Counties!$A:$A,"NH")</f>
        <v/>
      </c>
      <c r="K103" s="23">
        <f>Counties!T871</f>
        <v/>
      </c>
      <c r="L103" s="23">
        <f>Counties!AH871</f>
        <v/>
      </c>
      <c r="M103" s="26">
        <f>Counties!AO871</f>
        <v/>
      </c>
      <c r="N103" s="24">
        <f>Counties!AN871</f>
        <v/>
      </c>
      <c r="O103" s="17">
        <f>IF(L103="","not in yet",IF(N103&gt;=0.05,"Great for Pappas",IF(N103&gt;=0.01,"Pappas on track",IF(N103&gt;-0.01,"Toss-up",IF(N103&gt;-0.05,"Sununu on track","Great for Sununu"))))&amp;IF(Counties!AG871=1,""," (partial)"))</f>
        <v/>
      </c>
      <c r="P103" s="27">
        <f>Counties!AU871</f>
        <v/>
      </c>
      <c r="Q103" s="23">
        <f>Counties!AV871</f>
        <v/>
      </c>
      <c r="R103" s="27">
        <f>Counties!AW871</f>
        <v/>
      </c>
      <c r="S103" s="24">
        <f>Counties!AX871</f>
        <v/>
      </c>
      <c r="T103" s="24">
        <f>Counties!AY871</f>
        <v/>
      </c>
      <c r="U103" s="28">
        <f>IF(T103="","",T103*Counties!AF871)</f>
        <v/>
      </c>
      <c r="V103" s="17">
        <f>IF(T103="",IF(L103="","not in yet","waiting for the full count"),IF(T103&gt;=0.05,"Great for Pappas",IF(T103&gt;=0.01,"Pappas on track",IF(T103&gt;-0.01,"Toss-up",IF(T103&gt;-0.05,"Sununu on track","Great for Sununu")))))</f>
        <v/>
      </c>
      <c r="W103" s="17" t="inlineStr">
        <is>
          <t>33011</t>
        </is>
      </c>
    </row>
    <row r="104" ht="54" customHeight="1">
      <c r="A104" s="17" t="inlineStr">
        <is>
          <t>NH</t>
        </is>
      </c>
      <c r="B104" s="17" t="inlineStr">
        <is>
          <t>Rockingham</t>
        </is>
      </c>
      <c r="C104" s="17" t="inlineStr">
        <is>
          <t>Seacoast and Boston-commuter suburbs. Lean R, and the GOP's biggest vote source.</t>
        </is>
      </c>
      <c r="D104" s="17" t="inlineStr">
        <is>
          <t>Sununu-name strength. A big R margin here is the GOP path.</t>
        </is>
      </c>
      <c r="E104" s="17" t="inlineStr">
        <is>
          <t>College suburb/metro</t>
        </is>
      </c>
      <c r="F104" s="23">
        <f>Counties!O873</f>
        <v/>
      </c>
      <c r="G104" s="24">
        <f>Counties!Q873</f>
        <v/>
      </c>
      <c r="H104" s="23">
        <f>Counties!R873</f>
        <v/>
      </c>
      <c r="I104" s="25">
        <f>Counties!S873</f>
        <v/>
      </c>
      <c r="J104" s="25">
        <f>Counties!AQ873/SUMIFS(Counties!$AQ:$AQ,Counties!$A:$A,"NH")</f>
        <v/>
      </c>
      <c r="K104" s="23">
        <f>Counties!T873</f>
        <v/>
      </c>
      <c r="L104" s="23">
        <f>Counties!AH873</f>
        <v/>
      </c>
      <c r="M104" s="26">
        <f>Counties!AO873</f>
        <v/>
      </c>
      <c r="N104" s="24">
        <f>Counties!AN873</f>
        <v/>
      </c>
      <c r="O104" s="17">
        <f>IF(L104="","not in yet",IF(N104&gt;=0.05,"Great for Pappas",IF(N104&gt;=0.01,"Pappas on track",IF(N104&gt;-0.01,"Toss-up",IF(N104&gt;-0.05,"Sununu on track","Great for Sununu"))))&amp;IF(Counties!AG873=1,""," (partial)"))</f>
        <v/>
      </c>
      <c r="P104" s="27">
        <f>Counties!AU873</f>
        <v/>
      </c>
      <c r="Q104" s="23">
        <f>Counties!AV873</f>
        <v/>
      </c>
      <c r="R104" s="27">
        <f>Counties!AW873</f>
        <v/>
      </c>
      <c r="S104" s="24">
        <f>Counties!AX873</f>
        <v/>
      </c>
      <c r="T104" s="24">
        <f>Counties!AY873</f>
        <v/>
      </c>
      <c r="U104" s="28">
        <f>IF(T104="","",T104*Counties!AF873)</f>
        <v/>
      </c>
      <c r="V104" s="17">
        <f>IF(T104="",IF(L104="","not in yet","waiting for the full count"),IF(T104&gt;=0.05,"Great for Pappas",IF(T104&gt;=0.01,"Pappas on track",IF(T104&gt;-0.01,"Toss-up",IF(T104&gt;-0.05,"Sununu on track","Great for Sununu")))))</f>
        <v/>
      </c>
      <c r="W104" s="17" t="inlineStr">
        <is>
          <t>33015</t>
        </is>
      </c>
    </row>
    <row r="105" ht="54" customHeight="1">
      <c r="A105" s="17" t="inlineStr">
        <is>
          <t>NH</t>
        </is>
      </c>
      <c r="B105" s="17" t="inlineStr">
        <is>
          <t>Merrimack</t>
        </is>
      </c>
      <c r="C105" s="17" t="inlineStr">
        <is>
          <t>Concord. A swingy D-leaning county.</t>
        </is>
      </c>
      <c r="D105" s="17" t="inlineStr">
        <is>
          <t>Margin versus 2024's +5.</t>
        </is>
      </c>
      <c r="E105" s="17" t="inlineStr">
        <is>
          <t>Mid-size/working metro</t>
        </is>
      </c>
      <c r="F105" s="23">
        <f>Counties!O872</f>
        <v/>
      </c>
      <c r="G105" s="24">
        <f>Counties!Q872</f>
        <v/>
      </c>
      <c r="H105" s="23">
        <f>Counties!R872</f>
        <v/>
      </c>
      <c r="I105" s="25">
        <f>Counties!S872</f>
        <v/>
      </c>
      <c r="J105" s="25">
        <f>Counties!AQ872/SUMIFS(Counties!$AQ:$AQ,Counties!$A:$A,"NH")</f>
        <v/>
      </c>
      <c r="K105" s="23">
        <f>Counties!T872</f>
        <v/>
      </c>
      <c r="L105" s="23">
        <f>Counties!AH872</f>
        <v/>
      </c>
      <c r="M105" s="26">
        <f>Counties!AO872</f>
        <v/>
      </c>
      <c r="N105" s="24">
        <f>Counties!AN872</f>
        <v/>
      </c>
      <c r="O105" s="17">
        <f>IF(L105="","not in yet",IF(N105&gt;=0.05,"Great for Pappas",IF(N105&gt;=0.01,"Pappas on track",IF(N105&gt;-0.01,"Toss-up",IF(N105&gt;-0.05,"Sununu on track","Great for Sununu"))))&amp;IF(Counties!AG872=1,""," (partial)"))</f>
        <v/>
      </c>
      <c r="P105" s="27">
        <f>Counties!AU872</f>
        <v/>
      </c>
      <c r="Q105" s="23">
        <f>Counties!AV872</f>
        <v/>
      </c>
      <c r="R105" s="27">
        <f>Counties!AW872</f>
        <v/>
      </c>
      <c r="S105" s="24">
        <f>Counties!AX872</f>
        <v/>
      </c>
      <c r="T105" s="24">
        <f>Counties!AY872</f>
        <v/>
      </c>
      <c r="U105" s="28">
        <f>IF(T105="","",T105*Counties!AF872)</f>
        <v/>
      </c>
      <c r="V105" s="17">
        <f>IF(T105="",IF(L105="","not in yet","waiting for the full count"),IF(T105&gt;=0.05,"Great for Pappas",IF(T105&gt;=0.01,"Pappas on track",IF(T105&gt;-0.01,"Toss-up",IF(T105&gt;-0.05,"Sununu on track","Great for Sununu")))))</f>
        <v/>
      </c>
      <c r="W105" s="17" t="inlineStr">
        <is>
          <t>33013</t>
        </is>
      </c>
    </row>
    <row r="106" ht="54" customHeight="1">
      <c r="A106" s="17" t="inlineStr">
        <is>
          <t>NH</t>
        </is>
      </c>
      <c r="B106" s="17" t="inlineStr">
        <is>
          <t>Strafford</t>
        </is>
      </c>
      <c r="C106" s="17" t="inlineStr">
        <is>
          <t>Dover and UNH. A D-leaning college county.</t>
        </is>
      </c>
      <c r="D106" s="17" t="inlineStr">
        <is>
          <t>Student turnout.</t>
        </is>
      </c>
      <c r="E106" s="17" t="inlineStr">
        <is>
          <t>Mid-size/working metro</t>
        </is>
      </c>
      <c r="F106" s="23">
        <f>Counties!O874</f>
        <v/>
      </c>
      <c r="G106" s="24">
        <f>Counties!Q874</f>
        <v/>
      </c>
      <c r="H106" s="23">
        <f>Counties!R874</f>
        <v/>
      </c>
      <c r="I106" s="25">
        <f>Counties!S874</f>
        <v/>
      </c>
      <c r="J106" s="25">
        <f>Counties!AQ874/SUMIFS(Counties!$AQ:$AQ,Counties!$A:$A,"NH")</f>
        <v/>
      </c>
      <c r="K106" s="23">
        <f>Counties!T874</f>
        <v/>
      </c>
      <c r="L106" s="23">
        <f>Counties!AH874</f>
        <v/>
      </c>
      <c r="M106" s="26">
        <f>Counties!AO874</f>
        <v/>
      </c>
      <c r="N106" s="24">
        <f>Counties!AN874</f>
        <v/>
      </c>
      <c r="O106" s="17">
        <f>IF(L106="","not in yet",IF(N106&gt;=0.05,"Great for Pappas",IF(N106&gt;=0.01,"Pappas on track",IF(N106&gt;-0.01,"Toss-up",IF(N106&gt;-0.05,"Sununu on track","Great for Sununu"))))&amp;IF(Counties!AG874=1,""," (partial)"))</f>
        <v/>
      </c>
      <c r="P106" s="27">
        <f>Counties!AU874</f>
        <v/>
      </c>
      <c r="Q106" s="23">
        <f>Counties!AV874</f>
        <v/>
      </c>
      <c r="R106" s="27">
        <f>Counties!AW874</f>
        <v/>
      </c>
      <c r="S106" s="24">
        <f>Counties!AX874</f>
        <v/>
      </c>
      <c r="T106" s="24">
        <f>Counties!AY874</f>
        <v/>
      </c>
      <c r="U106" s="28">
        <f>IF(T106="","",T106*Counties!AF874)</f>
        <v/>
      </c>
      <c r="V106" s="17">
        <f>IF(T106="",IF(L106="","not in yet","waiting for the full count"),IF(T106&gt;=0.05,"Great for Pappas",IF(T106&gt;=0.01,"Pappas on track",IF(T106&gt;-0.01,"Toss-up",IF(T106&gt;-0.05,"Sununu on track","Great for Sununu")))))</f>
        <v/>
      </c>
      <c r="W106" s="17" t="inlineStr">
        <is>
          <t>33017</t>
        </is>
      </c>
    </row>
    <row r="107" ht="54" customHeight="1">
      <c r="A107" s="17" t="inlineStr">
        <is>
          <t>NH</t>
        </is>
      </c>
      <c r="B107" s="17" t="inlineStr">
        <is>
          <t>Grafton</t>
        </is>
      </c>
      <c r="C107" s="17" t="inlineStr">
        <is>
          <t>Hanover and Dartmouth. Very D.</t>
        </is>
      </c>
      <c r="D107" s="17" t="inlineStr">
        <is>
          <t>D turnout.</t>
        </is>
      </c>
      <c r="E107" s="17" t="inlineStr">
        <is>
          <t>Small town &amp; rural</t>
        </is>
      </c>
      <c r="F107" s="23">
        <f>Counties!O870</f>
        <v/>
      </c>
      <c r="G107" s="24">
        <f>Counties!Q870</f>
        <v/>
      </c>
      <c r="H107" s="23">
        <f>Counties!R870</f>
        <v/>
      </c>
      <c r="I107" s="25">
        <f>Counties!S870</f>
        <v/>
      </c>
      <c r="J107" s="25">
        <f>Counties!AQ870/SUMIFS(Counties!$AQ:$AQ,Counties!$A:$A,"NH")</f>
        <v/>
      </c>
      <c r="K107" s="23">
        <f>Counties!T870</f>
        <v/>
      </c>
      <c r="L107" s="23">
        <f>Counties!AH870</f>
        <v/>
      </c>
      <c r="M107" s="26">
        <f>Counties!AO870</f>
        <v/>
      </c>
      <c r="N107" s="24">
        <f>Counties!AN870</f>
        <v/>
      </c>
      <c r="O107" s="17">
        <f>IF(L107="","not in yet",IF(N107&gt;=0.05,"Great for Pappas",IF(N107&gt;=0.01,"Pappas on track",IF(N107&gt;-0.01,"Toss-up",IF(N107&gt;-0.05,"Sununu on track","Great for Sununu"))))&amp;IF(Counties!AG870=1,""," (partial)"))</f>
        <v/>
      </c>
      <c r="P107" s="27">
        <f>Counties!AU870</f>
        <v/>
      </c>
      <c r="Q107" s="23">
        <f>Counties!AV870</f>
        <v/>
      </c>
      <c r="R107" s="27">
        <f>Counties!AW870</f>
        <v/>
      </c>
      <c r="S107" s="24">
        <f>Counties!AX870</f>
        <v/>
      </c>
      <c r="T107" s="24">
        <f>Counties!AY870</f>
        <v/>
      </c>
      <c r="U107" s="28">
        <f>IF(T107="","",T107*Counties!AF870)</f>
        <v/>
      </c>
      <c r="V107" s="17">
        <f>IF(T107="",IF(L107="","not in yet","waiting for the full count"),IF(T107&gt;=0.05,"Great for Pappas",IF(T107&gt;=0.01,"Pappas on track",IF(T107&gt;-0.01,"Toss-up",IF(T107&gt;-0.05,"Sununu on track","Great for Sununu")))))</f>
        <v/>
      </c>
      <c r="W107" s="17" t="inlineStr">
        <is>
          <t>33009</t>
        </is>
      </c>
    </row>
    <row r="108" ht="54" customHeight="1">
      <c r="A108" s="17" t="inlineStr">
        <is>
          <t>NH</t>
        </is>
      </c>
      <c r="B108" s="17" t="inlineStr">
        <is>
          <t>Belknap</t>
        </is>
      </c>
      <c r="C108" s="17" t="inlineStr">
        <is>
          <t>Lakes Region. Rural R stronghold.</t>
        </is>
      </c>
      <c r="D108" s="17" t="inlineStr">
        <is>
          <t>R margin and turnout.</t>
        </is>
      </c>
      <c r="E108" s="17" t="inlineStr">
        <is>
          <t>Small town &amp; rural</t>
        </is>
      </c>
      <c r="F108" s="23">
        <f>Counties!O866</f>
        <v/>
      </c>
      <c r="G108" s="24">
        <f>Counties!Q866</f>
        <v/>
      </c>
      <c r="H108" s="23">
        <f>Counties!R866</f>
        <v/>
      </c>
      <c r="I108" s="25">
        <f>Counties!S866</f>
        <v/>
      </c>
      <c r="J108" s="25">
        <f>Counties!AQ866/SUMIFS(Counties!$AQ:$AQ,Counties!$A:$A,"NH")</f>
        <v/>
      </c>
      <c r="K108" s="23">
        <f>Counties!T866</f>
        <v/>
      </c>
      <c r="L108" s="23">
        <f>Counties!AH866</f>
        <v/>
      </c>
      <c r="M108" s="26">
        <f>Counties!AO866</f>
        <v/>
      </c>
      <c r="N108" s="24">
        <f>Counties!AN866</f>
        <v/>
      </c>
      <c r="O108" s="17">
        <f>IF(L108="","not in yet",IF(N108&gt;=0.05,"Great for Pappas",IF(N108&gt;=0.01,"Pappas on track",IF(N108&gt;-0.01,"Toss-up",IF(N108&gt;-0.05,"Sununu on track","Great for Sununu"))))&amp;IF(Counties!AG866=1,""," (partial)"))</f>
        <v/>
      </c>
      <c r="P108" s="27">
        <f>Counties!AU866</f>
        <v/>
      </c>
      <c r="Q108" s="23">
        <f>Counties!AV866</f>
        <v/>
      </c>
      <c r="R108" s="27">
        <f>Counties!AW866</f>
        <v/>
      </c>
      <c r="S108" s="24">
        <f>Counties!AX866</f>
        <v/>
      </c>
      <c r="T108" s="24">
        <f>Counties!AY866</f>
        <v/>
      </c>
      <c r="U108" s="28">
        <f>IF(T108="","",T108*Counties!AF866)</f>
        <v/>
      </c>
      <c r="V108" s="17">
        <f>IF(T108="",IF(L108="","not in yet","waiting for the full count"),IF(T108&gt;=0.05,"Great for Pappas",IF(T108&gt;=0.01,"Pappas on track",IF(T108&gt;-0.01,"Toss-up",IF(T108&gt;-0.05,"Sununu on track","Great for Sununu")))))</f>
        <v/>
      </c>
      <c r="W108" s="17" t="inlineStr">
        <is>
          <t>33001</t>
        </is>
      </c>
    </row>
    <row r="109" ht="54" customHeight="1">
      <c r="A109" s="17" t="inlineStr">
        <is>
          <t>NH</t>
        </is>
      </c>
      <c r="B109" s="17" t="inlineStr">
        <is>
          <t>Coos</t>
        </is>
      </c>
      <c r="C109" s="17" t="inlineStr">
        <is>
          <t>The North Country: rural and working-class, and the biggest 2020-to-2024 shift toward R in the state (about 8 pts).</t>
        </is>
      </c>
      <c r="D109" s="17" t="inlineStr">
        <is>
          <t>Whether that shift holds in a midterm: it was only R+3 in 2022 versus R+14 in 2024.</t>
        </is>
      </c>
      <c r="E109" s="17" t="inlineStr">
        <is>
          <t>Small town &amp; rural</t>
        </is>
      </c>
      <c r="F109" s="23">
        <f>Counties!O869</f>
        <v/>
      </c>
      <c r="G109" s="24">
        <f>Counties!Q869</f>
        <v/>
      </c>
      <c r="H109" s="23">
        <f>Counties!R869</f>
        <v/>
      </c>
      <c r="I109" s="25">
        <f>Counties!S869</f>
        <v/>
      </c>
      <c r="J109" s="25">
        <f>Counties!AQ869/SUMIFS(Counties!$AQ:$AQ,Counties!$A:$A,"NH")</f>
        <v/>
      </c>
      <c r="K109" s="23">
        <f>Counties!T869</f>
        <v/>
      </c>
      <c r="L109" s="23">
        <f>Counties!AH869</f>
        <v/>
      </c>
      <c r="M109" s="26">
        <f>Counties!AO869</f>
        <v/>
      </c>
      <c r="N109" s="24">
        <f>Counties!AN869</f>
        <v/>
      </c>
      <c r="O109" s="17">
        <f>IF(L109="","not in yet",IF(N109&gt;=0.05,"Great for Pappas",IF(N109&gt;=0.01,"Pappas on track",IF(N109&gt;-0.01,"Toss-up",IF(N109&gt;-0.05,"Sununu on track","Great for Sununu"))))&amp;IF(Counties!AG869=1,""," (partial)"))</f>
        <v/>
      </c>
      <c r="P109" s="27">
        <f>Counties!AU869</f>
        <v/>
      </c>
      <c r="Q109" s="23">
        <f>Counties!AV869</f>
        <v/>
      </c>
      <c r="R109" s="27">
        <f>Counties!AW869</f>
        <v/>
      </c>
      <c r="S109" s="24">
        <f>Counties!AX869</f>
        <v/>
      </c>
      <c r="T109" s="24">
        <f>Counties!AY869</f>
        <v/>
      </c>
      <c r="U109" s="28">
        <f>IF(T109="","",T109*Counties!AF869)</f>
        <v/>
      </c>
      <c r="V109" s="17">
        <f>IF(T109="",IF(L109="","not in yet","waiting for the full count"),IF(T109&gt;=0.05,"Great for Pappas",IF(T109&gt;=0.01,"Pappas on track",IF(T109&gt;-0.01,"Toss-up",IF(T109&gt;-0.05,"Sununu on track","Great for Sununu")))))</f>
        <v/>
      </c>
      <c r="W109" s="17" t="inlineStr">
        <is>
          <t>33007</t>
        </is>
      </c>
    </row>
    <row r="110" ht="54" customHeight="1">
      <c r="A110" s="29" t="inlineStr">
        <is>
          <t>NH</t>
        </is>
      </c>
      <c r="B110" s="29" t="inlineStr">
        <is>
          <t>All rural (6)</t>
        </is>
      </c>
      <c r="C110" s="29" t="inlineStr">
        <is>
          <t>Every small-town and rural county together: the Republican base's turnout test.</t>
        </is>
      </c>
      <c r="D110" s="29" t="inlineStr">
        <is>
          <t>Turnout index from its finished counties. Above 100 means the rural base is a bigger share of the vote than a tie assumes; the margin rarely moves much.</t>
        </is>
      </c>
      <c r="E110" s="29" t="inlineStr">
        <is>
          <t>Small town &amp; rural</t>
        </is>
      </c>
      <c r="F110" s="30">
        <f>Types!M45</f>
        <v/>
      </c>
      <c r="G110" s="31" t="n"/>
      <c r="H110" s="30" t="n"/>
      <c r="I110" s="32" t="n"/>
      <c r="J110" s="32">
        <f>Types!L45</f>
        <v/>
      </c>
      <c r="K110" s="30">
        <f>Types!P45</f>
        <v/>
      </c>
      <c r="L110" s="30">
        <f>Types!S45</f>
        <v/>
      </c>
      <c r="M110" s="33">
        <f>IFERROR(Types!E45/Types!D45,"")</f>
        <v/>
      </c>
      <c r="N110" s="31">
        <f>IF(L110="","",L110-K110)</f>
        <v/>
      </c>
      <c r="O110" s="29">
        <f>IF(Types!F45=0,"not in yet",IF(N110&gt;=0.05,"Great for Pappas",IF(N110&gt;=0.01,"Pappas on track",IF(N110&gt;-0.01,"Toss-up",IF(N110&gt;-0.05,"Sununu on track","Great for Sununu"))))&amp;" (projected)")</f>
        <v/>
      </c>
      <c r="P110" s="34">
        <f>Types!V45</f>
        <v/>
      </c>
      <c r="Q110" s="30">
        <f>Types!W45</f>
        <v/>
      </c>
      <c r="R110" s="34" t="n"/>
      <c r="S110" s="31">
        <f>IF(Q110="","",K110-Q110)</f>
        <v/>
      </c>
      <c r="T110" s="31">
        <f>Types!X45</f>
        <v/>
      </c>
      <c r="U110" s="35">
        <f>Types!Y45</f>
        <v/>
      </c>
      <c r="V110" s="29">
        <f>IF(T110="","not in yet",IF(T110&gt;=0.05,"Great for Pappas",IF(T110&gt;=0.01,"Pappas on track",IF(T110&gt;-0.01,"Toss-up",IF(T110&gt;-0.05,"Sununu on track","Great for Sununu"))))&amp;" (finished counties)")</f>
        <v/>
      </c>
      <c r="W110" s="29" t="n"/>
    </row>
    <row r="111">
      <c r="A111" s="22" t="inlineStr">
        <is>
          <t>Ohio  ·  2024: R+11.3 (R+11.2 with 2022's turnout pattern)  ·  Sherrod Brown vs Jon Husted</t>
        </is>
      </c>
      <c r="B111" s="22" t="n"/>
      <c r="C111" s="22" t="n"/>
      <c r="D111" s="22" t="n"/>
      <c r="E111" s="22" t="n"/>
      <c r="F111" s="22" t="n"/>
      <c r="G111" s="22" t="n"/>
      <c r="H111" s="22" t="n"/>
      <c r="I111" s="22" t="n"/>
      <c r="J111" s="22" t="n"/>
      <c r="K111" s="22" t="n"/>
      <c r="L111" s="22" t="n"/>
      <c r="M111" s="22" t="n"/>
      <c r="N111" s="22" t="n"/>
      <c r="O111" s="22" t="n"/>
      <c r="P111" s="22" t="n"/>
      <c r="Q111" s="22" t="n"/>
      <c r="R111" s="22" t="n"/>
      <c r="S111" s="22" t="n"/>
      <c r="T111" s="22" t="n"/>
      <c r="U111" s="22" t="n"/>
      <c r="V111" s="22" t="n"/>
      <c r="W111" s="22" t="n"/>
    </row>
    <row r="112" ht="54" customHeight="1">
      <c r="A112" s="17" t="inlineStr">
        <is>
          <t>OH</t>
        </is>
      </c>
      <c r="B112" s="17" t="inlineStr">
        <is>
          <t>Franklin</t>
        </is>
      </c>
      <c r="C112" s="17" t="inlineStr">
        <is>
          <t>Columbus. The largest and fastest-growing D county.</t>
        </is>
      </c>
      <c r="D112" s="17" t="inlineStr">
        <is>
          <t>Turnout and margin. Brown needs big numbers here to offset rural Ohio.</t>
        </is>
      </c>
      <c r="E112" s="17" t="inlineStr">
        <is>
          <t>Big metro core</t>
        </is>
      </c>
      <c r="F112" s="23">
        <f>Counties!O900</f>
        <v/>
      </c>
      <c r="G112" s="24">
        <f>Counties!Q900</f>
        <v/>
      </c>
      <c r="H112" s="23">
        <f>Counties!R900</f>
        <v/>
      </c>
      <c r="I112" s="25">
        <f>Counties!S900</f>
        <v/>
      </c>
      <c r="J112" s="25">
        <f>Counties!AQ900/SUMIFS(Counties!$AQ:$AQ,Counties!$A:$A,"OH")</f>
        <v/>
      </c>
      <c r="K112" s="23">
        <f>Counties!T900</f>
        <v/>
      </c>
      <c r="L112" s="23">
        <f>Counties!AH900</f>
        <v/>
      </c>
      <c r="M112" s="26">
        <f>Counties!AO900</f>
        <v/>
      </c>
      <c r="N112" s="24">
        <f>Counties!AN900</f>
        <v/>
      </c>
      <c r="O112" s="17">
        <f>IF(L112="","not in yet",IF(N112&gt;=0.05,"Great for Brown",IF(N112&gt;=0.01,"Brown on track",IF(N112&gt;-0.01,"Toss-up",IF(N112&gt;-0.05,"Husted on track","Great for Husted"))))&amp;IF(Counties!AG900=1,""," (partial)"))</f>
        <v/>
      </c>
      <c r="P112" s="27">
        <f>Counties!AU900</f>
        <v/>
      </c>
      <c r="Q112" s="23">
        <f>Counties!AV900</f>
        <v/>
      </c>
      <c r="R112" s="27">
        <f>Counties!AW900</f>
        <v/>
      </c>
      <c r="S112" s="24">
        <f>Counties!AX900</f>
        <v/>
      </c>
      <c r="T112" s="24">
        <f>Counties!AY900</f>
        <v/>
      </c>
      <c r="U112" s="28">
        <f>IF(T112="","",T112*Counties!AF900)</f>
        <v/>
      </c>
      <c r="V112" s="17">
        <f>IF(T112="",IF(L112="","not in yet","waiting for the full count"),IF(T112&gt;=0.05,"Great for Brown",IF(T112&gt;=0.01,"Brown on track",IF(T112&gt;-0.01,"Toss-up",IF(T112&gt;-0.05,"Husted on track","Great for Husted")))))</f>
        <v/>
      </c>
      <c r="W112" s="17" t="inlineStr">
        <is>
          <t>39049</t>
        </is>
      </c>
    </row>
    <row r="113" ht="54" customHeight="1">
      <c r="A113" s="17" t="inlineStr">
        <is>
          <t>OH</t>
        </is>
      </c>
      <c r="B113" s="17" t="inlineStr">
        <is>
          <t>Cuyahoga</t>
        </is>
      </c>
      <c r="C113" s="17" t="inlineStr">
        <is>
          <t>Cleveland. Historic D base with declining population.</t>
        </is>
      </c>
      <c r="D113" s="17" t="inlineStr">
        <is>
          <t>Turnout. Weak Cleveland turnout sank Democrats in 2022.</t>
        </is>
      </c>
      <c r="E113" s="17" t="inlineStr">
        <is>
          <t>Big metro core</t>
        </is>
      </c>
      <c r="F113" s="23">
        <f>Counties!O893</f>
        <v/>
      </c>
      <c r="G113" s="24">
        <f>Counties!Q893</f>
        <v/>
      </c>
      <c r="H113" s="23">
        <f>Counties!R893</f>
        <v/>
      </c>
      <c r="I113" s="25">
        <f>Counties!S893</f>
        <v/>
      </c>
      <c r="J113" s="25">
        <f>Counties!AQ893/SUMIFS(Counties!$AQ:$AQ,Counties!$A:$A,"OH")</f>
        <v/>
      </c>
      <c r="K113" s="23">
        <f>Counties!T893</f>
        <v/>
      </c>
      <c r="L113" s="23">
        <f>Counties!AH893</f>
        <v/>
      </c>
      <c r="M113" s="26">
        <f>Counties!AO893</f>
        <v/>
      </c>
      <c r="N113" s="24">
        <f>Counties!AN893</f>
        <v/>
      </c>
      <c r="O113" s="17">
        <f>IF(L113="","not in yet",IF(N113&gt;=0.05,"Great for Brown",IF(N113&gt;=0.01,"Brown on track",IF(N113&gt;-0.01,"Toss-up",IF(N113&gt;-0.05,"Husted on track","Great for Husted"))))&amp;IF(Counties!AG893=1,""," (partial)"))</f>
        <v/>
      </c>
      <c r="P113" s="27">
        <f>Counties!AU893</f>
        <v/>
      </c>
      <c r="Q113" s="23">
        <f>Counties!AV893</f>
        <v/>
      </c>
      <c r="R113" s="27">
        <f>Counties!AW893</f>
        <v/>
      </c>
      <c r="S113" s="24">
        <f>Counties!AX893</f>
        <v/>
      </c>
      <c r="T113" s="24">
        <f>Counties!AY893</f>
        <v/>
      </c>
      <c r="U113" s="28">
        <f>IF(T113="","",T113*Counties!AF893)</f>
        <v/>
      </c>
      <c r="V113" s="17">
        <f>IF(T113="",IF(L113="","not in yet","waiting for the full count"),IF(T113&gt;=0.05,"Great for Brown",IF(T113&gt;=0.01,"Brown on track",IF(T113&gt;-0.01,"Toss-up",IF(T113&gt;-0.05,"Husted on track","Great for Husted")))))</f>
        <v/>
      </c>
      <c r="W113" s="17" t="inlineStr">
        <is>
          <t>39035</t>
        </is>
      </c>
    </row>
    <row r="114" ht="54" customHeight="1">
      <c r="A114" s="17" t="inlineStr">
        <is>
          <t>OH</t>
        </is>
      </c>
      <c r="B114" s="17" t="inlineStr">
        <is>
          <t>Hamilton</t>
        </is>
      </c>
      <c r="C114" s="17" t="inlineStr">
        <is>
          <t>Cincinnati. Formerly R, now reliably D because of suburban college voters.</t>
        </is>
      </c>
      <c r="D114" s="17" t="inlineStr">
        <is>
          <t>Margin compared with 2024's +15.</t>
        </is>
      </c>
      <c r="E114" s="17" t="inlineStr">
        <is>
          <t>Big metro core</t>
        </is>
      </c>
      <c r="F114" s="23">
        <f>Counties!O906</f>
        <v/>
      </c>
      <c r="G114" s="24">
        <f>Counties!Q906</f>
        <v/>
      </c>
      <c r="H114" s="23">
        <f>Counties!R906</f>
        <v/>
      </c>
      <c r="I114" s="25">
        <f>Counties!S906</f>
        <v/>
      </c>
      <c r="J114" s="25">
        <f>Counties!AQ906/SUMIFS(Counties!$AQ:$AQ,Counties!$A:$A,"OH")</f>
        <v/>
      </c>
      <c r="K114" s="23">
        <f>Counties!T906</f>
        <v/>
      </c>
      <c r="L114" s="23">
        <f>Counties!AH906</f>
        <v/>
      </c>
      <c r="M114" s="26">
        <f>Counties!AO906</f>
        <v/>
      </c>
      <c r="N114" s="24">
        <f>Counties!AN906</f>
        <v/>
      </c>
      <c r="O114" s="17">
        <f>IF(L114="","not in yet",IF(N114&gt;=0.05,"Great for Brown",IF(N114&gt;=0.01,"Brown on track",IF(N114&gt;-0.01,"Toss-up",IF(N114&gt;-0.05,"Husted on track","Great for Husted"))))&amp;IF(Counties!AG906=1,""," (partial)"))</f>
        <v/>
      </c>
      <c r="P114" s="27">
        <f>Counties!AU906</f>
        <v/>
      </c>
      <c r="Q114" s="23">
        <f>Counties!AV906</f>
        <v/>
      </c>
      <c r="R114" s="27">
        <f>Counties!AW906</f>
        <v/>
      </c>
      <c r="S114" s="24">
        <f>Counties!AX906</f>
        <v/>
      </c>
      <c r="T114" s="24">
        <f>Counties!AY906</f>
        <v/>
      </c>
      <c r="U114" s="28">
        <f>IF(T114="","",T114*Counties!AF906)</f>
        <v/>
      </c>
      <c r="V114" s="17">
        <f>IF(T114="",IF(L114="","not in yet","waiting for the full count"),IF(T114&gt;=0.05,"Great for Brown",IF(T114&gt;=0.01,"Brown on track",IF(T114&gt;-0.01,"Toss-up",IF(T114&gt;-0.05,"Husted on track","Great for Husted")))))</f>
        <v/>
      </c>
      <c r="W114" s="17" t="inlineStr">
        <is>
          <t>39061</t>
        </is>
      </c>
    </row>
    <row r="115" ht="54" customHeight="1">
      <c r="A115" s="17" t="inlineStr">
        <is>
          <t>OH</t>
        </is>
      </c>
      <c r="B115" s="17" t="inlineStr">
        <is>
          <t>Summit</t>
        </is>
      </c>
      <c r="C115" s="17" t="inlineStr">
        <is>
          <t>Akron. A union-heavy swing-ish county.</t>
        </is>
      </c>
      <c r="D115" s="17" t="inlineStr">
        <is>
          <t>A D margin of +10 or more is needed to run competitively statewide.</t>
        </is>
      </c>
      <c r="E115" s="17" t="inlineStr">
        <is>
          <t>Mid-size/working metro</t>
        </is>
      </c>
      <c r="F115" s="23">
        <f>Counties!O952</f>
        <v/>
      </c>
      <c r="G115" s="24">
        <f>Counties!Q952</f>
        <v/>
      </c>
      <c r="H115" s="23">
        <f>Counties!R952</f>
        <v/>
      </c>
      <c r="I115" s="25">
        <f>Counties!S952</f>
        <v/>
      </c>
      <c r="J115" s="25">
        <f>Counties!AQ952/SUMIFS(Counties!$AQ:$AQ,Counties!$A:$A,"OH")</f>
        <v/>
      </c>
      <c r="K115" s="23">
        <f>Counties!T952</f>
        <v/>
      </c>
      <c r="L115" s="23">
        <f>Counties!AH952</f>
        <v/>
      </c>
      <c r="M115" s="26">
        <f>Counties!AO952</f>
        <v/>
      </c>
      <c r="N115" s="24">
        <f>Counties!AN952</f>
        <v/>
      </c>
      <c r="O115" s="17">
        <f>IF(L115="","not in yet",IF(N115&gt;=0.05,"Great for Brown",IF(N115&gt;=0.01,"Brown on track",IF(N115&gt;-0.01,"Toss-up",IF(N115&gt;-0.05,"Husted on track","Great for Husted"))))&amp;IF(Counties!AG952=1,""," (partial)"))</f>
        <v/>
      </c>
      <c r="P115" s="27">
        <f>Counties!AU952</f>
        <v/>
      </c>
      <c r="Q115" s="23">
        <f>Counties!AV952</f>
        <v/>
      </c>
      <c r="R115" s="27">
        <f>Counties!AW952</f>
        <v/>
      </c>
      <c r="S115" s="24">
        <f>Counties!AX952</f>
        <v/>
      </c>
      <c r="T115" s="24">
        <f>Counties!AY952</f>
        <v/>
      </c>
      <c r="U115" s="28">
        <f>IF(T115="","",T115*Counties!AF952)</f>
        <v/>
      </c>
      <c r="V115" s="17">
        <f>IF(T115="",IF(L115="","not in yet","waiting for the full count"),IF(T115&gt;=0.05,"Great for Brown",IF(T115&gt;=0.01,"Brown on track",IF(T115&gt;-0.01,"Toss-up",IF(T115&gt;-0.05,"Husted on track","Great for Husted")))))</f>
        <v/>
      </c>
      <c r="W115" s="17" t="inlineStr">
        <is>
          <t>39153</t>
        </is>
      </c>
    </row>
    <row r="116" ht="54" customHeight="1">
      <c r="A116" s="17" t="inlineStr">
        <is>
          <t>OH</t>
        </is>
      </c>
      <c r="B116" s="17" t="inlineStr">
        <is>
          <t>Montgomery</t>
        </is>
      </c>
      <c r="C116" s="17" t="inlineStr">
        <is>
          <t>Dayton. Roughly even in 2024, about 11 points left of the state.</t>
        </is>
      </c>
      <c r="D116" s="17" t="inlineStr">
        <is>
          <t>Democrats need to win it clearly to be competitive statewide.</t>
        </is>
      </c>
      <c r="E116" s="17" t="inlineStr">
        <is>
          <t>Mid-size/working metro</t>
        </is>
      </c>
      <c r="F116" s="23">
        <f>Counties!O932</f>
        <v/>
      </c>
      <c r="G116" s="24">
        <f>Counties!Q932</f>
        <v/>
      </c>
      <c r="H116" s="23">
        <f>Counties!R932</f>
        <v/>
      </c>
      <c r="I116" s="25">
        <f>Counties!S932</f>
        <v/>
      </c>
      <c r="J116" s="25">
        <f>Counties!AQ932/SUMIFS(Counties!$AQ:$AQ,Counties!$A:$A,"OH")</f>
        <v/>
      </c>
      <c r="K116" s="23">
        <f>Counties!T932</f>
        <v/>
      </c>
      <c r="L116" s="23">
        <f>Counties!AH932</f>
        <v/>
      </c>
      <c r="M116" s="26">
        <f>Counties!AO932</f>
        <v/>
      </c>
      <c r="N116" s="24">
        <f>Counties!AN932</f>
        <v/>
      </c>
      <c r="O116" s="17">
        <f>IF(L116="","not in yet",IF(N116&gt;=0.05,"Great for Brown",IF(N116&gt;=0.01,"Brown on track",IF(N116&gt;-0.01,"Toss-up",IF(N116&gt;-0.05,"Husted on track","Great for Husted"))))&amp;IF(Counties!AG932=1,""," (partial)"))</f>
        <v/>
      </c>
      <c r="P116" s="27">
        <f>Counties!AU932</f>
        <v/>
      </c>
      <c r="Q116" s="23">
        <f>Counties!AV932</f>
        <v/>
      </c>
      <c r="R116" s="27">
        <f>Counties!AW932</f>
        <v/>
      </c>
      <c r="S116" s="24">
        <f>Counties!AX932</f>
        <v/>
      </c>
      <c r="T116" s="24">
        <f>Counties!AY932</f>
        <v/>
      </c>
      <c r="U116" s="28">
        <f>IF(T116="","",T116*Counties!AF932)</f>
        <v/>
      </c>
      <c r="V116" s="17">
        <f>IF(T116="",IF(L116="","not in yet","waiting for the full count"),IF(T116&gt;=0.05,"Great for Brown",IF(T116&gt;=0.01,"Brown on track",IF(T116&gt;-0.01,"Toss-up",IF(T116&gt;-0.05,"Husted on track","Great for Husted")))))</f>
        <v/>
      </c>
      <c r="W116" s="17" t="inlineStr">
        <is>
          <t>39113</t>
        </is>
      </c>
    </row>
    <row r="117" ht="54" customHeight="1">
      <c r="A117" s="17" t="inlineStr">
        <is>
          <t>OH</t>
        </is>
      </c>
      <c r="B117" s="17" t="inlineStr">
        <is>
          <t>Stark</t>
        </is>
      </c>
      <c r="C117" s="17" t="inlineStr">
        <is>
          <t>Canton. A classic working-class bellwether that went from R+19 in 2020 to R+22 in 2024.</t>
        </is>
      </c>
      <c r="D117" s="17" t="inlineStr">
        <is>
          <t>Whether working-class voters come back to Democrats. Near its 2022 level (R+16) is a good D sign; R+22 or worse means the 2024 coalition held.</t>
        </is>
      </c>
      <c r="E117" s="17" t="inlineStr">
        <is>
          <t>Mid-size/working metro</t>
        </is>
      </c>
      <c r="F117" s="23">
        <f>Counties!O951</f>
        <v/>
      </c>
      <c r="G117" s="24">
        <f>Counties!Q951</f>
        <v/>
      </c>
      <c r="H117" s="23">
        <f>Counties!R951</f>
        <v/>
      </c>
      <c r="I117" s="25">
        <f>Counties!S951</f>
        <v/>
      </c>
      <c r="J117" s="25">
        <f>Counties!AQ951/SUMIFS(Counties!$AQ:$AQ,Counties!$A:$A,"OH")</f>
        <v/>
      </c>
      <c r="K117" s="23">
        <f>Counties!T951</f>
        <v/>
      </c>
      <c r="L117" s="23">
        <f>Counties!AH951</f>
        <v/>
      </c>
      <c r="M117" s="26">
        <f>Counties!AO951</f>
        <v/>
      </c>
      <c r="N117" s="24">
        <f>Counties!AN951</f>
        <v/>
      </c>
      <c r="O117" s="17">
        <f>IF(L117="","not in yet",IF(N117&gt;=0.05,"Great for Brown",IF(N117&gt;=0.01,"Brown on track",IF(N117&gt;-0.01,"Toss-up",IF(N117&gt;-0.05,"Husted on track","Great for Husted"))))&amp;IF(Counties!AG951=1,""," (partial)"))</f>
        <v/>
      </c>
      <c r="P117" s="27">
        <f>Counties!AU951</f>
        <v/>
      </c>
      <c r="Q117" s="23">
        <f>Counties!AV951</f>
        <v/>
      </c>
      <c r="R117" s="27">
        <f>Counties!AW951</f>
        <v/>
      </c>
      <c r="S117" s="24">
        <f>Counties!AX951</f>
        <v/>
      </c>
      <c r="T117" s="24">
        <f>Counties!AY951</f>
        <v/>
      </c>
      <c r="U117" s="28">
        <f>IF(T117="","",T117*Counties!AF951)</f>
        <v/>
      </c>
      <c r="V117" s="17">
        <f>IF(T117="",IF(L117="","not in yet","waiting for the full count"),IF(T117&gt;=0.05,"Great for Brown",IF(T117&gt;=0.01,"Brown on track",IF(T117&gt;-0.01,"Toss-up",IF(T117&gt;-0.05,"Husted on track","Great for Husted")))))</f>
        <v/>
      </c>
      <c r="W117" s="17" t="inlineStr">
        <is>
          <t>39151</t>
        </is>
      </c>
    </row>
    <row r="118" ht="54" customHeight="1">
      <c r="A118" s="17" t="inlineStr">
        <is>
          <t>OH</t>
        </is>
      </c>
      <c r="B118" s="17" t="inlineStr">
        <is>
          <t>Butler</t>
        </is>
      </c>
      <c r="C118" s="17" t="inlineStr">
        <is>
          <t>Cincinnati's northern suburbs and Ohio's biggest R net-vote county (about 48,000 in 2024).</t>
        </is>
      </c>
      <c r="D118" s="17" t="inlineStr">
        <is>
          <t>An R margin at R+26 or better with turnout on pace means Republicans are fine. Back near its 2022 level (R+24) or lower is a warning for them.</t>
        </is>
      </c>
      <c r="E118" s="17" t="inlineStr">
        <is>
          <t>Mid-size/working metro</t>
        </is>
      </c>
      <c r="F118" s="23">
        <f>Counties!O884</f>
        <v/>
      </c>
      <c r="G118" s="24">
        <f>Counties!Q884</f>
        <v/>
      </c>
      <c r="H118" s="23">
        <f>Counties!R884</f>
        <v/>
      </c>
      <c r="I118" s="25">
        <f>Counties!S884</f>
        <v/>
      </c>
      <c r="J118" s="25">
        <f>Counties!AQ884/SUMIFS(Counties!$AQ:$AQ,Counties!$A:$A,"OH")</f>
        <v/>
      </c>
      <c r="K118" s="23">
        <f>Counties!T884</f>
        <v/>
      </c>
      <c r="L118" s="23">
        <f>Counties!AH884</f>
        <v/>
      </c>
      <c r="M118" s="26">
        <f>Counties!AO884</f>
        <v/>
      </c>
      <c r="N118" s="24">
        <f>Counties!AN884</f>
        <v/>
      </c>
      <c r="O118" s="17">
        <f>IF(L118="","not in yet",IF(N118&gt;=0.05,"Great for Brown",IF(N118&gt;=0.01,"Brown on track",IF(N118&gt;-0.01,"Toss-up",IF(N118&gt;-0.05,"Husted on track","Great for Husted"))))&amp;IF(Counties!AG884=1,""," (partial)"))</f>
        <v/>
      </c>
      <c r="P118" s="27">
        <f>Counties!AU884</f>
        <v/>
      </c>
      <c r="Q118" s="23">
        <f>Counties!AV884</f>
        <v/>
      </c>
      <c r="R118" s="27">
        <f>Counties!AW884</f>
        <v/>
      </c>
      <c r="S118" s="24">
        <f>Counties!AX884</f>
        <v/>
      </c>
      <c r="T118" s="24">
        <f>Counties!AY884</f>
        <v/>
      </c>
      <c r="U118" s="28">
        <f>IF(T118="","",T118*Counties!AF884)</f>
        <v/>
      </c>
      <c r="V118" s="17">
        <f>IF(T118="",IF(L118="","not in yet","waiting for the full count"),IF(T118&gt;=0.05,"Great for Brown",IF(T118&gt;=0.01,"Brown on track",IF(T118&gt;-0.01,"Toss-up",IF(T118&gt;-0.05,"Husted on track","Great for Husted")))))</f>
        <v/>
      </c>
      <c r="W118" s="17" t="inlineStr">
        <is>
          <t>39017</t>
        </is>
      </c>
    </row>
    <row r="119" ht="54" customHeight="1">
      <c r="A119" s="17" t="inlineStr">
        <is>
          <t>OH</t>
        </is>
      </c>
      <c r="B119" s="17" t="inlineStr">
        <is>
          <t>Lorain</t>
        </is>
      </c>
      <c r="C119" s="17" t="inlineStr">
        <is>
          <t>Blue-collar county west of Cleveland that went narrowly R in 2020 and further R in 2024.</t>
        </is>
      </c>
      <c r="D119" s="17" t="inlineStr">
        <is>
          <t>Whether working-class white voters return to Brown.</t>
        </is>
      </c>
      <c r="E119" s="17" t="inlineStr">
        <is>
          <t>Mid-size/working metro</t>
        </is>
      </c>
      <c r="F119" s="23">
        <f>Counties!O922</f>
        <v/>
      </c>
      <c r="G119" s="24">
        <f>Counties!Q922</f>
        <v/>
      </c>
      <c r="H119" s="23">
        <f>Counties!R922</f>
        <v/>
      </c>
      <c r="I119" s="25">
        <f>Counties!S922</f>
        <v/>
      </c>
      <c r="J119" s="25">
        <f>Counties!AQ922/SUMIFS(Counties!$AQ:$AQ,Counties!$A:$A,"OH")</f>
        <v/>
      </c>
      <c r="K119" s="23">
        <f>Counties!T922</f>
        <v/>
      </c>
      <c r="L119" s="23">
        <f>Counties!AH922</f>
        <v/>
      </c>
      <c r="M119" s="26">
        <f>Counties!AO922</f>
        <v/>
      </c>
      <c r="N119" s="24">
        <f>Counties!AN922</f>
        <v/>
      </c>
      <c r="O119" s="17">
        <f>IF(L119="","not in yet",IF(N119&gt;=0.05,"Great for Brown",IF(N119&gt;=0.01,"Brown on track",IF(N119&gt;-0.01,"Toss-up",IF(N119&gt;-0.05,"Husted on track","Great for Husted"))))&amp;IF(Counties!AG922=1,""," (partial)"))</f>
        <v/>
      </c>
      <c r="P119" s="27">
        <f>Counties!AU922</f>
        <v/>
      </c>
      <c r="Q119" s="23">
        <f>Counties!AV922</f>
        <v/>
      </c>
      <c r="R119" s="27">
        <f>Counties!AW922</f>
        <v/>
      </c>
      <c r="S119" s="24">
        <f>Counties!AX922</f>
        <v/>
      </c>
      <c r="T119" s="24">
        <f>Counties!AY922</f>
        <v/>
      </c>
      <c r="U119" s="28">
        <f>IF(T119="","",T119*Counties!AF922)</f>
        <v/>
      </c>
      <c r="V119" s="17">
        <f>IF(T119="",IF(L119="","not in yet","waiting for the full count"),IF(T119&gt;=0.05,"Great for Brown",IF(T119&gt;=0.01,"Brown on track",IF(T119&gt;-0.01,"Toss-up",IF(T119&gt;-0.05,"Husted on track","Great for Husted")))))</f>
        <v/>
      </c>
      <c r="W119" s="17" t="inlineStr">
        <is>
          <t>39093</t>
        </is>
      </c>
    </row>
    <row r="120" ht="54" customHeight="1">
      <c r="A120" s="17" t="inlineStr">
        <is>
          <t>OH</t>
        </is>
      </c>
      <c r="B120" s="17" t="inlineStr">
        <is>
          <t>Warren</t>
        </is>
      </c>
      <c r="C120" s="17" t="inlineStr">
        <is>
          <t>College-educated exurb between Cincinnati and Dayton, R+32 and barely moved from 2020 to 2024.</t>
        </is>
      </c>
      <c r="D120" s="17" t="inlineStr">
        <is>
          <t>College-educated Republicans. Any real slippage here suggests the Democrat is winning crossover votes.</t>
        </is>
      </c>
      <c r="E120" s="17" t="inlineStr">
        <is>
          <t>College suburb/metro</t>
        </is>
      </c>
      <c r="F120" s="23">
        <f>Counties!O958</f>
        <v/>
      </c>
      <c r="G120" s="24">
        <f>Counties!Q958</f>
        <v/>
      </c>
      <c r="H120" s="23">
        <f>Counties!R958</f>
        <v/>
      </c>
      <c r="I120" s="25">
        <f>Counties!S958</f>
        <v/>
      </c>
      <c r="J120" s="25">
        <f>Counties!AQ958/SUMIFS(Counties!$AQ:$AQ,Counties!$A:$A,"OH")</f>
        <v/>
      </c>
      <c r="K120" s="23">
        <f>Counties!T958</f>
        <v/>
      </c>
      <c r="L120" s="23">
        <f>Counties!AH958</f>
        <v/>
      </c>
      <c r="M120" s="26">
        <f>Counties!AO958</f>
        <v/>
      </c>
      <c r="N120" s="24">
        <f>Counties!AN958</f>
        <v/>
      </c>
      <c r="O120" s="17">
        <f>IF(L120="","not in yet",IF(N120&gt;=0.05,"Great for Brown",IF(N120&gt;=0.01,"Brown on track",IF(N120&gt;-0.01,"Toss-up",IF(N120&gt;-0.05,"Husted on track","Great for Husted"))))&amp;IF(Counties!AG958=1,""," (partial)"))</f>
        <v/>
      </c>
      <c r="P120" s="27">
        <f>Counties!AU958</f>
        <v/>
      </c>
      <c r="Q120" s="23">
        <f>Counties!AV958</f>
        <v/>
      </c>
      <c r="R120" s="27">
        <f>Counties!AW958</f>
        <v/>
      </c>
      <c r="S120" s="24">
        <f>Counties!AX958</f>
        <v/>
      </c>
      <c r="T120" s="24">
        <f>Counties!AY958</f>
        <v/>
      </c>
      <c r="U120" s="28">
        <f>IF(T120="","",T120*Counties!AF958)</f>
        <v/>
      </c>
      <c r="V120" s="17">
        <f>IF(T120="",IF(L120="","not in yet","waiting for the full count"),IF(T120&gt;=0.05,"Great for Brown",IF(T120&gt;=0.01,"Brown on track",IF(T120&gt;-0.01,"Toss-up",IF(T120&gt;-0.05,"Husted on track","Great for Husted")))))</f>
        <v/>
      </c>
      <c r="W120" s="17" t="inlineStr">
        <is>
          <t>39165</t>
        </is>
      </c>
    </row>
    <row r="121" ht="54" customHeight="1">
      <c r="A121" s="17" t="inlineStr">
        <is>
          <t>OH</t>
        </is>
      </c>
      <c r="B121" s="17" t="inlineStr">
        <is>
          <t>Delaware</t>
        </is>
      </c>
      <c r="C121" s="17" t="inlineStr">
        <is>
          <t>Wealthy, college-educated Columbus exurb, still R.</t>
        </is>
      </c>
      <c r="D121" s="17" t="inlineStr">
        <is>
          <t>A shrinking R margin shows suburban defections.</t>
        </is>
      </c>
      <c r="E121" s="17" t="inlineStr">
        <is>
          <t>College suburb/metro</t>
        </is>
      </c>
      <c r="F121" s="23">
        <f>Counties!O896</f>
        <v/>
      </c>
      <c r="G121" s="24">
        <f>Counties!Q896</f>
        <v/>
      </c>
      <c r="H121" s="23">
        <f>Counties!R896</f>
        <v/>
      </c>
      <c r="I121" s="25">
        <f>Counties!S896</f>
        <v/>
      </c>
      <c r="J121" s="25">
        <f>Counties!AQ896/SUMIFS(Counties!$AQ:$AQ,Counties!$A:$A,"OH")</f>
        <v/>
      </c>
      <c r="K121" s="23">
        <f>Counties!T896</f>
        <v/>
      </c>
      <c r="L121" s="23">
        <f>Counties!AH896</f>
        <v/>
      </c>
      <c r="M121" s="26">
        <f>Counties!AO896</f>
        <v/>
      </c>
      <c r="N121" s="24">
        <f>Counties!AN896</f>
        <v/>
      </c>
      <c r="O121" s="17">
        <f>IF(L121="","not in yet",IF(N121&gt;=0.05,"Great for Brown",IF(N121&gt;=0.01,"Brown on track",IF(N121&gt;-0.01,"Toss-up",IF(N121&gt;-0.05,"Husted on track","Great for Husted"))))&amp;IF(Counties!AG896=1,""," (partial)"))</f>
        <v/>
      </c>
      <c r="P121" s="27">
        <f>Counties!AU896</f>
        <v/>
      </c>
      <c r="Q121" s="23">
        <f>Counties!AV896</f>
        <v/>
      </c>
      <c r="R121" s="27">
        <f>Counties!AW896</f>
        <v/>
      </c>
      <c r="S121" s="24">
        <f>Counties!AX896</f>
        <v/>
      </c>
      <c r="T121" s="24">
        <f>Counties!AY896</f>
        <v/>
      </c>
      <c r="U121" s="28">
        <f>IF(T121="","",T121*Counties!AF896)</f>
        <v/>
      </c>
      <c r="V121" s="17">
        <f>IF(T121="",IF(L121="","not in yet","waiting for the full count"),IF(T121&gt;=0.05,"Great for Brown",IF(T121&gt;=0.01,"Brown on track",IF(T121&gt;-0.01,"Toss-up",IF(T121&gt;-0.05,"Husted on track","Great for Husted")))))</f>
        <v/>
      </c>
      <c r="W121" s="17" t="inlineStr">
        <is>
          <t>39041</t>
        </is>
      </c>
    </row>
    <row r="122" ht="54" customHeight="1">
      <c r="A122" s="17" t="inlineStr">
        <is>
          <t>OH</t>
        </is>
      </c>
      <c r="B122" s="17" t="inlineStr">
        <is>
          <t>Mahoning</t>
        </is>
      </c>
      <c r="C122" s="17" t="inlineStr">
        <is>
          <t>Youngstown. Former D stronghold that swung 7.6 points R in 2024.</t>
        </is>
      </c>
      <c r="D122" s="17" t="inlineStr">
        <is>
          <t>Blue-collar ancestral Democrats. Brown's comeback depends on voters like these.</t>
        </is>
      </c>
      <c r="E122" s="17" t="inlineStr">
        <is>
          <t>Mid-size/working metro</t>
        </is>
      </c>
      <c r="F122" s="23">
        <f>Counties!O925</f>
        <v/>
      </c>
      <c r="G122" s="24">
        <f>Counties!Q925</f>
        <v/>
      </c>
      <c r="H122" s="23">
        <f>Counties!R925</f>
        <v/>
      </c>
      <c r="I122" s="25">
        <f>Counties!S925</f>
        <v/>
      </c>
      <c r="J122" s="25">
        <f>Counties!AQ925/SUMIFS(Counties!$AQ:$AQ,Counties!$A:$A,"OH")</f>
        <v/>
      </c>
      <c r="K122" s="23">
        <f>Counties!T925</f>
        <v/>
      </c>
      <c r="L122" s="23">
        <f>Counties!AH925</f>
        <v/>
      </c>
      <c r="M122" s="26">
        <f>Counties!AO925</f>
        <v/>
      </c>
      <c r="N122" s="24">
        <f>Counties!AN925</f>
        <v/>
      </c>
      <c r="O122" s="17">
        <f>IF(L122="","not in yet",IF(N122&gt;=0.05,"Great for Brown",IF(N122&gt;=0.01,"Brown on track",IF(N122&gt;-0.01,"Toss-up",IF(N122&gt;-0.05,"Husted on track","Great for Husted"))))&amp;IF(Counties!AG925=1,""," (partial)"))</f>
        <v/>
      </c>
      <c r="P122" s="27">
        <f>Counties!AU925</f>
        <v/>
      </c>
      <c r="Q122" s="23">
        <f>Counties!AV925</f>
        <v/>
      </c>
      <c r="R122" s="27">
        <f>Counties!AW925</f>
        <v/>
      </c>
      <c r="S122" s="24">
        <f>Counties!AX925</f>
        <v/>
      </c>
      <c r="T122" s="24">
        <f>Counties!AY925</f>
        <v/>
      </c>
      <c r="U122" s="28">
        <f>IF(T122="","",T122*Counties!AF925)</f>
        <v/>
      </c>
      <c r="V122" s="17">
        <f>IF(T122="",IF(L122="","not in yet","waiting for the full count"),IF(T122&gt;=0.05,"Great for Brown",IF(T122&gt;=0.01,"Brown on track",IF(T122&gt;-0.01,"Toss-up",IF(T122&gt;-0.05,"Husted on track","Great for Husted")))))</f>
        <v/>
      </c>
      <c r="W122" s="17" t="inlineStr">
        <is>
          <t>39099</t>
        </is>
      </c>
    </row>
    <row r="123" ht="54" customHeight="1">
      <c r="A123" s="29" t="inlineStr">
        <is>
          <t>OH</t>
        </is>
      </c>
      <c r="B123" s="29" t="inlineStr">
        <is>
          <t>All rural (61)</t>
        </is>
      </c>
      <c r="C123" s="29" t="inlineStr">
        <is>
          <t>Every small-town and rural county together: the Republican base's turnout test.</t>
        </is>
      </c>
      <c r="D123" s="29" t="inlineStr">
        <is>
          <t>Turnout index from its finished counties. Above 100 means the rural base is a bigger share of the vote than a tie assumes; the margin rarely moves much.</t>
        </is>
      </c>
      <c r="E123" s="29" t="inlineStr">
        <is>
          <t>Small town &amp; rural</t>
        </is>
      </c>
      <c r="F123" s="30">
        <f>Types!M49</f>
        <v/>
      </c>
      <c r="G123" s="31" t="n"/>
      <c r="H123" s="30" t="n"/>
      <c r="I123" s="32" t="n"/>
      <c r="J123" s="32">
        <f>Types!L49</f>
        <v/>
      </c>
      <c r="K123" s="30">
        <f>Types!P49</f>
        <v/>
      </c>
      <c r="L123" s="30">
        <f>Types!S49</f>
        <v/>
      </c>
      <c r="M123" s="33">
        <f>IFERROR(Types!E49/Types!D49,"")</f>
        <v/>
      </c>
      <c r="N123" s="31">
        <f>IF(L123="","",L123-K123)</f>
        <v/>
      </c>
      <c r="O123" s="29">
        <f>IF(Types!F49=0,"not in yet",IF(N123&gt;=0.05,"Great for Brown",IF(N123&gt;=0.01,"Brown on track",IF(N123&gt;-0.01,"Toss-up",IF(N123&gt;-0.05,"Husted on track","Great for Husted"))))&amp;" (projected)")</f>
        <v/>
      </c>
      <c r="P123" s="34">
        <f>Types!V49</f>
        <v/>
      </c>
      <c r="Q123" s="30">
        <f>Types!W49</f>
        <v/>
      </c>
      <c r="R123" s="34" t="n"/>
      <c r="S123" s="31">
        <f>IF(Q123="","",K123-Q123)</f>
        <v/>
      </c>
      <c r="T123" s="31">
        <f>Types!X49</f>
        <v/>
      </c>
      <c r="U123" s="35">
        <f>Types!Y49</f>
        <v/>
      </c>
      <c r="V123" s="29">
        <f>IF(T123="","not in yet",IF(T123&gt;=0.05,"Great for Brown",IF(T123&gt;=0.01,"Brown on track",IF(T123&gt;-0.01,"Toss-up",IF(T123&gt;-0.05,"Husted on track","Great for Husted"))))&amp;" (finished counties)")</f>
        <v/>
      </c>
      <c r="W123" s="29" t="n"/>
    </row>
    <row r="124">
      <c r="A124" s="22" t="inlineStr">
        <is>
          <t>South Carolina  ·  2024: R+18.1 (R+17.7 with 2022's turnout pattern)  ·  Annie Andrews vs Darline Graham</t>
        </is>
      </c>
      <c r="B124" s="22" t="n"/>
      <c r="C124" s="22" t="n"/>
      <c r="D124" s="22" t="n"/>
      <c r="E124" s="22" t="n"/>
      <c r="F124" s="22" t="n"/>
      <c r="G124" s="22" t="n"/>
      <c r="H124" s="22" t="n"/>
      <c r="I124" s="22" t="n"/>
      <c r="J124" s="22" t="n"/>
      <c r="K124" s="22" t="n"/>
      <c r="L124" s="22" t="n"/>
      <c r="M124" s="22" t="n"/>
      <c r="N124" s="22" t="n"/>
      <c r="O124" s="22" t="n"/>
      <c r="P124" s="22" t="n"/>
      <c r="Q124" s="22" t="n"/>
      <c r="R124" s="22" t="n"/>
      <c r="S124" s="22" t="n"/>
      <c r="T124" s="22" t="n"/>
      <c r="U124" s="22" t="n"/>
      <c r="V124" s="22" t="n"/>
      <c r="W124" s="22" t="n"/>
    </row>
    <row r="125" ht="54" customHeight="1">
      <c r="A125" s="17" t="inlineStr">
        <is>
          <t>SC</t>
        </is>
      </c>
      <c r="B125" s="17" t="inlineStr">
        <is>
          <t>Greenville</t>
        </is>
      </c>
      <c r="C125" s="17" t="inlineStr">
        <is>
          <t>The Upstate's largest county, strongly R but educated.</t>
        </is>
      </c>
      <c r="D125" s="17" t="inlineStr">
        <is>
          <t>R margin shrinking means suburban defections.</t>
        </is>
      </c>
      <c r="E125" s="17" t="inlineStr">
        <is>
          <t>College suburb/metro</t>
        </is>
      </c>
      <c r="F125" s="23">
        <f>Counties!O986</f>
        <v/>
      </c>
      <c r="G125" s="24">
        <f>Counties!Q986</f>
        <v/>
      </c>
      <c r="H125" s="23">
        <f>Counties!R986</f>
        <v/>
      </c>
      <c r="I125" s="25">
        <f>Counties!S986</f>
        <v/>
      </c>
      <c r="J125" s="25">
        <f>Counties!AQ986/SUMIFS(Counties!$AQ:$AQ,Counties!$A:$A,"SC")</f>
        <v/>
      </c>
      <c r="K125" s="23">
        <f>Counties!T986</f>
        <v/>
      </c>
      <c r="L125" s="23">
        <f>Counties!AH986</f>
        <v/>
      </c>
      <c r="M125" s="26">
        <f>Counties!AO986</f>
        <v/>
      </c>
      <c r="N125" s="24">
        <f>Counties!AN986</f>
        <v/>
      </c>
      <c r="O125" s="17">
        <f>IF(L125="","not in yet",IF(N125&gt;=0.05,"Great for Andrews",IF(N125&gt;=0.01,"Andrews on track",IF(N125&gt;-0.01,"Toss-up",IF(N125&gt;-0.05,"Graham on track","Great for Graham"))))&amp;IF(Counties!AG986=1,""," (partial)"))</f>
        <v/>
      </c>
      <c r="P125" s="27">
        <f>Counties!AU986</f>
        <v/>
      </c>
      <c r="Q125" s="23">
        <f>Counties!AV986</f>
        <v/>
      </c>
      <c r="R125" s="27">
        <f>Counties!AW986</f>
        <v/>
      </c>
      <c r="S125" s="24">
        <f>Counties!AX986</f>
        <v/>
      </c>
      <c r="T125" s="24">
        <f>Counties!AY986</f>
        <v/>
      </c>
      <c r="U125" s="28">
        <f>IF(T125="","",T125*Counties!AF986)</f>
        <v/>
      </c>
      <c r="V125" s="17">
        <f>IF(T125="",IF(L125="","not in yet","waiting for the full count"),IF(T125&gt;=0.05,"Great for Andrews",IF(T125&gt;=0.01,"Andrews on track",IF(T125&gt;-0.01,"Toss-up",IF(T125&gt;-0.05,"Graham on track","Great for Graham")))))</f>
        <v/>
      </c>
      <c r="W125" s="17" t="inlineStr">
        <is>
          <t>45045</t>
        </is>
      </c>
    </row>
    <row r="126" ht="54" customHeight="1">
      <c r="A126" s="17" t="inlineStr">
        <is>
          <t>SC</t>
        </is>
      </c>
      <c r="B126" s="17" t="inlineStr">
        <is>
          <t>Charleston</t>
        </is>
      </c>
      <c r="C126" s="17" t="inlineStr">
        <is>
          <t>College-educated coastal county. D in 2024, but 7 points less so than in 2020.</t>
        </is>
      </c>
      <c r="D126" s="17" t="inlineStr">
        <is>
          <t>Suburban shift. Democrats need a clear win.</t>
        </is>
      </c>
      <c r="E126" s="17" t="inlineStr">
        <is>
          <t>College suburb/metro</t>
        </is>
      </c>
      <c r="F126" s="23">
        <f>Counties!O973</f>
        <v/>
      </c>
      <c r="G126" s="24">
        <f>Counties!Q973</f>
        <v/>
      </c>
      <c r="H126" s="23">
        <f>Counties!R973</f>
        <v/>
      </c>
      <c r="I126" s="25">
        <f>Counties!S973</f>
        <v/>
      </c>
      <c r="J126" s="25">
        <f>Counties!AQ973/SUMIFS(Counties!$AQ:$AQ,Counties!$A:$A,"SC")</f>
        <v/>
      </c>
      <c r="K126" s="23">
        <f>Counties!T973</f>
        <v/>
      </c>
      <c r="L126" s="23">
        <f>Counties!AH973</f>
        <v/>
      </c>
      <c r="M126" s="26">
        <f>Counties!AO973</f>
        <v/>
      </c>
      <c r="N126" s="24">
        <f>Counties!AN973</f>
        <v/>
      </c>
      <c r="O126" s="17">
        <f>IF(L126="","not in yet",IF(N126&gt;=0.05,"Great for Andrews",IF(N126&gt;=0.01,"Andrews on track",IF(N126&gt;-0.01,"Toss-up",IF(N126&gt;-0.05,"Graham on track","Great for Graham"))))&amp;IF(Counties!AG973=1,""," (partial)"))</f>
        <v/>
      </c>
      <c r="P126" s="27">
        <f>Counties!AU973</f>
        <v/>
      </c>
      <c r="Q126" s="23">
        <f>Counties!AV973</f>
        <v/>
      </c>
      <c r="R126" s="27">
        <f>Counties!AW973</f>
        <v/>
      </c>
      <c r="S126" s="24">
        <f>Counties!AX973</f>
        <v/>
      </c>
      <c r="T126" s="24">
        <f>Counties!AY973</f>
        <v/>
      </c>
      <c r="U126" s="28">
        <f>IF(T126="","",T126*Counties!AF973)</f>
        <v/>
      </c>
      <c r="V126" s="17">
        <f>IF(T126="",IF(L126="","not in yet","waiting for the full count"),IF(T126&gt;=0.05,"Great for Andrews",IF(T126&gt;=0.01,"Andrews on track",IF(T126&gt;-0.01,"Toss-up",IF(T126&gt;-0.05,"Graham on track","Great for Graham")))))</f>
        <v/>
      </c>
      <c r="W126" s="17" t="inlineStr">
        <is>
          <t>45019</t>
        </is>
      </c>
    </row>
    <row r="127" ht="54" customHeight="1">
      <c r="A127" s="17" t="inlineStr">
        <is>
          <t>SC</t>
        </is>
      </c>
      <c r="B127" s="17" t="inlineStr">
        <is>
          <t>Horry</t>
        </is>
      </c>
      <c r="C127" s="17" t="inlineStr">
        <is>
          <t>Myrtle Beach. Fast-growing retiree R stronghold.</t>
        </is>
      </c>
      <c r="D127" s="17" t="inlineStr">
        <is>
          <t>R turnout.</t>
        </is>
      </c>
      <c r="E127" s="17" t="inlineStr">
        <is>
          <t>Mid-size/working metro</t>
        </is>
      </c>
      <c r="F127" s="23">
        <f>Counties!O989</f>
        <v/>
      </c>
      <c r="G127" s="24">
        <f>Counties!Q989</f>
        <v/>
      </c>
      <c r="H127" s="23">
        <f>Counties!R989</f>
        <v/>
      </c>
      <c r="I127" s="25">
        <f>Counties!S989</f>
        <v/>
      </c>
      <c r="J127" s="25">
        <f>Counties!AQ989/SUMIFS(Counties!$AQ:$AQ,Counties!$A:$A,"SC")</f>
        <v/>
      </c>
      <c r="K127" s="23">
        <f>Counties!T989</f>
        <v/>
      </c>
      <c r="L127" s="23">
        <f>Counties!AH989</f>
        <v/>
      </c>
      <c r="M127" s="26">
        <f>Counties!AO989</f>
        <v/>
      </c>
      <c r="N127" s="24">
        <f>Counties!AN989</f>
        <v/>
      </c>
      <c r="O127" s="17">
        <f>IF(L127="","not in yet",IF(N127&gt;=0.05,"Great for Andrews",IF(N127&gt;=0.01,"Andrews on track",IF(N127&gt;-0.01,"Toss-up",IF(N127&gt;-0.05,"Graham on track","Great for Graham"))))&amp;IF(Counties!AG989=1,""," (partial)"))</f>
        <v/>
      </c>
      <c r="P127" s="27">
        <f>Counties!AU989</f>
        <v/>
      </c>
      <c r="Q127" s="23">
        <f>Counties!AV989</f>
        <v/>
      </c>
      <c r="R127" s="27">
        <f>Counties!AW989</f>
        <v/>
      </c>
      <c r="S127" s="24">
        <f>Counties!AX989</f>
        <v/>
      </c>
      <c r="T127" s="24">
        <f>Counties!AY989</f>
        <v/>
      </c>
      <c r="U127" s="28">
        <f>IF(T127="","",T127*Counties!AF989)</f>
        <v/>
      </c>
      <c r="V127" s="17">
        <f>IF(T127="",IF(L127="","not in yet","waiting for the full count"),IF(T127&gt;=0.05,"Great for Andrews",IF(T127&gt;=0.01,"Andrews on track",IF(T127&gt;-0.01,"Toss-up",IF(T127&gt;-0.05,"Graham on track","Great for Graham")))))</f>
        <v/>
      </c>
      <c r="W127" s="17" t="inlineStr">
        <is>
          <t>45051</t>
        </is>
      </c>
    </row>
    <row r="128" ht="54" customHeight="1">
      <c r="A128" s="17" t="inlineStr">
        <is>
          <t>SC</t>
        </is>
      </c>
      <c r="B128" s="17" t="inlineStr">
        <is>
          <t>Richland</t>
        </is>
      </c>
      <c r="C128" s="17" t="inlineStr">
        <is>
          <t>Columbia. Large Black population, D base.</t>
        </is>
      </c>
      <c r="D128" s="17" t="inlineStr">
        <is>
          <t>Turnout.</t>
        </is>
      </c>
      <c r="E128" s="17" t="inlineStr">
        <is>
          <t>Black Belt</t>
        </is>
      </c>
      <c r="F128" s="23">
        <f>Counties!O1003</f>
        <v/>
      </c>
      <c r="G128" s="24">
        <f>Counties!Q1003</f>
        <v/>
      </c>
      <c r="H128" s="23">
        <f>Counties!R1003</f>
        <v/>
      </c>
      <c r="I128" s="25">
        <f>Counties!S1003</f>
        <v/>
      </c>
      <c r="J128" s="25">
        <f>Counties!AQ1003/SUMIFS(Counties!$AQ:$AQ,Counties!$A:$A,"SC")</f>
        <v/>
      </c>
      <c r="K128" s="23">
        <f>Counties!T1003</f>
        <v/>
      </c>
      <c r="L128" s="23">
        <f>Counties!AH1003</f>
        <v/>
      </c>
      <c r="M128" s="26">
        <f>Counties!AO1003</f>
        <v/>
      </c>
      <c r="N128" s="24">
        <f>Counties!AN1003</f>
        <v/>
      </c>
      <c r="O128" s="17">
        <f>IF(L128="","not in yet",IF(N128&gt;=0.05,"Great for Andrews",IF(N128&gt;=0.01,"Andrews on track",IF(N128&gt;-0.01,"Toss-up",IF(N128&gt;-0.05,"Graham on track","Great for Graham"))))&amp;IF(Counties!AG1003=1,""," (partial)"))</f>
        <v/>
      </c>
      <c r="P128" s="27">
        <f>Counties!AU1003</f>
        <v/>
      </c>
      <c r="Q128" s="23">
        <f>Counties!AV1003</f>
        <v/>
      </c>
      <c r="R128" s="27">
        <f>Counties!AW1003</f>
        <v/>
      </c>
      <c r="S128" s="24">
        <f>Counties!AX1003</f>
        <v/>
      </c>
      <c r="T128" s="24">
        <f>Counties!AY1003</f>
        <v/>
      </c>
      <c r="U128" s="28">
        <f>IF(T128="","",T128*Counties!AF1003)</f>
        <v/>
      </c>
      <c r="V128" s="17">
        <f>IF(T128="",IF(L128="","not in yet","waiting for the full count"),IF(T128&gt;=0.05,"Great for Andrews",IF(T128&gt;=0.01,"Andrews on track",IF(T128&gt;-0.01,"Toss-up",IF(T128&gt;-0.05,"Graham on track","Great for Graham")))))</f>
        <v/>
      </c>
      <c r="W128" s="17" t="inlineStr">
        <is>
          <t>45079</t>
        </is>
      </c>
    </row>
    <row r="129" ht="54" customHeight="1">
      <c r="A129" s="17" t="inlineStr">
        <is>
          <t>SC</t>
        </is>
      </c>
      <c r="B129" s="17" t="inlineStr">
        <is>
          <t>Spartanburg</t>
        </is>
      </c>
      <c r="C129" s="17" t="inlineStr">
        <is>
          <t>Upstate. Moved 6 pts toward R from 2020 to 2024, about 52,000 net R votes.</t>
        </is>
      </c>
      <c r="D129" s="17" t="inlineStr">
        <is>
          <t>Upstate Republican turnout. The Upstate is where Republicans bank their statewide margin.</t>
        </is>
      </c>
      <c r="E129" s="17" t="inlineStr">
        <is>
          <t>Mid-size/working metro</t>
        </is>
      </c>
      <c r="F129" s="23">
        <f>Counties!O1005</f>
        <v/>
      </c>
      <c r="G129" s="24">
        <f>Counties!Q1005</f>
        <v/>
      </c>
      <c r="H129" s="23">
        <f>Counties!R1005</f>
        <v/>
      </c>
      <c r="I129" s="25">
        <f>Counties!S1005</f>
        <v/>
      </c>
      <c r="J129" s="25">
        <f>Counties!AQ1005/SUMIFS(Counties!$AQ:$AQ,Counties!$A:$A,"SC")</f>
        <v/>
      </c>
      <c r="K129" s="23">
        <f>Counties!T1005</f>
        <v/>
      </c>
      <c r="L129" s="23">
        <f>Counties!AH1005</f>
        <v/>
      </c>
      <c r="M129" s="26">
        <f>Counties!AO1005</f>
        <v/>
      </c>
      <c r="N129" s="24">
        <f>Counties!AN1005</f>
        <v/>
      </c>
      <c r="O129" s="17">
        <f>IF(L129="","not in yet",IF(N129&gt;=0.05,"Great for Andrews",IF(N129&gt;=0.01,"Andrews on track",IF(N129&gt;-0.01,"Toss-up",IF(N129&gt;-0.05,"Graham on track","Great for Graham"))))&amp;IF(Counties!AG1005=1,""," (partial)"))</f>
        <v/>
      </c>
      <c r="P129" s="27">
        <f>Counties!AU1005</f>
        <v/>
      </c>
      <c r="Q129" s="23">
        <f>Counties!AV1005</f>
        <v/>
      </c>
      <c r="R129" s="27">
        <f>Counties!AW1005</f>
        <v/>
      </c>
      <c r="S129" s="24">
        <f>Counties!AX1005</f>
        <v/>
      </c>
      <c r="T129" s="24">
        <f>Counties!AY1005</f>
        <v/>
      </c>
      <c r="U129" s="28">
        <f>IF(T129="","",T129*Counties!AF1005)</f>
        <v/>
      </c>
      <c r="V129" s="17">
        <f>IF(T129="",IF(L129="","not in yet","waiting for the full count"),IF(T129&gt;=0.05,"Great for Andrews",IF(T129&gt;=0.01,"Andrews on track",IF(T129&gt;-0.01,"Toss-up",IF(T129&gt;-0.05,"Graham on track","Great for Graham")))))</f>
        <v/>
      </c>
      <c r="W129" s="17" t="inlineStr">
        <is>
          <t>45083</t>
        </is>
      </c>
    </row>
    <row r="130" ht="54" customHeight="1">
      <c r="A130" s="17" t="inlineStr">
        <is>
          <t>SC</t>
        </is>
      </c>
      <c r="B130" s="17" t="inlineStr">
        <is>
          <t>York</t>
        </is>
      </c>
      <c r="C130" s="17" t="inlineStr">
        <is>
          <t>Charlotte exurbs.</t>
        </is>
      </c>
      <c r="D130" s="17" t="inlineStr">
        <is>
          <t>Suburban growth and margin.</t>
        </is>
      </c>
      <c r="E130" s="17" t="inlineStr">
        <is>
          <t>Mid-size/working metro</t>
        </is>
      </c>
      <c r="F130" s="23">
        <f>Counties!O1009</f>
        <v/>
      </c>
      <c r="G130" s="24">
        <f>Counties!Q1009</f>
        <v/>
      </c>
      <c r="H130" s="23">
        <f>Counties!R1009</f>
        <v/>
      </c>
      <c r="I130" s="25">
        <f>Counties!S1009</f>
        <v/>
      </c>
      <c r="J130" s="25">
        <f>Counties!AQ1009/SUMIFS(Counties!$AQ:$AQ,Counties!$A:$A,"SC")</f>
        <v/>
      </c>
      <c r="K130" s="23">
        <f>Counties!T1009</f>
        <v/>
      </c>
      <c r="L130" s="23">
        <f>Counties!AH1009</f>
        <v/>
      </c>
      <c r="M130" s="26">
        <f>Counties!AO1009</f>
        <v/>
      </c>
      <c r="N130" s="24">
        <f>Counties!AN1009</f>
        <v/>
      </c>
      <c r="O130" s="17">
        <f>IF(L130="","not in yet",IF(N130&gt;=0.05,"Great for Andrews",IF(N130&gt;=0.01,"Andrews on track",IF(N130&gt;-0.01,"Toss-up",IF(N130&gt;-0.05,"Graham on track","Great for Graham"))))&amp;IF(Counties!AG1009=1,""," (partial)"))</f>
        <v/>
      </c>
      <c r="P130" s="27">
        <f>Counties!AU1009</f>
        <v/>
      </c>
      <c r="Q130" s="23">
        <f>Counties!AV1009</f>
        <v/>
      </c>
      <c r="R130" s="27">
        <f>Counties!AW1009</f>
        <v/>
      </c>
      <c r="S130" s="24">
        <f>Counties!AX1009</f>
        <v/>
      </c>
      <c r="T130" s="24">
        <f>Counties!AY1009</f>
        <v/>
      </c>
      <c r="U130" s="28">
        <f>IF(T130="","",T130*Counties!AF1009)</f>
        <v/>
      </c>
      <c r="V130" s="17">
        <f>IF(T130="",IF(L130="","not in yet","waiting for the full count"),IF(T130&gt;=0.05,"Great for Andrews",IF(T130&gt;=0.01,"Andrews on track",IF(T130&gt;-0.01,"Toss-up",IF(T130&gt;-0.05,"Graham on track","Great for Graham")))))</f>
        <v/>
      </c>
      <c r="W130" s="17" t="inlineStr">
        <is>
          <t>45091</t>
        </is>
      </c>
    </row>
    <row r="131" ht="54" customHeight="1">
      <c r="A131" s="17" t="inlineStr">
        <is>
          <t>SC</t>
        </is>
      </c>
      <c r="B131" s="17" t="inlineStr">
        <is>
          <t>Lexington</t>
        </is>
      </c>
      <c r="C131" s="17" t="inlineStr">
        <is>
          <t>Columbia's suburbs, about 49,000 net R votes and nearly 6% of the state's vote.</t>
        </is>
      </c>
      <c r="D131" s="17" t="inlineStr">
        <is>
          <t>Suburban Republicans. It was R+42 in the 2022 Senate race; Republicans want something close to that, not 2024's R+34.</t>
        </is>
      </c>
      <c r="E131" s="17" t="inlineStr">
        <is>
          <t>Mid-size/working metro</t>
        </is>
      </c>
      <c r="F131" s="23">
        <f>Counties!O995</f>
        <v/>
      </c>
      <c r="G131" s="24">
        <f>Counties!Q995</f>
        <v/>
      </c>
      <c r="H131" s="23">
        <f>Counties!R995</f>
        <v/>
      </c>
      <c r="I131" s="25">
        <f>Counties!S995</f>
        <v/>
      </c>
      <c r="J131" s="25">
        <f>Counties!AQ995/SUMIFS(Counties!$AQ:$AQ,Counties!$A:$A,"SC")</f>
        <v/>
      </c>
      <c r="K131" s="23">
        <f>Counties!T995</f>
        <v/>
      </c>
      <c r="L131" s="23">
        <f>Counties!AH995</f>
        <v/>
      </c>
      <c r="M131" s="26">
        <f>Counties!AO995</f>
        <v/>
      </c>
      <c r="N131" s="24">
        <f>Counties!AN995</f>
        <v/>
      </c>
      <c r="O131" s="17">
        <f>IF(L131="","not in yet",IF(N131&gt;=0.05,"Great for Andrews",IF(N131&gt;=0.01,"Andrews on track",IF(N131&gt;-0.01,"Toss-up",IF(N131&gt;-0.05,"Graham on track","Great for Graham"))))&amp;IF(Counties!AG995=1,""," (partial)"))</f>
        <v/>
      </c>
      <c r="P131" s="27">
        <f>Counties!AU995</f>
        <v/>
      </c>
      <c r="Q131" s="23">
        <f>Counties!AV995</f>
        <v/>
      </c>
      <c r="R131" s="27">
        <f>Counties!AW995</f>
        <v/>
      </c>
      <c r="S131" s="24">
        <f>Counties!AX995</f>
        <v/>
      </c>
      <c r="T131" s="24">
        <f>Counties!AY995</f>
        <v/>
      </c>
      <c r="U131" s="28">
        <f>IF(T131="","",T131*Counties!AF995)</f>
        <v/>
      </c>
      <c r="V131" s="17">
        <f>IF(T131="",IF(L131="","not in yet","waiting for the full count"),IF(T131&gt;=0.05,"Great for Andrews",IF(T131&gt;=0.01,"Andrews on track",IF(T131&gt;-0.01,"Toss-up",IF(T131&gt;-0.05,"Graham on track","Great for Graham")))))</f>
        <v/>
      </c>
      <c r="W131" s="17" t="inlineStr">
        <is>
          <t>45063</t>
        </is>
      </c>
    </row>
    <row r="132" ht="54" customHeight="1">
      <c r="A132" s="17" t="inlineStr">
        <is>
          <t>SC</t>
        </is>
      </c>
      <c r="B132" s="17" t="inlineStr">
        <is>
          <t>Beaufort</t>
        </is>
      </c>
      <c r="C132" s="17" t="inlineStr">
        <is>
          <t>Hilton Head. Wealthy retirees, and a growing Black and military population.</t>
        </is>
      </c>
      <c r="D132" s="17" t="inlineStr">
        <is>
          <t>Margin.</t>
        </is>
      </c>
      <c r="E132" s="17" t="inlineStr">
        <is>
          <t>College suburb/metro</t>
        </is>
      </c>
      <c r="F132" s="23">
        <f>Counties!O970</f>
        <v/>
      </c>
      <c r="G132" s="24">
        <f>Counties!Q970</f>
        <v/>
      </c>
      <c r="H132" s="23">
        <f>Counties!R970</f>
        <v/>
      </c>
      <c r="I132" s="25">
        <f>Counties!S970</f>
        <v/>
      </c>
      <c r="J132" s="25">
        <f>Counties!AQ970/SUMIFS(Counties!$AQ:$AQ,Counties!$A:$A,"SC")</f>
        <v/>
      </c>
      <c r="K132" s="23">
        <f>Counties!T970</f>
        <v/>
      </c>
      <c r="L132" s="23">
        <f>Counties!AH970</f>
        <v/>
      </c>
      <c r="M132" s="26">
        <f>Counties!AO970</f>
        <v/>
      </c>
      <c r="N132" s="24">
        <f>Counties!AN970</f>
        <v/>
      </c>
      <c r="O132" s="17">
        <f>IF(L132="","not in yet",IF(N132&gt;=0.05,"Great for Andrews",IF(N132&gt;=0.01,"Andrews on track",IF(N132&gt;-0.01,"Toss-up",IF(N132&gt;-0.05,"Graham on track","Great for Graham"))))&amp;IF(Counties!AG970=1,""," (partial)"))</f>
        <v/>
      </c>
      <c r="P132" s="27">
        <f>Counties!AU970</f>
        <v/>
      </c>
      <c r="Q132" s="23">
        <f>Counties!AV970</f>
        <v/>
      </c>
      <c r="R132" s="27">
        <f>Counties!AW970</f>
        <v/>
      </c>
      <c r="S132" s="24">
        <f>Counties!AX970</f>
        <v/>
      </c>
      <c r="T132" s="24">
        <f>Counties!AY970</f>
        <v/>
      </c>
      <c r="U132" s="28">
        <f>IF(T132="","",T132*Counties!AF970)</f>
        <v/>
      </c>
      <c r="V132" s="17">
        <f>IF(T132="",IF(L132="","not in yet","waiting for the full count"),IF(T132&gt;=0.05,"Great for Andrews",IF(T132&gt;=0.01,"Andrews on track",IF(T132&gt;-0.01,"Toss-up",IF(T132&gt;-0.05,"Graham on track","Great for Graham")))))</f>
        <v/>
      </c>
      <c r="W132" s="17" t="inlineStr">
        <is>
          <t>45013</t>
        </is>
      </c>
    </row>
    <row r="133" ht="54" customHeight="1">
      <c r="A133" s="29" t="inlineStr">
        <is>
          <t>SC</t>
        </is>
      </c>
      <c r="B133" s="29" t="inlineStr">
        <is>
          <t>All rural (17)</t>
        </is>
      </c>
      <c r="C133" s="29" t="inlineStr">
        <is>
          <t>Every small-town and rural county together: the Republican base's turnout test.</t>
        </is>
      </c>
      <c r="D133" s="29" t="inlineStr">
        <is>
          <t>Turnout index from its finished counties. Above 100 means the rural base is a bigger share of the vote than a tie assumes; the margin rarely moves much.</t>
        </is>
      </c>
      <c r="E133" s="29" t="inlineStr">
        <is>
          <t>Small town &amp; rural</t>
        </is>
      </c>
      <c r="F133" s="30">
        <f>Types!M53</f>
        <v/>
      </c>
      <c r="G133" s="31" t="n"/>
      <c r="H133" s="30" t="n"/>
      <c r="I133" s="32" t="n"/>
      <c r="J133" s="32">
        <f>Types!L53</f>
        <v/>
      </c>
      <c r="K133" s="30">
        <f>Types!P53</f>
        <v/>
      </c>
      <c r="L133" s="30">
        <f>Types!S53</f>
        <v/>
      </c>
      <c r="M133" s="33">
        <f>IFERROR(Types!E53/Types!D53,"")</f>
        <v/>
      </c>
      <c r="N133" s="31">
        <f>IF(L133="","",L133-K133)</f>
        <v/>
      </c>
      <c r="O133" s="29">
        <f>IF(Types!F53=0,"not in yet",IF(N133&gt;=0.05,"Great for Andrews",IF(N133&gt;=0.01,"Andrews on track",IF(N133&gt;-0.01,"Toss-up",IF(N133&gt;-0.05,"Graham on track","Great for Graham"))))&amp;" (projected)")</f>
        <v/>
      </c>
      <c r="P133" s="34">
        <f>Types!V53</f>
        <v/>
      </c>
      <c r="Q133" s="30">
        <f>Types!W53</f>
        <v/>
      </c>
      <c r="R133" s="34" t="n"/>
      <c r="S133" s="31">
        <f>IF(Q133="","",K133-Q133)</f>
        <v/>
      </c>
      <c r="T133" s="31">
        <f>Types!X53</f>
        <v/>
      </c>
      <c r="U133" s="35">
        <f>Types!Y53</f>
        <v/>
      </c>
      <c r="V133" s="29">
        <f>IF(T133="","not in yet",IF(T133&gt;=0.05,"Great for Andrews",IF(T133&gt;=0.01,"Andrews on track",IF(T133&gt;-0.01,"Toss-up",IF(T133&gt;-0.05,"Graham on track","Great for Graham"))))&amp;" (finished counties)")</f>
        <v/>
      </c>
      <c r="W133" s="29" t="n"/>
    </row>
    <row r="134">
      <c r="A134" s="22" t="inlineStr">
        <is>
          <t>Texas  ·  2024: R+13.9 (R+13.5 with 2022's turnout pattern)  ·  James Talarico vs Ken Paxton</t>
        </is>
      </c>
      <c r="B134" s="22" t="n"/>
      <c r="C134" s="22" t="n"/>
      <c r="D134" s="22" t="n"/>
      <c r="E134" s="22" t="n"/>
      <c r="F134" s="22" t="n"/>
      <c r="G134" s="22" t="n"/>
      <c r="H134" s="22" t="n"/>
      <c r="I134" s="22" t="n"/>
      <c r="J134" s="22" t="n"/>
      <c r="K134" s="22" t="n"/>
      <c r="L134" s="22" t="n"/>
      <c r="M134" s="22" t="n"/>
      <c r="N134" s="22" t="n"/>
      <c r="O134" s="22" t="n"/>
      <c r="P134" s="22" t="n"/>
      <c r="Q134" s="22" t="n"/>
      <c r="R134" s="22" t="n"/>
      <c r="S134" s="22" t="n"/>
      <c r="T134" s="22" t="n"/>
      <c r="U134" s="22" t="n"/>
      <c r="V134" s="22" t="n"/>
      <c r="W134" s="22" t="n"/>
    </row>
    <row r="135" ht="54" customHeight="1">
      <c r="A135" s="17" t="inlineStr">
        <is>
          <t>TX</t>
        </is>
      </c>
      <c r="B135" s="17" t="inlineStr">
        <is>
          <t>Harris</t>
        </is>
      </c>
      <c r="C135" s="17" t="inlineStr">
        <is>
          <t>Houston. The largest county, and it swung 7.8 points R in 2024.</t>
        </is>
      </c>
      <c r="D135" s="17" t="inlineStr">
        <is>
          <t>Margin. Above +10 means Democrats regained ground with Hispanic and Black voters.</t>
        </is>
      </c>
      <c r="E135" s="17" t="inlineStr">
        <is>
          <t>Big metro core</t>
        </is>
      </c>
      <c r="F135" s="23">
        <f>Counties!O1110</f>
        <v/>
      </c>
      <c r="G135" s="24">
        <f>Counties!Q1110</f>
        <v/>
      </c>
      <c r="H135" s="23">
        <f>Counties!R1110</f>
        <v/>
      </c>
      <c r="I135" s="25">
        <f>Counties!S1110</f>
        <v/>
      </c>
      <c r="J135" s="25">
        <f>Counties!AQ1110/SUMIFS(Counties!$AQ:$AQ,Counties!$A:$A,"TX")</f>
        <v/>
      </c>
      <c r="K135" s="23">
        <f>Counties!T1110</f>
        <v/>
      </c>
      <c r="L135" s="23">
        <f>Counties!AH1110</f>
        <v/>
      </c>
      <c r="M135" s="26">
        <f>Counties!AO1110</f>
        <v/>
      </c>
      <c r="N135" s="24">
        <f>Counties!AN1110</f>
        <v/>
      </c>
      <c r="O135" s="17">
        <f>IF(L135="","not in yet",IF(N135&gt;=0.05,"Great for Talarico",IF(N135&gt;=0.01,"Talarico on track",IF(N135&gt;-0.01,"Toss-up",IF(N135&gt;-0.05,"Paxton on track","Great for Paxton"))))&amp;IF(Counties!AG1110=1,""," (partial)"))</f>
        <v/>
      </c>
      <c r="P135" s="27">
        <f>Counties!AU1110</f>
        <v/>
      </c>
      <c r="Q135" s="23">
        <f>Counties!AV1110</f>
        <v/>
      </c>
      <c r="R135" s="27">
        <f>Counties!AW1110</f>
        <v/>
      </c>
      <c r="S135" s="24">
        <f>Counties!AX1110</f>
        <v/>
      </c>
      <c r="T135" s="24">
        <f>Counties!AY1110</f>
        <v/>
      </c>
      <c r="U135" s="28">
        <f>IF(T135="","",T135*Counties!AF1110)</f>
        <v/>
      </c>
      <c r="V135" s="17">
        <f>IF(T135="",IF(L135="","not in yet","waiting for the full count"),IF(T135&gt;=0.05,"Great for Talarico",IF(T135&gt;=0.01,"Talarico on track",IF(T135&gt;-0.01,"Toss-up",IF(T135&gt;-0.05,"Paxton on track","Great for Paxton")))))</f>
        <v/>
      </c>
      <c r="W135" s="17" t="inlineStr">
        <is>
          <t>48201</t>
        </is>
      </c>
    </row>
    <row r="136" ht="54" customHeight="1">
      <c r="A136" s="17" t="inlineStr">
        <is>
          <t>TX</t>
        </is>
      </c>
      <c r="B136" s="17" t="inlineStr">
        <is>
          <t>Dallas</t>
        </is>
      </c>
      <c r="C136" s="17" t="inlineStr">
        <is>
          <t>Big D base that swung 9.6 points R in 2024.</t>
        </is>
      </c>
      <c r="D136" s="17" t="inlineStr">
        <is>
          <t>Margin recovery toward 2020's +32.</t>
        </is>
      </c>
      <c r="E136" s="17" t="inlineStr">
        <is>
          <t>Big metro core</t>
        </is>
      </c>
      <c r="F136" s="23">
        <f>Counties!O1066</f>
        <v/>
      </c>
      <c r="G136" s="24">
        <f>Counties!Q1066</f>
        <v/>
      </c>
      <c r="H136" s="23">
        <f>Counties!R1066</f>
        <v/>
      </c>
      <c r="I136" s="25">
        <f>Counties!S1066</f>
        <v/>
      </c>
      <c r="J136" s="25">
        <f>Counties!AQ1066/SUMIFS(Counties!$AQ:$AQ,Counties!$A:$A,"TX")</f>
        <v/>
      </c>
      <c r="K136" s="23">
        <f>Counties!T1066</f>
        <v/>
      </c>
      <c r="L136" s="23">
        <f>Counties!AH1066</f>
        <v/>
      </c>
      <c r="M136" s="26">
        <f>Counties!AO1066</f>
        <v/>
      </c>
      <c r="N136" s="24">
        <f>Counties!AN1066</f>
        <v/>
      </c>
      <c r="O136" s="17">
        <f>IF(L136="","not in yet",IF(N136&gt;=0.05,"Great for Talarico",IF(N136&gt;=0.01,"Talarico on track",IF(N136&gt;-0.01,"Toss-up",IF(N136&gt;-0.05,"Paxton on track","Great for Paxton"))))&amp;IF(Counties!AG1066=1,""," (partial)"))</f>
        <v/>
      </c>
      <c r="P136" s="27">
        <f>Counties!AU1066</f>
        <v/>
      </c>
      <c r="Q136" s="23">
        <f>Counties!AV1066</f>
        <v/>
      </c>
      <c r="R136" s="27">
        <f>Counties!AW1066</f>
        <v/>
      </c>
      <c r="S136" s="24">
        <f>Counties!AX1066</f>
        <v/>
      </c>
      <c r="T136" s="24">
        <f>Counties!AY1066</f>
        <v/>
      </c>
      <c r="U136" s="28">
        <f>IF(T136="","",T136*Counties!AF1066)</f>
        <v/>
      </c>
      <c r="V136" s="17">
        <f>IF(T136="",IF(L136="","not in yet","waiting for the full count"),IF(T136&gt;=0.05,"Great for Talarico",IF(T136&gt;=0.01,"Talarico on track",IF(T136&gt;-0.01,"Toss-up",IF(T136&gt;-0.05,"Paxton on track","Great for Paxton")))))</f>
        <v/>
      </c>
      <c r="W136" s="17" t="inlineStr">
        <is>
          <t>48113</t>
        </is>
      </c>
    </row>
    <row r="137" ht="54" customHeight="1">
      <c r="A137" s="17" t="inlineStr">
        <is>
          <t>TX</t>
        </is>
      </c>
      <c r="B137" s="17" t="inlineStr">
        <is>
          <t>Tarrant</t>
        </is>
      </c>
      <c r="C137" s="17" t="inlineStr">
        <is>
          <t>Fort Worth. The classic Texas swing county: Beto narrowly won it in 2018 and Biden barely won it in 2020, then it went R+5 in 2024.</t>
        </is>
      </c>
      <c r="D137" s="17" t="inlineStr">
        <is>
          <t>If Democrats win Tarrant, they're likely within striking distance statewide.</t>
        </is>
      </c>
      <c r="E137" s="17" t="inlineStr">
        <is>
          <t>Big metro core</t>
        </is>
      </c>
      <c r="F137" s="23">
        <f>Counties!O1229</f>
        <v/>
      </c>
      <c r="G137" s="24">
        <f>Counties!Q1229</f>
        <v/>
      </c>
      <c r="H137" s="23">
        <f>Counties!R1229</f>
        <v/>
      </c>
      <c r="I137" s="25">
        <f>Counties!S1229</f>
        <v/>
      </c>
      <c r="J137" s="25">
        <f>Counties!AQ1229/SUMIFS(Counties!$AQ:$AQ,Counties!$A:$A,"TX")</f>
        <v/>
      </c>
      <c r="K137" s="23">
        <f>Counties!T1229</f>
        <v/>
      </c>
      <c r="L137" s="23">
        <f>Counties!AH1229</f>
        <v/>
      </c>
      <c r="M137" s="26">
        <f>Counties!AO1229</f>
        <v/>
      </c>
      <c r="N137" s="24">
        <f>Counties!AN1229</f>
        <v/>
      </c>
      <c r="O137" s="17">
        <f>IF(L137="","not in yet",IF(N137&gt;=0.05,"Great for Talarico",IF(N137&gt;=0.01,"Talarico on track",IF(N137&gt;-0.01,"Toss-up",IF(N137&gt;-0.05,"Paxton on track","Great for Paxton"))))&amp;IF(Counties!AG1229=1,""," (partial)"))</f>
        <v/>
      </c>
      <c r="P137" s="27">
        <f>Counties!AU1229</f>
        <v/>
      </c>
      <c r="Q137" s="23">
        <f>Counties!AV1229</f>
        <v/>
      </c>
      <c r="R137" s="27">
        <f>Counties!AW1229</f>
        <v/>
      </c>
      <c r="S137" s="24">
        <f>Counties!AX1229</f>
        <v/>
      </c>
      <c r="T137" s="24">
        <f>Counties!AY1229</f>
        <v/>
      </c>
      <c r="U137" s="28">
        <f>IF(T137="","",T137*Counties!AF1229)</f>
        <v/>
      </c>
      <c r="V137" s="17">
        <f>IF(T137="",IF(L137="","not in yet","waiting for the full count"),IF(T137&gt;=0.05,"Great for Talarico",IF(T137&gt;=0.01,"Talarico on track",IF(T137&gt;-0.01,"Toss-up",IF(T137&gt;-0.05,"Paxton on track","Great for Paxton")))))</f>
        <v/>
      </c>
      <c r="W137" s="17" t="inlineStr">
        <is>
          <t>48439</t>
        </is>
      </c>
    </row>
    <row r="138" ht="54" customHeight="1">
      <c r="A138" s="17" t="inlineStr">
        <is>
          <t>TX</t>
        </is>
      </c>
      <c r="B138" s="17" t="inlineStr">
        <is>
          <t>Bexar</t>
        </is>
      </c>
      <c r="C138" s="17" t="inlineStr">
        <is>
          <t>San Antonio. Majority Hispanic, D, swung R in 2024.</t>
        </is>
      </c>
      <c r="D138" s="17" t="inlineStr">
        <is>
          <t>Hispanic swing in an urban setting.</t>
        </is>
      </c>
      <c r="E138" s="17" t="inlineStr">
        <is>
          <t>Big metro core</t>
        </is>
      </c>
      <c r="F138" s="23">
        <f>Counties!O1024</f>
        <v/>
      </c>
      <c r="G138" s="24">
        <f>Counties!Q1024</f>
        <v/>
      </c>
      <c r="H138" s="23">
        <f>Counties!R1024</f>
        <v/>
      </c>
      <c r="I138" s="25">
        <f>Counties!S1024</f>
        <v/>
      </c>
      <c r="J138" s="25">
        <f>Counties!AQ1024/SUMIFS(Counties!$AQ:$AQ,Counties!$A:$A,"TX")</f>
        <v/>
      </c>
      <c r="K138" s="23">
        <f>Counties!T1024</f>
        <v/>
      </c>
      <c r="L138" s="23">
        <f>Counties!AH1024</f>
        <v/>
      </c>
      <c r="M138" s="26">
        <f>Counties!AO1024</f>
        <v/>
      </c>
      <c r="N138" s="24">
        <f>Counties!AN1024</f>
        <v/>
      </c>
      <c r="O138" s="17">
        <f>IF(L138="","not in yet",IF(N138&gt;=0.05,"Great for Talarico",IF(N138&gt;=0.01,"Talarico on track",IF(N138&gt;-0.01,"Toss-up",IF(N138&gt;-0.05,"Paxton on track","Great for Paxton"))))&amp;IF(Counties!AG1024=1,""," (partial)"))</f>
        <v/>
      </c>
      <c r="P138" s="27">
        <f>Counties!AU1024</f>
        <v/>
      </c>
      <c r="Q138" s="23">
        <f>Counties!AV1024</f>
        <v/>
      </c>
      <c r="R138" s="27">
        <f>Counties!AW1024</f>
        <v/>
      </c>
      <c r="S138" s="24">
        <f>Counties!AX1024</f>
        <v/>
      </c>
      <c r="T138" s="24">
        <f>Counties!AY1024</f>
        <v/>
      </c>
      <c r="U138" s="28">
        <f>IF(T138="","",T138*Counties!AF1024)</f>
        <v/>
      </c>
      <c r="V138" s="17">
        <f>IF(T138="",IF(L138="","not in yet","waiting for the full count"),IF(T138&gt;=0.05,"Great for Talarico",IF(T138&gt;=0.01,"Talarico on track",IF(T138&gt;-0.01,"Toss-up",IF(T138&gt;-0.05,"Paxton on track","Great for Paxton")))))</f>
        <v/>
      </c>
      <c r="W138" s="17" t="inlineStr">
        <is>
          <t>48029</t>
        </is>
      </c>
    </row>
    <row r="139" ht="54" customHeight="1">
      <c r="A139" s="17" t="inlineStr">
        <is>
          <t>TX</t>
        </is>
      </c>
      <c r="B139" s="17" t="inlineStr">
        <is>
          <t>Travis</t>
        </is>
      </c>
      <c r="C139" s="17" t="inlineStr">
        <is>
          <t>Austin. Very high D turnout and margin.</t>
        </is>
      </c>
      <c r="D139" s="17" t="inlineStr">
        <is>
          <t>Turnout. Democrats need it to keep growing.</t>
        </is>
      </c>
      <c r="E139" s="17" t="inlineStr">
        <is>
          <t>Big metro core</t>
        </is>
      </c>
      <c r="F139" s="23">
        <f>Counties!O1236</f>
        <v/>
      </c>
      <c r="G139" s="24">
        <f>Counties!Q1236</f>
        <v/>
      </c>
      <c r="H139" s="23">
        <f>Counties!R1236</f>
        <v/>
      </c>
      <c r="I139" s="25">
        <f>Counties!S1236</f>
        <v/>
      </c>
      <c r="J139" s="25">
        <f>Counties!AQ1236/SUMIFS(Counties!$AQ:$AQ,Counties!$A:$A,"TX")</f>
        <v/>
      </c>
      <c r="K139" s="23">
        <f>Counties!T1236</f>
        <v/>
      </c>
      <c r="L139" s="23">
        <f>Counties!AH1236</f>
        <v/>
      </c>
      <c r="M139" s="26">
        <f>Counties!AO1236</f>
        <v/>
      </c>
      <c r="N139" s="24">
        <f>Counties!AN1236</f>
        <v/>
      </c>
      <c r="O139" s="17">
        <f>IF(L139="","not in yet",IF(N139&gt;=0.05,"Great for Talarico",IF(N139&gt;=0.01,"Talarico on track",IF(N139&gt;-0.01,"Toss-up",IF(N139&gt;-0.05,"Paxton on track","Great for Paxton"))))&amp;IF(Counties!AG1236=1,""," (partial)"))</f>
        <v/>
      </c>
      <c r="P139" s="27">
        <f>Counties!AU1236</f>
        <v/>
      </c>
      <c r="Q139" s="23">
        <f>Counties!AV1236</f>
        <v/>
      </c>
      <c r="R139" s="27">
        <f>Counties!AW1236</f>
        <v/>
      </c>
      <c r="S139" s="24">
        <f>Counties!AX1236</f>
        <v/>
      </c>
      <c r="T139" s="24">
        <f>Counties!AY1236</f>
        <v/>
      </c>
      <c r="U139" s="28">
        <f>IF(T139="","",T139*Counties!AF1236)</f>
        <v/>
      </c>
      <c r="V139" s="17">
        <f>IF(T139="",IF(L139="","not in yet","waiting for the full count"),IF(T139&gt;=0.05,"Great for Talarico",IF(T139&gt;=0.01,"Talarico on track",IF(T139&gt;-0.01,"Toss-up",IF(T139&gt;-0.05,"Paxton on track","Great for Paxton")))))</f>
        <v/>
      </c>
      <c r="W139" s="17" t="inlineStr">
        <is>
          <t>48453</t>
        </is>
      </c>
    </row>
    <row r="140" ht="54" customHeight="1">
      <c r="A140" s="17" t="inlineStr">
        <is>
          <t>TX</t>
        </is>
      </c>
      <c r="B140" s="17" t="inlineStr">
        <is>
          <t>Collin</t>
        </is>
      </c>
      <c r="C140" s="17" t="inlineStr">
        <is>
          <t>Rich, college-educated Dallas suburb, R+11 in 2024.</t>
        </is>
      </c>
      <c r="D140" s="17" t="inlineStr">
        <is>
          <t>Suburban shift. Talarico needs it close to single digits.</t>
        </is>
      </c>
      <c r="E140" s="17" t="inlineStr">
        <is>
          <t>Big metro core</t>
        </is>
      </c>
      <c r="F140" s="23">
        <f>Counties!O1052</f>
        <v/>
      </c>
      <c r="G140" s="24">
        <f>Counties!Q1052</f>
        <v/>
      </c>
      <c r="H140" s="23">
        <f>Counties!R1052</f>
        <v/>
      </c>
      <c r="I140" s="25">
        <f>Counties!S1052</f>
        <v/>
      </c>
      <c r="J140" s="25">
        <f>Counties!AQ1052/SUMIFS(Counties!$AQ:$AQ,Counties!$A:$A,"TX")</f>
        <v/>
      </c>
      <c r="K140" s="23">
        <f>Counties!T1052</f>
        <v/>
      </c>
      <c r="L140" s="23">
        <f>Counties!AH1052</f>
        <v/>
      </c>
      <c r="M140" s="26">
        <f>Counties!AO1052</f>
        <v/>
      </c>
      <c r="N140" s="24">
        <f>Counties!AN1052</f>
        <v/>
      </c>
      <c r="O140" s="17">
        <f>IF(L140="","not in yet",IF(N140&gt;=0.05,"Great for Talarico",IF(N140&gt;=0.01,"Talarico on track",IF(N140&gt;-0.01,"Toss-up",IF(N140&gt;-0.05,"Paxton on track","Great for Paxton"))))&amp;IF(Counties!AG1052=1,""," (partial)"))</f>
        <v/>
      </c>
      <c r="P140" s="27">
        <f>Counties!AU1052</f>
        <v/>
      </c>
      <c r="Q140" s="23">
        <f>Counties!AV1052</f>
        <v/>
      </c>
      <c r="R140" s="27">
        <f>Counties!AW1052</f>
        <v/>
      </c>
      <c r="S140" s="24">
        <f>Counties!AX1052</f>
        <v/>
      </c>
      <c r="T140" s="24">
        <f>Counties!AY1052</f>
        <v/>
      </c>
      <c r="U140" s="28">
        <f>IF(T140="","",T140*Counties!AF1052)</f>
        <v/>
      </c>
      <c r="V140" s="17">
        <f>IF(T140="",IF(L140="","not in yet","waiting for the full count"),IF(T140&gt;=0.05,"Great for Talarico",IF(T140&gt;=0.01,"Talarico on track",IF(T140&gt;-0.01,"Toss-up",IF(T140&gt;-0.05,"Paxton on track","Great for Paxton")))))</f>
        <v/>
      </c>
      <c r="W140" s="17" t="inlineStr">
        <is>
          <t>48085</t>
        </is>
      </c>
    </row>
    <row r="141" ht="54" customHeight="1">
      <c r="A141" s="17" t="inlineStr">
        <is>
          <t>TX</t>
        </is>
      </c>
      <c r="B141" s="17" t="inlineStr">
        <is>
          <t>Fort Bend</t>
        </is>
      </c>
      <c r="C141" s="17" t="inlineStr">
        <is>
          <t>One of the most diverse counties in America (Houston suburbs). Nearly flipped R in 2024.</t>
        </is>
      </c>
      <c r="D141" s="17" t="inlineStr">
        <is>
          <t>Asian, Black and Hispanic suburban voters.</t>
        </is>
      </c>
      <c r="E141" s="17" t="inlineStr">
        <is>
          <t>Big metro core</t>
        </is>
      </c>
      <c r="F141" s="23">
        <f>Counties!O1088</f>
        <v/>
      </c>
      <c r="G141" s="24">
        <f>Counties!Q1088</f>
        <v/>
      </c>
      <c r="H141" s="23">
        <f>Counties!R1088</f>
        <v/>
      </c>
      <c r="I141" s="25">
        <f>Counties!S1088</f>
        <v/>
      </c>
      <c r="J141" s="25">
        <f>Counties!AQ1088/SUMIFS(Counties!$AQ:$AQ,Counties!$A:$A,"TX")</f>
        <v/>
      </c>
      <c r="K141" s="23">
        <f>Counties!T1088</f>
        <v/>
      </c>
      <c r="L141" s="23">
        <f>Counties!AH1088</f>
        <v/>
      </c>
      <c r="M141" s="26">
        <f>Counties!AO1088</f>
        <v/>
      </c>
      <c r="N141" s="24">
        <f>Counties!AN1088</f>
        <v/>
      </c>
      <c r="O141" s="17">
        <f>IF(L141="","not in yet",IF(N141&gt;=0.05,"Great for Talarico",IF(N141&gt;=0.01,"Talarico on track",IF(N141&gt;-0.01,"Toss-up",IF(N141&gt;-0.05,"Paxton on track","Great for Paxton"))))&amp;IF(Counties!AG1088=1,""," (partial)"))</f>
        <v/>
      </c>
      <c r="P141" s="27">
        <f>Counties!AU1088</f>
        <v/>
      </c>
      <c r="Q141" s="23">
        <f>Counties!AV1088</f>
        <v/>
      </c>
      <c r="R141" s="27">
        <f>Counties!AW1088</f>
        <v/>
      </c>
      <c r="S141" s="24">
        <f>Counties!AX1088</f>
        <v/>
      </c>
      <c r="T141" s="24">
        <f>Counties!AY1088</f>
        <v/>
      </c>
      <c r="U141" s="28">
        <f>IF(T141="","",T141*Counties!AF1088)</f>
        <v/>
      </c>
      <c r="V141" s="17">
        <f>IF(T141="",IF(L141="","not in yet","waiting for the full count"),IF(T141&gt;=0.05,"Great for Talarico",IF(T141&gt;=0.01,"Talarico on track",IF(T141&gt;-0.01,"Toss-up",IF(T141&gt;-0.05,"Paxton on track","Great for Paxton")))))</f>
        <v/>
      </c>
      <c r="W141" s="17" t="inlineStr">
        <is>
          <t>48157</t>
        </is>
      </c>
    </row>
    <row r="142" ht="54" customHeight="1">
      <c r="A142" s="17" t="inlineStr">
        <is>
          <t>TX</t>
        </is>
      </c>
      <c r="B142" s="17" t="inlineStr">
        <is>
          <t>Montgomery</t>
        </is>
      </c>
      <c r="C142" s="17" t="inlineStr">
        <is>
          <t>Houston's northern exurb and the biggest Republican vote bank in Texas (about 140,000 net R votes in 2024).</t>
        </is>
      </c>
      <c r="D142" s="17" t="inlineStr">
        <is>
          <t>Republican turnout. Republicans offset Harris, Dallas and Travis with exurban turnout; an index under 100 here is a red flag for them.</t>
        </is>
      </c>
      <c r="E142" s="17" t="inlineStr">
        <is>
          <t>Mid-size/working metro</t>
        </is>
      </c>
      <c r="F142" s="23">
        <f>Counties!O1179</f>
        <v/>
      </c>
      <c r="G142" s="24">
        <f>Counties!Q1179</f>
        <v/>
      </c>
      <c r="H142" s="23">
        <f>Counties!R1179</f>
        <v/>
      </c>
      <c r="I142" s="25">
        <f>Counties!S1179</f>
        <v/>
      </c>
      <c r="J142" s="25">
        <f>Counties!AQ1179/SUMIFS(Counties!$AQ:$AQ,Counties!$A:$A,"TX")</f>
        <v/>
      </c>
      <c r="K142" s="23">
        <f>Counties!T1179</f>
        <v/>
      </c>
      <c r="L142" s="23">
        <f>Counties!AH1179</f>
        <v/>
      </c>
      <c r="M142" s="26">
        <f>Counties!AO1179</f>
        <v/>
      </c>
      <c r="N142" s="24">
        <f>Counties!AN1179</f>
        <v/>
      </c>
      <c r="O142" s="17">
        <f>IF(L142="","not in yet",IF(N142&gt;=0.05,"Great for Talarico",IF(N142&gt;=0.01,"Talarico on track",IF(N142&gt;-0.01,"Toss-up",IF(N142&gt;-0.05,"Paxton on track","Great for Paxton"))))&amp;IF(Counties!AG1179=1,""," (partial)"))</f>
        <v/>
      </c>
      <c r="P142" s="27">
        <f>Counties!AU1179</f>
        <v/>
      </c>
      <c r="Q142" s="23">
        <f>Counties!AV1179</f>
        <v/>
      </c>
      <c r="R142" s="27">
        <f>Counties!AW1179</f>
        <v/>
      </c>
      <c r="S142" s="24">
        <f>Counties!AX1179</f>
        <v/>
      </c>
      <c r="T142" s="24">
        <f>Counties!AY1179</f>
        <v/>
      </c>
      <c r="U142" s="28">
        <f>IF(T142="","",T142*Counties!AF1179)</f>
        <v/>
      </c>
      <c r="V142" s="17">
        <f>IF(T142="",IF(L142="","not in yet","waiting for the full count"),IF(T142&gt;=0.05,"Great for Talarico",IF(T142&gt;=0.01,"Talarico on track",IF(T142&gt;-0.01,"Toss-up",IF(T142&gt;-0.05,"Paxton on track","Great for Paxton")))))</f>
        <v/>
      </c>
      <c r="W142" s="17" t="inlineStr">
        <is>
          <t>48339</t>
        </is>
      </c>
    </row>
    <row r="143" ht="54" customHeight="1">
      <c r="A143" s="17" t="inlineStr">
        <is>
          <t>TX</t>
        </is>
      </c>
      <c r="B143" s="17" t="inlineStr">
        <is>
          <t>Hidalgo</t>
        </is>
      </c>
      <c r="C143" s="17" t="inlineStr">
        <is>
          <t>Rio Grande Valley. Swung 20 points R from 2020 to 2024.</t>
        </is>
      </c>
      <c r="D143" s="17" t="inlineStr">
        <is>
          <t>The headline Hispanic-realignment test. Any D rebound here is huge news.</t>
        </is>
      </c>
      <c r="E143" s="17" t="inlineStr">
        <is>
          <t>Hispanic</t>
        </is>
      </c>
      <c r="F143" s="23">
        <f>Counties!O1117</f>
        <v/>
      </c>
      <c r="G143" s="24">
        <f>Counties!Q1117</f>
        <v/>
      </c>
      <c r="H143" s="23">
        <f>Counties!R1117</f>
        <v/>
      </c>
      <c r="I143" s="25">
        <f>Counties!S1117</f>
        <v/>
      </c>
      <c r="J143" s="25">
        <f>Counties!AQ1117/SUMIFS(Counties!$AQ:$AQ,Counties!$A:$A,"TX")</f>
        <v/>
      </c>
      <c r="K143" s="23">
        <f>Counties!T1117</f>
        <v/>
      </c>
      <c r="L143" s="23">
        <f>Counties!AH1117</f>
        <v/>
      </c>
      <c r="M143" s="26">
        <f>Counties!AO1117</f>
        <v/>
      </c>
      <c r="N143" s="24">
        <f>Counties!AN1117</f>
        <v/>
      </c>
      <c r="O143" s="17">
        <f>IF(L143="","not in yet",IF(N143&gt;=0.05,"Great for Talarico",IF(N143&gt;=0.01,"Talarico on track",IF(N143&gt;-0.01,"Toss-up",IF(N143&gt;-0.05,"Paxton on track","Great for Paxton"))))&amp;IF(Counties!AG1117=1,""," (partial)"))</f>
        <v/>
      </c>
      <c r="P143" s="27">
        <f>Counties!AU1117</f>
        <v/>
      </c>
      <c r="Q143" s="23">
        <f>Counties!AV1117</f>
        <v/>
      </c>
      <c r="R143" s="27">
        <f>Counties!AW1117</f>
        <v/>
      </c>
      <c r="S143" s="24">
        <f>Counties!AX1117</f>
        <v/>
      </c>
      <c r="T143" s="24">
        <f>Counties!AY1117</f>
        <v/>
      </c>
      <c r="U143" s="28">
        <f>IF(T143="","",T143*Counties!AF1117)</f>
        <v/>
      </c>
      <c r="V143" s="17">
        <f>IF(T143="",IF(L143="","not in yet","waiting for the full count"),IF(T143&gt;=0.05,"Great for Talarico",IF(T143&gt;=0.01,"Talarico on track",IF(T143&gt;-0.01,"Toss-up",IF(T143&gt;-0.05,"Paxton on track","Great for Paxton")))))</f>
        <v/>
      </c>
      <c r="W143" s="17" t="inlineStr">
        <is>
          <t>48215</t>
        </is>
      </c>
    </row>
    <row r="144" ht="54" customHeight="1">
      <c r="A144" s="17" t="inlineStr">
        <is>
          <t>TX</t>
        </is>
      </c>
      <c r="B144" s="17" t="inlineStr">
        <is>
          <t>Lubbock</t>
        </is>
      </c>
      <c r="C144" s="17" t="inlineStr">
        <is>
          <t>West Texas hub, 37% Hispanic, that moved 7 pts toward R from 2020 to 2024.</t>
        </is>
      </c>
      <c r="D144" s="17" t="inlineStr">
        <is>
          <t>Whether the 2024 Hispanic shift toward R holds. A margin back toward 2020 (R+33) is good for Democrats.</t>
        </is>
      </c>
      <c r="E144" s="17" t="inlineStr">
        <is>
          <t>Mid-size/working metro</t>
        </is>
      </c>
      <c r="F144" s="23">
        <f>Counties!O1161</f>
        <v/>
      </c>
      <c r="G144" s="24">
        <f>Counties!Q1161</f>
        <v/>
      </c>
      <c r="H144" s="23">
        <f>Counties!R1161</f>
        <v/>
      </c>
      <c r="I144" s="25">
        <f>Counties!S1161</f>
        <v/>
      </c>
      <c r="J144" s="25">
        <f>Counties!AQ1161/SUMIFS(Counties!$AQ:$AQ,Counties!$A:$A,"TX")</f>
        <v/>
      </c>
      <c r="K144" s="23">
        <f>Counties!T1161</f>
        <v/>
      </c>
      <c r="L144" s="23">
        <f>Counties!AH1161</f>
        <v/>
      </c>
      <c r="M144" s="26">
        <f>Counties!AO1161</f>
        <v/>
      </c>
      <c r="N144" s="24">
        <f>Counties!AN1161</f>
        <v/>
      </c>
      <c r="O144" s="17">
        <f>IF(L144="","not in yet",IF(N144&gt;=0.05,"Great for Talarico",IF(N144&gt;=0.01,"Talarico on track",IF(N144&gt;-0.01,"Toss-up",IF(N144&gt;-0.05,"Paxton on track","Great for Paxton"))))&amp;IF(Counties!AG1161=1,""," (partial)"))</f>
        <v/>
      </c>
      <c r="P144" s="27">
        <f>Counties!AU1161</f>
        <v/>
      </c>
      <c r="Q144" s="23">
        <f>Counties!AV1161</f>
        <v/>
      </c>
      <c r="R144" s="27">
        <f>Counties!AW1161</f>
        <v/>
      </c>
      <c r="S144" s="24">
        <f>Counties!AX1161</f>
        <v/>
      </c>
      <c r="T144" s="24">
        <f>Counties!AY1161</f>
        <v/>
      </c>
      <c r="U144" s="28">
        <f>IF(T144="","",T144*Counties!AF1161)</f>
        <v/>
      </c>
      <c r="V144" s="17">
        <f>IF(T144="",IF(L144="","not in yet","waiting for the full count"),IF(T144&gt;=0.05,"Great for Talarico",IF(T144&gt;=0.01,"Talarico on track",IF(T144&gt;-0.01,"Toss-up",IF(T144&gt;-0.05,"Paxton on track","Great for Paxton")))))</f>
        <v/>
      </c>
      <c r="W144" s="17" t="inlineStr">
        <is>
          <t>48303</t>
        </is>
      </c>
    </row>
    <row r="145" ht="54" customHeight="1">
      <c r="A145" s="17" t="inlineStr">
        <is>
          <t>TX</t>
        </is>
      </c>
      <c r="B145" s="17" t="inlineStr">
        <is>
          <t>Comal</t>
        </is>
      </c>
      <c r="C145" s="17" t="inlineStr">
        <is>
          <t>Fast-growing Hill Country exurb between San Antonio and Austin, college-educated and R+46.</t>
        </is>
      </c>
      <c r="D145" s="17" t="inlineStr">
        <is>
          <t>Turnout. It's adding voters every cycle, so it should take a bigger share of the state vote; if it doesn't, Republican turnout is soft.</t>
        </is>
      </c>
      <c r="E145" s="17" t="inlineStr">
        <is>
          <t>College suburb/metro</t>
        </is>
      </c>
      <c r="F145" s="23">
        <f>Counties!O1055</f>
        <v/>
      </c>
      <c r="G145" s="24">
        <f>Counties!Q1055</f>
        <v/>
      </c>
      <c r="H145" s="23">
        <f>Counties!R1055</f>
        <v/>
      </c>
      <c r="I145" s="25">
        <f>Counties!S1055</f>
        <v/>
      </c>
      <c r="J145" s="25">
        <f>Counties!AQ1055/SUMIFS(Counties!$AQ:$AQ,Counties!$A:$A,"TX")</f>
        <v/>
      </c>
      <c r="K145" s="23">
        <f>Counties!T1055</f>
        <v/>
      </c>
      <c r="L145" s="23">
        <f>Counties!AH1055</f>
        <v/>
      </c>
      <c r="M145" s="26">
        <f>Counties!AO1055</f>
        <v/>
      </c>
      <c r="N145" s="24">
        <f>Counties!AN1055</f>
        <v/>
      </c>
      <c r="O145" s="17">
        <f>IF(L145="","not in yet",IF(N145&gt;=0.05,"Great for Talarico",IF(N145&gt;=0.01,"Talarico on track",IF(N145&gt;-0.01,"Toss-up",IF(N145&gt;-0.05,"Paxton on track","Great for Paxton"))))&amp;IF(Counties!AG1055=1,""," (partial)"))</f>
        <v/>
      </c>
      <c r="P145" s="27">
        <f>Counties!AU1055</f>
        <v/>
      </c>
      <c r="Q145" s="23">
        <f>Counties!AV1055</f>
        <v/>
      </c>
      <c r="R145" s="27">
        <f>Counties!AW1055</f>
        <v/>
      </c>
      <c r="S145" s="24">
        <f>Counties!AX1055</f>
        <v/>
      </c>
      <c r="T145" s="24">
        <f>Counties!AY1055</f>
        <v/>
      </c>
      <c r="U145" s="28">
        <f>IF(T145="","",T145*Counties!AF1055)</f>
        <v/>
      </c>
      <c r="V145" s="17">
        <f>IF(T145="",IF(L145="","not in yet","waiting for the full count"),IF(T145&gt;=0.05,"Great for Talarico",IF(T145&gt;=0.01,"Talarico on track",IF(T145&gt;-0.01,"Toss-up",IF(T145&gt;-0.05,"Paxton on track","Great for Paxton")))))</f>
        <v/>
      </c>
      <c r="W145" s="17" t="inlineStr">
        <is>
          <t>48091</t>
        </is>
      </c>
    </row>
    <row r="146" ht="54" customHeight="1">
      <c r="A146" s="29" t="inlineStr">
        <is>
          <t>TX</t>
        </is>
      </c>
      <c r="B146" s="29" t="inlineStr">
        <is>
          <t>All rural (137)</t>
        </is>
      </c>
      <c r="C146" s="29" t="inlineStr">
        <is>
          <t>Every small-town and rural county together: the Republican base's turnout test.</t>
        </is>
      </c>
      <c r="D146" s="29" t="inlineStr">
        <is>
          <t>Turnout index from its finished counties. Above 100 means the rural base is a bigger share of the vote than a tie assumes; the margin rarely moves much.</t>
        </is>
      </c>
      <c r="E146" s="29" t="inlineStr">
        <is>
          <t>Small town &amp; rural</t>
        </is>
      </c>
      <c r="F146" s="30">
        <f>Types!M58</f>
        <v/>
      </c>
      <c r="G146" s="31" t="n"/>
      <c r="H146" s="30" t="n"/>
      <c r="I146" s="32" t="n"/>
      <c r="J146" s="32">
        <f>Types!L58</f>
        <v/>
      </c>
      <c r="K146" s="30">
        <f>Types!P58</f>
        <v/>
      </c>
      <c r="L146" s="30">
        <f>Types!S58</f>
        <v/>
      </c>
      <c r="M146" s="33">
        <f>IFERROR(Types!E58/Types!D58,"")</f>
        <v/>
      </c>
      <c r="N146" s="31">
        <f>IF(L146="","",L146-K146)</f>
        <v/>
      </c>
      <c r="O146" s="29">
        <f>IF(Types!F58=0,"not in yet",IF(N146&gt;=0.05,"Great for Talarico",IF(N146&gt;=0.01,"Talarico on track",IF(N146&gt;-0.01,"Toss-up",IF(N146&gt;-0.05,"Paxton on track","Great for Paxton"))))&amp;" (projected)")</f>
        <v/>
      </c>
      <c r="P146" s="34">
        <f>Types!V58</f>
        <v/>
      </c>
      <c r="Q146" s="30">
        <f>Types!W58</f>
        <v/>
      </c>
      <c r="R146" s="34" t="n"/>
      <c r="S146" s="31">
        <f>IF(Q146="","",K146-Q146)</f>
        <v/>
      </c>
      <c r="T146" s="31">
        <f>Types!X58</f>
        <v/>
      </c>
      <c r="U146" s="35">
        <f>Types!Y58</f>
        <v/>
      </c>
      <c r="V146" s="29">
        <f>IF(T146="","not in yet",IF(T146&gt;=0.05,"Great for Talarico",IF(T146&gt;=0.01,"Talarico on track",IF(T146&gt;-0.01,"Toss-up",IF(T146&gt;-0.05,"Paxton on track","Great for Paxton"))))&amp;" (finished counties)")</f>
        <v/>
      </c>
      <c r="W146" s="29" t="n"/>
    </row>
    <row r="147">
      <c r="A147" s="22" t="inlineStr">
        <is>
          <t>Florida  ·  2024: R+13.2 (R+13.5 with 2022's turnout pattern)  ·  Angie Nixon vs Ashley Moody</t>
        </is>
      </c>
      <c r="B147" s="22" t="n"/>
      <c r="C147" s="22" t="n"/>
      <c r="D147" s="22" t="n"/>
      <c r="E147" s="22" t="n"/>
      <c r="F147" s="22" t="n"/>
      <c r="G147" s="22" t="n"/>
      <c r="H147" s="22" t="n"/>
      <c r="I147" s="22" t="n"/>
      <c r="J147" s="22" t="n"/>
      <c r="K147" s="22" t="n"/>
      <c r="L147" s="22" t="n"/>
      <c r="M147" s="22" t="n"/>
      <c r="N147" s="22" t="n"/>
      <c r="O147" s="22" t="n"/>
      <c r="P147" s="22" t="n"/>
      <c r="Q147" s="22" t="n"/>
      <c r="R147" s="22" t="n"/>
      <c r="S147" s="22" t="n"/>
      <c r="T147" s="22" t="n"/>
      <c r="U147" s="22" t="n"/>
      <c r="V147" s="22" t="n"/>
      <c r="W147" s="22" t="n"/>
    </row>
    <row r="148" ht="54" customHeight="1">
      <c r="A148" s="17" t="inlineStr">
        <is>
          <t>FL</t>
        </is>
      </c>
      <c r="B148" s="17" t="inlineStr">
        <is>
          <t>Miami-Dade</t>
        </is>
      </c>
      <c r="C148" s="17" t="inlineStr">
        <is>
          <t>Majority Hispanic and the biggest county. It swung about 19 points R from 2020 to 2024 and voted R for president for the first time since 1988.</t>
        </is>
      </c>
      <c r="D148" s="17" t="inlineStr">
        <is>
          <t>The best early test of whether 2024's Hispanic shift toward R holds or snaps back. Read it alongside Hidalgo (TX) and Osceola.</t>
        </is>
      </c>
      <c r="E148" s="17" t="inlineStr">
        <is>
          <t>Hispanic</t>
        </is>
      </c>
      <c r="F148" s="23">
        <f>Counties!O1306</f>
        <v/>
      </c>
      <c r="G148" s="24">
        <f>Counties!Q1306</f>
        <v/>
      </c>
      <c r="H148" s="23">
        <f>Counties!R1306</f>
        <v/>
      </c>
      <c r="I148" s="25">
        <f>Counties!S1306</f>
        <v/>
      </c>
      <c r="J148" s="25">
        <f>Counties!AQ1306/SUMIFS(Counties!$AQ:$AQ,Counties!$A:$A,"FL")</f>
        <v/>
      </c>
      <c r="K148" s="23">
        <f>Counties!T1306</f>
        <v/>
      </c>
      <c r="L148" s="23">
        <f>Counties!AH1306</f>
        <v/>
      </c>
      <c r="M148" s="26">
        <f>Counties!AO1306</f>
        <v/>
      </c>
      <c r="N148" s="24">
        <f>Counties!AN1306</f>
        <v/>
      </c>
      <c r="O148" s="17">
        <f>IF(L148="","not in yet",IF(N148&gt;=0.05,"Great for Nixon",IF(N148&gt;=0.01,"Nixon on track",IF(N148&gt;-0.01,"Toss-up",IF(N148&gt;-0.05,"Moody on track","Great for Moody"))))&amp;IF(Counties!AG1306=1,""," (partial)"))</f>
        <v/>
      </c>
      <c r="P148" s="27">
        <f>Counties!AU1306</f>
        <v/>
      </c>
      <c r="Q148" s="23">
        <f>Counties!AV1306</f>
        <v/>
      </c>
      <c r="R148" s="27">
        <f>Counties!AW1306</f>
        <v/>
      </c>
      <c r="S148" s="24">
        <f>Counties!AX1306</f>
        <v/>
      </c>
      <c r="T148" s="24">
        <f>Counties!AY1306</f>
        <v/>
      </c>
      <c r="U148" s="28">
        <f>IF(T148="","",T148*Counties!AF1306)</f>
        <v/>
      </c>
      <c r="V148" s="17">
        <f>IF(T148="",IF(L148="","not in yet","waiting for the full count"),IF(T148&gt;=0.05,"Great for Nixon",IF(T148&gt;=0.01,"Nixon on track",IF(T148&gt;-0.01,"Toss-up",IF(T148&gt;-0.05,"Moody on track","Great for Moody")))))</f>
        <v/>
      </c>
      <c r="W148" s="17" t="inlineStr">
        <is>
          <t>12086</t>
        </is>
      </c>
    </row>
    <row r="149" ht="54" customHeight="1">
      <c r="A149" s="17" t="inlineStr">
        <is>
          <t>FL</t>
        </is>
      </c>
      <c r="B149" s="17" t="inlineStr">
        <is>
          <t>Broward</t>
        </is>
      </c>
      <c r="C149" s="17" t="inlineStr">
        <is>
          <t>Florida's largest D vote bank, with a large Black and Caribbean population.</t>
        </is>
      </c>
      <c r="D149" s="17" t="inlineStr">
        <is>
          <t>Margin recovery toward 2020's D+30, and turnout.</t>
        </is>
      </c>
      <c r="E149" s="17" t="inlineStr">
        <is>
          <t>Big metro core</t>
        </is>
      </c>
      <c r="F149" s="23">
        <f>Counties!O1269</f>
        <v/>
      </c>
      <c r="G149" s="24">
        <f>Counties!Q1269</f>
        <v/>
      </c>
      <c r="H149" s="23">
        <f>Counties!R1269</f>
        <v/>
      </c>
      <c r="I149" s="25">
        <f>Counties!S1269</f>
        <v/>
      </c>
      <c r="J149" s="25">
        <f>Counties!AQ1269/SUMIFS(Counties!$AQ:$AQ,Counties!$A:$A,"FL")</f>
        <v/>
      </c>
      <c r="K149" s="23">
        <f>Counties!T1269</f>
        <v/>
      </c>
      <c r="L149" s="23">
        <f>Counties!AH1269</f>
        <v/>
      </c>
      <c r="M149" s="26">
        <f>Counties!AO1269</f>
        <v/>
      </c>
      <c r="N149" s="24">
        <f>Counties!AN1269</f>
        <v/>
      </c>
      <c r="O149" s="17">
        <f>IF(L149="","not in yet",IF(N149&gt;=0.05,"Great for Nixon",IF(N149&gt;=0.01,"Nixon on track",IF(N149&gt;-0.01,"Toss-up",IF(N149&gt;-0.05,"Moody on track","Great for Moody"))))&amp;IF(Counties!AG1269=1,""," (partial)"))</f>
        <v/>
      </c>
      <c r="P149" s="27">
        <f>Counties!AU1269</f>
        <v/>
      </c>
      <c r="Q149" s="23">
        <f>Counties!AV1269</f>
        <v/>
      </c>
      <c r="R149" s="27">
        <f>Counties!AW1269</f>
        <v/>
      </c>
      <c r="S149" s="24">
        <f>Counties!AX1269</f>
        <v/>
      </c>
      <c r="T149" s="24">
        <f>Counties!AY1269</f>
        <v/>
      </c>
      <c r="U149" s="28">
        <f>IF(T149="","",T149*Counties!AF1269)</f>
        <v/>
      </c>
      <c r="V149" s="17">
        <f>IF(T149="",IF(L149="","not in yet","waiting for the full count"),IF(T149&gt;=0.05,"Great for Nixon",IF(T149&gt;=0.01,"Nixon on track",IF(T149&gt;-0.01,"Toss-up",IF(T149&gt;-0.05,"Moody on track","Great for Moody")))))</f>
        <v/>
      </c>
      <c r="W149" s="17" t="inlineStr">
        <is>
          <t>12011</t>
        </is>
      </c>
    </row>
    <row r="150" ht="54" customHeight="1">
      <c r="A150" s="17" t="inlineStr">
        <is>
          <t>FL</t>
        </is>
      </c>
      <c r="B150" s="17" t="inlineStr">
        <is>
          <t>Palm Beach</t>
        </is>
      </c>
      <c r="C150" s="17" t="inlineStr">
        <is>
          <t>Wealthy, mixed, and roughly even in 2024.</t>
        </is>
      </c>
      <c r="D150" s="17" t="inlineStr">
        <is>
          <t>Suburban and retiree swing.</t>
        </is>
      </c>
      <c r="E150" s="17" t="inlineStr">
        <is>
          <t>Big metro core</t>
        </is>
      </c>
      <c r="F150" s="23">
        <f>Counties!O1313</f>
        <v/>
      </c>
      <c r="G150" s="24">
        <f>Counties!Q1313</f>
        <v/>
      </c>
      <c r="H150" s="23">
        <f>Counties!R1313</f>
        <v/>
      </c>
      <c r="I150" s="25">
        <f>Counties!S1313</f>
        <v/>
      </c>
      <c r="J150" s="25">
        <f>Counties!AQ1313/SUMIFS(Counties!$AQ:$AQ,Counties!$A:$A,"FL")</f>
        <v/>
      </c>
      <c r="K150" s="23">
        <f>Counties!T1313</f>
        <v/>
      </c>
      <c r="L150" s="23">
        <f>Counties!AH1313</f>
        <v/>
      </c>
      <c r="M150" s="26">
        <f>Counties!AO1313</f>
        <v/>
      </c>
      <c r="N150" s="24">
        <f>Counties!AN1313</f>
        <v/>
      </c>
      <c r="O150" s="17">
        <f>IF(L150="","not in yet",IF(N150&gt;=0.05,"Great for Nixon",IF(N150&gt;=0.01,"Nixon on track",IF(N150&gt;-0.01,"Toss-up",IF(N150&gt;-0.05,"Moody on track","Great for Moody"))))&amp;IF(Counties!AG1313=1,""," (partial)"))</f>
        <v/>
      </c>
      <c r="P150" s="27">
        <f>Counties!AU1313</f>
        <v/>
      </c>
      <c r="Q150" s="23">
        <f>Counties!AV1313</f>
        <v/>
      </c>
      <c r="R150" s="27">
        <f>Counties!AW1313</f>
        <v/>
      </c>
      <c r="S150" s="24">
        <f>Counties!AX1313</f>
        <v/>
      </c>
      <c r="T150" s="24">
        <f>Counties!AY1313</f>
        <v/>
      </c>
      <c r="U150" s="28">
        <f>IF(T150="","",T150*Counties!AF1313)</f>
        <v/>
      </c>
      <c r="V150" s="17">
        <f>IF(T150="",IF(L150="","not in yet","waiting for the full count"),IF(T150&gt;=0.05,"Great for Nixon",IF(T150&gt;=0.01,"Nixon on track",IF(T150&gt;-0.01,"Toss-up",IF(T150&gt;-0.05,"Moody on track","Great for Moody")))))</f>
        <v/>
      </c>
      <c r="W150" s="17" t="inlineStr">
        <is>
          <t>12099</t>
        </is>
      </c>
    </row>
    <row r="151" ht="54" customHeight="1">
      <c r="A151" s="17" t="inlineStr">
        <is>
          <t>FL</t>
        </is>
      </c>
      <c r="B151" s="17" t="inlineStr">
        <is>
          <t>Hillsborough</t>
        </is>
      </c>
      <c r="C151" s="17" t="inlineStr">
        <is>
          <t>Tampa. A swing county that went R in 2024.</t>
        </is>
      </c>
      <c r="D151" s="17" t="inlineStr">
        <is>
          <t>Its margin compared with 2024's R+3 is a clean read of the suburban environment.</t>
        </is>
      </c>
      <c r="E151" s="17" t="inlineStr">
        <is>
          <t>Big metro core</t>
        </is>
      </c>
      <c r="F151" s="23">
        <f>Counties!O1291</f>
        <v/>
      </c>
      <c r="G151" s="24">
        <f>Counties!Q1291</f>
        <v/>
      </c>
      <c r="H151" s="23">
        <f>Counties!R1291</f>
        <v/>
      </c>
      <c r="I151" s="25">
        <f>Counties!S1291</f>
        <v/>
      </c>
      <c r="J151" s="25">
        <f>Counties!AQ1291/SUMIFS(Counties!$AQ:$AQ,Counties!$A:$A,"FL")</f>
        <v/>
      </c>
      <c r="K151" s="23">
        <f>Counties!T1291</f>
        <v/>
      </c>
      <c r="L151" s="23">
        <f>Counties!AH1291</f>
        <v/>
      </c>
      <c r="M151" s="26">
        <f>Counties!AO1291</f>
        <v/>
      </c>
      <c r="N151" s="24">
        <f>Counties!AN1291</f>
        <v/>
      </c>
      <c r="O151" s="17">
        <f>IF(L151="","not in yet",IF(N151&gt;=0.05,"Great for Nixon",IF(N151&gt;=0.01,"Nixon on track",IF(N151&gt;-0.01,"Toss-up",IF(N151&gt;-0.05,"Moody on track","Great for Moody"))))&amp;IF(Counties!AG1291=1,""," (partial)"))</f>
        <v/>
      </c>
      <c r="P151" s="27">
        <f>Counties!AU1291</f>
        <v/>
      </c>
      <c r="Q151" s="23">
        <f>Counties!AV1291</f>
        <v/>
      </c>
      <c r="R151" s="27">
        <f>Counties!AW1291</f>
        <v/>
      </c>
      <c r="S151" s="24">
        <f>Counties!AX1291</f>
        <v/>
      </c>
      <c r="T151" s="24">
        <f>Counties!AY1291</f>
        <v/>
      </c>
      <c r="U151" s="28">
        <f>IF(T151="","",T151*Counties!AF1291)</f>
        <v/>
      </c>
      <c r="V151" s="17">
        <f>IF(T151="",IF(L151="","not in yet","waiting for the full count"),IF(T151&gt;=0.05,"Great for Nixon",IF(T151&gt;=0.01,"Nixon on track",IF(T151&gt;-0.01,"Toss-up",IF(T151&gt;-0.05,"Moody on track","Great for Moody")))))</f>
        <v/>
      </c>
      <c r="W151" s="17" t="inlineStr">
        <is>
          <t>12057</t>
        </is>
      </c>
    </row>
    <row r="152" ht="54" customHeight="1">
      <c r="A152" s="17" t="inlineStr">
        <is>
          <t>FL</t>
        </is>
      </c>
      <c r="B152" s="17" t="inlineStr">
        <is>
          <t>Orange</t>
        </is>
      </c>
      <c r="C152" s="17" t="inlineStr">
        <is>
          <t>Orlando. A large Puerto Rican and Hispanic population, solidly D.</t>
        </is>
      </c>
      <c r="D152" s="17" t="inlineStr">
        <is>
          <t>Non-Cuban Hispanic swing. Pair it with Osceola.</t>
        </is>
      </c>
      <c r="E152" s="17" t="inlineStr">
        <is>
          <t>Big metro core</t>
        </is>
      </c>
      <c r="F152" s="23">
        <f>Counties!O1311</f>
        <v/>
      </c>
      <c r="G152" s="24">
        <f>Counties!Q1311</f>
        <v/>
      </c>
      <c r="H152" s="23">
        <f>Counties!R1311</f>
        <v/>
      </c>
      <c r="I152" s="25">
        <f>Counties!S1311</f>
        <v/>
      </c>
      <c r="J152" s="25">
        <f>Counties!AQ1311/SUMIFS(Counties!$AQ:$AQ,Counties!$A:$A,"FL")</f>
        <v/>
      </c>
      <c r="K152" s="23">
        <f>Counties!T1311</f>
        <v/>
      </c>
      <c r="L152" s="23">
        <f>Counties!AH1311</f>
        <v/>
      </c>
      <c r="M152" s="26">
        <f>Counties!AO1311</f>
        <v/>
      </c>
      <c r="N152" s="24">
        <f>Counties!AN1311</f>
        <v/>
      </c>
      <c r="O152" s="17">
        <f>IF(L152="","not in yet",IF(N152&gt;=0.05,"Great for Nixon",IF(N152&gt;=0.01,"Nixon on track",IF(N152&gt;-0.01,"Toss-up",IF(N152&gt;-0.05,"Moody on track","Great for Moody"))))&amp;IF(Counties!AG1311=1,""," (partial)"))</f>
        <v/>
      </c>
      <c r="P152" s="27">
        <f>Counties!AU1311</f>
        <v/>
      </c>
      <c r="Q152" s="23">
        <f>Counties!AV1311</f>
        <v/>
      </c>
      <c r="R152" s="27">
        <f>Counties!AW1311</f>
        <v/>
      </c>
      <c r="S152" s="24">
        <f>Counties!AX1311</f>
        <v/>
      </c>
      <c r="T152" s="24">
        <f>Counties!AY1311</f>
        <v/>
      </c>
      <c r="U152" s="28">
        <f>IF(T152="","",T152*Counties!AF1311)</f>
        <v/>
      </c>
      <c r="V152" s="17">
        <f>IF(T152="",IF(L152="","not in yet","waiting for the full count"),IF(T152&gt;=0.05,"Great for Nixon",IF(T152&gt;=0.01,"Nixon on track",IF(T152&gt;-0.01,"Toss-up",IF(T152&gt;-0.05,"Moody on track","Great for Moody")))))</f>
        <v/>
      </c>
      <c r="W152" s="17" t="inlineStr">
        <is>
          <t>12095</t>
        </is>
      </c>
    </row>
    <row r="153" ht="54" customHeight="1">
      <c r="A153" s="17" t="inlineStr">
        <is>
          <t>FL</t>
        </is>
      </c>
      <c r="B153" s="17" t="inlineStr">
        <is>
          <t>Pinellas</t>
        </is>
      </c>
      <c r="C153" s="17" t="inlineStr">
        <is>
          <t>St. Petersburg. An old bellwether that has moved R.</t>
        </is>
      </c>
      <c r="D153" s="17" t="inlineStr">
        <is>
          <t>Same read as Hillsborough, with older voters.</t>
        </is>
      </c>
      <c r="E153" s="17" t="inlineStr">
        <is>
          <t>Big metro core</t>
        </is>
      </c>
      <c r="F153" s="23">
        <f>Counties!O1315</f>
        <v/>
      </c>
      <c r="G153" s="24">
        <f>Counties!Q1315</f>
        <v/>
      </c>
      <c r="H153" s="23">
        <f>Counties!R1315</f>
        <v/>
      </c>
      <c r="I153" s="25">
        <f>Counties!S1315</f>
        <v/>
      </c>
      <c r="J153" s="25">
        <f>Counties!AQ1315/SUMIFS(Counties!$AQ:$AQ,Counties!$A:$A,"FL")</f>
        <v/>
      </c>
      <c r="K153" s="23">
        <f>Counties!T1315</f>
        <v/>
      </c>
      <c r="L153" s="23">
        <f>Counties!AH1315</f>
        <v/>
      </c>
      <c r="M153" s="26">
        <f>Counties!AO1315</f>
        <v/>
      </c>
      <c r="N153" s="24">
        <f>Counties!AN1315</f>
        <v/>
      </c>
      <c r="O153" s="17">
        <f>IF(L153="","not in yet",IF(N153&gt;=0.05,"Great for Nixon",IF(N153&gt;=0.01,"Nixon on track",IF(N153&gt;-0.01,"Toss-up",IF(N153&gt;-0.05,"Moody on track","Great for Moody"))))&amp;IF(Counties!AG1315=1,""," (partial)"))</f>
        <v/>
      </c>
      <c r="P153" s="27">
        <f>Counties!AU1315</f>
        <v/>
      </c>
      <c r="Q153" s="23">
        <f>Counties!AV1315</f>
        <v/>
      </c>
      <c r="R153" s="27">
        <f>Counties!AW1315</f>
        <v/>
      </c>
      <c r="S153" s="24">
        <f>Counties!AX1315</f>
        <v/>
      </c>
      <c r="T153" s="24">
        <f>Counties!AY1315</f>
        <v/>
      </c>
      <c r="U153" s="28">
        <f>IF(T153="","",T153*Counties!AF1315)</f>
        <v/>
      </c>
      <c r="V153" s="17">
        <f>IF(T153="",IF(L153="","not in yet","waiting for the full count"),IF(T153&gt;=0.05,"Great for Nixon",IF(T153&gt;=0.01,"Nixon on track",IF(T153&gt;-0.01,"Toss-up",IF(T153&gt;-0.05,"Moody on track","Great for Moody")))))</f>
        <v/>
      </c>
      <c r="W153" s="17" t="inlineStr">
        <is>
          <t>12103</t>
        </is>
      </c>
    </row>
    <row r="154" ht="54" customHeight="1">
      <c r="A154" s="17" t="inlineStr">
        <is>
          <t>FL</t>
        </is>
      </c>
      <c r="B154" s="17" t="inlineStr">
        <is>
          <t>Duval</t>
        </is>
      </c>
      <c r="C154" s="17" t="inlineStr">
        <is>
          <t>Jacksonville. About 29% Black, flips back and forth.</t>
        </is>
      </c>
      <c r="D154" s="17" t="inlineStr">
        <is>
          <t>Black turnout plus suburban swing in one county.</t>
        </is>
      </c>
      <c r="E154" s="17" t="inlineStr">
        <is>
          <t>Big metro core</t>
        </is>
      </c>
      <c r="F154" s="23">
        <f>Counties!O1278</f>
        <v/>
      </c>
      <c r="G154" s="24">
        <f>Counties!Q1278</f>
        <v/>
      </c>
      <c r="H154" s="23">
        <f>Counties!R1278</f>
        <v/>
      </c>
      <c r="I154" s="25">
        <f>Counties!S1278</f>
        <v/>
      </c>
      <c r="J154" s="25">
        <f>Counties!AQ1278/SUMIFS(Counties!$AQ:$AQ,Counties!$A:$A,"FL")</f>
        <v/>
      </c>
      <c r="K154" s="23">
        <f>Counties!T1278</f>
        <v/>
      </c>
      <c r="L154" s="23">
        <f>Counties!AH1278</f>
        <v/>
      </c>
      <c r="M154" s="26">
        <f>Counties!AO1278</f>
        <v/>
      </c>
      <c r="N154" s="24">
        <f>Counties!AN1278</f>
        <v/>
      </c>
      <c r="O154" s="17">
        <f>IF(L154="","not in yet",IF(N154&gt;=0.05,"Great for Nixon",IF(N154&gt;=0.01,"Nixon on track",IF(N154&gt;-0.01,"Toss-up",IF(N154&gt;-0.05,"Moody on track","Great for Moody"))))&amp;IF(Counties!AG1278=1,""," (partial)"))</f>
        <v/>
      </c>
      <c r="P154" s="27">
        <f>Counties!AU1278</f>
        <v/>
      </c>
      <c r="Q154" s="23">
        <f>Counties!AV1278</f>
        <v/>
      </c>
      <c r="R154" s="27">
        <f>Counties!AW1278</f>
        <v/>
      </c>
      <c r="S154" s="24">
        <f>Counties!AX1278</f>
        <v/>
      </c>
      <c r="T154" s="24">
        <f>Counties!AY1278</f>
        <v/>
      </c>
      <c r="U154" s="28">
        <f>IF(T154="","",T154*Counties!AF1278)</f>
        <v/>
      </c>
      <c r="V154" s="17">
        <f>IF(T154="",IF(L154="","not in yet","waiting for the full count"),IF(T154&gt;=0.05,"Great for Nixon",IF(T154&gt;=0.01,"Nixon on track",IF(T154&gt;-0.01,"Toss-up",IF(T154&gt;-0.05,"Moody on track","Great for Moody")))))</f>
        <v/>
      </c>
      <c r="W154" s="17" t="inlineStr">
        <is>
          <t>12031</t>
        </is>
      </c>
    </row>
    <row r="155" ht="54" customHeight="1">
      <c r="A155" s="17" t="inlineStr">
        <is>
          <t>FL</t>
        </is>
      </c>
      <c r="B155" s="17" t="inlineStr">
        <is>
          <t>Lee</t>
        </is>
      </c>
      <c r="C155" s="17" t="inlineStr">
        <is>
          <t>Fort Myers. The biggest R vote bank outside Miami-Dade (about 111,000 net R votes), and it moved 9 pts toward R from 2020 to 2024.</t>
        </is>
      </c>
      <c r="D155" s="17" t="inlineStr">
        <is>
          <t>Retiree and exurban Republican turnout. Republicans need it at R+29 or better on full turnout.</t>
        </is>
      </c>
      <c r="E155" s="17" t="inlineStr">
        <is>
          <t>Big metro core</t>
        </is>
      </c>
      <c r="F155" s="23">
        <f>Counties!O1298</f>
        <v/>
      </c>
      <c r="G155" s="24">
        <f>Counties!Q1298</f>
        <v/>
      </c>
      <c r="H155" s="23">
        <f>Counties!R1298</f>
        <v/>
      </c>
      <c r="I155" s="25">
        <f>Counties!S1298</f>
        <v/>
      </c>
      <c r="J155" s="25">
        <f>Counties!AQ1298/SUMIFS(Counties!$AQ:$AQ,Counties!$A:$A,"FL")</f>
        <v/>
      </c>
      <c r="K155" s="23">
        <f>Counties!T1298</f>
        <v/>
      </c>
      <c r="L155" s="23">
        <f>Counties!AH1298</f>
        <v/>
      </c>
      <c r="M155" s="26">
        <f>Counties!AO1298</f>
        <v/>
      </c>
      <c r="N155" s="24">
        <f>Counties!AN1298</f>
        <v/>
      </c>
      <c r="O155" s="17">
        <f>IF(L155="","not in yet",IF(N155&gt;=0.05,"Great for Nixon",IF(N155&gt;=0.01,"Nixon on track",IF(N155&gt;-0.01,"Toss-up",IF(N155&gt;-0.05,"Moody on track","Great for Moody"))))&amp;IF(Counties!AG1298=1,""," (partial)"))</f>
        <v/>
      </c>
      <c r="P155" s="27">
        <f>Counties!AU1298</f>
        <v/>
      </c>
      <c r="Q155" s="23">
        <f>Counties!AV1298</f>
        <v/>
      </c>
      <c r="R155" s="27">
        <f>Counties!AW1298</f>
        <v/>
      </c>
      <c r="S155" s="24">
        <f>Counties!AX1298</f>
        <v/>
      </c>
      <c r="T155" s="24">
        <f>Counties!AY1298</f>
        <v/>
      </c>
      <c r="U155" s="28">
        <f>IF(T155="","",T155*Counties!AF1298)</f>
        <v/>
      </c>
      <c r="V155" s="17">
        <f>IF(T155="",IF(L155="","not in yet","waiting for the full count"),IF(T155&gt;=0.05,"Great for Nixon",IF(T155&gt;=0.01,"Nixon on track",IF(T155&gt;-0.01,"Toss-up",IF(T155&gt;-0.05,"Moody on track","Great for Moody")))))</f>
        <v/>
      </c>
      <c r="W155" s="17" t="inlineStr">
        <is>
          <t>12071</t>
        </is>
      </c>
    </row>
    <row r="156" ht="54" customHeight="1">
      <c r="A156" s="17" t="inlineStr">
        <is>
          <t>FL</t>
        </is>
      </c>
      <c r="B156" s="17" t="inlineStr">
        <is>
          <t>Polk</t>
        </is>
      </c>
      <c r="C156" s="17" t="inlineStr">
        <is>
          <t>Lakeland, on the I-4 corridor; 30% Hispanic and moved 6 pts toward R from 2020 to 2024.</t>
        </is>
      </c>
      <c r="D156" s="17" t="inlineStr">
        <is>
          <t>Puerto Rican and other Hispanic voters on I-4. A margin back toward 2020 (R+15) is a good D sign.</t>
        </is>
      </c>
      <c r="E156" s="17" t="inlineStr">
        <is>
          <t>Big metro core</t>
        </is>
      </c>
      <c r="F156" s="23">
        <f>Counties!O1316</f>
        <v/>
      </c>
      <c r="G156" s="24">
        <f>Counties!Q1316</f>
        <v/>
      </c>
      <c r="H156" s="23">
        <f>Counties!R1316</f>
        <v/>
      </c>
      <c r="I156" s="25">
        <f>Counties!S1316</f>
        <v/>
      </c>
      <c r="J156" s="25">
        <f>Counties!AQ1316/SUMIFS(Counties!$AQ:$AQ,Counties!$A:$A,"FL")</f>
        <v/>
      </c>
      <c r="K156" s="23">
        <f>Counties!T1316</f>
        <v/>
      </c>
      <c r="L156" s="23">
        <f>Counties!AH1316</f>
        <v/>
      </c>
      <c r="M156" s="26">
        <f>Counties!AO1316</f>
        <v/>
      </c>
      <c r="N156" s="24">
        <f>Counties!AN1316</f>
        <v/>
      </c>
      <c r="O156" s="17">
        <f>IF(L156="","not in yet",IF(N156&gt;=0.05,"Great for Nixon",IF(N156&gt;=0.01,"Nixon on track",IF(N156&gt;-0.01,"Toss-up",IF(N156&gt;-0.05,"Moody on track","Great for Moody"))))&amp;IF(Counties!AG1316=1,""," (partial)"))</f>
        <v/>
      </c>
      <c r="P156" s="27">
        <f>Counties!AU1316</f>
        <v/>
      </c>
      <c r="Q156" s="23">
        <f>Counties!AV1316</f>
        <v/>
      </c>
      <c r="R156" s="27">
        <f>Counties!AW1316</f>
        <v/>
      </c>
      <c r="S156" s="24">
        <f>Counties!AX1316</f>
        <v/>
      </c>
      <c r="T156" s="24">
        <f>Counties!AY1316</f>
        <v/>
      </c>
      <c r="U156" s="28">
        <f>IF(T156="","",T156*Counties!AF1316)</f>
        <v/>
      </c>
      <c r="V156" s="17">
        <f>IF(T156="",IF(L156="","not in yet","waiting for the full count"),IF(T156&gt;=0.05,"Great for Nixon",IF(T156&gt;=0.01,"Nixon on track",IF(T156&gt;-0.01,"Toss-up",IF(T156&gt;-0.05,"Moody on track","Great for Moody")))))</f>
        <v/>
      </c>
      <c r="W156" s="17" t="inlineStr">
        <is>
          <t>12105</t>
        </is>
      </c>
    </row>
    <row r="157" ht="54" customHeight="1">
      <c r="A157" s="17" t="inlineStr">
        <is>
          <t>FL</t>
        </is>
      </c>
      <c r="B157" s="17" t="inlineStr">
        <is>
          <t>Pasco</t>
        </is>
      </c>
      <c r="C157" s="17" t="inlineStr">
        <is>
          <t>Tampa's northern exurb, about 80,000 net R votes.</t>
        </is>
      </c>
      <c r="D157" s="17" t="inlineStr">
        <is>
          <t>Republican turnout. If Pasco's share of the vote lags, the Tampa-area R base isn't showing up.</t>
        </is>
      </c>
      <c r="E157" s="17" t="inlineStr">
        <is>
          <t>Mid-size/working metro</t>
        </is>
      </c>
      <c r="F157" s="23">
        <f>Counties!O1314</f>
        <v/>
      </c>
      <c r="G157" s="24">
        <f>Counties!Q1314</f>
        <v/>
      </c>
      <c r="H157" s="23">
        <f>Counties!R1314</f>
        <v/>
      </c>
      <c r="I157" s="25">
        <f>Counties!S1314</f>
        <v/>
      </c>
      <c r="J157" s="25">
        <f>Counties!AQ1314/SUMIFS(Counties!$AQ:$AQ,Counties!$A:$A,"FL")</f>
        <v/>
      </c>
      <c r="K157" s="23">
        <f>Counties!T1314</f>
        <v/>
      </c>
      <c r="L157" s="23">
        <f>Counties!AH1314</f>
        <v/>
      </c>
      <c r="M157" s="26">
        <f>Counties!AO1314</f>
        <v/>
      </c>
      <c r="N157" s="24">
        <f>Counties!AN1314</f>
        <v/>
      </c>
      <c r="O157" s="17">
        <f>IF(L157="","not in yet",IF(N157&gt;=0.05,"Great for Nixon",IF(N157&gt;=0.01,"Nixon on track",IF(N157&gt;-0.01,"Toss-up",IF(N157&gt;-0.05,"Moody on track","Great for Moody"))))&amp;IF(Counties!AG1314=1,""," (partial)"))</f>
        <v/>
      </c>
      <c r="P157" s="27">
        <f>Counties!AU1314</f>
        <v/>
      </c>
      <c r="Q157" s="23">
        <f>Counties!AV1314</f>
        <v/>
      </c>
      <c r="R157" s="27">
        <f>Counties!AW1314</f>
        <v/>
      </c>
      <c r="S157" s="24">
        <f>Counties!AX1314</f>
        <v/>
      </c>
      <c r="T157" s="24">
        <f>Counties!AY1314</f>
        <v/>
      </c>
      <c r="U157" s="28">
        <f>IF(T157="","",T157*Counties!AF1314)</f>
        <v/>
      </c>
      <c r="V157" s="17">
        <f>IF(T157="",IF(L157="","not in yet","waiting for the full count"),IF(T157&gt;=0.05,"Great for Nixon",IF(T157&gt;=0.01,"Nixon on track",IF(T157&gt;-0.01,"Toss-up",IF(T157&gt;-0.05,"Moody on track","Great for Moody")))))</f>
        <v/>
      </c>
      <c r="W157" s="17" t="inlineStr">
        <is>
          <t>12101</t>
        </is>
      </c>
    </row>
    <row r="158" ht="54" customHeight="1">
      <c r="A158" s="17" t="inlineStr">
        <is>
          <t>FL</t>
        </is>
      </c>
      <c r="B158" s="17" t="inlineStr">
        <is>
          <t>Osceola</t>
        </is>
      </c>
      <c r="C158" s="17" t="inlineStr">
        <is>
          <t>Majority Hispanic (mostly Puerto Rican). Flipped R in 2024.</t>
        </is>
      </c>
      <c r="D158" s="17" t="inlineStr">
        <is>
          <t>Whether Puerto Rican voters swing back.</t>
        </is>
      </c>
      <c r="E158" s="17" t="inlineStr">
        <is>
          <t>Hispanic</t>
        </is>
      </c>
      <c r="F158" s="23">
        <f>Counties!O1312</f>
        <v/>
      </c>
      <c r="G158" s="24">
        <f>Counties!Q1312</f>
        <v/>
      </c>
      <c r="H158" s="23">
        <f>Counties!R1312</f>
        <v/>
      </c>
      <c r="I158" s="25">
        <f>Counties!S1312</f>
        <v/>
      </c>
      <c r="J158" s="25">
        <f>Counties!AQ1312/SUMIFS(Counties!$AQ:$AQ,Counties!$A:$A,"FL")</f>
        <v/>
      </c>
      <c r="K158" s="23">
        <f>Counties!T1312</f>
        <v/>
      </c>
      <c r="L158" s="23">
        <f>Counties!AH1312</f>
        <v/>
      </c>
      <c r="M158" s="26">
        <f>Counties!AO1312</f>
        <v/>
      </c>
      <c r="N158" s="24">
        <f>Counties!AN1312</f>
        <v/>
      </c>
      <c r="O158" s="17">
        <f>IF(L158="","not in yet",IF(N158&gt;=0.05,"Great for Nixon",IF(N158&gt;=0.01,"Nixon on track",IF(N158&gt;-0.01,"Toss-up",IF(N158&gt;-0.05,"Moody on track","Great for Moody"))))&amp;IF(Counties!AG1312=1,""," (partial)"))</f>
        <v/>
      </c>
      <c r="P158" s="27">
        <f>Counties!AU1312</f>
        <v/>
      </c>
      <c r="Q158" s="23">
        <f>Counties!AV1312</f>
        <v/>
      </c>
      <c r="R158" s="27">
        <f>Counties!AW1312</f>
        <v/>
      </c>
      <c r="S158" s="24">
        <f>Counties!AX1312</f>
        <v/>
      </c>
      <c r="T158" s="24">
        <f>Counties!AY1312</f>
        <v/>
      </c>
      <c r="U158" s="28">
        <f>IF(T158="","",T158*Counties!AF1312)</f>
        <v/>
      </c>
      <c r="V158" s="17">
        <f>IF(T158="",IF(L158="","not in yet","waiting for the full count"),IF(T158&gt;=0.05,"Great for Nixon",IF(T158&gt;=0.01,"Nixon on track",IF(T158&gt;-0.01,"Toss-up",IF(T158&gt;-0.05,"Moody on track","Great for Moody")))))</f>
        <v/>
      </c>
      <c r="W158" s="17" t="inlineStr">
        <is>
          <t>12097</t>
        </is>
      </c>
    </row>
    <row r="159">
      <c r="A159" s="22" t="inlineStr">
        <is>
          <t>Virginia  ·  2024: D+5.9 (D+6.4 with 2022's turnout pattern)  ·  Mark Warner vs Bert Mizusawa</t>
        </is>
      </c>
      <c r="B159" s="22" t="n"/>
      <c r="C159" s="22" t="n"/>
      <c r="D159" s="22" t="n"/>
      <c r="E159" s="22" t="n"/>
      <c r="F159" s="22" t="n"/>
      <c r="G159" s="22" t="n"/>
      <c r="H159" s="22" t="n"/>
      <c r="I159" s="22" t="n"/>
      <c r="J159" s="22" t="n"/>
      <c r="K159" s="22" t="n"/>
      <c r="L159" s="22" t="n"/>
      <c r="M159" s="22" t="n"/>
      <c r="N159" s="22" t="n"/>
      <c r="O159" s="22" t="n"/>
      <c r="P159" s="22" t="n"/>
      <c r="Q159" s="22" t="n"/>
      <c r="R159" s="22" t="n"/>
      <c r="S159" s="22" t="n"/>
      <c r="T159" s="22" t="n"/>
      <c r="U159" s="22" t="n"/>
      <c r="V159" s="22" t="n"/>
      <c r="W159" s="22" t="n"/>
    </row>
    <row r="160" ht="54" customHeight="1">
      <c r="A160" s="17" t="inlineStr">
        <is>
          <t>VA</t>
        </is>
      </c>
      <c r="B160" s="17" t="inlineStr">
        <is>
          <t>Fairfax</t>
        </is>
      </c>
      <c r="C160" s="17" t="inlineStr">
        <is>
          <t>Northern Virginia's giant: highly educated, many federal workers, D+36.</t>
        </is>
      </c>
      <c r="D160" s="17" t="inlineStr">
        <is>
          <t>Margin compared with 2024's D+36. Home to many federal workers, so it's a read on how they're voting.</t>
        </is>
      </c>
      <c r="E160" s="17" t="inlineStr">
        <is>
          <t>Big metro core</t>
        </is>
      </c>
      <c r="F160" s="23">
        <f>Counties!O1368</f>
        <v/>
      </c>
      <c r="G160" s="24">
        <f>Counties!Q1368</f>
        <v/>
      </c>
      <c r="H160" s="23">
        <f>Counties!R1368</f>
        <v/>
      </c>
      <c r="I160" s="25">
        <f>Counties!S1368</f>
        <v/>
      </c>
      <c r="J160" s="25">
        <f>Counties!AQ1368/SUMIFS(Counties!$AQ:$AQ,Counties!$A:$A,"VA")</f>
        <v/>
      </c>
      <c r="K160" s="23">
        <f>Counties!T1368</f>
        <v/>
      </c>
      <c r="L160" s="23">
        <f>Counties!AH1368</f>
        <v/>
      </c>
      <c r="M160" s="26">
        <f>Counties!AO1368</f>
        <v/>
      </c>
      <c r="N160" s="24">
        <f>Counties!AN1368</f>
        <v/>
      </c>
      <c r="O160" s="17">
        <f>IF(L160="","not in yet",IF(N160&gt;=0.05,"Great for Warner",IF(N160&gt;=0.01,"Warner on track",IF(N160&gt;-0.01,"Toss-up",IF(N160&gt;-0.05,"Mizusawa on track","Great for Mizusawa"))))&amp;IF(Counties!AG1368=1,""," (partial)"))</f>
        <v/>
      </c>
      <c r="P160" s="27">
        <f>Counties!AU1368</f>
        <v/>
      </c>
      <c r="Q160" s="23">
        <f>Counties!AV1368</f>
        <v/>
      </c>
      <c r="R160" s="27">
        <f>Counties!AW1368</f>
        <v/>
      </c>
      <c r="S160" s="24">
        <f>Counties!AX1368</f>
        <v/>
      </c>
      <c r="T160" s="24">
        <f>Counties!AY1368</f>
        <v/>
      </c>
      <c r="U160" s="28">
        <f>IF(T160="","",T160*Counties!AF1368)</f>
        <v/>
      </c>
      <c r="V160" s="17">
        <f>IF(T160="",IF(L160="","not in yet","waiting for the full count"),IF(T160&gt;=0.05,"Great for Warner",IF(T160&gt;=0.01,"Warner on track",IF(T160&gt;-0.01,"Toss-up",IF(T160&gt;-0.05,"Mizusawa on track","Great for Mizusawa")))))</f>
        <v/>
      </c>
      <c r="W160" s="17" t="inlineStr">
        <is>
          <t>51059</t>
        </is>
      </c>
    </row>
    <row r="161" ht="54" customHeight="1">
      <c r="A161" s="17" t="inlineStr">
        <is>
          <t>VA</t>
        </is>
      </c>
      <c r="B161" s="17" t="inlineStr">
        <is>
          <t>Loudoun</t>
        </is>
      </c>
      <c r="C161" s="17" t="inlineStr">
        <is>
          <t>Fast-growing, college-educated exurb that swung R in 2024.</t>
        </is>
      </c>
      <c r="D161" s="17" t="inlineStr">
        <is>
          <t>Read it with Collin (TX), Forsyth (GA) and Delaware (OH).</t>
        </is>
      </c>
      <c r="E161" s="17" t="inlineStr">
        <is>
          <t>College suburb/metro</t>
        </is>
      </c>
      <c r="F161" s="23">
        <f>Counties!O1401</f>
        <v/>
      </c>
      <c r="G161" s="24">
        <f>Counties!Q1401</f>
        <v/>
      </c>
      <c r="H161" s="23">
        <f>Counties!R1401</f>
        <v/>
      </c>
      <c r="I161" s="25">
        <f>Counties!S1401</f>
        <v/>
      </c>
      <c r="J161" s="25">
        <f>Counties!AQ1401/SUMIFS(Counties!$AQ:$AQ,Counties!$A:$A,"VA")</f>
        <v/>
      </c>
      <c r="K161" s="23">
        <f>Counties!T1401</f>
        <v/>
      </c>
      <c r="L161" s="23">
        <f>Counties!AH1401</f>
        <v/>
      </c>
      <c r="M161" s="26">
        <f>Counties!AO1401</f>
        <v/>
      </c>
      <c r="N161" s="24">
        <f>Counties!AN1401</f>
        <v/>
      </c>
      <c r="O161" s="17">
        <f>IF(L161="","not in yet",IF(N161&gt;=0.05,"Great for Warner",IF(N161&gt;=0.01,"Warner on track",IF(N161&gt;-0.01,"Toss-up",IF(N161&gt;-0.05,"Mizusawa on track","Great for Mizusawa"))))&amp;IF(Counties!AG1401=1,""," (partial)"))</f>
        <v/>
      </c>
      <c r="P161" s="27">
        <f>Counties!AU1401</f>
        <v/>
      </c>
      <c r="Q161" s="23">
        <f>Counties!AV1401</f>
        <v/>
      </c>
      <c r="R161" s="27">
        <f>Counties!AW1401</f>
        <v/>
      </c>
      <c r="S161" s="24">
        <f>Counties!AX1401</f>
        <v/>
      </c>
      <c r="T161" s="24">
        <f>Counties!AY1401</f>
        <v/>
      </c>
      <c r="U161" s="28">
        <f>IF(T161="","",T161*Counties!AF1401)</f>
        <v/>
      </c>
      <c r="V161" s="17">
        <f>IF(T161="",IF(L161="","not in yet","waiting for the full count"),IF(T161&gt;=0.05,"Great for Warner",IF(T161&gt;=0.01,"Warner on track",IF(T161&gt;-0.01,"Toss-up",IF(T161&gt;-0.05,"Mizusawa on track","Great for Mizusawa")))))</f>
        <v/>
      </c>
      <c r="W161" s="17" t="inlineStr">
        <is>
          <t>51107</t>
        </is>
      </c>
    </row>
    <row r="162" ht="54" customHeight="1">
      <c r="A162" s="17" t="inlineStr">
        <is>
          <t>VA</t>
        </is>
      </c>
      <c r="B162" s="17" t="inlineStr">
        <is>
          <t>Prince William</t>
        </is>
      </c>
      <c r="C162" s="17" t="inlineStr">
        <is>
          <t>Diverse suburb, with large Hispanic and Black populations.</t>
        </is>
      </c>
      <c r="D162" s="17" t="inlineStr">
        <is>
          <t>Suburban swing among voters of color.</t>
        </is>
      </c>
      <c r="E162" s="17" t="inlineStr">
        <is>
          <t>College suburb/metro</t>
        </is>
      </c>
      <c r="F162" s="23">
        <f>Counties!O1431</f>
        <v/>
      </c>
      <c r="G162" s="24">
        <f>Counties!Q1431</f>
        <v/>
      </c>
      <c r="H162" s="23">
        <f>Counties!R1431</f>
        <v/>
      </c>
      <c r="I162" s="25">
        <f>Counties!S1431</f>
        <v/>
      </c>
      <c r="J162" s="25">
        <f>Counties!AQ1431/SUMIFS(Counties!$AQ:$AQ,Counties!$A:$A,"VA")</f>
        <v/>
      </c>
      <c r="K162" s="23">
        <f>Counties!T1431</f>
        <v/>
      </c>
      <c r="L162" s="23">
        <f>Counties!AH1431</f>
        <v/>
      </c>
      <c r="M162" s="26">
        <f>Counties!AO1431</f>
        <v/>
      </c>
      <c r="N162" s="24">
        <f>Counties!AN1431</f>
        <v/>
      </c>
      <c r="O162" s="17">
        <f>IF(L162="","not in yet",IF(N162&gt;=0.05,"Great for Warner",IF(N162&gt;=0.01,"Warner on track",IF(N162&gt;-0.01,"Toss-up",IF(N162&gt;-0.05,"Mizusawa on track","Great for Mizusawa"))))&amp;IF(Counties!AG1431=1,""," (partial)"))</f>
        <v/>
      </c>
      <c r="P162" s="27">
        <f>Counties!AU1431</f>
        <v/>
      </c>
      <c r="Q162" s="23">
        <f>Counties!AV1431</f>
        <v/>
      </c>
      <c r="R162" s="27">
        <f>Counties!AW1431</f>
        <v/>
      </c>
      <c r="S162" s="24">
        <f>Counties!AX1431</f>
        <v/>
      </c>
      <c r="T162" s="24">
        <f>Counties!AY1431</f>
        <v/>
      </c>
      <c r="U162" s="28">
        <f>IF(T162="","",T162*Counties!AF1431)</f>
        <v/>
      </c>
      <c r="V162" s="17">
        <f>IF(T162="",IF(L162="","not in yet","waiting for the full count"),IF(T162&gt;=0.05,"Great for Warner",IF(T162&gt;=0.01,"Warner on track",IF(T162&gt;-0.01,"Toss-up",IF(T162&gt;-0.05,"Mizusawa on track","Great for Mizusawa")))))</f>
        <v/>
      </c>
      <c r="W162" s="17" t="inlineStr">
        <is>
          <t>51153</t>
        </is>
      </c>
    </row>
    <row r="163" ht="54" customHeight="1">
      <c r="A163" s="17" t="inlineStr">
        <is>
          <t>VA</t>
        </is>
      </c>
      <c r="B163" s="17" t="inlineStr">
        <is>
          <t>Chesterfield</t>
        </is>
      </c>
      <c r="C163" s="17" t="inlineStr">
        <is>
          <t>Richmond suburb that has trended D.</t>
        </is>
      </c>
      <c r="D163" s="17" t="inlineStr">
        <is>
          <t>College suburbs outside Northern Virginia.</t>
        </is>
      </c>
      <c r="E163" s="17" t="inlineStr">
        <is>
          <t>College suburb/metro</t>
        </is>
      </c>
      <c r="F163" s="23">
        <f>Counties!O1356</f>
        <v/>
      </c>
      <c r="G163" s="24">
        <f>Counties!Q1356</f>
        <v/>
      </c>
      <c r="H163" s="23">
        <f>Counties!R1356</f>
        <v/>
      </c>
      <c r="I163" s="25">
        <f>Counties!S1356</f>
        <v/>
      </c>
      <c r="J163" s="25">
        <f>Counties!AQ1356/SUMIFS(Counties!$AQ:$AQ,Counties!$A:$A,"VA")</f>
        <v/>
      </c>
      <c r="K163" s="23">
        <f>Counties!T1356</f>
        <v/>
      </c>
      <c r="L163" s="23">
        <f>Counties!AH1356</f>
        <v/>
      </c>
      <c r="M163" s="26">
        <f>Counties!AO1356</f>
        <v/>
      </c>
      <c r="N163" s="24">
        <f>Counties!AN1356</f>
        <v/>
      </c>
      <c r="O163" s="17">
        <f>IF(L163="","not in yet",IF(N163&gt;=0.05,"Great for Warner",IF(N163&gt;=0.01,"Warner on track",IF(N163&gt;-0.01,"Toss-up",IF(N163&gt;-0.05,"Mizusawa on track","Great for Mizusawa"))))&amp;IF(Counties!AG1356=1,""," (partial)"))</f>
        <v/>
      </c>
      <c r="P163" s="27">
        <f>Counties!AU1356</f>
        <v/>
      </c>
      <c r="Q163" s="23">
        <f>Counties!AV1356</f>
        <v/>
      </c>
      <c r="R163" s="27">
        <f>Counties!AW1356</f>
        <v/>
      </c>
      <c r="S163" s="24">
        <f>Counties!AX1356</f>
        <v/>
      </c>
      <c r="T163" s="24">
        <f>Counties!AY1356</f>
        <v/>
      </c>
      <c r="U163" s="28">
        <f>IF(T163="","",T163*Counties!AF1356)</f>
        <v/>
      </c>
      <c r="V163" s="17">
        <f>IF(T163="",IF(L163="","not in yet","waiting for the full count"),IF(T163&gt;=0.05,"Great for Warner",IF(T163&gt;=0.01,"Warner on track",IF(T163&gt;-0.01,"Toss-up",IF(T163&gt;-0.05,"Mizusawa on track","Great for Mizusawa")))))</f>
        <v/>
      </c>
      <c r="W163" s="17" t="inlineStr">
        <is>
          <t>51041</t>
        </is>
      </c>
    </row>
    <row r="164" ht="54" customHeight="1">
      <c r="A164" s="17" t="inlineStr">
        <is>
          <t>VA</t>
        </is>
      </c>
      <c r="B164" s="17" t="inlineStr">
        <is>
          <t>Henrico</t>
        </is>
      </c>
      <c r="C164" s="17" t="inlineStr">
        <is>
          <t>Richmond suburb, about 30% Black and educated.</t>
        </is>
      </c>
      <c r="D164" s="17" t="inlineStr">
        <is>
          <t>Black and suburban turnout.</t>
        </is>
      </c>
      <c r="E164" s="17" t="inlineStr">
        <is>
          <t>College suburb/metro</t>
        </is>
      </c>
      <c r="F164" s="23">
        <f>Counties!O1389</f>
        <v/>
      </c>
      <c r="G164" s="24">
        <f>Counties!Q1389</f>
        <v/>
      </c>
      <c r="H164" s="23">
        <f>Counties!R1389</f>
        <v/>
      </c>
      <c r="I164" s="25">
        <f>Counties!S1389</f>
        <v/>
      </c>
      <c r="J164" s="25">
        <f>Counties!AQ1389/SUMIFS(Counties!$AQ:$AQ,Counties!$A:$A,"VA")</f>
        <v/>
      </c>
      <c r="K164" s="23">
        <f>Counties!T1389</f>
        <v/>
      </c>
      <c r="L164" s="23">
        <f>Counties!AH1389</f>
        <v/>
      </c>
      <c r="M164" s="26">
        <f>Counties!AO1389</f>
        <v/>
      </c>
      <c r="N164" s="24">
        <f>Counties!AN1389</f>
        <v/>
      </c>
      <c r="O164" s="17">
        <f>IF(L164="","not in yet",IF(N164&gt;=0.05,"Great for Warner",IF(N164&gt;=0.01,"Warner on track",IF(N164&gt;-0.01,"Toss-up",IF(N164&gt;-0.05,"Mizusawa on track","Great for Mizusawa"))))&amp;IF(Counties!AG1389=1,""," (partial)"))</f>
        <v/>
      </c>
      <c r="P164" s="27">
        <f>Counties!AU1389</f>
        <v/>
      </c>
      <c r="Q164" s="23">
        <f>Counties!AV1389</f>
        <v/>
      </c>
      <c r="R164" s="27">
        <f>Counties!AW1389</f>
        <v/>
      </c>
      <c r="S164" s="24">
        <f>Counties!AX1389</f>
        <v/>
      </c>
      <c r="T164" s="24">
        <f>Counties!AY1389</f>
        <v/>
      </c>
      <c r="U164" s="28">
        <f>IF(T164="","",T164*Counties!AF1389)</f>
        <v/>
      </c>
      <c r="V164" s="17">
        <f>IF(T164="",IF(L164="","not in yet","waiting for the full count"),IF(T164&gt;=0.05,"Great for Warner",IF(T164&gt;=0.01,"Warner on track",IF(T164&gt;-0.01,"Toss-up",IF(T164&gt;-0.05,"Mizusawa on track","Great for Mizusawa")))))</f>
        <v/>
      </c>
      <c r="W164" s="17" t="inlineStr">
        <is>
          <t>51087</t>
        </is>
      </c>
    </row>
    <row r="165" ht="54" customHeight="1">
      <c r="A165" s="17" t="inlineStr">
        <is>
          <t>VA</t>
        </is>
      </c>
      <c r="B165" s="17" t="inlineStr">
        <is>
          <t>Richmond city</t>
        </is>
      </c>
      <c r="C165" s="17" t="inlineStr">
        <is>
          <t>The D base in central Virginia.</t>
        </is>
      </c>
      <c r="D165" s="17" t="inlineStr">
        <is>
          <t>Turnout.</t>
        </is>
      </c>
      <c r="E165" s="17" t="inlineStr">
        <is>
          <t>Black Belt</t>
        </is>
      </c>
      <c r="F165" s="23">
        <f>Counties!O1436</f>
        <v/>
      </c>
      <c r="G165" s="24">
        <f>Counties!Q1436</f>
        <v/>
      </c>
      <c r="H165" s="23">
        <f>Counties!R1436</f>
        <v/>
      </c>
      <c r="I165" s="25">
        <f>Counties!S1436</f>
        <v/>
      </c>
      <c r="J165" s="25">
        <f>Counties!AQ1436/SUMIFS(Counties!$AQ:$AQ,Counties!$A:$A,"VA")</f>
        <v/>
      </c>
      <c r="K165" s="23">
        <f>Counties!T1436</f>
        <v/>
      </c>
      <c r="L165" s="23">
        <f>Counties!AH1436</f>
        <v/>
      </c>
      <c r="M165" s="26">
        <f>Counties!AO1436</f>
        <v/>
      </c>
      <c r="N165" s="24">
        <f>Counties!AN1436</f>
        <v/>
      </c>
      <c r="O165" s="17">
        <f>IF(L165="","not in yet",IF(N165&gt;=0.05,"Great for Warner",IF(N165&gt;=0.01,"Warner on track",IF(N165&gt;-0.01,"Toss-up",IF(N165&gt;-0.05,"Mizusawa on track","Great for Mizusawa"))))&amp;IF(Counties!AG1436=1,""," (partial)"))</f>
        <v/>
      </c>
      <c r="P165" s="27">
        <f>Counties!AU1436</f>
        <v/>
      </c>
      <c r="Q165" s="23">
        <f>Counties!AV1436</f>
        <v/>
      </c>
      <c r="R165" s="27">
        <f>Counties!AW1436</f>
        <v/>
      </c>
      <c r="S165" s="24">
        <f>Counties!AX1436</f>
        <v/>
      </c>
      <c r="T165" s="24">
        <f>Counties!AY1436</f>
        <v/>
      </c>
      <c r="U165" s="28">
        <f>IF(T165="","",T165*Counties!AF1436)</f>
        <v/>
      </c>
      <c r="V165" s="17">
        <f>IF(T165="",IF(L165="","not in yet","waiting for the full count"),IF(T165&gt;=0.05,"Great for Warner",IF(T165&gt;=0.01,"Warner on track",IF(T165&gt;-0.01,"Toss-up",IF(T165&gt;-0.05,"Mizusawa on track","Great for Mizusawa")))))</f>
        <v/>
      </c>
      <c r="W165" s="17" t="inlineStr">
        <is>
          <t>51760</t>
        </is>
      </c>
    </row>
    <row r="166" ht="54" customHeight="1">
      <c r="A166" s="17" t="inlineStr">
        <is>
          <t>VA</t>
        </is>
      </c>
      <c r="B166" s="17" t="inlineStr">
        <is>
          <t>Hanover</t>
        </is>
      </c>
      <c r="C166" s="17" t="inlineStr">
        <is>
          <t>Richmond's college-educated Republican suburb, the R counterpart to Henrico and Chesterfield.</t>
        </is>
      </c>
      <c r="D166" s="17" t="inlineStr">
        <is>
          <t>College-educated Republicans. It moved 1.3 pts toward D from 2020 to 2024; more of that is a national suburban signal.</t>
        </is>
      </c>
      <c r="E166" s="17" t="inlineStr">
        <is>
          <t>College suburb/metro</t>
        </is>
      </c>
      <c r="F166" s="23">
        <f>Counties!O1387</f>
        <v/>
      </c>
      <c r="G166" s="24">
        <f>Counties!Q1387</f>
        <v/>
      </c>
      <c r="H166" s="23">
        <f>Counties!R1387</f>
        <v/>
      </c>
      <c r="I166" s="25">
        <f>Counties!S1387</f>
        <v/>
      </c>
      <c r="J166" s="25">
        <f>Counties!AQ1387/SUMIFS(Counties!$AQ:$AQ,Counties!$A:$A,"VA")</f>
        <v/>
      </c>
      <c r="K166" s="23">
        <f>Counties!T1387</f>
        <v/>
      </c>
      <c r="L166" s="23">
        <f>Counties!AH1387</f>
        <v/>
      </c>
      <c r="M166" s="26">
        <f>Counties!AO1387</f>
        <v/>
      </c>
      <c r="N166" s="24">
        <f>Counties!AN1387</f>
        <v/>
      </c>
      <c r="O166" s="17">
        <f>IF(L166="","not in yet",IF(N166&gt;=0.05,"Great for Warner",IF(N166&gt;=0.01,"Warner on track",IF(N166&gt;-0.01,"Toss-up",IF(N166&gt;-0.05,"Mizusawa on track","Great for Mizusawa"))))&amp;IF(Counties!AG1387=1,""," (partial)"))</f>
        <v/>
      </c>
      <c r="P166" s="27">
        <f>Counties!AU1387</f>
        <v/>
      </c>
      <c r="Q166" s="23">
        <f>Counties!AV1387</f>
        <v/>
      </c>
      <c r="R166" s="27">
        <f>Counties!AW1387</f>
        <v/>
      </c>
      <c r="S166" s="24">
        <f>Counties!AX1387</f>
        <v/>
      </c>
      <c r="T166" s="24">
        <f>Counties!AY1387</f>
        <v/>
      </c>
      <c r="U166" s="28">
        <f>IF(T166="","",T166*Counties!AF1387)</f>
        <v/>
      </c>
      <c r="V166" s="17">
        <f>IF(T166="",IF(L166="","not in yet","waiting for the full count"),IF(T166&gt;=0.05,"Great for Warner",IF(T166&gt;=0.01,"Warner on track",IF(T166&gt;-0.01,"Toss-up",IF(T166&gt;-0.05,"Mizusawa on track","Great for Mizusawa")))))</f>
        <v/>
      </c>
      <c r="W166" s="17" t="inlineStr">
        <is>
          <t>51085</t>
        </is>
      </c>
    </row>
    <row r="167" ht="54" customHeight="1">
      <c r="A167" s="17" t="inlineStr">
        <is>
          <t>VA</t>
        </is>
      </c>
      <c r="B167" s="17" t="inlineStr">
        <is>
          <t>Bedford</t>
        </is>
      </c>
      <c r="C167" s="17" t="inlineStr">
        <is>
          <t>Lynchburg-area Republican base at R+51, the biggest R net-vote county in Virginia.</t>
        </is>
      </c>
      <c r="D167" s="17" t="inlineStr">
        <is>
          <t>Rural Republican turnout. The margin is locked in, so the vote count is the signal.</t>
        </is>
      </c>
      <c r="E167" s="17" t="inlineStr">
        <is>
          <t>Small town &amp; rural</t>
        </is>
      </c>
      <c r="F167" s="23">
        <f>Counties!O1341</f>
        <v/>
      </c>
      <c r="G167" s="24">
        <f>Counties!Q1341</f>
        <v/>
      </c>
      <c r="H167" s="23">
        <f>Counties!R1341</f>
        <v/>
      </c>
      <c r="I167" s="25">
        <f>Counties!S1341</f>
        <v/>
      </c>
      <c r="J167" s="25">
        <f>Counties!AQ1341/SUMIFS(Counties!$AQ:$AQ,Counties!$A:$A,"VA")</f>
        <v/>
      </c>
      <c r="K167" s="23">
        <f>Counties!T1341</f>
        <v/>
      </c>
      <c r="L167" s="23">
        <f>Counties!AH1341</f>
        <v/>
      </c>
      <c r="M167" s="26">
        <f>Counties!AO1341</f>
        <v/>
      </c>
      <c r="N167" s="24">
        <f>Counties!AN1341</f>
        <v/>
      </c>
      <c r="O167" s="17">
        <f>IF(L167="","not in yet",IF(N167&gt;=0.05,"Great for Warner",IF(N167&gt;=0.01,"Warner on track",IF(N167&gt;-0.01,"Toss-up",IF(N167&gt;-0.05,"Mizusawa on track","Great for Mizusawa"))))&amp;IF(Counties!AG1341=1,""," (partial)"))</f>
        <v/>
      </c>
      <c r="P167" s="27">
        <f>Counties!AU1341</f>
        <v/>
      </c>
      <c r="Q167" s="23">
        <f>Counties!AV1341</f>
        <v/>
      </c>
      <c r="R167" s="27">
        <f>Counties!AW1341</f>
        <v/>
      </c>
      <c r="S167" s="24">
        <f>Counties!AX1341</f>
        <v/>
      </c>
      <c r="T167" s="24">
        <f>Counties!AY1341</f>
        <v/>
      </c>
      <c r="U167" s="28">
        <f>IF(T167="","",T167*Counties!AF1341)</f>
        <v/>
      </c>
      <c r="V167" s="17">
        <f>IF(T167="",IF(L167="","not in yet","waiting for the full count"),IF(T167&gt;=0.05,"Great for Warner",IF(T167&gt;=0.01,"Warner on track",IF(T167&gt;-0.01,"Toss-up",IF(T167&gt;-0.05,"Mizusawa on track","Great for Mizusawa")))))</f>
        <v/>
      </c>
      <c r="W167" s="17" t="inlineStr">
        <is>
          <t>51019</t>
        </is>
      </c>
    </row>
    <row r="168" ht="54" customHeight="1">
      <c r="A168" s="29" t="inlineStr">
        <is>
          <t>VA</t>
        </is>
      </c>
      <c r="B168" s="29" t="inlineStr">
        <is>
          <t>All rural (102)</t>
        </is>
      </c>
      <c r="C168" s="29" t="inlineStr">
        <is>
          <t>Every small-town and rural county together: the Republican base's turnout test.</t>
        </is>
      </c>
      <c r="D168" s="29" t="inlineStr">
        <is>
          <t>Turnout index from its finished counties. Above 100 means the rural base is a bigger share of the vote than a tie assumes; the margin rarely moves much.</t>
        </is>
      </c>
      <c r="E168" s="29" t="inlineStr">
        <is>
          <t>Small town &amp; rural</t>
        </is>
      </c>
      <c r="F168" s="30">
        <f>Types!M70</f>
        <v/>
      </c>
      <c r="G168" s="31" t="n"/>
      <c r="H168" s="30" t="n"/>
      <c r="I168" s="32" t="n"/>
      <c r="J168" s="32">
        <f>Types!L70</f>
        <v/>
      </c>
      <c r="K168" s="30">
        <f>Types!P70</f>
        <v/>
      </c>
      <c r="L168" s="30">
        <f>Types!S70</f>
        <v/>
      </c>
      <c r="M168" s="33">
        <f>IFERROR(Types!E70/Types!D70,"")</f>
        <v/>
      </c>
      <c r="N168" s="31">
        <f>IF(L168="","",L168-K168)</f>
        <v/>
      </c>
      <c r="O168" s="29">
        <f>IF(Types!F70=0,"not in yet",IF(N168&gt;=0.05,"Great for Warner",IF(N168&gt;=0.01,"Warner on track",IF(N168&gt;-0.01,"Toss-up",IF(N168&gt;-0.05,"Mizusawa on track","Great for Mizusawa"))))&amp;" (projected)")</f>
        <v/>
      </c>
      <c r="P168" s="34">
        <f>Types!V70</f>
        <v/>
      </c>
      <c r="Q168" s="30">
        <f>Types!W70</f>
        <v/>
      </c>
      <c r="R168" s="34" t="n"/>
      <c r="S168" s="31">
        <f>IF(Q168="","",K168-Q168)</f>
        <v/>
      </c>
      <c r="T168" s="31">
        <f>Types!X70</f>
        <v/>
      </c>
      <c r="U168" s="35">
        <f>Types!Y70</f>
        <v/>
      </c>
      <c r="V168" s="29">
        <f>IF(T168="","not in yet",IF(T168&gt;=0.05,"Great for Warner",IF(T168&gt;=0.01,"Warner on track",IF(T168&gt;-0.01,"Toss-up",IF(T168&gt;-0.05,"Mizusawa on track","Great for Mizusawa"))))&amp;" (finished counties)")</f>
        <v/>
      </c>
      <c r="W168" s="29" t="n"/>
    </row>
    <row r="169">
      <c r="A169" s="22" t="inlineStr">
        <is>
          <t>Kentucky  ·  2024: R+31.0 (R+29.8 with 2022's turnout pattern)  ·  Charles Booker vs Andy Barr</t>
        </is>
      </c>
      <c r="B169" s="22" t="n"/>
      <c r="C169" s="22" t="n"/>
      <c r="D169" s="22" t="n"/>
      <c r="E169" s="22" t="n"/>
      <c r="F169" s="22" t="n"/>
      <c r="G169" s="22" t="n"/>
      <c r="H169" s="22" t="n"/>
      <c r="I169" s="22" t="n"/>
      <c r="J169" s="22" t="n"/>
      <c r="K169" s="22" t="n"/>
      <c r="L169" s="22" t="n"/>
      <c r="M169" s="22" t="n"/>
      <c r="N169" s="22" t="n"/>
      <c r="O169" s="22" t="n"/>
      <c r="P169" s="22" t="n"/>
      <c r="Q169" s="22" t="n"/>
      <c r="R169" s="22" t="n"/>
      <c r="S169" s="22" t="n"/>
      <c r="T169" s="22" t="n"/>
      <c r="U169" s="22" t="n"/>
      <c r="V169" s="22" t="n"/>
      <c r="W169" s="22" t="n"/>
    </row>
    <row r="170" ht="54" customHeight="1">
      <c r="A170" s="17" t="inlineStr">
        <is>
          <t>KY</t>
        </is>
      </c>
      <c r="B170" s="17" t="inlineStr">
        <is>
          <t>Jefferson</t>
        </is>
      </c>
      <c r="C170" s="17" t="inlineStr">
        <is>
          <t>Louisville. Kentucky's D base, where Booker is from.</t>
        </is>
      </c>
      <c r="D170" s="17" t="inlineStr">
        <is>
          <t>Booker's home margin and Black turnout.</t>
        </is>
      </c>
      <c r="E170" s="17" t="inlineStr">
        <is>
          <t>Big metro core</t>
        </is>
      </c>
      <c r="F170" s="23">
        <f>Counties!O1519</f>
        <v/>
      </c>
      <c r="G170" s="24">
        <f>Counties!Q1519</f>
        <v/>
      </c>
      <c r="H170" s="23">
        <f>Counties!R1519</f>
        <v/>
      </c>
      <c r="I170" s="25">
        <f>Counties!S1519</f>
        <v/>
      </c>
      <c r="J170" s="25">
        <f>Counties!AQ1519/SUMIFS(Counties!$AQ:$AQ,Counties!$A:$A,"KY")</f>
        <v/>
      </c>
      <c r="K170" s="23">
        <f>Counties!T1519</f>
        <v/>
      </c>
      <c r="L170" s="23">
        <f>Counties!AH1519</f>
        <v/>
      </c>
      <c r="M170" s="26">
        <f>Counties!AO1519</f>
        <v/>
      </c>
      <c r="N170" s="24">
        <f>Counties!AN1519</f>
        <v/>
      </c>
      <c r="O170" s="17">
        <f>IF(L170="","not in yet",IF(N170&gt;=0.05,"Great for Booker",IF(N170&gt;=0.01,"Booker on track",IF(N170&gt;-0.01,"Toss-up",IF(N170&gt;-0.05,"Barr on track","Great for Barr"))))&amp;IF(Counties!AG1519=1,""," (partial)"))</f>
        <v/>
      </c>
      <c r="P170" s="27">
        <f>Counties!AU1519</f>
        <v/>
      </c>
      <c r="Q170" s="23">
        <f>Counties!AV1519</f>
        <v/>
      </c>
      <c r="R170" s="27">
        <f>Counties!AW1519</f>
        <v/>
      </c>
      <c r="S170" s="24">
        <f>Counties!AX1519</f>
        <v/>
      </c>
      <c r="T170" s="24">
        <f>Counties!AY1519</f>
        <v/>
      </c>
      <c r="U170" s="28">
        <f>IF(T170="","",T170*Counties!AF1519)</f>
        <v/>
      </c>
      <c r="V170" s="17">
        <f>IF(T170="",IF(L170="","not in yet","waiting for the full count"),IF(T170&gt;=0.05,"Great for Booker",IF(T170&gt;=0.01,"Booker on track",IF(T170&gt;-0.01,"Toss-up",IF(T170&gt;-0.05,"Barr on track","Great for Barr")))))</f>
        <v/>
      </c>
      <c r="W170" s="17" t="inlineStr">
        <is>
          <t>21111</t>
        </is>
      </c>
    </row>
    <row r="171" ht="54" customHeight="1">
      <c r="A171" s="17" t="inlineStr">
        <is>
          <t>KY</t>
        </is>
      </c>
      <c r="B171" s="17" t="inlineStr">
        <is>
          <t>Fayette</t>
        </is>
      </c>
      <c r="C171" s="17" t="inlineStr">
        <is>
          <t>Lexington. A college town that's solidly D.</t>
        </is>
      </c>
      <c r="D171" s="17" t="inlineStr">
        <is>
          <t>Educated-voter swing.</t>
        </is>
      </c>
      <c r="E171" s="17" t="inlineStr">
        <is>
          <t>College suburb/metro</t>
        </is>
      </c>
      <c r="F171" s="23">
        <f>Counties!O1497</f>
        <v/>
      </c>
      <c r="G171" s="24">
        <f>Counties!Q1497</f>
        <v/>
      </c>
      <c r="H171" s="23">
        <f>Counties!R1497</f>
        <v/>
      </c>
      <c r="I171" s="25">
        <f>Counties!S1497</f>
        <v/>
      </c>
      <c r="J171" s="25">
        <f>Counties!AQ1497/SUMIFS(Counties!$AQ:$AQ,Counties!$A:$A,"KY")</f>
        <v/>
      </c>
      <c r="K171" s="23">
        <f>Counties!T1497</f>
        <v/>
      </c>
      <c r="L171" s="23">
        <f>Counties!AH1497</f>
        <v/>
      </c>
      <c r="M171" s="26">
        <f>Counties!AO1497</f>
        <v/>
      </c>
      <c r="N171" s="24">
        <f>Counties!AN1497</f>
        <v/>
      </c>
      <c r="O171" s="17">
        <f>IF(L171="","not in yet",IF(N171&gt;=0.05,"Great for Booker",IF(N171&gt;=0.01,"Booker on track",IF(N171&gt;-0.01,"Toss-up",IF(N171&gt;-0.05,"Barr on track","Great for Barr"))))&amp;IF(Counties!AG1497=1,""," (partial)"))</f>
        <v/>
      </c>
      <c r="P171" s="27">
        <f>Counties!AU1497</f>
        <v/>
      </c>
      <c r="Q171" s="23">
        <f>Counties!AV1497</f>
        <v/>
      </c>
      <c r="R171" s="27">
        <f>Counties!AW1497</f>
        <v/>
      </c>
      <c r="S171" s="24">
        <f>Counties!AX1497</f>
        <v/>
      </c>
      <c r="T171" s="24">
        <f>Counties!AY1497</f>
        <v/>
      </c>
      <c r="U171" s="28">
        <f>IF(T171="","",T171*Counties!AF1497)</f>
        <v/>
      </c>
      <c r="V171" s="17">
        <f>IF(T171="",IF(L171="","not in yet","waiting for the full count"),IF(T171&gt;=0.05,"Great for Booker",IF(T171&gt;=0.01,"Booker on track",IF(T171&gt;-0.01,"Toss-up",IF(T171&gt;-0.05,"Barr on track","Great for Barr")))))</f>
        <v/>
      </c>
      <c r="W171" s="17" t="inlineStr">
        <is>
          <t>21067</t>
        </is>
      </c>
    </row>
    <row r="172" ht="54" customHeight="1">
      <c r="A172" s="17" t="inlineStr">
        <is>
          <t>KY</t>
        </is>
      </c>
      <c r="B172" s="17" t="inlineStr">
        <is>
          <t>Kenton</t>
        </is>
      </c>
      <c r="C172" s="17" t="inlineStr">
        <is>
          <t>Northern Kentucky suburbs of Cincinnati, R+22.</t>
        </is>
      </c>
      <c r="D172" s="17" t="inlineStr">
        <is>
          <t>Suburban swing in the earliest-closing state.</t>
        </is>
      </c>
      <c r="E172" s="17" t="inlineStr">
        <is>
          <t>Mid-size/working metro</t>
        </is>
      </c>
      <c r="F172" s="23">
        <f>Counties!O1522</f>
        <v/>
      </c>
      <c r="G172" s="24">
        <f>Counties!Q1522</f>
        <v/>
      </c>
      <c r="H172" s="23">
        <f>Counties!R1522</f>
        <v/>
      </c>
      <c r="I172" s="25">
        <f>Counties!S1522</f>
        <v/>
      </c>
      <c r="J172" s="25">
        <f>Counties!AQ1522/SUMIFS(Counties!$AQ:$AQ,Counties!$A:$A,"KY")</f>
        <v/>
      </c>
      <c r="K172" s="23">
        <f>Counties!T1522</f>
        <v/>
      </c>
      <c r="L172" s="23">
        <f>Counties!AH1522</f>
        <v/>
      </c>
      <c r="M172" s="26">
        <f>Counties!AO1522</f>
        <v/>
      </c>
      <c r="N172" s="24">
        <f>Counties!AN1522</f>
        <v/>
      </c>
      <c r="O172" s="17">
        <f>IF(L172="","not in yet",IF(N172&gt;=0.05,"Great for Booker",IF(N172&gt;=0.01,"Booker on track",IF(N172&gt;-0.01,"Toss-up",IF(N172&gt;-0.05,"Barr on track","Great for Barr"))))&amp;IF(Counties!AG1522=1,""," (partial)"))</f>
        <v/>
      </c>
      <c r="P172" s="27">
        <f>Counties!AU1522</f>
        <v/>
      </c>
      <c r="Q172" s="23">
        <f>Counties!AV1522</f>
        <v/>
      </c>
      <c r="R172" s="27">
        <f>Counties!AW1522</f>
        <v/>
      </c>
      <c r="S172" s="24">
        <f>Counties!AX1522</f>
        <v/>
      </c>
      <c r="T172" s="24">
        <f>Counties!AY1522</f>
        <v/>
      </c>
      <c r="U172" s="28">
        <f>IF(T172="","",T172*Counties!AF1522)</f>
        <v/>
      </c>
      <c r="V172" s="17">
        <f>IF(T172="",IF(L172="","not in yet","waiting for the full count"),IF(T172&gt;=0.05,"Great for Booker",IF(T172&gt;=0.01,"Booker on track",IF(T172&gt;-0.01,"Toss-up",IF(T172&gt;-0.05,"Barr on track","Great for Barr")))))</f>
        <v/>
      </c>
      <c r="W172" s="17" t="inlineStr">
        <is>
          <t>21117</t>
        </is>
      </c>
    </row>
    <row r="173" ht="54" customHeight="1">
      <c r="A173" s="17" t="inlineStr">
        <is>
          <t>KY</t>
        </is>
      </c>
      <c r="B173" s="17" t="inlineStr">
        <is>
          <t>Boone</t>
        </is>
      </c>
      <c r="C173" s="17" t="inlineStr">
        <is>
          <t>Fast-growing Cincinnati exurb, very R.</t>
        </is>
      </c>
      <c r="D173" s="17" t="inlineStr">
        <is>
          <t>R turnout.</t>
        </is>
      </c>
      <c r="E173" s="17" t="inlineStr">
        <is>
          <t>Mid-size/working metro</t>
        </is>
      </c>
      <c r="F173" s="23">
        <f>Counties!O1471</f>
        <v/>
      </c>
      <c r="G173" s="24">
        <f>Counties!Q1471</f>
        <v/>
      </c>
      <c r="H173" s="23">
        <f>Counties!R1471</f>
        <v/>
      </c>
      <c r="I173" s="25">
        <f>Counties!S1471</f>
        <v/>
      </c>
      <c r="J173" s="25">
        <f>Counties!AQ1471/SUMIFS(Counties!$AQ:$AQ,Counties!$A:$A,"KY")</f>
        <v/>
      </c>
      <c r="K173" s="23">
        <f>Counties!T1471</f>
        <v/>
      </c>
      <c r="L173" s="23">
        <f>Counties!AH1471</f>
        <v/>
      </c>
      <c r="M173" s="26">
        <f>Counties!AO1471</f>
        <v/>
      </c>
      <c r="N173" s="24">
        <f>Counties!AN1471</f>
        <v/>
      </c>
      <c r="O173" s="17">
        <f>IF(L173="","not in yet",IF(N173&gt;=0.05,"Great for Booker",IF(N173&gt;=0.01,"Booker on track",IF(N173&gt;-0.01,"Toss-up",IF(N173&gt;-0.05,"Barr on track","Great for Barr"))))&amp;IF(Counties!AG1471=1,""," (partial)"))</f>
        <v/>
      </c>
      <c r="P173" s="27">
        <f>Counties!AU1471</f>
        <v/>
      </c>
      <c r="Q173" s="23">
        <f>Counties!AV1471</f>
        <v/>
      </c>
      <c r="R173" s="27">
        <f>Counties!AW1471</f>
        <v/>
      </c>
      <c r="S173" s="24">
        <f>Counties!AX1471</f>
        <v/>
      </c>
      <c r="T173" s="24">
        <f>Counties!AY1471</f>
        <v/>
      </c>
      <c r="U173" s="28">
        <f>IF(T173="","",T173*Counties!AF1471)</f>
        <v/>
      </c>
      <c r="V173" s="17">
        <f>IF(T173="",IF(L173="","not in yet","waiting for the full count"),IF(T173&gt;=0.05,"Great for Booker",IF(T173&gt;=0.01,"Booker on track",IF(T173&gt;-0.01,"Toss-up",IF(T173&gt;-0.05,"Barr on track","Great for Barr")))))</f>
        <v/>
      </c>
      <c r="W173" s="17" t="inlineStr">
        <is>
          <t>21015</t>
        </is>
      </c>
    </row>
    <row r="174" ht="54" customHeight="1">
      <c r="A174" s="17" t="inlineStr">
        <is>
          <t>KY</t>
        </is>
      </c>
      <c r="B174" s="17" t="inlineStr">
        <is>
          <t>Warren</t>
        </is>
      </c>
      <c r="C174" s="17" t="inlineStr">
        <is>
          <t>Bowling Green. Growing, R+25.</t>
        </is>
      </c>
      <c r="D174" s="17" t="inlineStr">
        <is>
          <t>Mid-size metro swing.</t>
        </is>
      </c>
      <c r="E174" s="17" t="inlineStr">
        <is>
          <t>Mid-size/working metro</t>
        </is>
      </c>
      <c r="F174" s="23">
        <f>Counties!O1577</f>
        <v/>
      </c>
      <c r="G174" s="24">
        <f>Counties!Q1577</f>
        <v/>
      </c>
      <c r="H174" s="23">
        <f>Counties!R1577</f>
        <v/>
      </c>
      <c r="I174" s="25">
        <f>Counties!S1577</f>
        <v/>
      </c>
      <c r="J174" s="25">
        <f>Counties!AQ1577/SUMIFS(Counties!$AQ:$AQ,Counties!$A:$A,"KY")</f>
        <v/>
      </c>
      <c r="K174" s="23">
        <f>Counties!T1577</f>
        <v/>
      </c>
      <c r="L174" s="23">
        <f>Counties!AH1577</f>
        <v/>
      </c>
      <c r="M174" s="26">
        <f>Counties!AO1577</f>
        <v/>
      </c>
      <c r="N174" s="24">
        <f>Counties!AN1577</f>
        <v/>
      </c>
      <c r="O174" s="17">
        <f>IF(L174="","not in yet",IF(N174&gt;=0.05,"Great for Booker",IF(N174&gt;=0.01,"Booker on track",IF(N174&gt;-0.01,"Toss-up",IF(N174&gt;-0.05,"Barr on track","Great for Barr"))))&amp;IF(Counties!AG1577=1,""," (partial)"))</f>
        <v/>
      </c>
      <c r="P174" s="27">
        <f>Counties!AU1577</f>
        <v/>
      </c>
      <c r="Q174" s="23">
        <f>Counties!AV1577</f>
        <v/>
      </c>
      <c r="R174" s="27">
        <f>Counties!AW1577</f>
        <v/>
      </c>
      <c r="S174" s="24">
        <f>Counties!AX1577</f>
        <v/>
      </c>
      <c r="T174" s="24">
        <f>Counties!AY1577</f>
        <v/>
      </c>
      <c r="U174" s="28">
        <f>IF(T174="","",T174*Counties!AF1577)</f>
        <v/>
      </c>
      <c r="V174" s="17">
        <f>IF(T174="",IF(L174="","not in yet","waiting for the full count"),IF(T174&gt;=0.05,"Great for Booker",IF(T174&gt;=0.01,"Booker on track",IF(T174&gt;-0.01,"Toss-up",IF(T174&gt;-0.05,"Barr on track","Great for Barr")))))</f>
        <v/>
      </c>
      <c r="W174" s="17" t="inlineStr">
        <is>
          <t>21227</t>
        </is>
      </c>
    </row>
    <row r="175" ht="54" customHeight="1">
      <c r="A175" s="17" t="inlineStr">
        <is>
          <t>KY</t>
        </is>
      </c>
      <c r="B175" s="17" t="inlineStr">
        <is>
          <t>Pike</t>
        </is>
      </c>
      <c r="C175" s="17" t="inlineStr">
        <is>
          <t>Eastern Kentucky coal country, where polls close at 6 PM ET. Among the first counties in the nation to report.</t>
        </is>
      </c>
      <c r="D175" s="17" t="inlineStr">
        <is>
          <t>Ancestral Democrats. Booker ran far ahead of Harris in eastern Kentucky in 2022, so compare against both 2024 and 2022.</t>
        </is>
      </c>
      <c r="E175" s="17" t="inlineStr">
        <is>
          <t>Small town &amp; rural</t>
        </is>
      </c>
      <c r="F175" s="23">
        <f>Counties!O1561</f>
        <v/>
      </c>
      <c r="G175" s="24">
        <f>Counties!Q1561</f>
        <v/>
      </c>
      <c r="H175" s="23">
        <f>Counties!R1561</f>
        <v/>
      </c>
      <c r="I175" s="25">
        <f>Counties!S1561</f>
        <v/>
      </c>
      <c r="J175" s="25">
        <f>Counties!AQ1561/SUMIFS(Counties!$AQ:$AQ,Counties!$A:$A,"KY")</f>
        <v/>
      </c>
      <c r="K175" s="23">
        <f>Counties!T1561</f>
        <v/>
      </c>
      <c r="L175" s="23">
        <f>Counties!AH1561</f>
        <v/>
      </c>
      <c r="M175" s="26">
        <f>Counties!AO1561</f>
        <v/>
      </c>
      <c r="N175" s="24">
        <f>Counties!AN1561</f>
        <v/>
      </c>
      <c r="O175" s="17">
        <f>IF(L175="","not in yet",IF(N175&gt;=0.05,"Great for Booker",IF(N175&gt;=0.01,"Booker on track",IF(N175&gt;-0.01,"Toss-up",IF(N175&gt;-0.05,"Barr on track","Great for Barr"))))&amp;IF(Counties!AG1561=1,""," (partial)"))</f>
        <v/>
      </c>
      <c r="P175" s="27">
        <f>Counties!AU1561</f>
        <v/>
      </c>
      <c r="Q175" s="23">
        <f>Counties!AV1561</f>
        <v/>
      </c>
      <c r="R175" s="27">
        <f>Counties!AW1561</f>
        <v/>
      </c>
      <c r="S175" s="24">
        <f>Counties!AX1561</f>
        <v/>
      </c>
      <c r="T175" s="24">
        <f>Counties!AY1561</f>
        <v/>
      </c>
      <c r="U175" s="28">
        <f>IF(T175="","",T175*Counties!AF1561)</f>
        <v/>
      </c>
      <c r="V175" s="17">
        <f>IF(T175="",IF(L175="","not in yet","waiting for the full count"),IF(T175&gt;=0.05,"Great for Booker",IF(T175&gt;=0.01,"Booker on track",IF(T175&gt;-0.01,"Toss-up",IF(T175&gt;-0.05,"Barr on track","Great for Barr")))))</f>
        <v/>
      </c>
      <c r="W175" s="17" t="inlineStr">
        <is>
          <t>21195</t>
        </is>
      </c>
    </row>
    <row r="176" ht="54" customHeight="1">
      <c r="A176" s="17" t="inlineStr">
        <is>
          <t>KY</t>
        </is>
      </c>
      <c r="B176" s="17" t="inlineStr">
        <is>
          <t>Floyd</t>
        </is>
      </c>
      <c r="C176" s="17" t="inlineStr">
        <is>
          <t>Eastern Kentucky, R+60 in 2024 but only R+31 for Senate in 2022.</t>
        </is>
      </c>
      <c r="D176" s="17" t="inlineStr">
        <is>
          <t>Same as Pike.</t>
        </is>
      </c>
      <c r="E176" s="17" t="inlineStr">
        <is>
          <t>Small town &amp; rural</t>
        </is>
      </c>
      <c r="F176" s="23">
        <f>Counties!O1499</f>
        <v/>
      </c>
      <c r="G176" s="24">
        <f>Counties!Q1499</f>
        <v/>
      </c>
      <c r="H176" s="23">
        <f>Counties!R1499</f>
        <v/>
      </c>
      <c r="I176" s="25">
        <f>Counties!S1499</f>
        <v/>
      </c>
      <c r="J176" s="25">
        <f>Counties!AQ1499/SUMIFS(Counties!$AQ:$AQ,Counties!$A:$A,"KY")</f>
        <v/>
      </c>
      <c r="K176" s="23">
        <f>Counties!T1499</f>
        <v/>
      </c>
      <c r="L176" s="23">
        <f>Counties!AH1499</f>
        <v/>
      </c>
      <c r="M176" s="26">
        <f>Counties!AO1499</f>
        <v/>
      </c>
      <c r="N176" s="24">
        <f>Counties!AN1499</f>
        <v/>
      </c>
      <c r="O176" s="17">
        <f>IF(L176="","not in yet",IF(N176&gt;=0.05,"Great for Booker",IF(N176&gt;=0.01,"Booker on track",IF(N176&gt;-0.01,"Toss-up",IF(N176&gt;-0.05,"Barr on track","Great for Barr"))))&amp;IF(Counties!AG1499=1,""," (partial)"))</f>
        <v/>
      </c>
      <c r="P176" s="27">
        <f>Counties!AU1499</f>
        <v/>
      </c>
      <c r="Q176" s="23">
        <f>Counties!AV1499</f>
        <v/>
      </c>
      <c r="R176" s="27">
        <f>Counties!AW1499</f>
        <v/>
      </c>
      <c r="S176" s="24">
        <f>Counties!AX1499</f>
        <v/>
      </c>
      <c r="T176" s="24">
        <f>Counties!AY1499</f>
        <v/>
      </c>
      <c r="U176" s="28">
        <f>IF(T176="","",T176*Counties!AF1499)</f>
        <v/>
      </c>
      <c r="V176" s="17">
        <f>IF(T176="",IF(L176="","not in yet","waiting for the full count"),IF(T176&gt;=0.05,"Great for Booker",IF(T176&gt;=0.01,"Booker on track",IF(T176&gt;-0.01,"Toss-up",IF(T176&gt;-0.05,"Barr on track","Great for Barr")))))</f>
        <v/>
      </c>
      <c r="W176" s="17" t="inlineStr">
        <is>
          <t>21071</t>
        </is>
      </c>
    </row>
    <row r="177" ht="54" customHeight="1">
      <c r="A177" s="29" t="inlineStr">
        <is>
          <t>KY</t>
        </is>
      </c>
      <c r="B177" s="29" t="inlineStr">
        <is>
          <t>All rural (113)</t>
        </is>
      </c>
      <c r="C177" s="29" t="inlineStr">
        <is>
          <t>Every small-town and rural county together: the Republican base's turnout test.</t>
        </is>
      </c>
      <c r="D177" s="29" t="inlineStr">
        <is>
          <t>Turnout index from its finished counties. Above 100 means the rural base is a bigger share of the vote than a tie assumes; the margin rarely moves much.</t>
        </is>
      </c>
      <c r="E177" s="29" t="inlineStr">
        <is>
          <t>Small town &amp; rural</t>
        </is>
      </c>
      <c r="F177" s="30">
        <f>Types!M74</f>
        <v/>
      </c>
      <c r="G177" s="31" t="n"/>
      <c r="H177" s="30" t="n"/>
      <c r="I177" s="32" t="n"/>
      <c r="J177" s="32">
        <f>Types!L74</f>
        <v/>
      </c>
      <c r="K177" s="30">
        <f>Types!P74</f>
        <v/>
      </c>
      <c r="L177" s="30">
        <f>Types!S74</f>
        <v/>
      </c>
      <c r="M177" s="33">
        <f>IFERROR(Types!E74/Types!D74,"")</f>
        <v/>
      </c>
      <c r="N177" s="31">
        <f>IF(L177="","",L177-K177)</f>
        <v/>
      </c>
      <c r="O177" s="29">
        <f>IF(Types!F74=0,"not in yet",IF(N177&gt;=0.05,"Great for Booker",IF(N177&gt;=0.01,"Booker on track",IF(N177&gt;-0.01,"Toss-up",IF(N177&gt;-0.05,"Barr on track","Great for Barr"))))&amp;" (projected)")</f>
        <v/>
      </c>
      <c r="P177" s="34">
        <f>Types!V74</f>
        <v/>
      </c>
      <c r="Q177" s="30">
        <f>Types!W74</f>
        <v/>
      </c>
      <c r="R177" s="34" t="n"/>
      <c r="S177" s="31">
        <f>IF(Q177="","",K177-Q177)</f>
        <v/>
      </c>
      <c r="T177" s="31">
        <f>Types!X74</f>
        <v/>
      </c>
      <c r="U177" s="35">
        <f>Types!Y74</f>
        <v/>
      </c>
      <c r="V177" s="29">
        <f>IF(T177="","not in yet",IF(T177&gt;=0.05,"Great for Booker",IF(T177&gt;=0.01,"Booker on track",IF(T177&gt;-0.01,"Toss-up",IF(T177&gt;-0.05,"Barr on track","Great for Barr"))))&amp;" (finished counties)")</f>
        <v/>
      </c>
      <c r="W177" s="29" t="n"/>
    </row>
  </sheetData>
  <mergeCells count="1">
    <mergeCell ref="A2:V2"/>
  </mergeCells>
  <conditionalFormatting sqref="O5:O178">
    <cfRule type="expression" priority="1" dxfId="0" stopIfTrue="1">
      <formula>AND($N5&lt;&gt;"",$N5&gt;=0.05)</formula>
    </cfRule>
    <cfRule type="expression" priority="2" dxfId="1" stopIfTrue="1">
      <formula>AND($N5&lt;&gt;"",$N5&gt;=0.01)</formula>
    </cfRule>
    <cfRule type="expression" priority="3" dxfId="2" stopIfTrue="1">
      <formula>AND($N5&lt;&gt;"",$N5&gt;-0.01)</formula>
    </cfRule>
    <cfRule type="expression" priority="4" dxfId="3" stopIfTrue="1">
      <formula>AND($N5&lt;&gt;"",$N5&gt;-0.05)</formula>
    </cfRule>
    <cfRule type="expression" priority="5" dxfId="4" stopIfTrue="1">
      <formula>AND($N5&lt;&gt;"",TRUE)</formula>
    </cfRule>
  </conditionalFormatting>
  <conditionalFormatting sqref="L5:L178">
    <cfRule type="expression" priority="6" dxfId="0" stopIfTrue="1">
      <formula>AND($N5&lt;&gt;"",$N5&gt;=0.05)</formula>
    </cfRule>
    <cfRule type="expression" priority="7" dxfId="1" stopIfTrue="1">
      <formula>AND($N5&lt;&gt;"",$N5&gt;=0.01)</formula>
    </cfRule>
    <cfRule type="expression" priority="8" dxfId="2" stopIfTrue="1">
      <formula>AND($N5&lt;&gt;"",$N5&gt;-0.01)</formula>
    </cfRule>
    <cfRule type="expression" priority="9" dxfId="3" stopIfTrue="1">
      <formula>AND($N5&lt;&gt;"",$N5&gt;-0.05)</formula>
    </cfRule>
    <cfRule type="expression" priority="10" dxfId="4" stopIfTrue="1">
      <formula>AND($N5&lt;&gt;"",TRUE)</formula>
    </cfRule>
  </conditionalFormatting>
  <conditionalFormatting sqref="V5:V178">
    <cfRule type="expression" priority="11" dxfId="0" stopIfTrue="1">
      <formula>AND($T5&lt;&gt;"",$T5&gt;=0.05)</formula>
    </cfRule>
    <cfRule type="expression" priority="12" dxfId="1" stopIfTrue="1">
      <formula>AND($T5&lt;&gt;"",$T5&gt;=0.01)</formula>
    </cfRule>
    <cfRule type="expression" priority="13" dxfId="2" stopIfTrue="1">
      <formula>AND($T5&lt;&gt;"",$T5&gt;-0.01)</formula>
    </cfRule>
    <cfRule type="expression" priority="14" dxfId="3" stopIfTrue="1">
      <formula>AND($T5&lt;&gt;"",$T5&gt;-0.05)</formula>
    </cfRule>
    <cfRule type="expression" priority="15" dxfId="4" stopIfTrue="1">
      <formula>AND($T5&lt;&gt;"",TRUE)</formula>
    </cfRule>
  </conditionalFormatting>
  <conditionalFormatting sqref="P5:P178">
    <cfRule type="expression" priority="16" dxfId="0" stopIfTrue="1">
      <formula>AND($S5&lt;&gt;"",$S5&gt;=0.05)</formula>
    </cfRule>
    <cfRule type="expression" priority="17" dxfId="1" stopIfTrue="1">
      <formula>AND($S5&lt;&gt;"",$S5&gt;=0.01)</formula>
    </cfRule>
    <cfRule type="expression" priority="18" dxfId="2" stopIfTrue="1">
      <formula>AND($S5&lt;&gt;"",$S5&gt;-0.01)</formula>
    </cfRule>
    <cfRule type="expression" priority="19" dxfId="3" stopIfTrue="1">
      <formula>AND($S5&lt;&gt;"",$S5&gt;-0.05)</formula>
    </cfRule>
    <cfRule type="expression" priority="20" dxfId="4" stopIfTrue="1">
      <formula>AND($S5&lt;&gt;"",TRUE)</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16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3" customWidth="1" min="2" max="2"/>
    <col width="16" customWidth="1" min="3" max="3"/>
    <col width="11" customWidth="1" min="4" max="4"/>
    <col width="9" customWidth="1" min="5" max="5"/>
    <col width="9" customWidth="1" min="6" max="6"/>
    <col width="9" customWidth="1" min="7" max="7"/>
    <col width="9" customWidth="1" min="8" max="8"/>
    <col width="9" customWidth="1" min="9" max="9"/>
    <col width="9" customWidth="1" min="10" max="10"/>
    <col width="9" customWidth="1" min="11" max="11"/>
    <col width="11" customWidth="1" min="12" max="12"/>
    <col width="11" customWidth="1" min="13" max="13"/>
    <col width="11" customWidth="1" min="14" max="14"/>
    <col width="11" customWidth="1" min="15" max="15"/>
    <col width="11" customWidth="1" min="16" max="16"/>
    <col width="11" customWidth="1" min="17" max="17"/>
    <col width="9" customWidth="1" min="18" max="18"/>
    <col width="11" customWidth="1" min="19" max="19"/>
    <col width="8" customWidth="1" min="20" max="20"/>
    <col width="9" customWidth="1" min="21" max="21"/>
    <col width="10" customWidth="1" min="22" max="22"/>
    <col width="10" customWidth="1" min="23" max="23"/>
    <col width="26" customWidth="1" min="24" max="24"/>
    <col width="100" customWidth="1" min="25" max="25"/>
  </cols>
  <sheetData>
    <row r="1">
      <c r="A1" s="20" t="inlineStr">
        <is>
          <t>County benchmarks: what each key county needs to show when it finishes counting</t>
        </is>
      </c>
    </row>
    <row r="2" ht="42" customHeight="1">
      <c r="A2" s="21" t="inlineStr">
        <is>
          <t>Each column is the county margin that matches a statewide result, if every county moves the same amount from 2024 and turnout follows 2022's pattern. Net votes = that margin x the county's par vote (its 2022-pattern two-party vote x the state's projected turnout pace, so it rescales on the night). Read a county's FINAL number against these; partial counts are skewed by vote method (see First Counties). Once a county is fully counted, its turnout index adjusts the break-even and the reading uses margin and turnout together.</t>
        </is>
      </c>
    </row>
    <row r="4" ht="54" customHeight="1">
      <c r="A4" s="7" t="inlineStr">
        <is>
          <t>State</t>
        </is>
      </c>
      <c r="B4" s="7" t="inlineStr">
        <is>
          <t>County</t>
        </is>
      </c>
      <c r="C4" s="7" t="inlineStr">
        <is>
          <t>Type</t>
        </is>
      </c>
      <c r="D4" s="7" t="inlineStr">
        <is>
          <t>Par 2-party votes (tie pace)</t>
        </is>
      </c>
      <c r="E4" s="7" t="inlineStr">
        <is>
          <t>Margin 2024</t>
        </is>
      </c>
      <c r="F4" s="7" t="inlineStr">
        <is>
          <t>Margin 2022</t>
        </is>
      </c>
      <c r="G4" s="7" t="inlineStr">
        <is>
          <t>Margin if state ends R+5</t>
        </is>
      </c>
      <c r="H4" s="7" t="inlineStr">
        <is>
          <t>Margin if state ends R+1</t>
        </is>
      </c>
      <c r="I4" s="7" t="inlineStr">
        <is>
          <t>Margin if state ends tie</t>
        </is>
      </c>
      <c r="J4" s="7" t="inlineStr">
        <is>
          <t>Margin if state ends D+1</t>
        </is>
      </c>
      <c r="K4" s="7" t="inlineStr">
        <is>
          <t>Margin if state ends D+5</t>
        </is>
      </c>
      <c r="L4" s="7" t="inlineStr">
        <is>
          <t>Net votes if state ends R+5</t>
        </is>
      </c>
      <c r="M4" s="7" t="inlineStr">
        <is>
          <t>Net votes if state ends R+1</t>
        </is>
      </c>
      <c r="N4" s="7" t="inlineStr">
        <is>
          <t>Net votes if state ends tie</t>
        </is>
      </c>
      <c r="O4" s="7" t="inlineStr">
        <is>
          <t>Net votes if state ends D+1</t>
        </is>
      </c>
      <c r="P4" s="7" t="inlineStr">
        <is>
          <t>Net votes if state ends D+5</t>
        </is>
      </c>
      <c r="Q4" s="7" t="inlineStr">
        <is>
          <t>D votes needed for a tie</t>
        </is>
      </c>
      <c r="R4" s="7" t="inlineStr">
        <is>
          <t>Live margin</t>
        </is>
      </c>
      <c r="S4" s="7" t="inlineStr">
        <is>
          <t>Live net votes</t>
        </is>
      </c>
      <c r="T4" s="7" t="inlineStr">
        <is>
          <t>Est. % in</t>
        </is>
      </c>
      <c r="U4" s="7" t="inlineStr">
        <is>
          <t>Turnout index (100 = state pace)</t>
        </is>
      </c>
      <c r="V4" s="7" t="inlineStr">
        <is>
          <t>Break-even at actual turnout</t>
        </is>
      </c>
      <c r="W4" s="7" t="inlineStr">
        <is>
          <t>Margin + turnout vs tie pace (pts)</t>
        </is>
      </c>
      <c r="X4" s="7" t="inlineStr">
        <is>
          <t>Reading</t>
        </is>
      </c>
      <c r="Y4" s="7" t="inlineStr">
        <is>
          <t>What to look for</t>
        </is>
      </c>
    </row>
    <row r="5">
      <c r="A5" s="22" t="inlineStr">
        <is>
          <t>Georgia: Jon Ossoff vs Mike Collins · 2024 statewide R+2.2 (R+1.1 with 2022's turnout pattern)</t>
        </is>
      </c>
      <c r="B5" s="22" t="n"/>
      <c r="C5" s="22" t="n"/>
      <c r="D5" s="22" t="n"/>
      <c r="E5" s="22" t="n"/>
      <c r="F5" s="22" t="n"/>
      <c r="G5" s="22" t="n"/>
      <c r="H5" s="22" t="n"/>
      <c r="I5" s="22" t="n"/>
      <c r="J5" s="22" t="n"/>
      <c r="K5" s="22" t="n"/>
      <c r="L5" s="22" t="n"/>
      <c r="M5" s="22" t="n"/>
      <c r="N5" s="22" t="n"/>
      <c r="O5" s="22" t="n"/>
      <c r="P5" s="22" t="n"/>
      <c r="Q5" s="22" t="n"/>
      <c r="R5" s="22" t="n"/>
      <c r="S5" s="22" t="n"/>
      <c r="T5" s="22" t="n"/>
      <c r="U5" s="22" t="n"/>
      <c r="V5" s="22" t="n"/>
      <c r="W5" s="22" t="n"/>
      <c r="X5" s="22" t="n"/>
      <c r="Y5" s="22" t="n"/>
    </row>
    <row r="6" ht="58" customHeight="1">
      <c r="A6" s="8" t="inlineStr">
        <is>
          <t>GA</t>
        </is>
      </c>
      <c r="B6" s="8" t="inlineStr">
        <is>
          <t>Fulton</t>
        </is>
      </c>
      <c r="C6" s="8" t="inlineStr">
        <is>
          <t>Big metro core</t>
        </is>
      </c>
      <c r="D6" s="12">
        <f>Counties!AT101</f>
        <v/>
      </c>
      <c r="E6" s="9">
        <f>Counties!O101</f>
        <v/>
      </c>
      <c r="F6" s="9">
        <f>Counties!R101</f>
        <v/>
      </c>
      <c r="G6" s="9">
        <f>MAX(-1,MIN(1,Counties!O101+-0.05+Dashboard!$F$7))</f>
        <v/>
      </c>
      <c r="H6" s="9">
        <f>MAX(-1,MIN(1,Counties!O101+-0.01+Dashboard!$F$7))</f>
        <v/>
      </c>
      <c r="I6" s="36">
        <f>MAX(-1,MIN(1,Counties!O101+0.0+Dashboard!$F$7))</f>
        <v/>
      </c>
      <c r="J6" s="9">
        <f>MAX(-1,MIN(1,Counties!O101+0.01+Dashboard!$F$7))</f>
        <v/>
      </c>
      <c r="K6" s="9">
        <f>MAX(-1,MIN(1,Counties!O101+0.05+Dashboard!$F$7))</f>
        <v/>
      </c>
      <c r="L6" s="37">
        <f>G6*D6</f>
        <v/>
      </c>
      <c r="M6" s="37">
        <f>H6*D6</f>
        <v/>
      </c>
      <c r="N6" s="37">
        <f>I6*D6</f>
        <v/>
      </c>
      <c r="O6" s="37">
        <f>J6*D6</f>
        <v/>
      </c>
      <c r="P6" s="37">
        <f>K6*D6</f>
        <v/>
      </c>
      <c r="Q6" s="12">
        <f>D6*(1+I6)/2</f>
        <v/>
      </c>
      <c r="R6" s="9">
        <f>Counties!AH101</f>
        <v/>
      </c>
      <c r="S6" s="37">
        <f>IF(Counties!AH101="","",Counties!AH101*Counties!AF101)</f>
        <v/>
      </c>
      <c r="T6" s="13">
        <f>Counties!AO101</f>
        <v/>
      </c>
      <c r="U6" s="16">
        <f>Counties!AU101</f>
        <v/>
      </c>
      <c r="V6" s="9">
        <f>Counties!AV101</f>
        <v/>
      </c>
      <c r="W6" s="10">
        <f>Counties!AY101</f>
        <v/>
      </c>
      <c r="X6" s="8">
        <f>IF(R6="","not in yet",IF(W6&lt;&gt;"",IF(W6&gt;=0.05,"Great for Ossoff",IF(W6&gt;=0.01,"Ossoff on track",IF(W6&gt;-0.01,"Toss-up",IF(W6&gt;-0.05,"Collins on track","Great for Collins"))))&amp;" (margin + turnout)",IF((R6-I6)&gt;=0.05,"Great for Ossoff",IF((R6-I6)&gt;=0.01,"Ossoff on track",IF((R6-I6)&gt;-0.01,"Toss-up",IF((R6-I6)&gt;-0.05,"Collins on track","Great for Collins"))))&amp;IF(Counties!AG101=1,""," (partial count)")))</f>
        <v/>
      </c>
      <c r="Y6" s="17">
        <f>"Break-even "&amp;IF(I6&gt;=0,"D+","R+")&amp;TEXT(ABS(I6)*100,"0.0")&amp;" ("&amp;IF(N6&gt;=0,"D +","R +")&amp;TEXT(ABS(N6),"#,##0")&amp;" net, about "&amp;TEXT(Q6,"#,##0")&amp;" Ossoff votes). Ossoff at "&amp;IF(K6&gt;=0,"D+","R+")&amp;TEXT(ABS(K6)*100,"0.0")&amp;" or better = great night; "&amp;IF(J6&gt;=0,"D+","R+")&amp;TEXT(ABS(J6)*100,"0.0")&amp;" = on track to win. Collins holding it to "&amp;IF(H6&gt;=0,"D+","R+")&amp;TEXT(ABS(H6)*100,"0.0")&amp;" = Collins on track; "&amp;IF(G6&gt;=0,"D+","R+")&amp;TEXT(ABS(G6)*100,"0.0")&amp;" or worse for Ossoff = great for Collins. Turnout: par is about "&amp;TEXT(D6,"#,##0")&amp;" two-party votes ("&amp;TEXT(Counties!AQ101/SUMIFS(Counties!$AQ:$AQ,Counties!$A:$A,"GA"),"0.0%")&amp;" of the state). At 95% of par the break-even moves to "&amp;IF((I6/0.95)&gt;=0,"D+","R+")&amp;TEXT(ABS((I6/0.95))*100,"0.0")&amp;"; at 105%, to "&amp;IF((I6/1.05)&gt;=0,"D+","R+")&amp;TEXT(ABS((I6/1.05))*100,"0.0")&amp;"."</f>
        <v/>
      </c>
    </row>
    <row r="7" ht="58" customHeight="1">
      <c r="A7" s="8" t="inlineStr">
        <is>
          <t>GA</t>
        </is>
      </c>
      <c r="B7" s="8" t="inlineStr">
        <is>
          <t>Gwinnett</t>
        </is>
      </c>
      <c r="C7" s="8" t="inlineStr">
        <is>
          <t>Big metro core</t>
        </is>
      </c>
      <c r="D7" s="12">
        <f>Counties!AT108</f>
        <v/>
      </c>
      <c r="E7" s="9">
        <f>Counties!O108</f>
        <v/>
      </c>
      <c r="F7" s="9">
        <f>Counties!R108</f>
        <v/>
      </c>
      <c r="G7" s="9">
        <f>MAX(-1,MIN(1,Counties!O108+-0.05+Dashboard!$F$7))</f>
        <v/>
      </c>
      <c r="H7" s="9">
        <f>MAX(-1,MIN(1,Counties!O108+-0.01+Dashboard!$F$7))</f>
        <v/>
      </c>
      <c r="I7" s="36">
        <f>MAX(-1,MIN(1,Counties!O108+0.0+Dashboard!$F$7))</f>
        <v/>
      </c>
      <c r="J7" s="9">
        <f>MAX(-1,MIN(1,Counties!O108+0.01+Dashboard!$F$7))</f>
        <v/>
      </c>
      <c r="K7" s="9">
        <f>MAX(-1,MIN(1,Counties!O108+0.05+Dashboard!$F$7))</f>
        <v/>
      </c>
      <c r="L7" s="37">
        <f>G7*D7</f>
        <v/>
      </c>
      <c r="M7" s="37">
        <f>H7*D7</f>
        <v/>
      </c>
      <c r="N7" s="37">
        <f>I7*D7</f>
        <v/>
      </c>
      <c r="O7" s="37">
        <f>J7*D7</f>
        <v/>
      </c>
      <c r="P7" s="37">
        <f>K7*D7</f>
        <v/>
      </c>
      <c r="Q7" s="12">
        <f>D7*(1+I7)/2</f>
        <v/>
      </c>
      <c r="R7" s="9">
        <f>Counties!AH108</f>
        <v/>
      </c>
      <c r="S7" s="37">
        <f>IF(Counties!AH108="","",Counties!AH108*Counties!AF108)</f>
        <v/>
      </c>
      <c r="T7" s="13">
        <f>Counties!AO108</f>
        <v/>
      </c>
      <c r="U7" s="16">
        <f>Counties!AU108</f>
        <v/>
      </c>
      <c r="V7" s="9">
        <f>Counties!AV108</f>
        <v/>
      </c>
      <c r="W7" s="10">
        <f>Counties!AY108</f>
        <v/>
      </c>
      <c r="X7" s="8">
        <f>IF(R7="","not in yet",IF(W7&lt;&gt;"",IF(W7&gt;=0.05,"Great for Ossoff",IF(W7&gt;=0.01,"Ossoff on track",IF(W7&gt;-0.01,"Toss-up",IF(W7&gt;-0.05,"Collins on track","Great for Collins"))))&amp;" (margin + turnout)",IF((R7-I7)&gt;=0.05,"Great for Ossoff",IF((R7-I7)&gt;=0.01,"Ossoff on track",IF((R7-I7)&gt;-0.01,"Toss-up",IF((R7-I7)&gt;-0.05,"Collins on track","Great for Collins"))))&amp;IF(Counties!AG108=1,""," (partial count)")))</f>
        <v/>
      </c>
      <c r="Y7" s="17">
        <f>"Break-even "&amp;IF(I7&gt;=0,"D+","R+")&amp;TEXT(ABS(I7)*100,"0.0")&amp;" ("&amp;IF(N7&gt;=0,"D +","R +")&amp;TEXT(ABS(N7),"#,##0")&amp;" net, about "&amp;TEXT(Q7,"#,##0")&amp;" Ossoff votes). Ossoff at "&amp;IF(K7&gt;=0,"D+","R+")&amp;TEXT(ABS(K7)*100,"0.0")&amp;" or better = great night; "&amp;IF(J7&gt;=0,"D+","R+")&amp;TEXT(ABS(J7)*100,"0.0")&amp;" = on track to win. Collins holding it to "&amp;IF(H7&gt;=0,"D+","R+")&amp;TEXT(ABS(H7)*100,"0.0")&amp;" = Collins on track; "&amp;IF(G7&gt;=0,"D+","R+")&amp;TEXT(ABS(G7)*100,"0.0")&amp;" or worse for Ossoff = great for Collins. Turnout: par is about "&amp;TEXT(D7,"#,##0")&amp;" two-party votes ("&amp;TEXT(Counties!AQ108/SUMIFS(Counties!$AQ:$AQ,Counties!$A:$A,"GA"),"0.0%")&amp;" of the state). At 95% of par the break-even moves to "&amp;IF((I7/0.95)&gt;=0,"D+","R+")&amp;TEXT(ABS((I7/0.95))*100,"0.0")&amp;"; at 105%, to "&amp;IF((I7/1.05)&gt;=0,"D+","R+")&amp;TEXT(ABS((I7/1.05))*100,"0.0")&amp;"."</f>
        <v/>
      </c>
    </row>
    <row r="8" ht="58" customHeight="1">
      <c r="A8" s="8" t="inlineStr">
        <is>
          <t>GA</t>
        </is>
      </c>
      <c r="B8" s="8" t="inlineStr">
        <is>
          <t>Cobb</t>
        </is>
      </c>
      <c r="C8" s="8" t="inlineStr">
        <is>
          <t>Big metro core</t>
        </is>
      </c>
      <c r="D8" s="12">
        <f>Counties!AT74</f>
        <v/>
      </c>
      <c r="E8" s="9">
        <f>Counties!O74</f>
        <v/>
      </c>
      <c r="F8" s="9">
        <f>Counties!R74</f>
        <v/>
      </c>
      <c r="G8" s="9">
        <f>MAX(-1,MIN(1,Counties!O74+-0.05+Dashboard!$F$7))</f>
        <v/>
      </c>
      <c r="H8" s="9">
        <f>MAX(-1,MIN(1,Counties!O74+-0.01+Dashboard!$F$7))</f>
        <v/>
      </c>
      <c r="I8" s="36">
        <f>MAX(-1,MIN(1,Counties!O74+0.0+Dashboard!$F$7))</f>
        <v/>
      </c>
      <c r="J8" s="9">
        <f>MAX(-1,MIN(1,Counties!O74+0.01+Dashboard!$F$7))</f>
        <v/>
      </c>
      <c r="K8" s="9">
        <f>MAX(-1,MIN(1,Counties!O74+0.05+Dashboard!$F$7))</f>
        <v/>
      </c>
      <c r="L8" s="37">
        <f>G8*D8</f>
        <v/>
      </c>
      <c r="M8" s="37">
        <f>H8*D8</f>
        <v/>
      </c>
      <c r="N8" s="37">
        <f>I8*D8</f>
        <v/>
      </c>
      <c r="O8" s="37">
        <f>J8*D8</f>
        <v/>
      </c>
      <c r="P8" s="37">
        <f>K8*D8</f>
        <v/>
      </c>
      <c r="Q8" s="12">
        <f>D8*(1+I8)/2</f>
        <v/>
      </c>
      <c r="R8" s="9">
        <f>Counties!AH74</f>
        <v/>
      </c>
      <c r="S8" s="37">
        <f>IF(Counties!AH74="","",Counties!AH74*Counties!AF74)</f>
        <v/>
      </c>
      <c r="T8" s="13">
        <f>Counties!AO74</f>
        <v/>
      </c>
      <c r="U8" s="16">
        <f>Counties!AU74</f>
        <v/>
      </c>
      <c r="V8" s="9">
        <f>Counties!AV74</f>
        <v/>
      </c>
      <c r="W8" s="10">
        <f>Counties!AY74</f>
        <v/>
      </c>
      <c r="X8" s="8">
        <f>IF(R8="","not in yet",IF(W8&lt;&gt;"",IF(W8&gt;=0.05,"Great for Ossoff",IF(W8&gt;=0.01,"Ossoff on track",IF(W8&gt;-0.01,"Toss-up",IF(W8&gt;-0.05,"Collins on track","Great for Collins"))))&amp;" (margin + turnout)",IF((R8-I8)&gt;=0.05,"Great for Ossoff",IF((R8-I8)&gt;=0.01,"Ossoff on track",IF((R8-I8)&gt;-0.01,"Toss-up",IF((R8-I8)&gt;-0.05,"Collins on track","Great for Collins"))))&amp;IF(Counties!AG74=1,""," (partial count)")))</f>
        <v/>
      </c>
      <c r="Y8" s="17">
        <f>"Break-even "&amp;IF(I8&gt;=0,"D+","R+")&amp;TEXT(ABS(I8)*100,"0.0")&amp;" ("&amp;IF(N8&gt;=0,"D +","R +")&amp;TEXT(ABS(N8),"#,##0")&amp;" net, about "&amp;TEXT(Q8,"#,##0")&amp;" Ossoff votes). Ossoff at "&amp;IF(K8&gt;=0,"D+","R+")&amp;TEXT(ABS(K8)*100,"0.0")&amp;" or better = great night; "&amp;IF(J8&gt;=0,"D+","R+")&amp;TEXT(ABS(J8)*100,"0.0")&amp;" = on track to win. Collins holding it to "&amp;IF(H8&gt;=0,"D+","R+")&amp;TEXT(ABS(H8)*100,"0.0")&amp;" = Collins on track; "&amp;IF(G8&gt;=0,"D+","R+")&amp;TEXT(ABS(G8)*100,"0.0")&amp;" or worse for Ossoff = great for Collins. Turnout: par is about "&amp;TEXT(D8,"#,##0")&amp;" two-party votes ("&amp;TEXT(Counties!AQ74/SUMIFS(Counties!$AQ:$AQ,Counties!$A:$A,"GA"),"0.0%")&amp;" of the state). At 95% of par the break-even moves to "&amp;IF((I8/0.95)&gt;=0,"D+","R+")&amp;TEXT(ABS((I8/0.95))*100,"0.0")&amp;"; at 105%, to "&amp;IF((I8/1.05)&gt;=0,"D+","R+")&amp;TEXT(ABS((I8/1.05))*100,"0.0")&amp;"."</f>
        <v/>
      </c>
    </row>
    <row r="9" ht="58" customHeight="1">
      <c r="A9" s="8" t="inlineStr">
        <is>
          <t>GA</t>
        </is>
      </c>
      <c r="B9" s="8" t="inlineStr">
        <is>
          <t>DeKalb</t>
        </is>
      </c>
      <c r="C9" s="8" t="inlineStr">
        <is>
          <t>Big metro core</t>
        </is>
      </c>
      <c r="D9" s="12">
        <f>Counties!AT84</f>
        <v/>
      </c>
      <c r="E9" s="9">
        <f>Counties!O84</f>
        <v/>
      </c>
      <c r="F9" s="9">
        <f>Counties!R84</f>
        <v/>
      </c>
      <c r="G9" s="9">
        <f>MAX(-1,MIN(1,Counties!O84+-0.05+Dashboard!$F$7))</f>
        <v/>
      </c>
      <c r="H9" s="9">
        <f>MAX(-1,MIN(1,Counties!O84+-0.01+Dashboard!$F$7))</f>
        <v/>
      </c>
      <c r="I9" s="36">
        <f>MAX(-1,MIN(1,Counties!O84+0.0+Dashboard!$F$7))</f>
        <v/>
      </c>
      <c r="J9" s="9">
        <f>MAX(-1,MIN(1,Counties!O84+0.01+Dashboard!$F$7))</f>
        <v/>
      </c>
      <c r="K9" s="9">
        <f>MAX(-1,MIN(1,Counties!O84+0.05+Dashboard!$F$7))</f>
        <v/>
      </c>
      <c r="L9" s="37">
        <f>G9*D9</f>
        <v/>
      </c>
      <c r="M9" s="37">
        <f>H9*D9</f>
        <v/>
      </c>
      <c r="N9" s="37">
        <f>I9*D9</f>
        <v/>
      </c>
      <c r="O9" s="37">
        <f>J9*D9</f>
        <v/>
      </c>
      <c r="P9" s="37">
        <f>K9*D9</f>
        <v/>
      </c>
      <c r="Q9" s="12">
        <f>D9*(1+I9)/2</f>
        <v/>
      </c>
      <c r="R9" s="9">
        <f>Counties!AH84</f>
        <v/>
      </c>
      <c r="S9" s="37">
        <f>IF(Counties!AH84="","",Counties!AH84*Counties!AF84)</f>
        <v/>
      </c>
      <c r="T9" s="13">
        <f>Counties!AO84</f>
        <v/>
      </c>
      <c r="U9" s="16">
        <f>Counties!AU84</f>
        <v/>
      </c>
      <c r="V9" s="9">
        <f>Counties!AV84</f>
        <v/>
      </c>
      <c r="W9" s="10">
        <f>Counties!AY84</f>
        <v/>
      </c>
      <c r="X9" s="8">
        <f>IF(R9="","not in yet",IF(W9&lt;&gt;"",IF(W9&gt;=0.05,"Great for Ossoff",IF(W9&gt;=0.01,"Ossoff on track",IF(W9&gt;-0.01,"Toss-up",IF(W9&gt;-0.05,"Collins on track","Great for Collins"))))&amp;" (margin + turnout)",IF((R9-I9)&gt;=0.05,"Great for Ossoff",IF((R9-I9)&gt;=0.01,"Ossoff on track",IF((R9-I9)&gt;-0.01,"Toss-up",IF((R9-I9)&gt;-0.05,"Collins on track","Great for Collins"))))&amp;IF(Counties!AG84=1,""," (partial count)")))</f>
        <v/>
      </c>
      <c r="Y9" s="17">
        <f>"Break-even "&amp;IF(I9&gt;=0,"D+","R+")&amp;TEXT(ABS(I9)*100,"0.0")&amp;" ("&amp;IF(N9&gt;=0,"D +","R +")&amp;TEXT(ABS(N9),"#,##0")&amp;" net, about "&amp;TEXT(Q9,"#,##0")&amp;" Ossoff votes). Ossoff at "&amp;IF(K9&gt;=0,"D+","R+")&amp;TEXT(ABS(K9)*100,"0.0")&amp;" or better = great night; "&amp;IF(J9&gt;=0,"D+","R+")&amp;TEXT(ABS(J9)*100,"0.0")&amp;" = on track to win. Collins holding it to "&amp;IF(H9&gt;=0,"D+","R+")&amp;TEXT(ABS(H9)*100,"0.0")&amp;" = Collins on track; "&amp;IF(G9&gt;=0,"D+","R+")&amp;TEXT(ABS(G9)*100,"0.0")&amp;" or worse for Ossoff = great for Collins. Turnout: par is about "&amp;TEXT(D9,"#,##0")&amp;" two-party votes ("&amp;TEXT(Counties!AQ84/SUMIFS(Counties!$AQ:$AQ,Counties!$A:$A,"GA"),"0.0%")&amp;" of the state). At 95% of par the break-even moves to "&amp;IF((I9/0.95)&gt;=0,"D+","R+")&amp;TEXT(ABS((I9/0.95))*100,"0.0")&amp;"; at 105%, to "&amp;IF((I9/1.05)&gt;=0,"D+","R+")&amp;TEXT(ABS((I9/1.05))*100,"0.0")&amp;"."</f>
        <v/>
      </c>
    </row>
    <row r="10" ht="58" customHeight="1">
      <c r="A10" s="8" t="inlineStr">
        <is>
          <t>GA</t>
        </is>
      </c>
      <c r="B10" s="8" t="inlineStr">
        <is>
          <t>Cherokee</t>
        </is>
      </c>
      <c r="C10" s="8" t="inlineStr">
        <is>
          <t>Mid-size/working metro</t>
        </is>
      </c>
      <c r="D10" s="12">
        <f>Counties!AT69</f>
        <v/>
      </c>
      <c r="E10" s="9">
        <f>Counties!O69</f>
        <v/>
      </c>
      <c r="F10" s="9">
        <f>Counties!R69</f>
        <v/>
      </c>
      <c r="G10" s="9">
        <f>MAX(-1,MIN(1,Counties!O69+-0.05+Dashboard!$F$7))</f>
        <v/>
      </c>
      <c r="H10" s="9">
        <f>MAX(-1,MIN(1,Counties!O69+-0.01+Dashboard!$F$7))</f>
        <v/>
      </c>
      <c r="I10" s="36">
        <f>MAX(-1,MIN(1,Counties!O69+0.0+Dashboard!$F$7))</f>
        <v/>
      </c>
      <c r="J10" s="9">
        <f>MAX(-1,MIN(1,Counties!O69+0.01+Dashboard!$F$7))</f>
        <v/>
      </c>
      <c r="K10" s="9">
        <f>MAX(-1,MIN(1,Counties!O69+0.05+Dashboard!$F$7))</f>
        <v/>
      </c>
      <c r="L10" s="37">
        <f>G10*D10</f>
        <v/>
      </c>
      <c r="M10" s="37">
        <f>H10*D10</f>
        <v/>
      </c>
      <c r="N10" s="37">
        <f>I10*D10</f>
        <v/>
      </c>
      <c r="O10" s="37">
        <f>J10*D10</f>
        <v/>
      </c>
      <c r="P10" s="37">
        <f>K10*D10</f>
        <v/>
      </c>
      <c r="Q10" s="12">
        <f>D10*(1+I10)/2</f>
        <v/>
      </c>
      <c r="R10" s="9">
        <f>Counties!AH69</f>
        <v/>
      </c>
      <c r="S10" s="37">
        <f>IF(Counties!AH69="","",Counties!AH69*Counties!AF69)</f>
        <v/>
      </c>
      <c r="T10" s="13">
        <f>Counties!AO69</f>
        <v/>
      </c>
      <c r="U10" s="16">
        <f>Counties!AU69</f>
        <v/>
      </c>
      <c r="V10" s="9">
        <f>Counties!AV69</f>
        <v/>
      </c>
      <c r="W10" s="10">
        <f>Counties!AY69</f>
        <v/>
      </c>
      <c r="X10" s="8">
        <f>IF(R10="","not in yet",IF(W10&lt;&gt;"",IF(W10&gt;=0.05,"Great for Ossoff",IF(W10&gt;=0.01,"Ossoff on track",IF(W10&gt;-0.01,"Toss-up",IF(W10&gt;-0.05,"Collins on track","Great for Collins"))))&amp;" (margin + turnout)",IF((R10-I10)&gt;=0.05,"Great for Ossoff",IF((R10-I10)&gt;=0.01,"Ossoff on track",IF((R10-I10)&gt;-0.01,"Toss-up",IF((R10-I10)&gt;-0.05,"Collins on track","Great for Collins"))))&amp;IF(Counties!AG69=1,""," (partial count)")))</f>
        <v/>
      </c>
      <c r="Y10" s="17">
        <f>"Break-even "&amp;IF(I10&gt;=0,"D+","R+")&amp;TEXT(ABS(I10)*100,"0.0")&amp;" ("&amp;IF(N10&gt;=0,"D +","R +")&amp;TEXT(ABS(N10),"#,##0")&amp;" net, about "&amp;TEXT(Q10,"#,##0")&amp;" Ossoff votes). Ossoff at "&amp;IF(K10&gt;=0,"D+","R+")&amp;TEXT(ABS(K10)*100,"0.0")&amp;" or better = great night; "&amp;IF(J10&gt;=0,"D+","R+")&amp;TEXT(ABS(J10)*100,"0.0")&amp;" = on track to win. Collins holding it to "&amp;IF(H10&gt;=0,"D+","R+")&amp;TEXT(ABS(H10)*100,"0.0")&amp;" = Collins on track; "&amp;IF(G10&gt;=0,"D+","R+")&amp;TEXT(ABS(G10)*100,"0.0")&amp;" or worse for Ossoff = great for Collins. Turnout: par is about "&amp;TEXT(D10,"#,##0")&amp;" two-party votes ("&amp;TEXT(Counties!AQ69/SUMIFS(Counties!$AQ:$AQ,Counties!$A:$A,"GA"),"0.0%")&amp;" of the state). At 95% of par the break-even moves to "&amp;IF((I10/0.95)&gt;=0,"D+","R+")&amp;TEXT(ABS((I10/0.95))*100,"0.0")&amp;"; at 105%, to "&amp;IF((I10/1.05)&gt;=0,"D+","R+")&amp;TEXT(ABS((I10/1.05))*100,"0.0")&amp;"."</f>
        <v/>
      </c>
    </row>
    <row r="11" ht="58" customHeight="1">
      <c r="A11" s="8" t="inlineStr">
        <is>
          <t>GA</t>
        </is>
      </c>
      <c r="B11" s="8" t="inlineStr">
        <is>
          <t>Chatham</t>
        </is>
      </c>
      <c r="C11" s="8" t="inlineStr">
        <is>
          <t>Mid-size/working metro</t>
        </is>
      </c>
      <c r="D11" s="12">
        <f>Counties!AT66</f>
        <v/>
      </c>
      <c r="E11" s="9">
        <f>Counties!O66</f>
        <v/>
      </c>
      <c r="F11" s="9">
        <f>Counties!R66</f>
        <v/>
      </c>
      <c r="G11" s="9">
        <f>MAX(-1,MIN(1,Counties!O66+-0.05+Dashboard!$F$7))</f>
        <v/>
      </c>
      <c r="H11" s="9">
        <f>MAX(-1,MIN(1,Counties!O66+-0.01+Dashboard!$F$7))</f>
        <v/>
      </c>
      <c r="I11" s="36">
        <f>MAX(-1,MIN(1,Counties!O66+0.0+Dashboard!$F$7))</f>
        <v/>
      </c>
      <c r="J11" s="9">
        <f>MAX(-1,MIN(1,Counties!O66+0.01+Dashboard!$F$7))</f>
        <v/>
      </c>
      <c r="K11" s="9">
        <f>MAX(-1,MIN(1,Counties!O66+0.05+Dashboard!$F$7))</f>
        <v/>
      </c>
      <c r="L11" s="37">
        <f>G11*D11</f>
        <v/>
      </c>
      <c r="M11" s="37">
        <f>H11*D11</f>
        <v/>
      </c>
      <c r="N11" s="37">
        <f>I11*D11</f>
        <v/>
      </c>
      <c r="O11" s="37">
        <f>J11*D11</f>
        <v/>
      </c>
      <c r="P11" s="37">
        <f>K11*D11</f>
        <v/>
      </c>
      <c r="Q11" s="12">
        <f>D11*(1+I11)/2</f>
        <v/>
      </c>
      <c r="R11" s="9">
        <f>Counties!AH66</f>
        <v/>
      </c>
      <c r="S11" s="37">
        <f>IF(Counties!AH66="","",Counties!AH66*Counties!AF66)</f>
        <v/>
      </c>
      <c r="T11" s="13">
        <f>Counties!AO66</f>
        <v/>
      </c>
      <c r="U11" s="16">
        <f>Counties!AU66</f>
        <v/>
      </c>
      <c r="V11" s="9">
        <f>Counties!AV66</f>
        <v/>
      </c>
      <c r="W11" s="10">
        <f>Counties!AY66</f>
        <v/>
      </c>
      <c r="X11" s="8">
        <f>IF(R11="","not in yet",IF(W11&lt;&gt;"",IF(W11&gt;=0.05,"Great for Ossoff",IF(W11&gt;=0.01,"Ossoff on track",IF(W11&gt;-0.01,"Toss-up",IF(W11&gt;-0.05,"Collins on track","Great for Collins"))))&amp;" (margin + turnout)",IF((R11-I11)&gt;=0.05,"Great for Ossoff",IF((R11-I11)&gt;=0.01,"Ossoff on track",IF((R11-I11)&gt;-0.01,"Toss-up",IF((R11-I11)&gt;-0.05,"Collins on track","Great for Collins"))))&amp;IF(Counties!AG66=1,""," (partial count)")))</f>
        <v/>
      </c>
      <c r="Y11" s="17">
        <f>"Break-even "&amp;IF(I11&gt;=0,"D+","R+")&amp;TEXT(ABS(I11)*100,"0.0")&amp;" ("&amp;IF(N11&gt;=0,"D +","R +")&amp;TEXT(ABS(N11),"#,##0")&amp;" net, about "&amp;TEXT(Q11,"#,##0")&amp;" Ossoff votes). Ossoff at "&amp;IF(K11&gt;=0,"D+","R+")&amp;TEXT(ABS(K11)*100,"0.0")&amp;" or better = great night; "&amp;IF(J11&gt;=0,"D+","R+")&amp;TEXT(ABS(J11)*100,"0.0")&amp;" = on track to win. Collins holding it to "&amp;IF(H11&gt;=0,"D+","R+")&amp;TEXT(ABS(H11)*100,"0.0")&amp;" = Collins on track; "&amp;IF(G11&gt;=0,"D+","R+")&amp;TEXT(ABS(G11)*100,"0.0")&amp;" or worse for Ossoff = great for Collins. Turnout: par is about "&amp;TEXT(D11,"#,##0")&amp;" two-party votes ("&amp;TEXT(Counties!AQ66/SUMIFS(Counties!$AQ:$AQ,Counties!$A:$A,"GA"),"0.0%")&amp;" of the state). At 95% of par the break-even moves to "&amp;IF((I11/0.95)&gt;=0,"D+","R+")&amp;TEXT(ABS((I11/0.95))*100,"0.0")&amp;"; at 105%, to "&amp;IF((I11/1.05)&gt;=0,"D+","R+")&amp;TEXT(ABS((I11/1.05))*100,"0.0")&amp;"."</f>
        <v/>
      </c>
    </row>
    <row r="12" ht="58" customHeight="1">
      <c r="A12" s="8" t="inlineStr">
        <is>
          <t>GA</t>
        </is>
      </c>
      <c r="B12" s="8" t="inlineStr">
        <is>
          <t>Forsyth</t>
        </is>
      </c>
      <c r="C12" s="8" t="inlineStr">
        <is>
          <t>College suburb/metro</t>
        </is>
      </c>
      <c r="D12" s="12">
        <f>Counties!AT99</f>
        <v/>
      </c>
      <c r="E12" s="9">
        <f>Counties!O99</f>
        <v/>
      </c>
      <c r="F12" s="9">
        <f>Counties!R99</f>
        <v/>
      </c>
      <c r="G12" s="9">
        <f>MAX(-1,MIN(1,Counties!O99+-0.05+Dashboard!$F$7))</f>
        <v/>
      </c>
      <c r="H12" s="9">
        <f>MAX(-1,MIN(1,Counties!O99+-0.01+Dashboard!$F$7))</f>
        <v/>
      </c>
      <c r="I12" s="36">
        <f>MAX(-1,MIN(1,Counties!O99+0.0+Dashboard!$F$7))</f>
        <v/>
      </c>
      <c r="J12" s="9">
        <f>MAX(-1,MIN(1,Counties!O99+0.01+Dashboard!$F$7))</f>
        <v/>
      </c>
      <c r="K12" s="9">
        <f>MAX(-1,MIN(1,Counties!O99+0.05+Dashboard!$F$7))</f>
        <v/>
      </c>
      <c r="L12" s="37">
        <f>G12*D12</f>
        <v/>
      </c>
      <c r="M12" s="37">
        <f>H12*D12</f>
        <v/>
      </c>
      <c r="N12" s="37">
        <f>I12*D12</f>
        <v/>
      </c>
      <c r="O12" s="37">
        <f>J12*D12</f>
        <v/>
      </c>
      <c r="P12" s="37">
        <f>K12*D12</f>
        <v/>
      </c>
      <c r="Q12" s="12">
        <f>D12*(1+I12)/2</f>
        <v/>
      </c>
      <c r="R12" s="9">
        <f>Counties!AH99</f>
        <v/>
      </c>
      <c r="S12" s="37">
        <f>IF(Counties!AH99="","",Counties!AH99*Counties!AF99)</f>
        <v/>
      </c>
      <c r="T12" s="13">
        <f>Counties!AO99</f>
        <v/>
      </c>
      <c r="U12" s="16">
        <f>Counties!AU99</f>
        <v/>
      </c>
      <c r="V12" s="9">
        <f>Counties!AV99</f>
        <v/>
      </c>
      <c r="W12" s="10">
        <f>Counties!AY99</f>
        <v/>
      </c>
      <c r="X12" s="8">
        <f>IF(R12="","not in yet",IF(W12&lt;&gt;"",IF(W12&gt;=0.05,"Great for Ossoff",IF(W12&gt;=0.01,"Ossoff on track",IF(W12&gt;-0.01,"Toss-up",IF(W12&gt;-0.05,"Collins on track","Great for Collins"))))&amp;" (margin + turnout)",IF((R12-I12)&gt;=0.05,"Great for Ossoff",IF((R12-I12)&gt;=0.01,"Ossoff on track",IF((R12-I12)&gt;-0.01,"Toss-up",IF((R12-I12)&gt;-0.05,"Collins on track","Great for Collins"))))&amp;IF(Counties!AG99=1,""," (partial count)")))</f>
        <v/>
      </c>
      <c r="Y12" s="17">
        <f>"Break-even "&amp;IF(I12&gt;=0,"D+","R+")&amp;TEXT(ABS(I12)*100,"0.0")&amp;" ("&amp;IF(N12&gt;=0,"D +","R +")&amp;TEXT(ABS(N12),"#,##0")&amp;" net, about "&amp;TEXT(Q12,"#,##0")&amp;" Ossoff votes). Ossoff at "&amp;IF(K12&gt;=0,"D+","R+")&amp;TEXT(ABS(K12)*100,"0.0")&amp;" or better = great night; "&amp;IF(J12&gt;=0,"D+","R+")&amp;TEXT(ABS(J12)*100,"0.0")&amp;" = on track to win. Collins holding it to "&amp;IF(H12&gt;=0,"D+","R+")&amp;TEXT(ABS(H12)*100,"0.0")&amp;" = Collins on track; "&amp;IF(G12&gt;=0,"D+","R+")&amp;TEXT(ABS(G12)*100,"0.0")&amp;" or worse for Ossoff = great for Collins. Turnout: par is about "&amp;TEXT(D12,"#,##0")&amp;" two-party votes ("&amp;TEXT(Counties!AQ99/SUMIFS(Counties!$AQ:$AQ,Counties!$A:$A,"GA"),"0.0%")&amp;" of the state). At 95% of par the break-even moves to "&amp;IF((I12/0.95)&gt;=0,"D+","R+")&amp;TEXT(ABS((I12/0.95))*100,"0.0")&amp;"; at 105%, to "&amp;IF((I12/1.05)&gt;=0,"D+","R+")&amp;TEXT(ABS((I12/1.05))*100,"0.0")&amp;"."</f>
        <v/>
      </c>
    </row>
    <row r="13" ht="58" customHeight="1">
      <c r="A13" s="8" t="inlineStr">
        <is>
          <t>GA</t>
        </is>
      </c>
      <c r="B13" s="8" t="inlineStr">
        <is>
          <t>Henry</t>
        </is>
      </c>
      <c r="C13" s="8" t="inlineStr">
        <is>
          <t>Black Belt</t>
        </is>
      </c>
      <c r="D13" s="12">
        <f>Counties!AT116</f>
        <v/>
      </c>
      <c r="E13" s="9">
        <f>Counties!O116</f>
        <v/>
      </c>
      <c r="F13" s="9">
        <f>Counties!R116</f>
        <v/>
      </c>
      <c r="G13" s="9">
        <f>MAX(-1,MIN(1,Counties!O116+-0.05+Dashboard!$F$7))</f>
        <v/>
      </c>
      <c r="H13" s="9">
        <f>MAX(-1,MIN(1,Counties!O116+-0.01+Dashboard!$F$7))</f>
        <v/>
      </c>
      <c r="I13" s="36">
        <f>MAX(-1,MIN(1,Counties!O116+0.0+Dashboard!$F$7))</f>
        <v/>
      </c>
      <c r="J13" s="9">
        <f>MAX(-1,MIN(1,Counties!O116+0.01+Dashboard!$F$7))</f>
        <v/>
      </c>
      <c r="K13" s="9">
        <f>MAX(-1,MIN(1,Counties!O116+0.05+Dashboard!$F$7))</f>
        <v/>
      </c>
      <c r="L13" s="37">
        <f>G13*D13</f>
        <v/>
      </c>
      <c r="M13" s="37">
        <f>H13*D13</f>
        <v/>
      </c>
      <c r="N13" s="37">
        <f>I13*D13</f>
        <v/>
      </c>
      <c r="O13" s="37">
        <f>J13*D13</f>
        <v/>
      </c>
      <c r="P13" s="37">
        <f>K13*D13</f>
        <v/>
      </c>
      <c r="Q13" s="12">
        <f>D13*(1+I13)/2</f>
        <v/>
      </c>
      <c r="R13" s="9">
        <f>Counties!AH116</f>
        <v/>
      </c>
      <c r="S13" s="37">
        <f>IF(Counties!AH116="","",Counties!AH116*Counties!AF116)</f>
        <v/>
      </c>
      <c r="T13" s="13">
        <f>Counties!AO116</f>
        <v/>
      </c>
      <c r="U13" s="16">
        <f>Counties!AU116</f>
        <v/>
      </c>
      <c r="V13" s="9">
        <f>Counties!AV116</f>
        <v/>
      </c>
      <c r="W13" s="10">
        <f>Counties!AY116</f>
        <v/>
      </c>
      <c r="X13" s="8">
        <f>IF(R13="","not in yet",IF(W13&lt;&gt;"",IF(W13&gt;=0.05,"Great for Ossoff",IF(W13&gt;=0.01,"Ossoff on track",IF(W13&gt;-0.01,"Toss-up",IF(W13&gt;-0.05,"Collins on track","Great for Collins"))))&amp;" (margin + turnout)",IF((R13-I13)&gt;=0.05,"Great for Ossoff",IF((R13-I13)&gt;=0.01,"Ossoff on track",IF((R13-I13)&gt;-0.01,"Toss-up",IF((R13-I13)&gt;-0.05,"Collins on track","Great for Collins"))))&amp;IF(Counties!AG116=1,""," (partial count)")))</f>
        <v/>
      </c>
      <c r="Y13" s="17">
        <f>"Break-even "&amp;IF(I13&gt;=0,"D+","R+")&amp;TEXT(ABS(I13)*100,"0.0")&amp;" ("&amp;IF(N13&gt;=0,"D +","R +")&amp;TEXT(ABS(N13),"#,##0")&amp;" net, about "&amp;TEXT(Q13,"#,##0")&amp;" Ossoff votes). Ossoff at "&amp;IF(K13&gt;=0,"D+","R+")&amp;TEXT(ABS(K13)*100,"0.0")&amp;" or better = great night; "&amp;IF(J13&gt;=0,"D+","R+")&amp;TEXT(ABS(J13)*100,"0.0")&amp;" = on track to win. Collins holding it to "&amp;IF(H13&gt;=0,"D+","R+")&amp;TEXT(ABS(H13)*100,"0.0")&amp;" = Collins on track; "&amp;IF(G13&gt;=0,"D+","R+")&amp;TEXT(ABS(G13)*100,"0.0")&amp;" or worse for Ossoff = great for Collins. Turnout: par is about "&amp;TEXT(D13,"#,##0")&amp;" two-party votes ("&amp;TEXT(Counties!AQ116/SUMIFS(Counties!$AQ:$AQ,Counties!$A:$A,"GA"),"0.0%")&amp;" of the state). At 95% of par the break-even moves to "&amp;IF((I13/0.95)&gt;=0,"D+","R+")&amp;TEXT(ABS((I13/0.95))*100,"0.0")&amp;"; at 105%, to "&amp;IF((I13/1.05)&gt;=0,"D+","R+")&amp;TEXT(ABS((I13/1.05))*100,"0.0")&amp;"."</f>
        <v/>
      </c>
    </row>
    <row r="14" ht="58" customHeight="1">
      <c r="A14" s="8" t="inlineStr">
        <is>
          <t>GA</t>
        </is>
      </c>
      <c r="B14" s="8" t="inlineStr">
        <is>
          <t>Clayton</t>
        </is>
      </c>
      <c r="C14" s="8" t="inlineStr">
        <is>
          <t>Black Belt</t>
        </is>
      </c>
      <c r="D14" s="12">
        <f>Counties!AT72</f>
        <v/>
      </c>
      <c r="E14" s="9">
        <f>Counties!O72</f>
        <v/>
      </c>
      <c r="F14" s="9">
        <f>Counties!R72</f>
        <v/>
      </c>
      <c r="G14" s="9">
        <f>MAX(-1,MIN(1,Counties!O72+-0.05+Dashboard!$F$7))</f>
        <v/>
      </c>
      <c r="H14" s="9">
        <f>MAX(-1,MIN(1,Counties!O72+-0.01+Dashboard!$F$7))</f>
        <v/>
      </c>
      <c r="I14" s="36">
        <f>MAX(-1,MIN(1,Counties!O72+0.0+Dashboard!$F$7))</f>
        <v/>
      </c>
      <c r="J14" s="9">
        <f>MAX(-1,MIN(1,Counties!O72+0.01+Dashboard!$F$7))</f>
        <v/>
      </c>
      <c r="K14" s="9">
        <f>MAX(-1,MIN(1,Counties!O72+0.05+Dashboard!$F$7))</f>
        <v/>
      </c>
      <c r="L14" s="37">
        <f>G14*D14</f>
        <v/>
      </c>
      <c r="M14" s="37">
        <f>H14*D14</f>
        <v/>
      </c>
      <c r="N14" s="37">
        <f>I14*D14</f>
        <v/>
      </c>
      <c r="O14" s="37">
        <f>J14*D14</f>
        <v/>
      </c>
      <c r="P14" s="37">
        <f>K14*D14</f>
        <v/>
      </c>
      <c r="Q14" s="12">
        <f>D14*(1+I14)/2</f>
        <v/>
      </c>
      <c r="R14" s="9">
        <f>Counties!AH72</f>
        <v/>
      </c>
      <c r="S14" s="37">
        <f>IF(Counties!AH72="","",Counties!AH72*Counties!AF72)</f>
        <v/>
      </c>
      <c r="T14" s="13">
        <f>Counties!AO72</f>
        <v/>
      </c>
      <c r="U14" s="16">
        <f>Counties!AU72</f>
        <v/>
      </c>
      <c r="V14" s="9">
        <f>Counties!AV72</f>
        <v/>
      </c>
      <c r="W14" s="10">
        <f>Counties!AY72</f>
        <v/>
      </c>
      <c r="X14" s="8">
        <f>IF(R14="","not in yet",IF(W14&lt;&gt;"",IF(W14&gt;=0.05,"Great for Ossoff",IF(W14&gt;=0.01,"Ossoff on track",IF(W14&gt;-0.01,"Toss-up",IF(W14&gt;-0.05,"Collins on track","Great for Collins"))))&amp;" (margin + turnout)",IF((R14-I14)&gt;=0.05,"Great for Ossoff",IF((R14-I14)&gt;=0.01,"Ossoff on track",IF((R14-I14)&gt;-0.01,"Toss-up",IF((R14-I14)&gt;-0.05,"Collins on track","Great for Collins"))))&amp;IF(Counties!AG72=1,""," (partial count)")))</f>
        <v/>
      </c>
      <c r="Y14" s="17">
        <f>"Break-even "&amp;IF(I14&gt;=0,"D+","R+")&amp;TEXT(ABS(I14)*100,"0.0")&amp;" ("&amp;IF(N14&gt;=0,"D +","R +")&amp;TEXT(ABS(N14),"#,##0")&amp;" net, about "&amp;TEXT(Q14,"#,##0")&amp;" Ossoff votes). Ossoff at "&amp;IF(K14&gt;=0,"D+","R+")&amp;TEXT(ABS(K14)*100,"0.0")&amp;" or better = great night; "&amp;IF(J14&gt;=0,"D+","R+")&amp;TEXT(ABS(J14)*100,"0.0")&amp;" = on track to win. Collins holding it to "&amp;IF(H14&gt;=0,"D+","R+")&amp;TEXT(ABS(H14)*100,"0.0")&amp;" = Collins on track; "&amp;IF(G14&gt;=0,"D+","R+")&amp;TEXT(ABS(G14)*100,"0.0")&amp;" or worse for Ossoff = great for Collins. Turnout: par is about "&amp;TEXT(D14,"#,##0")&amp;" two-party votes ("&amp;TEXT(Counties!AQ72/SUMIFS(Counties!$AQ:$AQ,Counties!$A:$A,"GA"),"0.0%")&amp;" of the state). At 95% of par the break-even moves to "&amp;IF((I14/0.95)&gt;=0,"D+","R+")&amp;TEXT(ABS((I14/0.95))*100,"0.0")&amp;"; at 105%, to "&amp;IF((I14/1.05)&gt;=0,"D+","R+")&amp;TEXT(ABS((I14/1.05))*100,"0.0")&amp;"."</f>
        <v/>
      </c>
    </row>
    <row r="15" ht="58" customHeight="1">
      <c r="A15" s="8" t="inlineStr">
        <is>
          <t>GA</t>
        </is>
      </c>
      <c r="B15" s="8" t="inlineStr">
        <is>
          <t>Hall</t>
        </is>
      </c>
      <c r="C15" s="8" t="inlineStr">
        <is>
          <t>Mid-size/working metro</t>
        </is>
      </c>
      <c r="D15" s="12">
        <f>Counties!AT110</f>
        <v/>
      </c>
      <c r="E15" s="9">
        <f>Counties!O110</f>
        <v/>
      </c>
      <c r="F15" s="9">
        <f>Counties!R110</f>
        <v/>
      </c>
      <c r="G15" s="9">
        <f>MAX(-1,MIN(1,Counties!O110+-0.05+Dashboard!$F$7))</f>
        <v/>
      </c>
      <c r="H15" s="9">
        <f>MAX(-1,MIN(1,Counties!O110+-0.01+Dashboard!$F$7))</f>
        <v/>
      </c>
      <c r="I15" s="36">
        <f>MAX(-1,MIN(1,Counties!O110+0.0+Dashboard!$F$7))</f>
        <v/>
      </c>
      <c r="J15" s="9">
        <f>MAX(-1,MIN(1,Counties!O110+0.01+Dashboard!$F$7))</f>
        <v/>
      </c>
      <c r="K15" s="9">
        <f>MAX(-1,MIN(1,Counties!O110+0.05+Dashboard!$F$7))</f>
        <v/>
      </c>
      <c r="L15" s="37">
        <f>G15*D15</f>
        <v/>
      </c>
      <c r="M15" s="37">
        <f>H15*D15</f>
        <v/>
      </c>
      <c r="N15" s="37">
        <f>I15*D15</f>
        <v/>
      </c>
      <c r="O15" s="37">
        <f>J15*D15</f>
        <v/>
      </c>
      <c r="P15" s="37">
        <f>K15*D15</f>
        <v/>
      </c>
      <c r="Q15" s="12">
        <f>D15*(1+I15)/2</f>
        <v/>
      </c>
      <c r="R15" s="9">
        <f>Counties!AH110</f>
        <v/>
      </c>
      <c r="S15" s="37">
        <f>IF(Counties!AH110="","",Counties!AH110*Counties!AF110)</f>
        <v/>
      </c>
      <c r="T15" s="13">
        <f>Counties!AO110</f>
        <v/>
      </c>
      <c r="U15" s="16">
        <f>Counties!AU110</f>
        <v/>
      </c>
      <c r="V15" s="9">
        <f>Counties!AV110</f>
        <v/>
      </c>
      <c r="W15" s="10">
        <f>Counties!AY110</f>
        <v/>
      </c>
      <c r="X15" s="8">
        <f>IF(R15="","not in yet",IF(W15&lt;&gt;"",IF(W15&gt;=0.05,"Great for Ossoff",IF(W15&gt;=0.01,"Ossoff on track",IF(W15&gt;-0.01,"Toss-up",IF(W15&gt;-0.05,"Collins on track","Great for Collins"))))&amp;" (margin + turnout)",IF((R15-I15)&gt;=0.05,"Great for Ossoff",IF((R15-I15)&gt;=0.01,"Ossoff on track",IF((R15-I15)&gt;-0.01,"Toss-up",IF((R15-I15)&gt;-0.05,"Collins on track","Great for Collins"))))&amp;IF(Counties!AG110=1,""," (partial count)")))</f>
        <v/>
      </c>
      <c r="Y15" s="17">
        <f>"Break-even "&amp;IF(I15&gt;=0,"D+","R+")&amp;TEXT(ABS(I15)*100,"0.0")&amp;" ("&amp;IF(N15&gt;=0,"D +","R +")&amp;TEXT(ABS(N15),"#,##0")&amp;" net, about "&amp;TEXT(Q15,"#,##0")&amp;" Ossoff votes). Ossoff at "&amp;IF(K15&gt;=0,"D+","R+")&amp;TEXT(ABS(K15)*100,"0.0")&amp;" or better = great night; "&amp;IF(J15&gt;=0,"D+","R+")&amp;TEXT(ABS(J15)*100,"0.0")&amp;" = on track to win. Collins holding it to "&amp;IF(H15&gt;=0,"D+","R+")&amp;TEXT(ABS(H15)*100,"0.0")&amp;" = Collins on track; "&amp;IF(G15&gt;=0,"D+","R+")&amp;TEXT(ABS(G15)*100,"0.0")&amp;" or worse for Ossoff = great for Collins. Turnout: par is about "&amp;TEXT(D15,"#,##0")&amp;" two-party votes ("&amp;TEXT(Counties!AQ110/SUMIFS(Counties!$AQ:$AQ,Counties!$A:$A,"GA"),"0.0%")&amp;" of the state). At 95% of par the break-even moves to "&amp;IF((I15/0.95)&gt;=0,"D+","R+")&amp;TEXT(ABS((I15/0.95))*100,"0.0")&amp;"; at 105%, to "&amp;IF((I15/1.05)&gt;=0,"D+","R+")&amp;TEXT(ABS((I15/1.05))*100,"0.0")&amp;"."</f>
        <v/>
      </c>
    </row>
    <row r="16" ht="58" customHeight="1">
      <c r="A16" s="8" t="inlineStr">
        <is>
          <t>GA</t>
        </is>
      </c>
      <c r="B16" s="8" t="inlineStr">
        <is>
          <t>Bartow</t>
        </is>
      </c>
      <c r="C16" s="8" t="inlineStr">
        <is>
          <t>Mid-size/working metro</t>
        </is>
      </c>
      <c r="D16" s="12">
        <f>Counties!AT49</f>
        <v/>
      </c>
      <c r="E16" s="9">
        <f>Counties!O49</f>
        <v/>
      </c>
      <c r="F16" s="9">
        <f>Counties!R49</f>
        <v/>
      </c>
      <c r="G16" s="9">
        <f>MAX(-1,MIN(1,Counties!O49+-0.05+Dashboard!$F$7))</f>
        <v/>
      </c>
      <c r="H16" s="9">
        <f>MAX(-1,MIN(1,Counties!O49+-0.01+Dashboard!$F$7))</f>
        <v/>
      </c>
      <c r="I16" s="36">
        <f>MAX(-1,MIN(1,Counties!O49+0.0+Dashboard!$F$7))</f>
        <v/>
      </c>
      <c r="J16" s="9">
        <f>MAX(-1,MIN(1,Counties!O49+0.01+Dashboard!$F$7))</f>
        <v/>
      </c>
      <c r="K16" s="9">
        <f>MAX(-1,MIN(1,Counties!O49+0.05+Dashboard!$F$7))</f>
        <v/>
      </c>
      <c r="L16" s="37">
        <f>G16*D16</f>
        <v/>
      </c>
      <c r="M16" s="37">
        <f>H16*D16</f>
        <v/>
      </c>
      <c r="N16" s="37">
        <f>I16*D16</f>
        <v/>
      </c>
      <c r="O16" s="37">
        <f>J16*D16</f>
        <v/>
      </c>
      <c r="P16" s="37">
        <f>K16*D16</f>
        <v/>
      </c>
      <c r="Q16" s="12">
        <f>D16*(1+I16)/2</f>
        <v/>
      </c>
      <c r="R16" s="9">
        <f>Counties!AH49</f>
        <v/>
      </c>
      <c r="S16" s="37">
        <f>IF(Counties!AH49="","",Counties!AH49*Counties!AF49)</f>
        <v/>
      </c>
      <c r="T16" s="13">
        <f>Counties!AO49</f>
        <v/>
      </c>
      <c r="U16" s="16">
        <f>Counties!AU49</f>
        <v/>
      </c>
      <c r="V16" s="9">
        <f>Counties!AV49</f>
        <v/>
      </c>
      <c r="W16" s="10">
        <f>Counties!AY49</f>
        <v/>
      </c>
      <c r="X16" s="8">
        <f>IF(R16="","not in yet",IF(W16&lt;&gt;"",IF(W16&gt;=0.05,"Great for Ossoff",IF(W16&gt;=0.01,"Ossoff on track",IF(W16&gt;-0.01,"Toss-up",IF(W16&gt;-0.05,"Collins on track","Great for Collins"))))&amp;" (margin + turnout)",IF((R16-I16)&gt;=0.05,"Great for Ossoff",IF((R16-I16)&gt;=0.01,"Ossoff on track",IF((R16-I16)&gt;-0.01,"Toss-up",IF((R16-I16)&gt;-0.05,"Collins on track","Great for Collins"))))&amp;IF(Counties!AG49=1,""," (partial count)")))</f>
        <v/>
      </c>
      <c r="Y16" s="17">
        <f>"Break-even "&amp;IF(I16&gt;=0,"D+","R+")&amp;TEXT(ABS(I16)*100,"0.0")&amp;" ("&amp;IF(N16&gt;=0,"D +","R +")&amp;TEXT(ABS(N16),"#,##0")&amp;" net, about "&amp;TEXT(Q16,"#,##0")&amp;" Ossoff votes). Ossoff at "&amp;IF(K16&gt;=0,"D+","R+")&amp;TEXT(ABS(K16)*100,"0.0")&amp;" or better = great night; "&amp;IF(J16&gt;=0,"D+","R+")&amp;TEXT(ABS(J16)*100,"0.0")&amp;" = on track to win. Collins holding it to "&amp;IF(H16&gt;=0,"D+","R+")&amp;TEXT(ABS(H16)*100,"0.0")&amp;" = Collins on track; "&amp;IF(G16&gt;=0,"D+","R+")&amp;TEXT(ABS(G16)*100,"0.0")&amp;" or worse for Ossoff = great for Collins. Turnout: par is about "&amp;TEXT(D16,"#,##0")&amp;" two-party votes ("&amp;TEXT(Counties!AQ49/SUMIFS(Counties!$AQ:$AQ,Counties!$A:$A,"GA"),"0.0%")&amp;" of the state). At 95% of par the break-even moves to "&amp;IF((I16/0.95)&gt;=0,"D+","R+")&amp;TEXT(ABS((I16/0.95))*100,"0.0")&amp;"; at 105%, to "&amp;IF((I16/1.05)&gt;=0,"D+","R+")&amp;TEXT(ABS((I16/1.05))*100,"0.0")&amp;"."</f>
        <v/>
      </c>
    </row>
    <row r="17">
      <c r="A17" s="22" t="inlineStr">
        <is>
          <t>Iowa: Josh Turek vs Ashley Hinson · 2024 statewide R+13.4 (R+13.2 with 2022's turnout pattern)</t>
        </is>
      </c>
      <c r="B17" s="22" t="n"/>
      <c r="C17" s="22" t="n"/>
      <c r="D17" s="22" t="n"/>
      <c r="E17" s="22" t="n"/>
      <c r="F17" s="22" t="n"/>
      <c r="G17" s="22" t="n"/>
      <c r="H17" s="22" t="n"/>
      <c r="I17" s="22" t="n"/>
      <c r="J17" s="22" t="n"/>
      <c r="K17" s="22" t="n"/>
      <c r="L17" s="22" t="n"/>
      <c r="M17" s="22" t="n"/>
      <c r="N17" s="22" t="n"/>
      <c r="O17" s="22" t="n"/>
      <c r="P17" s="22" t="n"/>
      <c r="Q17" s="22" t="n"/>
      <c r="R17" s="22" t="n"/>
      <c r="S17" s="22" t="n"/>
      <c r="T17" s="22" t="n"/>
      <c r="U17" s="22" t="n"/>
      <c r="V17" s="22" t="n"/>
      <c r="W17" s="22" t="n"/>
      <c r="X17" s="22" t="n"/>
      <c r="Y17" s="22" t="n"/>
    </row>
    <row r="18" ht="58" customHeight="1">
      <c r="A18" s="8" t="inlineStr">
        <is>
          <t>IA</t>
        </is>
      </c>
      <c r="B18" s="8" t="inlineStr">
        <is>
          <t>Polk</t>
        </is>
      </c>
      <c r="C18" s="8" t="inlineStr">
        <is>
          <t>Mid-size/working metro</t>
        </is>
      </c>
      <c r="D18" s="12">
        <f>Counties!AT277</f>
        <v/>
      </c>
      <c r="E18" s="9">
        <f>Counties!O277</f>
        <v/>
      </c>
      <c r="F18" s="9">
        <f>Counties!R277</f>
        <v/>
      </c>
      <c r="G18" s="9">
        <f>MAX(-1,MIN(1,Counties!O277+-0.05+Dashboard!$F$8))</f>
        <v/>
      </c>
      <c r="H18" s="9">
        <f>MAX(-1,MIN(1,Counties!O277+-0.01+Dashboard!$F$8))</f>
        <v/>
      </c>
      <c r="I18" s="36">
        <f>MAX(-1,MIN(1,Counties!O277+0.0+Dashboard!$F$8))</f>
        <v/>
      </c>
      <c r="J18" s="9">
        <f>MAX(-1,MIN(1,Counties!O277+0.01+Dashboard!$F$8))</f>
        <v/>
      </c>
      <c r="K18" s="9">
        <f>MAX(-1,MIN(1,Counties!O277+0.05+Dashboard!$F$8))</f>
        <v/>
      </c>
      <c r="L18" s="37">
        <f>G18*D18</f>
        <v/>
      </c>
      <c r="M18" s="37">
        <f>H18*D18</f>
        <v/>
      </c>
      <c r="N18" s="37">
        <f>I18*D18</f>
        <v/>
      </c>
      <c r="O18" s="37">
        <f>J18*D18</f>
        <v/>
      </c>
      <c r="P18" s="37">
        <f>K18*D18</f>
        <v/>
      </c>
      <c r="Q18" s="12">
        <f>D18*(1+I18)/2</f>
        <v/>
      </c>
      <c r="R18" s="9">
        <f>Counties!AH277</f>
        <v/>
      </c>
      <c r="S18" s="37">
        <f>IF(Counties!AH277="","",Counties!AH277*Counties!AF277)</f>
        <v/>
      </c>
      <c r="T18" s="13">
        <f>Counties!AO277</f>
        <v/>
      </c>
      <c r="U18" s="16">
        <f>Counties!AU277</f>
        <v/>
      </c>
      <c r="V18" s="9">
        <f>Counties!AV277</f>
        <v/>
      </c>
      <c r="W18" s="10">
        <f>Counties!AY277</f>
        <v/>
      </c>
      <c r="X18" s="8">
        <f>IF(R18="","not in yet",IF(W18&lt;&gt;"",IF(W18&gt;=0.05,"Great for Turek",IF(W18&gt;=0.01,"Turek on track",IF(W18&gt;-0.01,"Toss-up",IF(W18&gt;-0.05,"Hinson on track","Great for Hinson"))))&amp;" (margin + turnout)",IF((R18-I18)&gt;=0.05,"Great for Turek",IF((R18-I18)&gt;=0.01,"Turek on track",IF((R18-I18)&gt;-0.01,"Toss-up",IF((R18-I18)&gt;-0.05,"Hinson on track","Great for Hinson"))))&amp;IF(Counties!AG277=1,""," (partial count)")))</f>
        <v/>
      </c>
      <c r="Y18" s="17">
        <f>"Break-even "&amp;IF(I18&gt;=0,"D+","R+")&amp;TEXT(ABS(I18)*100,"0.0")&amp;" ("&amp;IF(N18&gt;=0,"D +","R +")&amp;TEXT(ABS(N18),"#,##0")&amp;" net, about "&amp;TEXT(Q18,"#,##0")&amp;" Turek votes). Turek at "&amp;IF(K18&gt;=0,"D+","R+")&amp;TEXT(ABS(K18)*100,"0.0")&amp;" or better = great night; "&amp;IF(J18&gt;=0,"D+","R+")&amp;TEXT(ABS(J18)*100,"0.0")&amp;" = on track to win. Hinson holding it to "&amp;IF(H18&gt;=0,"D+","R+")&amp;TEXT(ABS(H18)*100,"0.0")&amp;" = Hinson on track; "&amp;IF(G18&gt;=0,"D+","R+")&amp;TEXT(ABS(G18)*100,"0.0")&amp;" or worse for Turek = great for Hinson. Turnout: par is about "&amp;TEXT(D18,"#,##0")&amp;" two-party votes ("&amp;TEXT(Counties!AQ277/SUMIFS(Counties!$AQ:$AQ,Counties!$A:$A,"IA"),"0.0%")&amp;" of the state). At 95% of par the break-even moves to "&amp;IF((I18/0.95)&gt;=0,"D+","R+")&amp;TEXT(ABS((I18/0.95))*100,"0.0")&amp;"; at 105%, to "&amp;IF((I18/1.05)&gt;=0,"D+","R+")&amp;TEXT(ABS((I18/1.05))*100,"0.0")&amp;"."</f>
        <v/>
      </c>
    </row>
    <row r="19" ht="58" customHeight="1">
      <c r="A19" s="8" t="inlineStr">
        <is>
          <t>IA</t>
        </is>
      </c>
      <c r="B19" s="8" t="inlineStr">
        <is>
          <t>Linn</t>
        </is>
      </c>
      <c r="C19" s="8" t="inlineStr">
        <is>
          <t>Mid-size/working metro</t>
        </is>
      </c>
      <c r="D19" s="12">
        <f>Counties!AT257</f>
        <v/>
      </c>
      <c r="E19" s="9">
        <f>Counties!O257</f>
        <v/>
      </c>
      <c r="F19" s="9">
        <f>Counties!R257</f>
        <v/>
      </c>
      <c r="G19" s="9">
        <f>MAX(-1,MIN(1,Counties!O257+-0.05+Dashboard!$F$8))</f>
        <v/>
      </c>
      <c r="H19" s="9">
        <f>MAX(-1,MIN(1,Counties!O257+-0.01+Dashboard!$F$8))</f>
        <v/>
      </c>
      <c r="I19" s="36">
        <f>MAX(-1,MIN(1,Counties!O257+0.0+Dashboard!$F$8))</f>
        <v/>
      </c>
      <c r="J19" s="9">
        <f>MAX(-1,MIN(1,Counties!O257+0.01+Dashboard!$F$8))</f>
        <v/>
      </c>
      <c r="K19" s="9">
        <f>MAX(-1,MIN(1,Counties!O257+0.05+Dashboard!$F$8))</f>
        <v/>
      </c>
      <c r="L19" s="37">
        <f>G19*D19</f>
        <v/>
      </c>
      <c r="M19" s="37">
        <f>H19*D19</f>
        <v/>
      </c>
      <c r="N19" s="37">
        <f>I19*D19</f>
        <v/>
      </c>
      <c r="O19" s="37">
        <f>J19*D19</f>
        <v/>
      </c>
      <c r="P19" s="37">
        <f>K19*D19</f>
        <v/>
      </c>
      <c r="Q19" s="12">
        <f>D19*(1+I19)/2</f>
        <v/>
      </c>
      <c r="R19" s="9">
        <f>Counties!AH257</f>
        <v/>
      </c>
      <c r="S19" s="37">
        <f>IF(Counties!AH257="","",Counties!AH257*Counties!AF257)</f>
        <v/>
      </c>
      <c r="T19" s="13">
        <f>Counties!AO257</f>
        <v/>
      </c>
      <c r="U19" s="16">
        <f>Counties!AU257</f>
        <v/>
      </c>
      <c r="V19" s="9">
        <f>Counties!AV257</f>
        <v/>
      </c>
      <c r="W19" s="10">
        <f>Counties!AY257</f>
        <v/>
      </c>
      <c r="X19" s="8">
        <f>IF(R19="","not in yet",IF(W19&lt;&gt;"",IF(W19&gt;=0.05,"Great for Turek",IF(W19&gt;=0.01,"Turek on track",IF(W19&gt;-0.01,"Toss-up",IF(W19&gt;-0.05,"Hinson on track","Great for Hinson"))))&amp;" (margin + turnout)",IF((R19-I19)&gt;=0.05,"Great for Turek",IF((R19-I19)&gt;=0.01,"Turek on track",IF((R19-I19)&gt;-0.01,"Toss-up",IF((R19-I19)&gt;-0.05,"Hinson on track","Great for Hinson"))))&amp;IF(Counties!AG257=1,""," (partial count)")))</f>
        <v/>
      </c>
      <c r="Y19" s="17">
        <f>"Break-even "&amp;IF(I19&gt;=0,"D+","R+")&amp;TEXT(ABS(I19)*100,"0.0")&amp;" ("&amp;IF(N19&gt;=0,"D +","R +")&amp;TEXT(ABS(N19),"#,##0")&amp;" net, about "&amp;TEXT(Q19,"#,##0")&amp;" Turek votes). Turek at "&amp;IF(K19&gt;=0,"D+","R+")&amp;TEXT(ABS(K19)*100,"0.0")&amp;" or better = great night; "&amp;IF(J19&gt;=0,"D+","R+")&amp;TEXT(ABS(J19)*100,"0.0")&amp;" = on track to win. Hinson holding it to "&amp;IF(H19&gt;=0,"D+","R+")&amp;TEXT(ABS(H19)*100,"0.0")&amp;" = Hinson on track; "&amp;IF(G19&gt;=0,"D+","R+")&amp;TEXT(ABS(G19)*100,"0.0")&amp;" or worse for Turek = great for Hinson. Turnout: par is about "&amp;TEXT(D19,"#,##0")&amp;" two-party votes ("&amp;TEXT(Counties!AQ257/SUMIFS(Counties!$AQ:$AQ,Counties!$A:$A,"IA"),"0.0%")&amp;" of the state). At 95% of par the break-even moves to "&amp;IF((I19/0.95)&gt;=0,"D+","R+")&amp;TEXT(ABS((I19/0.95))*100,"0.0")&amp;"; at 105%, to "&amp;IF((I19/1.05)&gt;=0,"D+","R+")&amp;TEXT(ABS((I19/1.05))*100,"0.0")&amp;"."</f>
        <v/>
      </c>
    </row>
    <row r="20" ht="58" customHeight="1">
      <c r="A20" s="8" t="inlineStr">
        <is>
          <t>IA</t>
        </is>
      </c>
      <c r="B20" s="8" t="inlineStr">
        <is>
          <t>Scott</t>
        </is>
      </c>
      <c r="C20" s="8" t="inlineStr">
        <is>
          <t>Mid-size/working metro</t>
        </is>
      </c>
      <c r="D20" s="12">
        <f>Counties!AT282</f>
        <v/>
      </c>
      <c r="E20" s="9">
        <f>Counties!O282</f>
        <v/>
      </c>
      <c r="F20" s="9">
        <f>Counties!R282</f>
        <v/>
      </c>
      <c r="G20" s="9">
        <f>MAX(-1,MIN(1,Counties!O282+-0.05+Dashboard!$F$8))</f>
        <v/>
      </c>
      <c r="H20" s="9">
        <f>MAX(-1,MIN(1,Counties!O282+-0.01+Dashboard!$F$8))</f>
        <v/>
      </c>
      <c r="I20" s="36">
        <f>MAX(-1,MIN(1,Counties!O282+0.0+Dashboard!$F$8))</f>
        <v/>
      </c>
      <c r="J20" s="9">
        <f>MAX(-1,MIN(1,Counties!O282+0.01+Dashboard!$F$8))</f>
        <v/>
      </c>
      <c r="K20" s="9">
        <f>MAX(-1,MIN(1,Counties!O282+0.05+Dashboard!$F$8))</f>
        <v/>
      </c>
      <c r="L20" s="37">
        <f>G20*D20</f>
        <v/>
      </c>
      <c r="M20" s="37">
        <f>H20*D20</f>
        <v/>
      </c>
      <c r="N20" s="37">
        <f>I20*D20</f>
        <v/>
      </c>
      <c r="O20" s="37">
        <f>J20*D20</f>
        <v/>
      </c>
      <c r="P20" s="37">
        <f>K20*D20</f>
        <v/>
      </c>
      <c r="Q20" s="12">
        <f>D20*(1+I20)/2</f>
        <v/>
      </c>
      <c r="R20" s="9">
        <f>Counties!AH282</f>
        <v/>
      </c>
      <c r="S20" s="37">
        <f>IF(Counties!AH282="","",Counties!AH282*Counties!AF282)</f>
        <v/>
      </c>
      <c r="T20" s="13">
        <f>Counties!AO282</f>
        <v/>
      </c>
      <c r="U20" s="16">
        <f>Counties!AU282</f>
        <v/>
      </c>
      <c r="V20" s="9">
        <f>Counties!AV282</f>
        <v/>
      </c>
      <c r="W20" s="10">
        <f>Counties!AY282</f>
        <v/>
      </c>
      <c r="X20" s="8">
        <f>IF(R20="","not in yet",IF(W20&lt;&gt;"",IF(W20&gt;=0.05,"Great for Turek",IF(W20&gt;=0.01,"Turek on track",IF(W20&gt;-0.01,"Toss-up",IF(W20&gt;-0.05,"Hinson on track","Great for Hinson"))))&amp;" (margin + turnout)",IF((R20-I20)&gt;=0.05,"Great for Turek",IF((R20-I20)&gt;=0.01,"Turek on track",IF((R20-I20)&gt;-0.01,"Toss-up",IF((R20-I20)&gt;-0.05,"Hinson on track","Great for Hinson"))))&amp;IF(Counties!AG282=1,""," (partial count)")))</f>
        <v/>
      </c>
      <c r="Y20" s="17">
        <f>"Break-even "&amp;IF(I20&gt;=0,"D+","R+")&amp;TEXT(ABS(I20)*100,"0.0")&amp;" ("&amp;IF(N20&gt;=0,"D +","R +")&amp;TEXT(ABS(N20),"#,##0")&amp;" net, about "&amp;TEXT(Q20,"#,##0")&amp;" Turek votes). Turek at "&amp;IF(K20&gt;=0,"D+","R+")&amp;TEXT(ABS(K20)*100,"0.0")&amp;" or better = great night; "&amp;IF(J20&gt;=0,"D+","R+")&amp;TEXT(ABS(J20)*100,"0.0")&amp;" = on track to win. Hinson holding it to "&amp;IF(H20&gt;=0,"D+","R+")&amp;TEXT(ABS(H20)*100,"0.0")&amp;" = Hinson on track; "&amp;IF(G20&gt;=0,"D+","R+")&amp;TEXT(ABS(G20)*100,"0.0")&amp;" or worse for Turek = great for Hinson. Turnout: par is about "&amp;TEXT(D20,"#,##0")&amp;" two-party votes ("&amp;TEXT(Counties!AQ282/SUMIFS(Counties!$AQ:$AQ,Counties!$A:$A,"IA"),"0.0%")&amp;" of the state). At 95% of par the break-even moves to "&amp;IF((I20/0.95)&gt;=0,"D+","R+")&amp;TEXT(ABS((I20/0.95))*100,"0.0")&amp;"; at 105%, to "&amp;IF((I20/1.05)&gt;=0,"D+","R+")&amp;TEXT(ABS((I20/1.05))*100,"0.0")&amp;"."</f>
        <v/>
      </c>
    </row>
    <row r="21" ht="58" customHeight="1">
      <c r="A21" s="8" t="inlineStr">
        <is>
          <t>IA</t>
        </is>
      </c>
      <c r="B21" s="8" t="inlineStr">
        <is>
          <t>Johnson</t>
        </is>
      </c>
      <c r="C21" s="8" t="inlineStr">
        <is>
          <t>College suburb/metro</t>
        </is>
      </c>
      <c r="D21" s="12">
        <f>Counties!AT252</f>
        <v/>
      </c>
      <c r="E21" s="9">
        <f>Counties!O252</f>
        <v/>
      </c>
      <c r="F21" s="9">
        <f>Counties!R252</f>
        <v/>
      </c>
      <c r="G21" s="9">
        <f>MAX(-1,MIN(1,Counties!O252+-0.05+Dashboard!$F$8))</f>
        <v/>
      </c>
      <c r="H21" s="9">
        <f>MAX(-1,MIN(1,Counties!O252+-0.01+Dashboard!$F$8))</f>
        <v/>
      </c>
      <c r="I21" s="36">
        <f>MAX(-1,MIN(1,Counties!O252+0.0+Dashboard!$F$8))</f>
        <v/>
      </c>
      <c r="J21" s="9">
        <f>MAX(-1,MIN(1,Counties!O252+0.01+Dashboard!$F$8))</f>
        <v/>
      </c>
      <c r="K21" s="9">
        <f>MAX(-1,MIN(1,Counties!O252+0.05+Dashboard!$F$8))</f>
        <v/>
      </c>
      <c r="L21" s="37">
        <f>G21*D21</f>
        <v/>
      </c>
      <c r="M21" s="37">
        <f>H21*D21</f>
        <v/>
      </c>
      <c r="N21" s="37">
        <f>I21*D21</f>
        <v/>
      </c>
      <c r="O21" s="37">
        <f>J21*D21</f>
        <v/>
      </c>
      <c r="P21" s="37">
        <f>K21*D21</f>
        <v/>
      </c>
      <c r="Q21" s="12">
        <f>D21*(1+I21)/2</f>
        <v/>
      </c>
      <c r="R21" s="9">
        <f>Counties!AH252</f>
        <v/>
      </c>
      <c r="S21" s="37">
        <f>IF(Counties!AH252="","",Counties!AH252*Counties!AF252)</f>
        <v/>
      </c>
      <c r="T21" s="13">
        <f>Counties!AO252</f>
        <v/>
      </c>
      <c r="U21" s="16">
        <f>Counties!AU252</f>
        <v/>
      </c>
      <c r="V21" s="9">
        <f>Counties!AV252</f>
        <v/>
      </c>
      <c r="W21" s="10">
        <f>Counties!AY252</f>
        <v/>
      </c>
      <c r="X21" s="8">
        <f>IF(R21="","not in yet",IF(W21&lt;&gt;"",IF(W21&gt;=0.05,"Great for Turek",IF(W21&gt;=0.01,"Turek on track",IF(W21&gt;-0.01,"Toss-up",IF(W21&gt;-0.05,"Hinson on track","Great for Hinson"))))&amp;" (margin + turnout)",IF((R21-I21)&gt;=0.05,"Great for Turek",IF((R21-I21)&gt;=0.01,"Turek on track",IF((R21-I21)&gt;-0.01,"Toss-up",IF((R21-I21)&gt;-0.05,"Hinson on track","Great for Hinson"))))&amp;IF(Counties!AG252=1,""," (partial count)")))</f>
        <v/>
      </c>
      <c r="Y21" s="17">
        <f>"Break-even "&amp;IF(I21&gt;=0,"D+","R+")&amp;TEXT(ABS(I21)*100,"0.0")&amp;" ("&amp;IF(N21&gt;=0,"D +","R +")&amp;TEXT(ABS(N21),"#,##0")&amp;" net, about "&amp;TEXT(Q21,"#,##0")&amp;" Turek votes). Turek at "&amp;IF(K21&gt;=0,"D+","R+")&amp;TEXT(ABS(K21)*100,"0.0")&amp;" or better = great night; "&amp;IF(J21&gt;=0,"D+","R+")&amp;TEXT(ABS(J21)*100,"0.0")&amp;" = on track to win. Hinson holding it to "&amp;IF(H21&gt;=0,"D+","R+")&amp;TEXT(ABS(H21)*100,"0.0")&amp;" = Hinson on track; "&amp;IF(G21&gt;=0,"D+","R+")&amp;TEXT(ABS(G21)*100,"0.0")&amp;" or worse for Turek = great for Hinson. Turnout: par is about "&amp;TEXT(D21,"#,##0")&amp;" two-party votes ("&amp;TEXT(Counties!AQ252/SUMIFS(Counties!$AQ:$AQ,Counties!$A:$A,"IA"),"0.0%")&amp;" of the state). At 95% of par the break-even moves to "&amp;IF((I21/0.95)&gt;=0,"D+","R+")&amp;TEXT(ABS((I21/0.95))*100,"0.0")&amp;"; at 105%, to "&amp;IF((I21/1.05)&gt;=0,"D+","R+")&amp;TEXT(ABS((I21/1.05))*100,"0.0")&amp;"."</f>
        <v/>
      </c>
    </row>
    <row r="22" ht="58" customHeight="1">
      <c r="A22" s="8" t="inlineStr">
        <is>
          <t>IA</t>
        </is>
      </c>
      <c r="B22" s="8" t="inlineStr">
        <is>
          <t>Black Hawk</t>
        </is>
      </c>
      <c r="C22" s="8" t="inlineStr">
        <is>
          <t>Mid-size/working metro</t>
        </is>
      </c>
      <c r="D22" s="12">
        <f>Counties!AT207</f>
        <v/>
      </c>
      <c r="E22" s="9">
        <f>Counties!O207</f>
        <v/>
      </c>
      <c r="F22" s="9">
        <f>Counties!R207</f>
        <v/>
      </c>
      <c r="G22" s="9">
        <f>MAX(-1,MIN(1,Counties!O207+-0.05+Dashboard!$F$8))</f>
        <v/>
      </c>
      <c r="H22" s="9">
        <f>MAX(-1,MIN(1,Counties!O207+-0.01+Dashboard!$F$8))</f>
        <v/>
      </c>
      <c r="I22" s="36">
        <f>MAX(-1,MIN(1,Counties!O207+0.0+Dashboard!$F$8))</f>
        <v/>
      </c>
      <c r="J22" s="9">
        <f>MAX(-1,MIN(1,Counties!O207+0.01+Dashboard!$F$8))</f>
        <v/>
      </c>
      <c r="K22" s="9">
        <f>MAX(-1,MIN(1,Counties!O207+0.05+Dashboard!$F$8))</f>
        <v/>
      </c>
      <c r="L22" s="37">
        <f>G22*D22</f>
        <v/>
      </c>
      <c r="M22" s="37">
        <f>H22*D22</f>
        <v/>
      </c>
      <c r="N22" s="37">
        <f>I22*D22</f>
        <v/>
      </c>
      <c r="O22" s="37">
        <f>J22*D22</f>
        <v/>
      </c>
      <c r="P22" s="37">
        <f>K22*D22</f>
        <v/>
      </c>
      <c r="Q22" s="12">
        <f>D22*(1+I22)/2</f>
        <v/>
      </c>
      <c r="R22" s="9">
        <f>Counties!AH207</f>
        <v/>
      </c>
      <c r="S22" s="37">
        <f>IF(Counties!AH207="","",Counties!AH207*Counties!AF207)</f>
        <v/>
      </c>
      <c r="T22" s="13">
        <f>Counties!AO207</f>
        <v/>
      </c>
      <c r="U22" s="16">
        <f>Counties!AU207</f>
        <v/>
      </c>
      <c r="V22" s="9">
        <f>Counties!AV207</f>
        <v/>
      </c>
      <c r="W22" s="10">
        <f>Counties!AY207</f>
        <v/>
      </c>
      <c r="X22" s="8">
        <f>IF(R22="","not in yet",IF(W22&lt;&gt;"",IF(W22&gt;=0.05,"Great for Turek",IF(W22&gt;=0.01,"Turek on track",IF(W22&gt;-0.01,"Toss-up",IF(W22&gt;-0.05,"Hinson on track","Great for Hinson"))))&amp;" (margin + turnout)",IF((R22-I22)&gt;=0.05,"Great for Turek",IF((R22-I22)&gt;=0.01,"Turek on track",IF((R22-I22)&gt;-0.01,"Toss-up",IF((R22-I22)&gt;-0.05,"Hinson on track","Great for Hinson"))))&amp;IF(Counties!AG207=1,""," (partial count)")))</f>
        <v/>
      </c>
      <c r="Y22" s="17">
        <f>"Break-even "&amp;IF(I22&gt;=0,"D+","R+")&amp;TEXT(ABS(I22)*100,"0.0")&amp;" ("&amp;IF(N22&gt;=0,"D +","R +")&amp;TEXT(ABS(N22),"#,##0")&amp;" net, about "&amp;TEXT(Q22,"#,##0")&amp;" Turek votes). Turek at "&amp;IF(K22&gt;=0,"D+","R+")&amp;TEXT(ABS(K22)*100,"0.0")&amp;" or better = great night; "&amp;IF(J22&gt;=0,"D+","R+")&amp;TEXT(ABS(J22)*100,"0.0")&amp;" = on track to win. Hinson holding it to "&amp;IF(H22&gt;=0,"D+","R+")&amp;TEXT(ABS(H22)*100,"0.0")&amp;" = Hinson on track; "&amp;IF(G22&gt;=0,"D+","R+")&amp;TEXT(ABS(G22)*100,"0.0")&amp;" or worse for Turek = great for Hinson. Turnout: par is about "&amp;TEXT(D22,"#,##0")&amp;" two-party votes ("&amp;TEXT(Counties!AQ207/SUMIFS(Counties!$AQ:$AQ,Counties!$A:$A,"IA"),"0.0%")&amp;" of the state). At 95% of par the break-even moves to "&amp;IF((I22/0.95)&gt;=0,"D+","R+")&amp;TEXT(ABS((I22/0.95))*100,"0.0")&amp;"; at 105%, to "&amp;IF((I22/1.05)&gt;=0,"D+","R+")&amp;TEXT(ABS((I22/1.05))*100,"0.0")&amp;"."</f>
        <v/>
      </c>
    </row>
    <row r="23" ht="58" customHeight="1">
      <c r="A23" s="8" t="inlineStr">
        <is>
          <t>IA</t>
        </is>
      </c>
      <c r="B23" s="8" t="inlineStr">
        <is>
          <t>Dallas</t>
        </is>
      </c>
      <c r="C23" s="8" t="inlineStr">
        <is>
          <t>College suburb/metro</t>
        </is>
      </c>
      <c r="D23" s="12">
        <f>Counties!AT225</f>
        <v/>
      </c>
      <c r="E23" s="9">
        <f>Counties!O225</f>
        <v/>
      </c>
      <c r="F23" s="9">
        <f>Counties!R225</f>
        <v/>
      </c>
      <c r="G23" s="9">
        <f>MAX(-1,MIN(1,Counties!O225+-0.05+Dashboard!$F$8))</f>
        <v/>
      </c>
      <c r="H23" s="9">
        <f>MAX(-1,MIN(1,Counties!O225+-0.01+Dashboard!$F$8))</f>
        <v/>
      </c>
      <c r="I23" s="36">
        <f>MAX(-1,MIN(1,Counties!O225+0.0+Dashboard!$F$8))</f>
        <v/>
      </c>
      <c r="J23" s="9">
        <f>MAX(-1,MIN(1,Counties!O225+0.01+Dashboard!$F$8))</f>
        <v/>
      </c>
      <c r="K23" s="9">
        <f>MAX(-1,MIN(1,Counties!O225+0.05+Dashboard!$F$8))</f>
        <v/>
      </c>
      <c r="L23" s="37">
        <f>G23*D23</f>
        <v/>
      </c>
      <c r="M23" s="37">
        <f>H23*D23</f>
        <v/>
      </c>
      <c r="N23" s="37">
        <f>I23*D23</f>
        <v/>
      </c>
      <c r="O23" s="37">
        <f>J23*D23</f>
        <v/>
      </c>
      <c r="P23" s="37">
        <f>K23*D23</f>
        <v/>
      </c>
      <c r="Q23" s="12">
        <f>D23*(1+I23)/2</f>
        <v/>
      </c>
      <c r="R23" s="9">
        <f>Counties!AH225</f>
        <v/>
      </c>
      <c r="S23" s="37">
        <f>IF(Counties!AH225="","",Counties!AH225*Counties!AF225)</f>
        <v/>
      </c>
      <c r="T23" s="13">
        <f>Counties!AO225</f>
        <v/>
      </c>
      <c r="U23" s="16">
        <f>Counties!AU225</f>
        <v/>
      </c>
      <c r="V23" s="9">
        <f>Counties!AV225</f>
        <v/>
      </c>
      <c r="W23" s="10">
        <f>Counties!AY225</f>
        <v/>
      </c>
      <c r="X23" s="8">
        <f>IF(R23="","not in yet",IF(W23&lt;&gt;"",IF(W23&gt;=0.05,"Great for Turek",IF(W23&gt;=0.01,"Turek on track",IF(W23&gt;-0.01,"Toss-up",IF(W23&gt;-0.05,"Hinson on track","Great for Hinson"))))&amp;" (margin + turnout)",IF((R23-I23)&gt;=0.05,"Great for Turek",IF((R23-I23)&gt;=0.01,"Turek on track",IF((R23-I23)&gt;-0.01,"Toss-up",IF((R23-I23)&gt;-0.05,"Hinson on track","Great for Hinson"))))&amp;IF(Counties!AG225=1,""," (partial count)")))</f>
        <v/>
      </c>
      <c r="Y23" s="17">
        <f>"Break-even "&amp;IF(I23&gt;=0,"D+","R+")&amp;TEXT(ABS(I23)*100,"0.0")&amp;" ("&amp;IF(N23&gt;=0,"D +","R +")&amp;TEXT(ABS(N23),"#,##0")&amp;" net, about "&amp;TEXT(Q23,"#,##0")&amp;" Turek votes). Turek at "&amp;IF(K23&gt;=0,"D+","R+")&amp;TEXT(ABS(K23)*100,"0.0")&amp;" or better = great night; "&amp;IF(J23&gt;=0,"D+","R+")&amp;TEXT(ABS(J23)*100,"0.0")&amp;" = on track to win. Hinson holding it to "&amp;IF(H23&gt;=0,"D+","R+")&amp;TEXT(ABS(H23)*100,"0.0")&amp;" = Hinson on track; "&amp;IF(G23&gt;=0,"D+","R+")&amp;TEXT(ABS(G23)*100,"0.0")&amp;" or worse for Turek = great for Hinson. Turnout: par is about "&amp;TEXT(D23,"#,##0")&amp;" two-party votes ("&amp;TEXT(Counties!AQ225/SUMIFS(Counties!$AQ:$AQ,Counties!$A:$A,"IA"),"0.0%")&amp;" of the state). At 95% of par the break-even moves to "&amp;IF((I23/0.95)&gt;=0,"D+","R+")&amp;TEXT(ABS((I23/0.95))*100,"0.0")&amp;"; at 105%, to "&amp;IF((I23/1.05)&gt;=0,"D+","R+")&amp;TEXT(ABS((I23/1.05))*100,"0.0")&amp;"."</f>
        <v/>
      </c>
    </row>
    <row r="24" ht="58" customHeight="1">
      <c r="A24" s="8" t="inlineStr">
        <is>
          <t>IA</t>
        </is>
      </c>
      <c r="B24" s="8" t="inlineStr">
        <is>
          <t>Dubuque</t>
        </is>
      </c>
      <c r="C24" s="8" t="inlineStr">
        <is>
          <t>Small town &amp; rural</t>
        </is>
      </c>
      <c r="D24" s="12">
        <f>Counties!AT231</f>
        <v/>
      </c>
      <c r="E24" s="9">
        <f>Counties!O231</f>
        <v/>
      </c>
      <c r="F24" s="9">
        <f>Counties!R231</f>
        <v/>
      </c>
      <c r="G24" s="9">
        <f>MAX(-1,MIN(1,Counties!O231+-0.05+Dashboard!$F$8))</f>
        <v/>
      </c>
      <c r="H24" s="9">
        <f>MAX(-1,MIN(1,Counties!O231+-0.01+Dashboard!$F$8))</f>
        <v/>
      </c>
      <c r="I24" s="36">
        <f>MAX(-1,MIN(1,Counties!O231+0.0+Dashboard!$F$8))</f>
        <v/>
      </c>
      <c r="J24" s="9">
        <f>MAX(-1,MIN(1,Counties!O231+0.01+Dashboard!$F$8))</f>
        <v/>
      </c>
      <c r="K24" s="9">
        <f>MAX(-1,MIN(1,Counties!O231+0.05+Dashboard!$F$8))</f>
        <v/>
      </c>
      <c r="L24" s="37">
        <f>G24*D24</f>
        <v/>
      </c>
      <c r="M24" s="37">
        <f>H24*D24</f>
        <v/>
      </c>
      <c r="N24" s="37">
        <f>I24*D24</f>
        <v/>
      </c>
      <c r="O24" s="37">
        <f>J24*D24</f>
        <v/>
      </c>
      <c r="P24" s="37">
        <f>K24*D24</f>
        <v/>
      </c>
      <c r="Q24" s="12">
        <f>D24*(1+I24)/2</f>
        <v/>
      </c>
      <c r="R24" s="9">
        <f>Counties!AH231</f>
        <v/>
      </c>
      <c r="S24" s="37">
        <f>IF(Counties!AH231="","",Counties!AH231*Counties!AF231)</f>
        <v/>
      </c>
      <c r="T24" s="13">
        <f>Counties!AO231</f>
        <v/>
      </c>
      <c r="U24" s="16">
        <f>Counties!AU231</f>
        <v/>
      </c>
      <c r="V24" s="9">
        <f>Counties!AV231</f>
        <v/>
      </c>
      <c r="W24" s="10">
        <f>Counties!AY231</f>
        <v/>
      </c>
      <c r="X24" s="8">
        <f>IF(R24="","not in yet",IF(W24&lt;&gt;"",IF(W24&gt;=0.05,"Great for Turek",IF(W24&gt;=0.01,"Turek on track",IF(W24&gt;-0.01,"Toss-up",IF(W24&gt;-0.05,"Hinson on track","Great for Hinson"))))&amp;" (margin + turnout)",IF((R24-I24)&gt;=0.05,"Great for Turek",IF((R24-I24)&gt;=0.01,"Turek on track",IF((R24-I24)&gt;-0.01,"Toss-up",IF((R24-I24)&gt;-0.05,"Hinson on track","Great for Hinson"))))&amp;IF(Counties!AG231=1,""," (partial count)")))</f>
        <v/>
      </c>
      <c r="Y24" s="17">
        <f>"Break-even "&amp;IF(I24&gt;=0,"D+","R+")&amp;TEXT(ABS(I24)*100,"0.0")&amp;" ("&amp;IF(N24&gt;=0,"D +","R +")&amp;TEXT(ABS(N24),"#,##0")&amp;" net, about "&amp;TEXT(Q24,"#,##0")&amp;" Turek votes). Turek at "&amp;IF(K24&gt;=0,"D+","R+")&amp;TEXT(ABS(K24)*100,"0.0")&amp;" or better = great night; "&amp;IF(J24&gt;=0,"D+","R+")&amp;TEXT(ABS(J24)*100,"0.0")&amp;" = on track to win. Hinson holding it to "&amp;IF(H24&gt;=0,"D+","R+")&amp;TEXT(ABS(H24)*100,"0.0")&amp;" = Hinson on track; "&amp;IF(G24&gt;=0,"D+","R+")&amp;TEXT(ABS(G24)*100,"0.0")&amp;" or worse for Turek = great for Hinson. Turnout: par is about "&amp;TEXT(D24,"#,##0")&amp;" two-party votes ("&amp;TEXT(Counties!AQ231/SUMIFS(Counties!$AQ:$AQ,Counties!$A:$A,"IA"),"0.0%")&amp;" of the state). At 95% of par the break-even moves to "&amp;IF((I24/0.95)&gt;=0,"D+","R+")&amp;TEXT(ABS((I24/0.95))*100,"0.0")&amp;"; at 105%, to "&amp;IF((I24/1.05)&gt;=0,"D+","R+")&amp;TEXT(ABS((I24/1.05))*100,"0.0")&amp;"."</f>
        <v/>
      </c>
    </row>
    <row r="25" ht="58" customHeight="1">
      <c r="A25" s="8" t="inlineStr">
        <is>
          <t>IA</t>
        </is>
      </c>
      <c r="B25" s="8" t="inlineStr">
        <is>
          <t>Pottawattamie</t>
        </is>
      </c>
      <c r="C25" s="8" t="inlineStr">
        <is>
          <t>Small town &amp; rural</t>
        </is>
      </c>
      <c r="D25" s="12">
        <f>Counties!AT278</f>
        <v/>
      </c>
      <c r="E25" s="9">
        <f>Counties!O278</f>
        <v/>
      </c>
      <c r="F25" s="9">
        <f>Counties!R278</f>
        <v/>
      </c>
      <c r="G25" s="9">
        <f>MAX(-1,MIN(1,Counties!O278+-0.05+Dashboard!$F$8))</f>
        <v/>
      </c>
      <c r="H25" s="9">
        <f>MAX(-1,MIN(1,Counties!O278+-0.01+Dashboard!$F$8))</f>
        <v/>
      </c>
      <c r="I25" s="36">
        <f>MAX(-1,MIN(1,Counties!O278+0.0+Dashboard!$F$8))</f>
        <v/>
      </c>
      <c r="J25" s="9">
        <f>MAX(-1,MIN(1,Counties!O278+0.01+Dashboard!$F$8))</f>
        <v/>
      </c>
      <c r="K25" s="9">
        <f>MAX(-1,MIN(1,Counties!O278+0.05+Dashboard!$F$8))</f>
        <v/>
      </c>
      <c r="L25" s="37">
        <f>G25*D25</f>
        <v/>
      </c>
      <c r="M25" s="37">
        <f>H25*D25</f>
        <v/>
      </c>
      <c r="N25" s="37">
        <f>I25*D25</f>
        <v/>
      </c>
      <c r="O25" s="37">
        <f>J25*D25</f>
        <v/>
      </c>
      <c r="P25" s="37">
        <f>K25*D25</f>
        <v/>
      </c>
      <c r="Q25" s="12">
        <f>D25*(1+I25)/2</f>
        <v/>
      </c>
      <c r="R25" s="9">
        <f>Counties!AH278</f>
        <v/>
      </c>
      <c r="S25" s="37">
        <f>IF(Counties!AH278="","",Counties!AH278*Counties!AF278)</f>
        <v/>
      </c>
      <c r="T25" s="13">
        <f>Counties!AO278</f>
        <v/>
      </c>
      <c r="U25" s="16">
        <f>Counties!AU278</f>
        <v/>
      </c>
      <c r="V25" s="9">
        <f>Counties!AV278</f>
        <v/>
      </c>
      <c r="W25" s="10">
        <f>Counties!AY278</f>
        <v/>
      </c>
      <c r="X25" s="8">
        <f>IF(R25="","not in yet",IF(W25&lt;&gt;"",IF(W25&gt;=0.05,"Great for Turek",IF(W25&gt;=0.01,"Turek on track",IF(W25&gt;-0.01,"Toss-up",IF(W25&gt;-0.05,"Hinson on track","Great for Hinson"))))&amp;" (margin + turnout)",IF((R25-I25)&gt;=0.05,"Great for Turek",IF((R25-I25)&gt;=0.01,"Turek on track",IF((R25-I25)&gt;-0.01,"Toss-up",IF((R25-I25)&gt;-0.05,"Hinson on track","Great for Hinson"))))&amp;IF(Counties!AG278=1,""," (partial count)")))</f>
        <v/>
      </c>
      <c r="Y25" s="17">
        <f>"Break-even "&amp;IF(I25&gt;=0,"D+","R+")&amp;TEXT(ABS(I25)*100,"0.0")&amp;" ("&amp;IF(N25&gt;=0,"D +","R +")&amp;TEXT(ABS(N25),"#,##0")&amp;" net, about "&amp;TEXT(Q25,"#,##0")&amp;" Turek votes). Turek at "&amp;IF(K25&gt;=0,"D+","R+")&amp;TEXT(ABS(K25)*100,"0.0")&amp;" or better = great night; "&amp;IF(J25&gt;=0,"D+","R+")&amp;TEXT(ABS(J25)*100,"0.0")&amp;" = on track to win. Hinson holding it to "&amp;IF(H25&gt;=0,"D+","R+")&amp;TEXT(ABS(H25)*100,"0.0")&amp;" = Hinson on track; "&amp;IF(G25&gt;=0,"D+","R+")&amp;TEXT(ABS(G25)*100,"0.0")&amp;" or worse for Turek = great for Hinson. Turnout: par is about "&amp;TEXT(D25,"#,##0")&amp;" two-party votes ("&amp;TEXT(Counties!AQ278/SUMIFS(Counties!$AQ:$AQ,Counties!$A:$A,"IA"),"0.0%")&amp;" of the state). At 95% of par the break-even moves to "&amp;IF((I25/0.95)&gt;=0,"D+","R+")&amp;TEXT(ABS((I25/0.95))*100,"0.0")&amp;"; at 105%, to "&amp;IF((I25/1.05)&gt;=0,"D+","R+")&amp;TEXT(ABS((I25/1.05))*100,"0.0")&amp;"."</f>
        <v/>
      </c>
    </row>
    <row r="26" ht="58" customHeight="1">
      <c r="A26" s="8" t="inlineStr">
        <is>
          <t>IA</t>
        </is>
      </c>
      <c r="B26" s="8" t="inlineStr">
        <is>
          <t>Woodbury</t>
        </is>
      </c>
      <c r="C26" s="8" t="inlineStr">
        <is>
          <t>Mid-size/working metro</t>
        </is>
      </c>
      <c r="D26" s="12">
        <f>Counties!AT297</f>
        <v/>
      </c>
      <c r="E26" s="9">
        <f>Counties!O297</f>
        <v/>
      </c>
      <c r="F26" s="9">
        <f>Counties!R297</f>
        <v/>
      </c>
      <c r="G26" s="9">
        <f>MAX(-1,MIN(1,Counties!O297+-0.05+Dashboard!$F$8))</f>
        <v/>
      </c>
      <c r="H26" s="9">
        <f>MAX(-1,MIN(1,Counties!O297+-0.01+Dashboard!$F$8))</f>
        <v/>
      </c>
      <c r="I26" s="36">
        <f>MAX(-1,MIN(1,Counties!O297+0.0+Dashboard!$F$8))</f>
        <v/>
      </c>
      <c r="J26" s="9">
        <f>MAX(-1,MIN(1,Counties!O297+0.01+Dashboard!$F$8))</f>
        <v/>
      </c>
      <c r="K26" s="9">
        <f>MAX(-1,MIN(1,Counties!O297+0.05+Dashboard!$F$8))</f>
        <v/>
      </c>
      <c r="L26" s="37">
        <f>G26*D26</f>
        <v/>
      </c>
      <c r="M26" s="37">
        <f>H26*D26</f>
        <v/>
      </c>
      <c r="N26" s="37">
        <f>I26*D26</f>
        <v/>
      </c>
      <c r="O26" s="37">
        <f>J26*D26</f>
        <v/>
      </c>
      <c r="P26" s="37">
        <f>K26*D26</f>
        <v/>
      </c>
      <c r="Q26" s="12">
        <f>D26*(1+I26)/2</f>
        <v/>
      </c>
      <c r="R26" s="9">
        <f>Counties!AH297</f>
        <v/>
      </c>
      <c r="S26" s="37">
        <f>IF(Counties!AH297="","",Counties!AH297*Counties!AF297)</f>
        <v/>
      </c>
      <c r="T26" s="13">
        <f>Counties!AO297</f>
        <v/>
      </c>
      <c r="U26" s="16">
        <f>Counties!AU297</f>
        <v/>
      </c>
      <c r="V26" s="9">
        <f>Counties!AV297</f>
        <v/>
      </c>
      <c r="W26" s="10">
        <f>Counties!AY297</f>
        <v/>
      </c>
      <c r="X26" s="8">
        <f>IF(R26="","not in yet",IF(W26&lt;&gt;"",IF(W26&gt;=0.05,"Great for Turek",IF(W26&gt;=0.01,"Turek on track",IF(W26&gt;-0.01,"Toss-up",IF(W26&gt;-0.05,"Hinson on track","Great for Hinson"))))&amp;" (margin + turnout)",IF((R26-I26)&gt;=0.05,"Great for Turek",IF((R26-I26)&gt;=0.01,"Turek on track",IF((R26-I26)&gt;-0.01,"Toss-up",IF((R26-I26)&gt;-0.05,"Hinson on track","Great for Hinson"))))&amp;IF(Counties!AG297=1,""," (partial count)")))</f>
        <v/>
      </c>
      <c r="Y26" s="17">
        <f>"Break-even "&amp;IF(I26&gt;=0,"D+","R+")&amp;TEXT(ABS(I26)*100,"0.0")&amp;" ("&amp;IF(N26&gt;=0,"D +","R +")&amp;TEXT(ABS(N26),"#,##0")&amp;" net, about "&amp;TEXT(Q26,"#,##0")&amp;" Turek votes). Turek at "&amp;IF(K26&gt;=0,"D+","R+")&amp;TEXT(ABS(K26)*100,"0.0")&amp;" or better = great night; "&amp;IF(J26&gt;=0,"D+","R+")&amp;TEXT(ABS(J26)*100,"0.0")&amp;" = on track to win. Hinson holding it to "&amp;IF(H26&gt;=0,"D+","R+")&amp;TEXT(ABS(H26)*100,"0.0")&amp;" = Hinson on track; "&amp;IF(G26&gt;=0,"D+","R+")&amp;TEXT(ABS(G26)*100,"0.0")&amp;" or worse for Turek = great for Hinson. Turnout: par is about "&amp;TEXT(D26,"#,##0")&amp;" two-party votes ("&amp;TEXT(Counties!AQ297/SUMIFS(Counties!$AQ:$AQ,Counties!$A:$A,"IA"),"0.0%")&amp;" of the state). At 95% of par the break-even moves to "&amp;IF((I26/0.95)&gt;=0,"D+","R+")&amp;TEXT(ABS((I26/0.95))*100,"0.0")&amp;"; at 105%, to "&amp;IF((I26/1.05)&gt;=0,"D+","R+")&amp;TEXT(ABS((I26/1.05))*100,"0.0")&amp;"."</f>
        <v/>
      </c>
    </row>
    <row r="27" ht="58" customHeight="1">
      <c r="A27" s="8" t="inlineStr">
        <is>
          <t>IA</t>
        </is>
      </c>
      <c r="B27" s="8" t="inlineStr">
        <is>
          <t>Sioux</t>
        </is>
      </c>
      <c r="C27" s="8" t="inlineStr">
        <is>
          <t>Small town &amp; rural</t>
        </is>
      </c>
      <c r="D27" s="12">
        <f>Counties!AT284</f>
        <v/>
      </c>
      <c r="E27" s="9">
        <f>Counties!O284</f>
        <v/>
      </c>
      <c r="F27" s="9">
        <f>Counties!R284</f>
        <v/>
      </c>
      <c r="G27" s="9">
        <f>MAX(-1,MIN(1,Counties!O284+-0.05+Dashboard!$F$8))</f>
        <v/>
      </c>
      <c r="H27" s="9">
        <f>MAX(-1,MIN(1,Counties!O284+-0.01+Dashboard!$F$8))</f>
        <v/>
      </c>
      <c r="I27" s="36">
        <f>MAX(-1,MIN(1,Counties!O284+0.0+Dashboard!$F$8))</f>
        <v/>
      </c>
      <c r="J27" s="9">
        <f>MAX(-1,MIN(1,Counties!O284+0.01+Dashboard!$F$8))</f>
        <v/>
      </c>
      <c r="K27" s="9">
        <f>MAX(-1,MIN(1,Counties!O284+0.05+Dashboard!$F$8))</f>
        <v/>
      </c>
      <c r="L27" s="37">
        <f>G27*D27</f>
        <v/>
      </c>
      <c r="M27" s="37">
        <f>H27*D27</f>
        <v/>
      </c>
      <c r="N27" s="37">
        <f>I27*D27</f>
        <v/>
      </c>
      <c r="O27" s="37">
        <f>J27*D27</f>
        <v/>
      </c>
      <c r="P27" s="37">
        <f>K27*D27</f>
        <v/>
      </c>
      <c r="Q27" s="12">
        <f>D27*(1+I27)/2</f>
        <v/>
      </c>
      <c r="R27" s="9">
        <f>Counties!AH284</f>
        <v/>
      </c>
      <c r="S27" s="37">
        <f>IF(Counties!AH284="","",Counties!AH284*Counties!AF284)</f>
        <v/>
      </c>
      <c r="T27" s="13">
        <f>Counties!AO284</f>
        <v/>
      </c>
      <c r="U27" s="16">
        <f>Counties!AU284</f>
        <v/>
      </c>
      <c r="V27" s="9">
        <f>Counties!AV284</f>
        <v/>
      </c>
      <c r="W27" s="10">
        <f>Counties!AY284</f>
        <v/>
      </c>
      <c r="X27" s="8">
        <f>IF(R27="","not in yet",IF(W27&lt;&gt;"",IF(W27&gt;=0.05,"Great for Turek",IF(W27&gt;=0.01,"Turek on track",IF(W27&gt;-0.01,"Toss-up",IF(W27&gt;-0.05,"Hinson on track","Great for Hinson"))))&amp;" (margin + turnout)",IF((R27-I27)&gt;=0.05,"Great for Turek",IF((R27-I27)&gt;=0.01,"Turek on track",IF((R27-I27)&gt;-0.01,"Toss-up",IF((R27-I27)&gt;-0.05,"Hinson on track","Great for Hinson"))))&amp;IF(Counties!AG284=1,""," (partial count)")))</f>
        <v/>
      </c>
      <c r="Y27" s="17">
        <f>"Break-even "&amp;IF(I27&gt;=0,"D+","R+")&amp;TEXT(ABS(I27)*100,"0.0")&amp;" ("&amp;IF(N27&gt;=0,"D +","R +")&amp;TEXT(ABS(N27),"#,##0")&amp;" net, about "&amp;TEXT(Q27,"#,##0")&amp;" Turek votes). Turek at "&amp;IF(K27&gt;=0,"D+","R+")&amp;TEXT(ABS(K27)*100,"0.0")&amp;" or better = great night; "&amp;IF(J27&gt;=0,"D+","R+")&amp;TEXT(ABS(J27)*100,"0.0")&amp;" = on track to win. Hinson holding it to "&amp;IF(H27&gt;=0,"D+","R+")&amp;TEXT(ABS(H27)*100,"0.0")&amp;" = Hinson on track; "&amp;IF(G27&gt;=0,"D+","R+")&amp;TEXT(ABS(G27)*100,"0.0")&amp;" or worse for Turek = great for Hinson. Turnout: par is about "&amp;TEXT(D27,"#,##0")&amp;" two-party votes ("&amp;TEXT(Counties!AQ284/SUMIFS(Counties!$AQ:$AQ,Counties!$A:$A,"IA"),"0.0%")&amp;" of the state). At 95% of par the break-even moves to "&amp;IF((I27/0.95)&gt;=0,"D+","R+")&amp;TEXT(ABS((I27/0.95))*100,"0.0")&amp;"; at 105%, to "&amp;IF((I27/1.05)&gt;=0,"D+","R+")&amp;TEXT(ABS((I27/1.05))*100,"0.0")&amp;"."</f>
        <v/>
      </c>
    </row>
    <row r="28">
      <c r="A28" s="22" t="inlineStr">
        <is>
          <t>Kansas: Adam Hamilton vs Roger Marshall · 2024 statewide R+16.4 (R+16.5 with 2022's turnout pattern)</t>
        </is>
      </c>
      <c r="B28" s="22" t="n"/>
      <c r="C28" s="22" t="n"/>
      <c r="D28" s="22" t="n"/>
      <c r="E28" s="22" t="n"/>
      <c r="F28" s="22" t="n"/>
      <c r="G28" s="22" t="n"/>
      <c r="H28" s="22" t="n"/>
      <c r="I28" s="22" t="n"/>
      <c r="J28" s="22" t="n"/>
      <c r="K28" s="22" t="n"/>
      <c r="L28" s="22" t="n"/>
      <c r="M28" s="22" t="n"/>
      <c r="N28" s="22" t="n"/>
      <c r="O28" s="22" t="n"/>
      <c r="P28" s="22" t="n"/>
      <c r="Q28" s="22" t="n"/>
      <c r="R28" s="22" t="n"/>
      <c r="S28" s="22" t="n"/>
      <c r="T28" s="22" t="n"/>
      <c r="U28" s="22" t="n"/>
      <c r="V28" s="22" t="n"/>
      <c r="W28" s="22" t="n"/>
      <c r="X28" s="22" t="n"/>
      <c r="Y28" s="22" t="n"/>
    </row>
    <row r="29" ht="58" customHeight="1">
      <c r="A29" s="8" t="inlineStr">
        <is>
          <t>KS</t>
        </is>
      </c>
      <c r="B29" s="8" t="inlineStr">
        <is>
          <t>Johnson</t>
        </is>
      </c>
      <c r="C29" s="8" t="inlineStr">
        <is>
          <t>College suburb/metro</t>
        </is>
      </c>
      <c r="D29" s="12">
        <f>Counties!AT345</f>
        <v/>
      </c>
      <c r="E29" s="9">
        <f>Counties!O345</f>
        <v/>
      </c>
      <c r="F29" s="9">
        <f>Counties!R345</f>
        <v/>
      </c>
      <c r="G29" s="9">
        <f>MAX(-1,MIN(1,Counties!O345+-0.05+Dashboard!$F$9))</f>
        <v/>
      </c>
      <c r="H29" s="9">
        <f>MAX(-1,MIN(1,Counties!O345+-0.01+Dashboard!$F$9))</f>
        <v/>
      </c>
      <c r="I29" s="36">
        <f>MAX(-1,MIN(1,Counties!O345+0.0+Dashboard!$F$9))</f>
        <v/>
      </c>
      <c r="J29" s="9">
        <f>MAX(-1,MIN(1,Counties!O345+0.01+Dashboard!$F$9))</f>
        <v/>
      </c>
      <c r="K29" s="9">
        <f>MAX(-1,MIN(1,Counties!O345+0.05+Dashboard!$F$9))</f>
        <v/>
      </c>
      <c r="L29" s="37">
        <f>G29*D29</f>
        <v/>
      </c>
      <c r="M29" s="37">
        <f>H29*D29</f>
        <v/>
      </c>
      <c r="N29" s="37">
        <f>I29*D29</f>
        <v/>
      </c>
      <c r="O29" s="37">
        <f>J29*D29</f>
        <v/>
      </c>
      <c r="P29" s="37">
        <f>K29*D29</f>
        <v/>
      </c>
      <c r="Q29" s="12">
        <f>D29*(1+I29)/2</f>
        <v/>
      </c>
      <c r="R29" s="9">
        <f>Counties!AH345</f>
        <v/>
      </c>
      <c r="S29" s="37">
        <f>IF(Counties!AH345="","",Counties!AH345*Counties!AF345)</f>
        <v/>
      </c>
      <c r="T29" s="13">
        <f>Counties!AO345</f>
        <v/>
      </c>
      <c r="U29" s="16">
        <f>Counties!AU345</f>
        <v/>
      </c>
      <c r="V29" s="9">
        <f>Counties!AV345</f>
        <v/>
      </c>
      <c r="W29" s="10">
        <f>Counties!AY345</f>
        <v/>
      </c>
      <c r="X29" s="8">
        <f>IF(R29="","not in yet",IF(W29&lt;&gt;"",IF(W29&gt;=0.05,"Great for Hamilton",IF(W29&gt;=0.01,"Hamilton on track",IF(W29&gt;-0.01,"Toss-up",IF(W29&gt;-0.05,"Marshall on track","Great for Marshall"))))&amp;" (margin + turnout)",IF((R29-I29)&gt;=0.05,"Great for Hamilton",IF((R29-I29)&gt;=0.01,"Hamilton on track",IF((R29-I29)&gt;-0.01,"Toss-up",IF((R29-I29)&gt;-0.05,"Marshall on track","Great for Marshall"))))&amp;IF(Counties!AG345=1,""," (partial count)")))</f>
        <v/>
      </c>
      <c r="Y29" s="17">
        <f>"Break-even "&amp;IF(I29&gt;=0,"D+","R+")&amp;TEXT(ABS(I29)*100,"0.0")&amp;" ("&amp;IF(N29&gt;=0,"D +","R +")&amp;TEXT(ABS(N29),"#,##0")&amp;" net, about "&amp;TEXT(Q29,"#,##0")&amp;" Hamilton votes). Hamilton at "&amp;IF(K29&gt;=0,"D+","R+")&amp;TEXT(ABS(K29)*100,"0.0")&amp;" or better = great night; "&amp;IF(J29&gt;=0,"D+","R+")&amp;TEXT(ABS(J29)*100,"0.0")&amp;" = on track to win. Marshall holding it to "&amp;IF(H29&gt;=0,"D+","R+")&amp;TEXT(ABS(H29)*100,"0.0")&amp;" = Marshall on track; "&amp;IF(G29&gt;=0,"D+","R+")&amp;TEXT(ABS(G29)*100,"0.0")&amp;" or worse for Hamilton = great for Marshall. Turnout: par is about "&amp;TEXT(D29,"#,##0")&amp;" two-party votes ("&amp;TEXT(Counties!AQ345/SUMIFS(Counties!$AQ:$AQ,Counties!$A:$A,"KS"),"0.0%")&amp;" of the state). At 95% of par the break-even moves to "&amp;IF((I29/0.95)&gt;=0,"D+","R+")&amp;TEXT(ABS((I29/0.95))*100,"0.0")&amp;"; at 105%, to "&amp;IF((I29/1.05)&gt;=0,"D+","R+")&amp;TEXT(ABS((I29/1.05))*100,"0.0")&amp;"."</f>
        <v/>
      </c>
    </row>
    <row r="30" ht="58" customHeight="1">
      <c r="A30" s="8" t="inlineStr">
        <is>
          <t>KS</t>
        </is>
      </c>
      <c r="B30" s="8" t="inlineStr">
        <is>
          <t>Sedgwick</t>
        </is>
      </c>
      <c r="C30" s="8" t="inlineStr">
        <is>
          <t>Mid-size/working metro</t>
        </is>
      </c>
      <c r="D30" s="12">
        <f>Counties!AT386</f>
        <v/>
      </c>
      <c r="E30" s="9">
        <f>Counties!O386</f>
        <v/>
      </c>
      <c r="F30" s="9">
        <f>Counties!R386</f>
        <v/>
      </c>
      <c r="G30" s="9">
        <f>MAX(-1,MIN(1,Counties!O386+-0.05+Dashboard!$F$9))</f>
        <v/>
      </c>
      <c r="H30" s="9">
        <f>MAX(-1,MIN(1,Counties!O386+-0.01+Dashboard!$F$9))</f>
        <v/>
      </c>
      <c r="I30" s="36">
        <f>MAX(-1,MIN(1,Counties!O386+0.0+Dashboard!$F$9))</f>
        <v/>
      </c>
      <c r="J30" s="9">
        <f>MAX(-1,MIN(1,Counties!O386+0.01+Dashboard!$F$9))</f>
        <v/>
      </c>
      <c r="K30" s="9">
        <f>MAX(-1,MIN(1,Counties!O386+0.05+Dashboard!$F$9))</f>
        <v/>
      </c>
      <c r="L30" s="37">
        <f>G30*D30</f>
        <v/>
      </c>
      <c r="M30" s="37">
        <f>H30*D30</f>
        <v/>
      </c>
      <c r="N30" s="37">
        <f>I30*D30</f>
        <v/>
      </c>
      <c r="O30" s="37">
        <f>J30*D30</f>
        <v/>
      </c>
      <c r="P30" s="37">
        <f>K30*D30</f>
        <v/>
      </c>
      <c r="Q30" s="12">
        <f>D30*(1+I30)/2</f>
        <v/>
      </c>
      <c r="R30" s="9">
        <f>Counties!AH386</f>
        <v/>
      </c>
      <c r="S30" s="37">
        <f>IF(Counties!AH386="","",Counties!AH386*Counties!AF386)</f>
        <v/>
      </c>
      <c r="T30" s="13">
        <f>Counties!AO386</f>
        <v/>
      </c>
      <c r="U30" s="16">
        <f>Counties!AU386</f>
        <v/>
      </c>
      <c r="V30" s="9">
        <f>Counties!AV386</f>
        <v/>
      </c>
      <c r="W30" s="10">
        <f>Counties!AY386</f>
        <v/>
      </c>
      <c r="X30" s="8">
        <f>IF(R30="","not in yet",IF(W30&lt;&gt;"",IF(W30&gt;=0.05,"Great for Hamilton",IF(W30&gt;=0.01,"Hamilton on track",IF(W30&gt;-0.01,"Toss-up",IF(W30&gt;-0.05,"Marshall on track","Great for Marshall"))))&amp;" (margin + turnout)",IF((R30-I30)&gt;=0.05,"Great for Hamilton",IF((R30-I30)&gt;=0.01,"Hamilton on track",IF((R30-I30)&gt;-0.01,"Toss-up",IF((R30-I30)&gt;-0.05,"Marshall on track","Great for Marshall"))))&amp;IF(Counties!AG386=1,""," (partial count)")))</f>
        <v/>
      </c>
      <c r="Y30" s="17">
        <f>"Break-even "&amp;IF(I30&gt;=0,"D+","R+")&amp;TEXT(ABS(I30)*100,"0.0")&amp;" ("&amp;IF(N30&gt;=0,"D +","R +")&amp;TEXT(ABS(N30),"#,##0")&amp;" net, about "&amp;TEXT(Q30,"#,##0")&amp;" Hamilton votes). Hamilton at "&amp;IF(K30&gt;=0,"D+","R+")&amp;TEXT(ABS(K30)*100,"0.0")&amp;" or better = great night; "&amp;IF(J30&gt;=0,"D+","R+")&amp;TEXT(ABS(J30)*100,"0.0")&amp;" = on track to win. Marshall holding it to "&amp;IF(H30&gt;=0,"D+","R+")&amp;TEXT(ABS(H30)*100,"0.0")&amp;" = Marshall on track; "&amp;IF(G30&gt;=0,"D+","R+")&amp;TEXT(ABS(G30)*100,"0.0")&amp;" or worse for Hamilton = great for Marshall. Turnout: par is about "&amp;TEXT(D30,"#,##0")&amp;" two-party votes ("&amp;TEXT(Counties!AQ386/SUMIFS(Counties!$AQ:$AQ,Counties!$A:$A,"KS"),"0.0%")&amp;" of the state). At 95% of par the break-even moves to "&amp;IF((I30/0.95)&gt;=0,"D+","R+")&amp;TEXT(ABS((I30/0.95))*100,"0.0")&amp;"; at 105%, to "&amp;IF((I30/1.05)&gt;=0,"D+","R+")&amp;TEXT(ABS((I30/1.05))*100,"0.0")&amp;"."</f>
        <v/>
      </c>
    </row>
    <row r="31" ht="58" customHeight="1">
      <c r="A31" s="8" t="inlineStr">
        <is>
          <t>KS</t>
        </is>
      </c>
      <c r="B31" s="8" t="inlineStr">
        <is>
          <t>Shawnee</t>
        </is>
      </c>
      <c r="C31" s="8" t="inlineStr">
        <is>
          <t>Mid-size/working metro</t>
        </is>
      </c>
      <c r="D31" s="12">
        <f>Counties!AT388</f>
        <v/>
      </c>
      <c r="E31" s="9">
        <f>Counties!O388</f>
        <v/>
      </c>
      <c r="F31" s="9">
        <f>Counties!R388</f>
        <v/>
      </c>
      <c r="G31" s="9">
        <f>MAX(-1,MIN(1,Counties!O388+-0.05+Dashboard!$F$9))</f>
        <v/>
      </c>
      <c r="H31" s="9">
        <f>MAX(-1,MIN(1,Counties!O388+-0.01+Dashboard!$F$9))</f>
        <v/>
      </c>
      <c r="I31" s="36">
        <f>MAX(-1,MIN(1,Counties!O388+0.0+Dashboard!$F$9))</f>
        <v/>
      </c>
      <c r="J31" s="9">
        <f>MAX(-1,MIN(1,Counties!O388+0.01+Dashboard!$F$9))</f>
        <v/>
      </c>
      <c r="K31" s="9">
        <f>MAX(-1,MIN(1,Counties!O388+0.05+Dashboard!$F$9))</f>
        <v/>
      </c>
      <c r="L31" s="37">
        <f>G31*D31</f>
        <v/>
      </c>
      <c r="M31" s="37">
        <f>H31*D31</f>
        <v/>
      </c>
      <c r="N31" s="37">
        <f>I31*D31</f>
        <v/>
      </c>
      <c r="O31" s="37">
        <f>J31*D31</f>
        <v/>
      </c>
      <c r="P31" s="37">
        <f>K31*D31</f>
        <v/>
      </c>
      <c r="Q31" s="12">
        <f>D31*(1+I31)/2</f>
        <v/>
      </c>
      <c r="R31" s="9">
        <f>Counties!AH388</f>
        <v/>
      </c>
      <c r="S31" s="37">
        <f>IF(Counties!AH388="","",Counties!AH388*Counties!AF388)</f>
        <v/>
      </c>
      <c r="T31" s="13">
        <f>Counties!AO388</f>
        <v/>
      </c>
      <c r="U31" s="16">
        <f>Counties!AU388</f>
        <v/>
      </c>
      <c r="V31" s="9">
        <f>Counties!AV388</f>
        <v/>
      </c>
      <c r="W31" s="10">
        <f>Counties!AY388</f>
        <v/>
      </c>
      <c r="X31" s="8">
        <f>IF(R31="","not in yet",IF(W31&lt;&gt;"",IF(W31&gt;=0.05,"Great for Hamilton",IF(W31&gt;=0.01,"Hamilton on track",IF(W31&gt;-0.01,"Toss-up",IF(W31&gt;-0.05,"Marshall on track","Great for Marshall"))))&amp;" (margin + turnout)",IF((R31-I31)&gt;=0.05,"Great for Hamilton",IF((R31-I31)&gt;=0.01,"Hamilton on track",IF((R31-I31)&gt;-0.01,"Toss-up",IF((R31-I31)&gt;-0.05,"Marshall on track","Great for Marshall"))))&amp;IF(Counties!AG388=1,""," (partial count)")))</f>
        <v/>
      </c>
      <c r="Y31" s="17">
        <f>"Break-even "&amp;IF(I31&gt;=0,"D+","R+")&amp;TEXT(ABS(I31)*100,"0.0")&amp;" ("&amp;IF(N31&gt;=0,"D +","R +")&amp;TEXT(ABS(N31),"#,##0")&amp;" net, about "&amp;TEXT(Q31,"#,##0")&amp;" Hamilton votes). Hamilton at "&amp;IF(K31&gt;=0,"D+","R+")&amp;TEXT(ABS(K31)*100,"0.0")&amp;" or better = great night; "&amp;IF(J31&gt;=0,"D+","R+")&amp;TEXT(ABS(J31)*100,"0.0")&amp;" = on track to win. Marshall holding it to "&amp;IF(H31&gt;=0,"D+","R+")&amp;TEXT(ABS(H31)*100,"0.0")&amp;" = Marshall on track; "&amp;IF(G31&gt;=0,"D+","R+")&amp;TEXT(ABS(G31)*100,"0.0")&amp;" or worse for Hamilton = great for Marshall. Turnout: par is about "&amp;TEXT(D31,"#,##0")&amp;" two-party votes ("&amp;TEXT(Counties!AQ388/SUMIFS(Counties!$AQ:$AQ,Counties!$A:$A,"KS"),"0.0%")&amp;" of the state). At 95% of par the break-even moves to "&amp;IF((I31/0.95)&gt;=0,"D+","R+")&amp;TEXT(ABS((I31/0.95))*100,"0.0")&amp;"; at 105%, to "&amp;IF((I31/1.05)&gt;=0,"D+","R+")&amp;TEXT(ABS((I31/1.05))*100,"0.0")&amp;"."</f>
        <v/>
      </c>
    </row>
    <row r="32" ht="58" customHeight="1">
      <c r="A32" s="8" t="inlineStr">
        <is>
          <t>KS</t>
        </is>
      </c>
      <c r="B32" s="8" t="inlineStr">
        <is>
          <t>Douglas</t>
        </is>
      </c>
      <c r="C32" s="8" t="inlineStr">
        <is>
          <t>College suburb/metro</t>
        </is>
      </c>
      <c r="D32" s="12">
        <f>Counties!AT322</f>
        <v/>
      </c>
      <c r="E32" s="9">
        <f>Counties!O322</f>
        <v/>
      </c>
      <c r="F32" s="9">
        <f>Counties!R322</f>
        <v/>
      </c>
      <c r="G32" s="9">
        <f>MAX(-1,MIN(1,Counties!O322+-0.05+Dashboard!$F$9))</f>
        <v/>
      </c>
      <c r="H32" s="9">
        <f>MAX(-1,MIN(1,Counties!O322+-0.01+Dashboard!$F$9))</f>
        <v/>
      </c>
      <c r="I32" s="36">
        <f>MAX(-1,MIN(1,Counties!O322+0.0+Dashboard!$F$9))</f>
        <v/>
      </c>
      <c r="J32" s="9">
        <f>MAX(-1,MIN(1,Counties!O322+0.01+Dashboard!$F$9))</f>
        <v/>
      </c>
      <c r="K32" s="9">
        <f>MAX(-1,MIN(1,Counties!O322+0.05+Dashboard!$F$9))</f>
        <v/>
      </c>
      <c r="L32" s="37">
        <f>G32*D32</f>
        <v/>
      </c>
      <c r="M32" s="37">
        <f>H32*D32</f>
        <v/>
      </c>
      <c r="N32" s="37">
        <f>I32*D32</f>
        <v/>
      </c>
      <c r="O32" s="37">
        <f>J32*D32</f>
        <v/>
      </c>
      <c r="P32" s="37">
        <f>K32*D32</f>
        <v/>
      </c>
      <c r="Q32" s="12">
        <f>D32*(1+I32)/2</f>
        <v/>
      </c>
      <c r="R32" s="9">
        <f>Counties!AH322</f>
        <v/>
      </c>
      <c r="S32" s="37">
        <f>IF(Counties!AH322="","",Counties!AH322*Counties!AF322)</f>
        <v/>
      </c>
      <c r="T32" s="13">
        <f>Counties!AO322</f>
        <v/>
      </c>
      <c r="U32" s="16">
        <f>Counties!AU322</f>
        <v/>
      </c>
      <c r="V32" s="9">
        <f>Counties!AV322</f>
        <v/>
      </c>
      <c r="W32" s="10">
        <f>Counties!AY322</f>
        <v/>
      </c>
      <c r="X32" s="8">
        <f>IF(R32="","not in yet",IF(W32&lt;&gt;"",IF(W32&gt;=0.05,"Great for Hamilton",IF(W32&gt;=0.01,"Hamilton on track",IF(W32&gt;-0.01,"Toss-up",IF(W32&gt;-0.05,"Marshall on track","Great for Marshall"))))&amp;" (margin + turnout)",IF((R32-I32)&gt;=0.05,"Great for Hamilton",IF((R32-I32)&gt;=0.01,"Hamilton on track",IF((R32-I32)&gt;-0.01,"Toss-up",IF((R32-I32)&gt;-0.05,"Marshall on track","Great for Marshall"))))&amp;IF(Counties!AG322=1,""," (partial count)")))</f>
        <v/>
      </c>
      <c r="Y32" s="17">
        <f>"Break-even "&amp;IF(I32&gt;=0,"D+","R+")&amp;TEXT(ABS(I32)*100,"0.0")&amp;" ("&amp;IF(N32&gt;=0,"D +","R +")&amp;TEXT(ABS(N32),"#,##0")&amp;" net, about "&amp;TEXT(Q32,"#,##0")&amp;" Hamilton votes). Hamilton at "&amp;IF(K32&gt;=0,"D+","R+")&amp;TEXT(ABS(K32)*100,"0.0")&amp;" or better = great night; "&amp;IF(J32&gt;=0,"D+","R+")&amp;TEXT(ABS(J32)*100,"0.0")&amp;" = on track to win. Marshall holding it to "&amp;IF(H32&gt;=0,"D+","R+")&amp;TEXT(ABS(H32)*100,"0.0")&amp;" = Marshall on track; "&amp;IF(G32&gt;=0,"D+","R+")&amp;TEXT(ABS(G32)*100,"0.0")&amp;" or worse for Hamilton = great for Marshall. Turnout: par is about "&amp;TEXT(D32,"#,##0")&amp;" two-party votes ("&amp;TEXT(Counties!AQ322/SUMIFS(Counties!$AQ:$AQ,Counties!$A:$A,"KS"),"0.0%")&amp;" of the state). At 95% of par the break-even moves to "&amp;IF((I32/0.95)&gt;=0,"D+","R+")&amp;TEXT(ABS((I32/0.95))*100,"0.0")&amp;"; at 105%, to "&amp;IF((I32/1.05)&gt;=0,"D+","R+")&amp;TEXT(ABS((I32/1.05))*100,"0.0")&amp;"."</f>
        <v/>
      </c>
    </row>
    <row r="33" ht="58" customHeight="1">
      <c r="A33" s="8" t="inlineStr">
        <is>
          <t>KS</t>
        </is>
      </c>
      <c r="B33" s="8" t="inlineStr">
        <is>
          <t>Wyandotte</t>
        </is>
      </c>
      <c r="C33" s="8" t="inlineStr">
        <is>
          <t>Mid-size/working metro</t>
        </is>
      </c>
      <c r="D33" s="12">
        <f>Counties!AT404</f>
        <v/>
      </c>
      <c r="E33" s="9">
        <f>Counties!O404</f>
        <v/>
      </c>
      <c r="F33" s="9">
        <f>Counties!R404</f>
        <v/>
      </c>
      <c r="G33" s="9">
        <f>MAX(-1,MIN(1,Counties!O404+-0.05+Dashboard!$F$9))</f>
        <v/>
      </c>
      <c r="H33" s="9">
        <f>MAX(-1,MIN(1,Counties!O404+-0.01+Dashboard!$F$9))</f>
        <v/>
      </c>
      <c r="I33" s="36">
        <f>MAX(-1,MIN(1,Counties!O404+0.0+Dashboard!$F$9))</f>
        <v/>
      </c>
      <c r="J33" s="9">
        <f>MAX(-1,MIN(1,Counties!O404+0.01+Dashboard!$F$9))</f>
        <v/>
      </c>
      <c r="K33" s="9">
        <f>MAX(-1,MIN(1,Counties!O404+0.05+Dashboard!$F$9))</f>
        <v/>
      </c>
      <c r="L33" s="37">
        <f>G33*D33</f>
        <v/>
      </c>
      <c r="M33" s="37">
        <f>H33*D33</f>
        <v/>
      </c>
      <c r="N33" s="37">
        <f>I33*D33</f>
        <v/>
      </c>
      <c r="O33" s="37">
        <f>J33*D33</f>
        <v/>
      </c>
      <c r="P33" s="37">
        <f>K33*D33</f>
        <v/>
      </c>
      <c r="Q33" s="12">
        <f>D33*(1+I33)/2</f>
        <v/>
      </c>
      <c r="R33" s="9">
        <f>Counties!AH404</f>
        <v/>
      </c>
      <c r="S33" s="37">
        <f>IF(Counties!AH404="","",Counties!AH404*Counties!AF404)</f>
        <v/>
      </c>
      <c r="T33" s="13">
        <f>Counties!AO404</f>
        <v/>
      </c>
      <c r="U33" s="16">
        <f>Counties!AU404</f>
        <v/>
      </c>
      <c r="V33" s="9">
        <f>Counties!AV404</f>
        <v/>
      </c>
      <c r="W33" s="10">
        <f>Counties!AY404</f>
        <v/>
      </c>
      <c r="X33" s="8">
        <f>IF(R33="","not in yet",IF(W33&lt;&gt;"",IF(W33&gt;=0.05,"Great for Hamilton",IF(W33&gt;=0.01,"Hamilton on track",IF(W33&gt;-0.01,"Toss-up",IF(W33&gt;-0.05,"Marshall on track","Great for Marshall"))))&amp;" (margin + turnout)",IF((R33-I33)&gt;=0.05,"Great for Hamilton",IF((R33-I33)&gt;=0.01,"Hamilton on track",IF((R33-I33)&gt;-0.01,"Toss-up",IF((R33-I33)&gt;-0.05,"Marshall on track","Great for Marshall"))))&amp;IF(Counties!AG404=1,""," (partial count)")))</f>
        <v/>
      </c>
      <c r="Y33" s="17">
        <f>"Break-even "&amp;IF(I33&gt;=0,"D+","R+")&amp;TEXT(ABS(I33)*100,"0.0")&amp;" ("&amp;IF(N33&gt;=0,"D +","R +")&amp;TEXT(ABS(N33),"#,##0")&amp;" net, about "&amp;TEXT(Q33,"#,##0")&amp;" Hamilton votes). Hamilton at "&amp;IF(K33&gt;=0,"D+","R+")&amp;TEXT(ABS(K33)*100,"0.0")&amp;" or better = great night; "&amp;IF(J33&gt;=0,"D+","R+")&amp;TEXT(ABS(J33)*100,"0.0")&amp;" = on track to win. Marshall holding it to "&amp;IF(H33&gt;=0,"D+","R+")&amp;TEXT(ABS(H33)*100,"0.0")&amp;" = Marshall on track; "&amp;IF(G33&gt;=0,"D+","R+")&amp;TEXT(ABS(G33)*100,"0.0")&amp;" or worse for Hamilton = great for Marshall. Turnout: par is about "&amp;TEXT(D33,"#,##0")&amp;" two-party votes ("&amp;TEXT(Counties!AQ404/SUMIFS(Counties!$AQ:$AQ,Counties!$A:$A,"KS"),"0.0%")&amp;" of the state). At 95% of par the break-even moves to "&amp;IF((I33/0.95)&gt;=0,"D+","R+")&amp;TEXT(ABS((I33/0.95))*100,"0.0")&amp;"; at 105%, to "&amp;IF((I33/1.05)&gt;=0,"D+","R+")&amp;TEXT(ABS((I33/1.05))*100,"0.0")&amp;"."</f>
        <v/>
      </c>
    </row>
    <row r="34" ht="58" customHeight="1">
      <c r="A34" s="8" t="inlineStr">
        <is>
          <t>KS</t>
        </is>
      </c>
      <c r="B34" s="8" t="inlineStr">
        <is>
          <t>Butler</t>
        </is>
      </c>
      <c r="C34" s="8" t="inlineStr">
        <is>
          <t>Small town &amp; rural</t>
        </is>
      </c>
      <c r="D34" s="12">
        <f>Counties!AT307</f>
        <v/>
      </c>
      <c r="E34" s="9">
        <f>Counties!O307</f>
        <v/>
      </c>
      <c r="F34" s="9">
        <f>Counties!R307</f>
        <v/>
      </c>
      <c r="G34" s="9">
        <f>MAX(-1,MIN(1,Counties!O307+-0.05+Dashboard!$F$9))</f>
        <v/>
      </c>
      <c r="H34" s="9">
        <f>MAX(-1,MIN(1,Counties!O307+-0.01+Dashboard!$F$9))</f>
        <v/>
      </c>
      <c r="I34" s="36">
        <f>MAX(-1,MIN(1,Counties!O307+0.0+Dashboard!$F$9))</f>
        <v/>
      </c>
      <c r="J34" s="9">
        <f>MAX(-1,MIN(1,Counties!O307+0.01+Dashboard!$F$9))</f>
        <v/>
      </c>
      <c r="K34" s="9">
        <f>MAX(-1,MIN(1,Counties!O307+0.05+Dashboard!$F$9))</f>
        <v/>
      </c>
      <c r="L34" s="37">
        <f>G34*D34</f>
        <v/>
      </c>
      <c r="M34" s="37">
        <f>H34*D34</f>
        <v/>
      </c>
      <c r="N34" s="37">
        <f>I34*D34</f>
        <v/>
      </c>
      <c r="O34" s="37">
        <f>J34*D34</f>
        <v/>
      </c>
      <c r="P34" s="37">
        <f>K34*D34</f>
        <v/>
      </c>
      <c r="Q34" s="12">
        <f>D34*(1+I34)/2</f>
        <v/>
      </c>
      <c r="R34" s="9">
        <f>Counties!AH307</f>
        <v/>
      </c>
      <c r="S34" s="37">
        <f>IF(Counties!AH307="","",Counties!AH307*Counties!AF307)</f>
        <v/>
      </c>
      <c r="T34" s="13">
        <f>Counties!AO307</f>
        <v/>
      </c>
      <c r="U34" s="16">
        <f>Counties!AU307</f>
        <v/>
      </c>
      <c r="V34" s="9">
        <f>Counties!AV307</f>
        <v/>
      </c>
      <c r="W34" s="10">
        <f>Counties!AY307</f>
        <v/>
      </c>
      <c r="X34" s="8">
        <f>IF(R34="","not in yet",IF(W34&lt;&gt;"",IF(W34&gt;=0.05,"Great for Hamilton",IF(W34&gt;=0.01,"Hamilton on track",IF(W34&gt;-0.01,"Toss-up",IF(W34&gt;-0.05,"Marshall on track","Great for Marshall"))))&amp;" (margin + turnout)",IF((R34-I34)&gt;=0.05,"Great for Hamilton",IF((R34-I34)&gt;=0.01,"Hamilton on track",IF((R34-I34)&gt;-0.01,"Toss-up",IF((R34-I34)&gt;-0.05,"Marshall on track","Great for Marshall"))))&amp;IF(Counties!AG307=1,""," (partial count)")))</f>
        <v/>
      </c>
      <c r="Y34" s="17">
        <f>"Break-even "&amp;IF(I34&gt;=0,"D+","R+")&amp;TEXT(ABS(I34)*100,"0.0")&amp;" ("&amp;IF(N34&gt;=0,"D +","R +")&amp;TEXT(ABS(N34),"#,##0")&amp;" net, about "&amp;TEXT(Q34,"#,##0")&amp;" Hamilton votes). Hamilton at "&amp;IF(K34&gt;=0,"D+","R+")&amp;TEXT(ABS(K34)*100,"0.0")&amp;" or better = great night; "&amp;IF(J34&gt;=0,"D+","R+")&amp;TEXT(ABS(J34)*100,"0.0")&amp;" = on track to win. Marshall holding it to "&amp;IF(H34&gt;=0,"D+","R+")&amp;TEXT(ABS(H34)*100,"0.0")&amp;" = Marshall on track; "&amp;IF(G34&gt;=0,"D+","R+")&amp;TEXT(ABS(G34)*100,"0.0")&amp;" or worse for Hamilton = great for Marshall. Turnout: par is about "&amp;TEXT(D34,"#,##0")&amp;" two-party votes ("&amp;TEXT(Counties!AQ307/SUMIFS(Counties!$AQ:$AQ,Counties!$A:$A,"KS"),"0.0%")&amp;" of the state). At 95% of par the break-even moves to "&amp;IF((I34/0.95)&gt;=0,"D+","R+")&amp;TEXT(ABS((I34/0.95))*100,"0.0")&amp;"; at 105%, to "&amp;IF((I34/1.05)&gt;=0,"D+","R+")&amp;TEXT(ABS((I34/1.05))*100,"0.0")&amp;"."</f>
        <v/>
      </c>
    </row>
    <row r="35" ht="58" customHeight="1">
      <c r="A35" s="8" t="inlineStr">
        <is>
          <t>KS</t>
        </is>
      </c>
      <c r="B35" s="8" t="inlineStr">
        <is>
          <t>Reno</t>
        </is>
      </c>
      <c r="C35" s="8" t="inlineStr">
        <is>
          <t>Small town &amp; rural</t>
        </is>
      </c>
      <c r="D35" s="12">
        <f>Counties!AT377</f>
        <v/>
      </c>
      <c r="E35" s="9">
        <f>Counties!O377</f>
        <v/>
      </c>
      <c r="F35" s="9">
        <f>Counties!R377</f>
        <v/>
      </c>
      <c r="G35" s="9">
        <f>MAX(-1,MIN(1,Counties!O377+-0.05+Dashboard!$F$9))</f>
        <v/>
      </c>
      <c r="H35" s="9">
        <f>MAX(-1,MIN(1,Counties!O377+-0.01+Dashboard!$F$9))</f>
        <v/>
      </c>
      <c r="I35" s="36">
        <f>MAX(-1,MIN(1,Counties!O377+0.0+Dashboard!$F$9))</f>
        <v/>
      </c>
      <c r="J35" s="9">
        <f>MAX(-1,MIN(1,Counties!O377+0.01+Dashboard!$F$9))</f>
        <v/>
      </c>
      <c r="K35" s="9">
        <f>MAX(-1,MIN(1,Counties!O377+0.05+Dashboard!$F$9))</f>
        <v/>
      </c>
      <c r="L35" s="37">
        <f>G35*D35</f>
        <v/>
      </c>
      <c r="M35" s="37">
        <f>H35*D35</f>
        <v/>
      </c>
      <c r="N35" s="37">
        <f>I35*D35</f>
        <v/>
      </c>
      <c r="O35" s="37">
        <f>J35*D35</f>
        <v/>
      </c>
      <c r="P35" s="37">
        <f>K35*D35</f>
        <v/>
      </c>
      <c r="Q35" s="12">
        <f>D35*(1+I35)/2</f>
        <v/>
      </c>
      <c r="R35" s="9">
        <f>Counties!AH377</f>
        <v/>
      </c>
      <c r="S35" s="37">
        <f>IF(Counties!AH377="","",Counties!AH377*Counties!AF377)</f>
        <v/>
      </c>
      <c r="T35" s="13">
        <f>Counties!AO377</f>
        <v/>
      </c>
      <c r="U35" s="16">
        <f>Counties!AU377</f>
        <v/>
      </c>
      <c r="V35" s="9">
        <f>Counties!AV377</f>
        <v/>
      </c>
      <c r="W35" s="10">
        <f>Counties!AY377</f>
        <v/>
      </c>
      <c r="X35" s="8">
        <f>IF(R35="","not in yet",IF(W35&lt;&gt;"",IF(W35&gt;=0.05,"Great for Hamilton",IF(W35&gt;=0.01,"Hamilton on track",IF(W35&gt;-0.01,"Toss-up",IF(W35&gt;-0.05,"Marshall on track","Great for Marshall"))))&amp;" (margin + turnout)",IF((R35-I35)&gt;=0.05,"Great for Hamilton",IF((R35-I35)&gt;=0.01,"Hamilton on track",IF((R35-I35)&gt;-0.01,"Toss-up",IF((R35-I35)&gt;-0.05,"Marshall on track","Great for Marshall"))))&amp;IF(Counties!AG377=1,""," (partial count)")))</f>
        <v/>
      </c>
      <c r="Y35" s="17">
        <f>"Break-even "&amp;IF(I35&gt;=0,"D+","R+")&amp;TEXT(ABS(I35)*100,"0.0")&amp;" ("&amp;IF(N35&gt;=0,"D +","R +")&amp;TEXT(ABS(N35),"#,##0")&amp;" net, about "&amp;TEXT(Q35,"#,##0")&amp;" Hamilton votes). Hamilton at "&amp;IF(K35&gt;=0,"D+","R+")&amp;TEXT(ABS(K35)*100,"0.0")&amp;" or better = great night; "&amp;IF(J35&gt;=0,"D+","R+")&amp;TEXT(ABS(J35)*100,"0.0")&amp;" = on track to win. Marshall holding it to "&amp;IF(H35&gt;=0,"D+","R+")&amp;TEXT(ABS(H35)*100,"0.0")&amp;" = Marshall on track; "&amp;IF(G35&gt;=0,"D+","R+")&amp;TEXT(ABS(G35)*100,"0.0")&amp;" or worse for Hamilton = great for Marshall. Turnout: par is about "&amp;TEXT(D35,"#,##0")&amp;" two-party votes ("&amp;TEXT(Counties!AQ377/SUMIFS(Counties!$AQ:$AQ,Counties!$A:$A,"KS"),"0.0%")&amp;" of the state). At 95% of par the break-even moves to "&amp;IF((I35/0.95)&gt;=0,"D+","R+")&amp;TEXT(ABS((I35/0.95))*100,"0.0")&amp;"; at 105%, to "&amp;IF((I35/1.05)&gt;=0,"D+","R+")&amp;TEXT(ABS((I35/1.05))*100,"0.0")&amp;"."</f>
        <v/>
      </c>
    </row>
    <row r="36" ht="58" customHeight="1">
      <c r="A36" s="8" t="inlineStr">
        <is>
          <t>KS</t>
        </is>
      </c>
      <c r="B36" s="8" t="inlineStr">
        <is>
          <t>Riley</t>
        </is>
      </c>
      <c r="C36" s="8" t="inlineStr">
        <is>
          <t>Small town &amp; rural</t>
        </is>
      </c>
      <c r="D36" s="12">
        <f>Counties!AT380</f>
        <v/>
      </c>
      <c r="E36" s="9">
        <f>Counties!O380</f>
        <v/>
      </c>
      <c r="F36" s="9">
        <f>Counties!R380</f>
        <v/>
      </c>
      <c r="G36" s="9">
        <f>MAX(-1,MIN(1,Counties!O380+-0.05+Dashboard!$F$9))</f>
        <v/>
      </c>
      <c r="H36" s="9">
        <f>MAX(-1,MIN(1,Counties!O380+-0.01+Dashboard!$F$9))</f>
        <v/>
      </c>
      <c r="I36" s="36">
        <f>MAX(-1,MIN(1,Counties!O380+0.0+Dashboard!$F$9))</f>
        <v/>
      </c>
      <c r="J36" s="9">
        <f>MAX(-1,MIN(1,Counties!O380+0.01+Dashboard!$F$9))</f>
        <v/>
      </c>
      <c r="K36" s="9">
        <f>MAX(-1,MIN(1,Counties!O380+0.05+Dashboard!$F$9))</f>
        <v/>
      </c>
      <c r="L36" s="37">
        <f>G36*D36</f>
        <v/>
      </c>
      <c r="M36" s="37">
        <f>H36*D36</f>
        <v/>
      </c>
      <c r="N36" s="37">
        <f>I36*D36</f>
        <v/>
      </c>
      <c r="O36" s="37">
        <f>J36*D36</f>
        <v/>
      </c>
      <c r="P36" s="37">
        <f>K36*D36</f>
        <v/>
      </c>
      <c r="Q36" s="12">
        <f>D36*(1+I36)/2</f>
        <v/>
      </c>
      <c r="R36" s="9">
        <f>Counties!AH380</f>
        <v/>
      </c>
      <c r="S36" s="37">
        <f>IF(Counties!AH380="","",Counties!AH380*Counties!AF380)</f>
        <v/>
      </c>
      <c r="T36" s="13">
        <f>Counties!AO380</f>
        <v/>
      </c>
      <c r="U36" s="16">
        <f>Counties!AU380</f>
        <v/>
      </c>
      <c r="V36" s="9">
        <f>Counties!AV380</f>
        <v/>
      </c>
      <c r="W36" s="10">
        <f>Counties!AY380</f>
        <v/>
      </c>
      <c r="X36" s="8">
        <f>IF(R36="","not in yet",IF(W36&lt;&gt;"",IF(W36&gt;=0.05,"Great for Hamilton",IF(W36&gt;=0.01,"Hamilton on track",IF(W36&gt;-0.01,"Toss-up",IF(W36&gt;-0.05,"Marshall on track","Great for Marshall"))))&amp;" (margin + turnout)",IF((R36-I36)&gt;=0.05,"Great for Hamilton",IF((R36-I36)&gt;=0.01,"Hamilton on track",IF((R36-I36)&gt;-0.01,"Toss-up",IF((R36-I36)&gt;-0.05,"Marshall on track","Great for Marshall"))))&amp;IF(Counties!AG380=1,""," (partial count)")))</f>
        <v/>
      </c>
      <c r="Y36" s="17">
        <f>"Break-even "&amp;IF(I36&gt;=0,"D+","R+")&amp;TEXT(ABS(I36)*100,"0.0")&amp;" ("&amp;IF(N36&gt;=0,"D +","R +")&amp;TEXT(ABS(N36),"#,##0")&amp;" net, about "&amp;TEXT(Q36,"#,##0")&amp;" Hamilton votes). Hamilton at "&amp;IF(K36&gt;=0,"D+","R+")&amp;TEXT(ABS(K36)*100,"0.0")&amp;" or better = great night; "&amp;IF(J36&gt;=0,"D+","R+")&amp;TEXT(ABS(J36)*100,"0.0")&amp;" = on track to win. Marshall holding it to "&amp;IF(H36&gt;=0,"D+","R+")&amp;TEXT(ABS(H36)*100,"0.0")&amp;" = Marshall on track; "&amp;IF(G36&gt;=0,"D+","R+")&amp;TEXT(ABS(G36)*100,"0.0")&amp;" or worse for Hamilton = great for Marshall. Turnout: par is about "&amp;TEXT(D36,"#,##0")&amp;" two-party votes ("&amp;TEXT(Counties!AQ380/SUMIFS(Counties!$AQ:$AQ,Counties!$A:$A,"KS"),"0.0%")&amp;" of the state). At 95% of par the break-even moves to "&amp;IF((I36/0.95)&gt;=0,"D+","R+")&amp;TEXT(ABS((I36/0.95))*100,"0.0")&amp;"; at 105%, to "&amp;IF((I36/1.05)&gt;=0,"D+","R+")&amp;TEXT(ABS((I36/1.05))*100,"0.0")&amp;"."</f>
        <v/>
      </c>
    </row>
    <row r="37">
      <c r="A37" s="22" t="inlineStr">
        <is>
          <t>Maine: Troy Jackson vs Susan Collins · 2024 statewide D+7.1 (D+7.2 with 2022's turnout pattern)</t>
        </is>
      </c>
      <c r="B37" s="22" t="n"/>
      <c r="C37" s="22" t="n"/>
      <c r="D37" s="22" t="n"/>
      <c r="E37" s="22" t="n"/>
      <c r="F37" s="22" t="n"/>
      <c r="G37" s="22" t="n"/>
      <c r="H37" s="22" t="n"/>
      <c r="I37" s="22" t="n"/>
      <c r="J37" s="22" t="n"/>
      <c r="K37" s="22" t="n"/>
      <c r="L37" s="22" t="n"/>
      <c r="M37" s="22" t="n"/>
      <c r="N37" s="22" t="n"/>
      <c r="O37" s="22" t="n"/>
      <c r="P37" s="22" t="n"/>
      <c r="Q37" s="22" t="n"/>
      <c r="R37" s="22" t="n"/>
      <c r="S37" s="22" t="n"/>
      <c r="T37" s="22" t="n"/>
      <c r="U37" s="22" t="n"/>
      <c r="V37" s="22" t="n"/>
      <c r="W37" s="22" t="n"/>
      <c r="X37" s="22" t="n"/>
      <c r="Y37" s="22" t="n"/>
    </row>
    <row r="38" ht="58" customHeight="1">
      <c r="A38" s="8" t="inlineStr">
        <is>
          <t>ME</t>
        </is>
      </c>
      <c r="B38" s="8" t="inlineStr">
        <is>
          <t>Cumberland</t>
        </is>
      </c>
      <c r="C38" s="8" t="inlineStr">
        <is>
          <t>College suburb/metro</t>
        </is>
      </c>
      <c r="D38" s="12">
        <f>Counties!AT407</f>
        <v/>
      </c>
      <c r="E38" s="9">
        <f>Counties!O407</f>
        <v/>
      </c>
      <c r="F38" s="9">
        <f>Counties!R407</f>
        <v/>
      </c>
      <c r="G38" s="9">
        <f>MAX(-1,MIN(1,Counties!O407+-0.05+Dashboard!$F$10))</f>
        <v/>
      </c>
      <c r="H38" s="9">
        <f>MAX(-1,MIN(1,Counties!O407+-0.01+Dashboard!$F$10))</f>
        <v/>
      </c>
      <c r="I38" s="36">
        <f>MAX(-1,MIN(1,Counties!O407+0.0+Dashboard!$F$10))</f>
        <v/>
      </c>
      <c r="J38" s="9">
        <f>MAX(-1,MIN(1,Counties!O407+0.01+Dashboard!$F$10))</f>
        <v/>
      </c>
      <c r="K38" s="9">
        <f>MAX(-1,MIN(1,Counties!O407+0.05+Dashboard!$F$10))</f>
        <v/>
      </c>
      <c r="L38" s="37">
        <f>G38*D38</f>
        <v/>
      </c>
      <c r="M38" s="37">
        <f>H38*D38</f>
        <v/>
      </c>
      <c r="N38" s="37">
        <f>I38*D38</f>
        <v/>
      </c>
      <c r="O38" s="37">
        <f>J38*D38</f>
        <v/>
      </c>
      <c r="P38" s="37">
        <f>K38*D38</f>
        <v/>
      </c>
      <c r="Q38" s="12">
        <f>D38*(1+I38)/2</f>
        <v/>
      </c>
      <c r="R38" s="9">
        <f>Counties!AH407</f>
        <v/>
      </c>
      <c r="S38" s="37">
        <f>IF(Counties!AH407="","",Counties!AH407*Counties!AF407)</f>
        <v/>
      </c>
      <c r="T38" s="13">
        <f>Counties!AO407</f>
        <v/>
      </c>
      <c r="U38" s="16">
        <f>Counties!AU407</f>
        <v/>
      </c>
      <c r="V38" s="9">
        <f>Counties!AV407</f>
        <v/>
      </c>
      <c r="W38" s="10">
        <f>Counties!AY407</f>
        <v/>
      </c>
      <c r="X38" s="8">
        <f>IF(R38="","not in yet",IF(W38&lt;&gt;"",IF(W38&gt;=0.05,"Great for Jackson",IF(W38&gt;=0.01,"Jackson on track",IF(W38&gt;-0.01,"Toss-up",IF(W38&gt;-0.05,"Collins on track","Great for Collins"))))&amp;" (margin + turnout)",IF((R38-I38)&gt;=0.05,"Great for Jackson",IF((R38-I38)&gt;=0.01,"Jackson on track",IF((R38-I38)&gt;-0.01,"Toss-up",IF((R38-I38)&gt;-0.05,"Collins on track","Great for Collins"))))&amp;IF(Counties!AG407=1,""," (partial count)")))</f>
        <v/>
      </c>
      <c r="Y38" s="17">
        <f>"Break-even "&amp;IF(I38&gt;=0,"D+","R+")&amp;TEXT(ABS(I38)*100,"0.0")&amp;" ("&amp;IF(N38&gt;=0,"D +","R +")&amp;TEXT(ABS(N38),"#,##0")&amp;" net, about "&amp;TEXT(Q38,"#,##0")&amp;" Jackson votes). Jackson at "&amp;IF(K38&gt;=0,"D+","R+")&amp;TEXT(ABS(K38)*100,"0.0")&amp;" or better = great night; "&amp;IF(J38&gt;=0,"D+","R+")&amp;TEXT(ABS(J38)*100,"0.0")&amp;" = on track to win. Collins holding it to "&amp;IF(H38&gt;=0,"D+","R+")&amp;TEXT(ABS(H38)*100,"0.0")&amp;" = Collins on track; "&amp;IF(G38&gt;=0,"D+","R+")&amp;TEXT(ABS(G38)*100,"0.0")&amp;" or worse for Jackson = great for Collins. Turnout: par is about "&amp;TEXT(D38,"#,##0")&amp;" two-party votes ("&amp;TEXT(Counties!AQ407/SUMIFS(Counties!$AQ:$AQ,Counties!$A:$A,"ME"),"0.0%")&amp;" of the state). At 95% of par the break-even moves to "&amp;IF((I38/0.95)&gt;=0,"D+","R+")&amp;TEXT(ABS((I38/0.95))*100,"0.0")&amp;"; at 105%, to "&amp;IF((I38/1.05)&gt;=0,"D+","R+")&amp;TEXT(ABS((I38/1.05))*100,"0.0")&amp;"."</f>
        <v/>
      </c>
    </row>
    <row r="39" ht="58" customHeight="1">
      <c r="A39" s="8" t="inlineStr">
        <is>
          <t>ME</t>
        </is>
      </c>
      <c r="B39" s="8" t="inlineStr">
        <is>
          <t>York</t>
        </is>
      </c>
      <c r="C39" s="8" t="inlineStr">
        <is>
          <t>Mid-size/working metro</t>
        </is>
      </c>
      <c r="D39" s="12">
        <f>Counties!AT420</f>
        <v/>
      </c>
      <c r="E39" s="9">
        <f>Counties!O420</f>
        <v/>
      </c>
      <c r="F39" s="9">
        <f>Counties!R420</f>
        <v/>
      </c>
      <c r="G39" s="9">
        <f>MAX(-1,MIN(1,Counties!O420+-0.05+Dashboard!$F$10))</f>
        <v/>
      </c>
      <c r="H39" s="9">
        <f>MAX(-1,MIN(1,Counties!O420+-0.01+Dashboard!$F$10))</f>
        <v/>
      </c>
      <c r="I39" s="36">
        <f>MAX(-1,MIN(1,Counties!O420+0.0+Dashboard!$F$10))</f>
        <v/>
      </c>
      <c r="J39" s="9">
        <f>MAX(-1,MIN(1,Counties!O420+0.01+Dashboard!$F$10))</f>
        <v/>
      </c>
      <c r="K39" s="9">
        <f>MAX(-1,MIN(1,Counties!O420+0.05+Dashboard!$F$10))</f>
        <v/>
      </c>
      <c r="L39" s="37">
        <f>G39*D39</f>
        <v/>
      </c>
      <c r="M39" s="37">
        <f>H39*D39</f>
        <v/>
      </c>
      <c r="N39" s="37">
        <f>I39*D39</f>
        <v/>
      </c>
      <c r="O39" s="37">
        <f>J39*D39</f>
        <v/>
      </c>
      <c r="P39" s="37">
        <f>K39*D39</f>
        <v/>
      </c>
      <c r="Q39" s="12">
        <f>D39*(1+I39)/2</f>
        <v/>
      </c>
      <c r="R39" s="9">
        <f>Counties!AH420</f>
        <v/>
      </c>
      <c r="S39" s="37">
        <f>IF(Counties!AH420="","",Counties!AH420*Counties!AF420)</f>
        <v/>
      </c>
      <c r="T39" s="13">
        <f>Counties!AO420</f>
        <v/>
      </c>
      <c r="U39" s="16">
        <f>Counties!AU420</f>
        <v/>
      </c>
      <c r="V39" s="9">
        <f>Counties!AV420</f>
        <v/>
      </c>
      <c r="W39" s="10">
        <f>Counties!AY420</f>
        <v/>
      </c>
      <c r="X39" s="8">
        <f>IF(R39="","not in yet",IF(W39&lt;&gt;"",IF(W39&gt;=0.05,"Great for Jackson",IF(W39&gt;=0.01,"Jackson on track",IF(W39&gt;-0.01,"Toss-up",IF(W39&gt;-0.05,"Collins on track","Great for Collins"))))&amp;" (margin + turnout)",IF((R39-I39)&gt;=0.05,"Great for Jackson",IF((R39-I39)&gt;=0.01,"Jackson on track",IF((R39-I39)&gt;-0.01,"Toss-up",IF((R39-I39)&gt;-0.05,"Collins on track","Great for Collins"))))&amp;IF(Counties!AG420=1,""," (partial count)")))</f>
        <v/>
      </c>
      <c r="Y39" s="17">
        <f>"Break-even "&amp;IF(I39&gt;=0,"D+","R+")&amp;TEXT(ABS(I39)*100,"0.0")&amp;" ("&amp;IF(N39&gt;=0,"D +","R +")&amp;TEXT(ABS(N39),"#,##0")&amp;" net, about "&amp;TEXT(Q39,"#,##0")&amp;" Jackson votes). Jackson at "&amp;IF(K39&gt;=0,"D+","R+")&amp;TEXT(ABS(K39)*100,"0.0")&amp;" or better = great night; "&amp;IF(J39&gt;=0,"D+","R+")&amp;TEXT(ABS(J39)*100,"0.0")&amp;" = on track to win. Collins holding it to "&amp;IF(H39&gt;=0,"D+","R+")&amp;TEXT(ABS(H39)*100,"0.0")&amp;" = Collins on track; "&amp;IF(G39&gt;=0,"D+","R+")&amp;TEXT(ABS(G39)*100,"0.0")&amp;" or worse for Jackson = great for Collins. Turnout: par is about "&amp;TEXT(D39,"#,##0")&amp;" two-party votes ("&amp;TEXT(Counties!AQ420/SUMIFS(Counties!$AQ:$AQ,Counties!$A:$A,"ME"),"0.0%")&amp;" of the state). At 95% of par the break-even moves to "&amp;IF((I39/0.95)&gt;=0,"D+","R+")&amp;TEXT(ABS((I39/0.95))*100,"0.0")&amp;"; at 105%, to "&amp;IF((I39/1.05)&gt;=0,"D+","R+")&amp;TEXT(ABS((I39/1.05))*100,"0.0")&amp;"."</f>
        <v/>
      </c>
    </row>
    <row r="40" ht="58" customHeight="1">
      <c r="A40" s="8" t="inlineStr">
        <is>
          <t>ME</t>
        </is>
      </c>
      <c r="B40" s="8" t="inlineStr">
        <is>
          <t>Penobscot</t>
        </is>
      </c>
      <c r="C40" s="8" t="inlineStr">
        <is>
          <t>Mid-size/working metro</t>
        </is>
      </c>
      <c r="D40" s="12">
        <f>Counties!AT414</f>
        <v/>
      </c>
      <c r="E40" s="9">
        <f>Counties!O414</f>
        <v/>
      </c>
      <c r="F40" s="9">
        <f>Counties!R414</f>
        <v/>
      </c>
      <c r="G40" s="9">
        <f>MAX(-1,MIN(1,Counties!O414+-0.05+Dashboard!$F$10))</f>
        <v/>
      </c>
      <c r="H40" s="9">
        <f>MAX(-1,MIN(1,Counties!O414+-0.01+Dashboard!$F$10))</f>
        <v/>
      </c>
      <c r="I40" s="36">
        <f>MAX(-1,MIN(1,Counties!O414+0.0+Dashboard!$F$10))</f>
        <v/>
      </c>
      <c r="J40" s="9">
        <f>MAX(-1,MIN(1,Counties!O414+0.01+Dashboard!$F$10))</f>
        <v/>
      </c>
      <c r="K40" s="9">
        <f>MAX(-1,MIN(1,Counties!O414+0.05+Dashboard!$F$10))</f>
        <v/>
      </c>
      <c r="L40" s="37">
        <f>G40*D40</f>
        <v/>
      </c>
      <c r="M40" s="37">
        <f>H40*D40</f>
        <v/>
      </c>
      <c r="N40" s="37">
        <f>I40*D40</f>
        <v/>
      </c>
      <c r="O40" s="37">
        <f>J40*D40</f>
        <v/>
      </c>
      <c r="P40" s="37">
        <f>K40*D40</f>
        <v/>
      </c>
      <c r="Q40" s="12">
        <f>D40*(1+I40)/2</f>
        <v/>
      </c>
      <c r="R40" s="9">
        <f>Counties!AH414</f>
        <v/>
      </c>
      <c r="S40" s="37">
        <f>IF(Counties!AH414="","",Counties!AH414*Counties!AF414)</f>
        <v/>
      </c>
      <c r="T40" s="13">
        <f>Counties!AO414</f>
        <v/>
      </c>
      <c r="U40" s="16">
        <f>Counties!AU414</f>
        <v/>
      </c>
      <c r="V40" s="9">
        <f>Counties!AV414</f>
        <v/>
      </c>
      <c r="W40" s="10">
        <f>Counties!AY414</f>
        <v/>
      </c>
      <c r="X40" s="8">
        <f>IF(R40="","not in yet",IF(W40&lt;&gt;"",IF(W40&gt;=0.05,"Great for Jackson",IF(W40&gt;=0.01,"Jackson on track",IF(W40&gt;-0.01,"Toss-up",IF(W40&gt;-0.05,"Collins on track","Great for Collins"))))&amp;" (margin + turnout)",IF((R40-I40)&gt;=0.05,"Great for Jackson",IF((R40-I40)&gt;=0.01,"Jackson on track",IF((R40-I40)&gt;-0.01,"Toss-up",IF((R40-I40)&gt;-0.05,"Collins on track","Great for Collins"))))&amp;IF(Counties!AG414=1,""," (partial count)")))</f>
        <v/>
      </c>
      <c r="Y40" s="17">
        <f>"Break-even "&amp;IF(I40&gt;=0,"D+","R+")&amp;TEXT(ABS(I40)*100,"0.0")&amp;" ("&amp;IF(N40&gt;=0,"D +","R +")&amp;TEXT(ABS(N40),"#,##0")&amp;" net, about "&amp;TEXT(Q40,"#,##0")&amp;" Jackson votes). Jackson at "&amp;IF(K40&gt;=0,"D+","R+")&amp;TEXT(ABS(K40)*100,"0.0")&amp;" or better = great night; "&amp;IF(J40&gt;=0,"D+","R+")&amp;TEXT(ABS(J40)*100,"0.0")&amp;" = on track to win. Collins holding it to "&amp;IF(H40&gt;=0,"D+","R+")&amp;TEXT(ABS(H40)*100,"0.0")&amp;" = Collins on track; "&amp;IF(G40&gt;=0,"D+","R+")&amp;TEXT(ABS(G40)*100,"0.0")&amp;" or worse for Jackson = great for Collins. Turnout: par is about "&amp;TEXT(D40,"#,##0")&amp;" two-party votes ("&amp;TEXT(Counties!AQ414/SUMIFS(Counties!$AQ:$AQ,Counties!$A:$A,"ME"),"0.0%")&amp;" of the state). At 95% of par the break-even moves to "&amp;IF((I40/0.95)&gt;=0,"D+","R+")&amp;TEXT(ABS((I40/0.95))*100,"0.0")&amp;"; at 105%, to "&amp;IF((I40/1.05)&gt;=0,"D+","R+")&amp;TEXT(ABS((I40/1.05))*100,"0.0")&amp;"."</f>
        <v/>
      </c>
    </row>
    <row r="41" ht="58" customHeight="1">
      <c r="A41" s="8" t="inlineStr">
        <is>
          <t>ME</t>
        </is>
      </c>
      <c r="B41" s="8" t="inlineStr">
        <is>
          <t>Kennebec</t>
        </is>
      </c>
      <c r="C41" s="8" t="inlineStr">
        <is>
          <t>Mid-size/working metro</t>
        </is>
      </c>
      <c r="D41" s="12">
        <f>Counties!AT410</f>
        <v/>
      </c>
      <c r="E41" s="9">
        <f>Counties!O410</f>
        <v/>
      </c>
      <c r="F41" s="9">
        <f>Counties!R410</f>
        <v/>
      </c>
      <c r="G41" s="9">
        <f>MAX(-1,MIN(1,Counties!O410+-0.05+Dashboard!$F$10))</f>
        <v/>
      </c>
      <c r="H41" s="9">
        <f>MAX(-1,MIN(1,Counties!O410+-0.01+Dashboard!$F$10))</f>
        <v/>
      </c>
      <c r="I41" s="36">
        <f>MAX(-1,MIN(1,Counties!O410+0.0+Dashboard!$F$10))</f>
        <v/>
      </c>
      <c r="J41" s="9">
        <f>MAX(-1,MIN(1,Counties!O410+0.01+Dashboard!$F$10))</f>
        <v/>
      </c>
      <c r="K41" s="9">
        <f>MAX(-1,MIN(1,Counties!O410+0.05+Dashboard!$F$10))</f>
        <v/>
      </c>
      <c r="L41" s="37">
        <f>G41*D41</f>
        <v/>
      </c>
      <c r="M41" s="37">
        <f>H41*D41</f>
        <v/>
      </c>
      <c r="N41" s="37">
        <f>I41*D41</f>
        <v/>
      </c>
      <c r="O41" s="37">
        <f>J41*D41</f>
        <v/>
      </c>
      <c r="P41" s="37">
        <f>K41*D41</f>
        <v/>
      </c>
      <c r="Q41" s="12">
        <f>D41*(1+I41)/2</f>
        <v/>
      </c>
      <c r="R41" s="9">
        <f>Counties!AH410</f>
        <v/>
      </c>
      <c r="S41" s="37">
        <f>IF(Counties!AH410="","",Counties!AH410*Counties!AF410)</f>
        <v/>
      </c>
      <c r="T41" s="13">
        <f>Counties!AO410</f>
        <v/>
      </c>
      <c r="U41" s="16">
        <f>Counties!AU410</f>
        <v/>
      </c>
      <c r="V41" s="9">
        <f>Counties!AV410</f>
        <v/>
      </c>
      <c r="W41" s="10">
        <f>Counties!AY410</f>
        <v/>
      </c>
      <c r="X41" s="8">
        <f>IF(R41="","not in yet",IF(W41&lt;&gt;"",IF(W41&gt;=0.05,"Great for Jackson",IF(W41&gt;=0.01,"Jackson on track",IF(W41&gt;-0.01,"Toss-up",IF(W41&gt;-0.05,"Collins on track","Great for Collins"))))&amp;" (margin + turnout)",IF((R41-I41)&gt;=0.05,"Great for Jackson",IF((R41-I41)&gt;=0.01,"Jackson on track",IF((R41-I41)&gt;-0.01,"Toss-up",IF((R41-I41)&gt;-0.05,"Collins on track","Great for Collins"))))&amp;IF(Counties!AG410=1,""," (partial count)")))</f>
        <v/>
      </c>
      <c r="Y41" s="17">
        <f>"Break-even "&amp;IF(I41&gt;=0,"D+","R+")&amp;TEXT(ABS(I41)*100,"0.0")&amp;" ("&amp;IF(N41&gt;=0,"D +","R +")&amp;TEXT(ABS(N41),"#,##0")&amp;" net, about "&amp;TEXT(Q41,"#,##0")&amp;" Jackson votes). Jackson at "&amp;IF(K41&gt;=0,"D+","R+")&amp;TEXT(ABS(K41)*100,"0.0")&amp;" or better = great night; "&amp;IF(J41&gt;=0,"D+","R+")&amp;TEXT(ABS(J41)*100,"0.0")&amp;" = on track to win. Collins holding it to "&amp;IF(H41&gt;=0,"D+","R+")&amp;TEXT(ABS(H41)*100,"0.0")&amp;" = Collins on track; "&amp;IF(G41&gt;=0,"D+","R+")&amp;TEXT(ABS(G41)*100,"0.0")&amp;" or worse for Jackson = great for Collins. Turnout: par is about "&amp;TEXT(D41,"#,##0")&amp;" two-party votes ("&amp;TEXT(Counties!AQ410/SUMIFS(Counties!$AQ:$AQ,Counties!$A:$A,"ME"),"0.0%")&amp;" of the state). At 95% of par the break-even moves to "&amp;IF((I41/0.95)&gt;=0,"D+","R+")&amp;TEXT(ABS((I41/0.95))*100,"0.0")&amp;"; at 105%, to "&amp;IF((I41/1.05)&gt;=0,"D+","R+")&amp;TEXT(ABS((I41/1.05))*100,"0.0")&amp;"."</f>
        <v/>
      </c>
    </row>
    <row r="42" ht="58" customHeight="1">
      <c r="A42" s="8" t="inlineStr">
        <is>
          <t>ME</t>
        </is>
      </c>
      <c r="B42" s="8" t="inlineStr">
        <is>
          <t>Androscoggin</t>
        </is>
      </c>
      <c r="C42" s="8" t="inlineStr">
        <is>
          <t>Mid-size/working metro</t>
        </is>
      </c>
      <c r="D42" s="12">
        <f>Counties!AT405</f>
        <v/>
      </c>
      <c r="E42" s="9">
        <f>Counties!O405</f>
        <v/>
      </c>
      <c r="F42" s="9">
        <f>Counties!R405</f>
        <v/>
      </c>
      <c r="G42" s="9">
        <f>MAX(-1,MIN(1,Counties!O405+-0.05+Dashboard!$F$10))</f>
        <v/>
      </c>
      <c r="H42" s="9">
        <f>MAX(-1,MIN(1,Counties!O405+-0.01+Dashboard!$F$10))</f>
        <v/>
      </c>
      <c r="I42" s="36">
        <f>MAX(-1,MIN(1,Counties!O405+0.0+Dashboard!$F$10))</f>
        <v/>
      </c>
      <c r="J42" s="9">
        <f>MAX(-1,MIN(1,Counties!O405+0.01+Dashboard!$F$10))</f>
        <v/>
      </c>
      <c r="K42" s="9">
        <f>MAX(-1,MIN(1,Counties!O405+0.05+Dashboard!$F$10))</f>
        <v/>
      </c>
      <c r="L42" s="37">
        <f>G42*D42</f>
        <v/>
      </c>
      <c r="M42" s="37">
        <f>H42*D42</f>
        <v/>
      </c>
      <c r="N42" s="37">
        <f>I42*D42</f>
        <v/>
      </c>
      <c r="O42" s="37">
        <f>J42*D42</f>
        <v/>
      </c>
      <c r="P42" s="37">
        <f>K42*D42</f>
        <v/>
      </c>
      <c r="Q42" s="12">
        <f>D42*(1+I42)/2</f>
        <v/>
      </c>
      <c r="R42" s="9">
        <f>Counties!AH405</f>
        <v/>
      </c>
      <c r="S42" s="37">
        <f>IF(Counties!AH405="","",Counties!AH405*Counties!AF405)</f>
        <v/>
      </c>
      <c r="T42" s="13">
        <f>Counties!AO405</f>
        <v/>
      </c>
      <c r="U42" s="16">
        <f>Counties!AU405</f>
        <v/>
      </c>
      <c r="V42" s="9">
        <f>Counties!AV405</f>
        <v/>
      </c>
      <c r="W42" s="10">
        <f>Counties!AY405</f>
        <v/>
      </c>
      <c r="X42" s="8">
        <f>IF(R42="","not in yet",IF(W42&lt;&gt;"",IF(W42&gt;=0.05,"Great for Jackson",IF(W42&gt;=0.01,"Jackson on track",IF(W42&gt;-0.01,"Toss-up",IF(W42&gt;-0.05,"Collins on track","Great for Collins"))))&amp;" (margin + turnout)",IF((R42-I42)&gt;=0.05,"Great for Jackson",IF((R42-I42)&gt;=0.01,"Jackson on track",IF((R42-I42)&gt;-0.01,"Toss-up",IF((R42-I42)&gt;-0.05,"Collins on track","Great for Collins"))))&amp;IF(Counties!AG405=1,""," (partial count)")))</f>
        <v/>
      </c>
      <c r="Y42" s="17">
        <f>"Break-even "&amp;IF(I42&gt;=0,"D+","R+")&amp;TEXT(ABS(I42)*100,"0.0")&amp;" ("&amp;IF(N42&gt;=0,"D +","R +")&amp;TEXT(ABS(N42),"#,##0")&amp;" net, about "&amp;TEXT(Q42,"#,##0")&amp;" Jackson votes). Jackson at "&amp;IF(K42&gt;=0,"D+","R+")&amp;TEXT(ABS(K42)*100,"0.0")&amp;" or better = great night; "&amp;IF(J42&gt;=0,"D+","R+")&amp;TEXT(ABS(J42)*100,"0.0")&amp;" = on track to win. Collins holding it to "&amp;IF(H42&gt;=0,"D+","R+")&amp;TEXT(ABS(H42)*100,"0.0")&amp;" = Collins on track; "&amp;IF(G42&gt;=0,"D+","R+")&amp;TEXT(ABS(G42)*100,"0.0")&amp;" or worse for Jackson = great for Collins. Turnout: par is about "&amp;TEXT(D42,"#,##0")&amp;" two-party votes ("&amp;TEXT(Counties!AQ405/SUMIFS(Counties!$AQ:$AQ,Counties!$A:$A,"ME"),"0.0%")&amp;" of the state). At 95% of par the break-even moves to "&amp;IF((I42/0.95)&gt;=0,"D+","R+")&amp;TEXT(ABS((I42/0.95))*100,"0.0")&amp;"; at 105%, to "&amp;IF((I42/1.05)&gt;=0,"D+","R+")&amp;TEXT(ABS((I42/1.05))*100,"0.0")&amp;"."</f>
        <v/>
      </c>
    </row>
    <row r="43" ht="58" customHeight="1">
      <c r="A43" s="8" t="inlineStr">
        <is>
          <t>ME</t>
        </is>
      </c>
      <c r="B43" s="8" t="inlineStr">
        <is>
          <t>Aroostook</t>
        </is>
      </c>
      <c r="C43" s="8" t="inlineStr">
        <is>
          <t>Small town &amp; rural</t>
        </is>
      </c>
      <c r="D43" s="12">
        <f>Counties!AT406</f>
        <v/>
      </c>
      <c r="E43" s="9">
        <f>Counties!O406</f>
        <v/>
      </c>
      <c r="F43" s="9">
        <f>Counties!R406</f>
        <v/>
      </c>
      <c r="G43" s="9">
        <f>MAX(-1,MIN(1,Counties!O406+-0.05+Dashboard!$F$10))</f>
        <v/>
      </c>
      <c r="H43" s="9">
        <f>MAX(-1,MIN(1,Counties!O406+-0.01+Dashboard!$F$10))</f>
        <v/>
      </c>
      <c r="I43" s="36">
        <f>MAX(-1,MIN(1,Counties!O406+0.0+Dashboard!$F$10))</f>
        <v/>
      </c>
      <c r="J43" s="9">
        <f>MAX(-1,MIN(1,Counties!O406+0.01+Dashboard!$F$10))</f>
        <v/>
      </c>
      <c r="K43" s="9">
        <f>MAX(-1,MIN(1,Counties!O406+0.05+Dashboard!$F$10))</f>
        <v/>
      </c>
      <c r="L43" s="37">
        <f>G43*D43</f>
        <v/>
      </c>
      <c r="M43" s="37">
        <f>H43*D43</f>
        <v/>
      </c>
      <c r="N43" s="37">
        <f>I43*D43</f>
        <v/>
      </c>
      <c r="O43" s="37">
        <f>J43*D43</f>
        <v/>
      </c>
      <c r="P43" s="37">
        <f>K43*D43</f>
        <v/>
      </c>
      <c r="Q43" s="12">
        <f>D43*(1+I43)/2</f>
        <v/>
      </c>
      <c r="R43" s="9">
        <f>Counties!AH406</f>
        <v/>
      </c>
      <c r="S43" s="37">
        <f>IF(Counties!AH406="","",Counties!AH406*Counties!AF406)</f>
        <v/>
      </c>
      <c r="T43" s="13">
        <f>Counties!AO406</f>
        <v/>
      </c>
      <c r="U43" s="16">
        <f>Counties!AU406</f>
        <v/>
      </c>
      <c r="V43" s="9">
        <f>Counties!AV406</f>
        <v/>
      </c>
      <c r="W43" s="10">
        <f>Counties!AY406</f>
        <v/>
      </c>
      <c r="X43" s="8">
        <f>IF(R43="","not in yet",IF(W43&lt;&gt;"",IF(W43&gt;=0.05,"Great for Jackson",IF(W43&gt;=0.01,"Jackson on track",IF(W43&gt;-0.01,"Toss-up",IF(W43&gt;-0.05,"Collins on track","Great for Collins"))))&amp;" (margin + turnout)",IF((R43-I43)&gt;=0.05,"Great for Jackson",IF((R43-I43)&gt;=0.01,"Jackson on track",IF((R43-I43)&gt;-0.01,"Toss-up",IF((R43-I43)&gt;-0.05,"Collins on track","Great for Collins"))))&amp;IF(Counties!AG406=1,""," (partial count)")))</f>
        <v/>
      </c>
      <c r="Y43" s="17">
        <f>"Break-even "&amp;IF(I43&gt;=0,"D+","R+")&amp;TEXT(ABS(I43)*100,"0.0")&amp;" ("&amp;IF(N43&gt;=0,"D +","R +")&amp;TEXT(ABS(N43),"#,##0")&amp;" net, about "&amp;TEXT(Q43,"#,##0")&amp;" Jackson votes). Jackson at "&amp;IF(K43&gt;=0,"D+","R+")&amp;TEXT(ABS(K43)*100,"0.0")&amp;" or better = great night; "&amp;IF(J43&gt;=0,"D+","R+")&amp;TEXT(ABS(J43)*100,"0.0")&amp;" = on track to win. Collins holding it to "&amp;IF(H43&gt;=0,"D+","R+")&amp;TEXT(ABS(H43)*100,"0.0")&amp;" = Collins on track; "&amp;IF(G43&gt;=0,"D+","R+")&amp;TEXT(ABS(G43)*100,"0.0")&amp;" or worse for Jackson = great for Collins. Turnout: par is about "&amp;TEXT(D43,"#,##0")&amp;" two-party votes ("&amp;TEXT(Counties!AQ406/SUMIFS(Counties!$AQ:$AQ,Counties!$A:$A,"ME"),"0.0%")&amp;" of the state). At 95% of par the break-even moves to "&amp;IF((I43/0.95)&gt;=0,"D+","R+")&amp;TEXT(ABS((I43/0.95))*100,"0.0")&amp;"; at 105%, to "&amp;IF((I43/1.05)&gt;=0,"D+","R+")&amp;TEXT(ABS((I43/1.05))*100,"0.0")&amp;"."</f>
        <v/>
      </c>
    </row>
    <row r="44" ht="58" customHeight="1">
      <c r="A44" s="8" t="inlineStr">
        <is>
          <t>ME</t>
        </is>
      </c>
      <c r="B44" s="8" t="inlineStr">
        <is>
          <t>Somerset</t>
        </is>
      </c>
      <c r="C44" s="8" t="inlineStr">
        <is>
          <t>Small town &amp; rural</t>
        </is>
      </c>
      <c r="D44" s="12">
        <f>Counties!AT417</f>
        <v/>
      </c>
      <c r="E44" s="9">
        <f>Counties!O417</f>
        <v/>
      </c>
      <c r="F44" s="9">
        <f>Counties!R417</f>
        <v/>
      </c>
      <c r="G44" s="9">
        <f>MAX(-1,MIN(1,Counties!O417+-0.05+Dashboard!$F$10))</f>
        <v/>
      </c>
      <c r="H44" s="9">
        <f>MAX(-1,MIN(1,Counties!O417+-0.01+Dashboard!$F$10))</f>
        <v/>
      </c>
      <c r="I44" s="36">
        <f>MAX(-1,MIN(1,Counties!O417+0.0+Dashboard!$F$10))</f>
        <v/>
      </c>
      <c r="J44" s="9">
        <f>MAX(-1,MIN(1,Counties!O417+0.01+Dashboard!$F$10))</f>
        <v/>
      </c>
      <c r="K44" s="9">
        <f>MAX(-1,MIN(1,Counties!O417+0.05+Dashboard!$F$10))</f>
        <v/>
      </c>
      <c r="L44" s="37">
        <f>G44*D44</f>
        <v/>
      </c>
      <c r="M44" s="37">
        <f>H44*D44</f>
        <v/>
      </c>
      <c r="N44" s="37">
        <f>I44*D44</f>
        <v/>
      </c>
      <c r="O44" s="37">
        <f>J44*D44</f>
        <v/>
      </c>
      <c r="P44" s="37">
        <f>K44*D44</f>
        <v/>
      </c>
      <c r="Q44" s="12">
        <f>D44*(1+I44)/2</f>
        <v/>
      </c>
      <c r="R44" s="9">
        <f>Counties!AH417</f>
        <v/>
      </c>
      <c r="S44" s="37">
        <f>IF(Counties!AH417="","",Counties!AH417*Counties!AF417)</f>
        <v/>
      </c>
      <c r="T44" s="13">
        <f>Counties!AO417</f>
        <v/>
      </c>
      <c r="U44" s="16">
        <f>Counties!AU417</f>
        <v/>
      </c>
      <c r="V44" s="9">
        <f>Counties!AV417</f>
        <v/>
      </c>
      <c r="W44" s="10">
        <f>Counties!AY417</f>
        <v/>
      </c>
      <c r="X44" s="8">
        <f>IF(R44="","not in yet",IF(W44&lt;&gt;"",IF(W44&gt;=0.05,"Great for Jackson",IF(W44&gt;=0.01,"Jackson on track",IF(W44&gt;-0.01,"Toss-up",IF(W44&gt;-0.05,"Collins on track","Great for Collins"))))&amp;" (margin + turnout)",IF((R44-I44)&gt;=0.05,"Great for Jackson",IF((R44-I44)&gt;=0.01,"Jackson on track",IF((R44-I44)&gt;-0.01,"Toss-up",IF((R44-I44)&gt;-0.05,"Collins on track","Great for Collins"))))&amp;IF(Counties!AG417=1,""," (partial count)")))</f>
        <v/>
      </c>
      <c r="Y44" s="17">
        <f>"Break-even "&amp;IF(I44&gt;=0,"D+","R+")&amp;TEXT(ABS(I44)*100,"0.0")&amp;" ("&amp;IF(N44&gt;=0,"D +","R +")&amp;TEXT(ABS(N44),"#,##0")&amp;" net, about "&amp;TEXT(Q44,"#,##0")&amp;" Jackson votes). Jackson at "&amp;IF(K44&gt;=0,"D+","R+")&amp;TEXT(ABS(K44)*100,"0.0")&amp;" or better = great night; "&amp;IF(J44&gt;=0,"D+","R+")&amp;TEXT(ABS(J44)*100,"0.0")&amp;" = on track to win. Collins holding it to "&amp;IF(H44&gt;=0,"D+","R+")&amp;TEXT(ABS(H44)*100,"0.0")&amp;" = Collins on track; "&amp;IF(G44&gt;=0,"D+","R+")&amp;TEXT(ABS(G44)*100,"0.0")&amp;" or worse for Jackson = great for Collins. Turnout: par is about "&amp;TEXT(D44,"#,##0")&amp;" two-party votes ("&amp;TEXT(Counties!AQ417/SUMIFS(Counties!$AQ:$AQ,Counties!$A:$A,"ME"),"0.0%")&amp;" of the state). At 95% of par the break-even moves to "&amp;IF((I44/0.95)&gt;=0,"D+","R+")&amp;TEXT(ABS((I44/0.95))*100,"0.0")&amp;"; at 105%, to "&amp;IF((I44/1.05)&gt;=0,"D+","R+")&amp;TEXT(ABS((I44/1.05))*100,"0.0")&amp;"."</f>
        <v/>
      </c>
    </row>
    <row r="45">
      <c r="A45" s="22" t="inlineStr">
        <is>
          <t>Michigan: Abdul El-Sayed vs Mike Rogers · 2024 statewide R+1.4 (R+1.8 with 2022's turnout pattern)</t>
        </is>
      </c>
      <c r="B45" s="22" t="n"/>
      <c r="C45" s="22" t="n"/>
      <c r="D45" s="22" t="n"/>
      <c r="E45" s="22" t="n"/>
      <c r="F45" s="22" t="n"/>
      <c r="G45" s="22" t="n"/>
      <c r="H45" s="22" t="n"/>
      <c r="I45" s="22" t="n"/>
      <c r="J45" s="22" t="n"/>
      <c r="K45" s="22" t="n"/>
      <c r="L45" s="22" t="n"/>
      <c r="M45" s="22" t="n"/>
      <c r="N45" s="22" t="n"/>
      <c r="O45" s="22" t="n"/>
      <c r="P45" s="22" t="n"/>
      <c r="Q45" s="22" t="n"/>
      <c r="R45" s="22" t="n"/>
      <c r="S45" s="22" t="n"/>
      <c r="T45" s="22" t="n"/>
      <c r="U45" s="22" t="n"/>
      <c r="V45" s="22" t="n"/>
      <c r="W45" s="22" t="n"/>
      <c r="X45" s="22" t="n"/>
      <c r="Y45" s="22" t="n"/>
    </row>
    <row r="46" ht="58" customHeight="1">
      <c r="A46" s="8" t="inlineStr">
        <is>
          <t>MI</t>
        </is>
      </c>
      <c r="B46" s="8" t="inlineStr">
        <is>
          <t>Wayne</t>
        </is>
      </c>
      <c r="C46" s="8" t="inlineStr">
        <is>
          <t>Big metro core</t>
        </is>
      </c>
      <c r="D46" s="12">
        <f>Counties!AT502</f>
        <v/>
      </c>
      <c r="E46" s="9">
        <f>Counties!O502</f>
        <v/>
      </c>
      <c r="F46" s="9">
        <f>Counties!R502</f>
        <v/>
      </c>
      <c r="G46" s="9">
        <f>MAX(-1,MIN(1,Counties!O502+-0.05+Dashboard!$F$11))</f>
        <v/>
      </c>
      <c r="H46" s="9">
        <f>MAX(-1,MIN(1,Counties!O502+-0.01+Dashboard!$F$11))</f>
        <v/>
      </c>
      <c r="I46" s="36">
        <f>MAX(-1,MIN(1,Counties!O502+0.0+Dashboard!$F$11))</f>
        <v/>
      </c>
      <c r="J46" s="9">
        <f>MAX(-1,MIN(1,Counties!O502+0.01+Dashboard!$F$11))</f>
        <v/>
      </c>
      <c r="K46" s="9">
        <f>MAX(-1,MIN(1,Counties!O502+0.05+Dashboard!$F$11))</f>
        <v/>
      </c>
      <c r="L46" s="37">
        <f>G46*D46</f>
        <v/>
      </c>
      <c r="M46" s="37">
        <f>H46*D46</f>
        <v/>
      </c>
      <c r="N46" s="37">
        <f>I46*D46</f>
        <v/>
      </c>
      <c r="O46" s="37">
        <f>J46*D46</f>
        <v/>
      </c>
      <c r="P46" s="37">
        <f>K46*D46</f>
        <v/>
      </c>
      <c r="Q46" s="12">
        <f>D46*(1+I46)/2</f>
        <v/>
      </c>
      <c r="R46" s="9">
        <f>Counties!AH502</f>
        <v/>
      </c>
      <c r="S46" s="37">
        <f>IF(Counties!AH502="","",Counties!AH502*Counties!AF502)</f>
        <v/>
      </c>
      <c r="T46" s="13">
        <f>Counties!AO502</f>
        <v/>
      </c>
      <c r="U46" s="16">
        <f>Counties!AU502</f>
        <v/>
      </c>
      <c r="V46" s="9">
        <f>Counties!AV502</f>
        <v/>
      </c>
      <c r="W46" s="10">
        <f>Counties!AY502</f>
        <v/>
      </c>
      <c r="X46" s="8">
        <f>IF(R46="","not in yet",IF(W46&lt;&gt;"",IF(W46&gt;=0.05,"Great for El-Sayed",IF(W46&gt;=0.01,"El-Sayed on track",IF(W46&gt;-0.01,"Toss-up",IF(W46&gt;-0.05,"Rogers on track","Great for Rogers"))))&amp;" (margin + turnout)",IF((R46-I46)&gt;=0.05,"Great for El-Sayed",IF((R46-I46)&gt;=0.01,"El-Sayed on track",IF((R46-I46)&gt;-0.01,"Toss-up",IF((R46-I46)&gt;-0.05,"Rogers on track","Great for Rogers"))))&amp;IF(Counties!AG502=1,""," (partial count)")))</f>
        <v/>
      </c>
      <c r="Y46" s="17">
        <f>"Break-even "&amp;IF(I46&gt;=0,"D+","R+")&amp;TEXT(ABS(I46)*100,"0.0")&amp;" ("&amp;IF(N46&gt;=0,"D +","R +")&amp;TEXT(ABS(N46),"#,##0")&amp;" net, about "&amp;TEXT(Q46,"#,##0")&amp;" El-Sayed votes). El-Sayed at "&amp;IF(K46&gt;=0,"D+","R+")&amp;TEXT(ABS(K46)*100,"0.0")&amp;" or better = great night; "&amp;IF(J46&gt;=0,"D+","R+")&amp;TEXT(ABS(J46)*100,"0.0")&amp;" = on track to win. Rogers holding it to "&amp;IF(H46&gt;=0,"D+","R+")&amp;TEXT(ABS(H46)*100,"0.0")&amp;" = Rogers on track; "&amp;IF(G46&gt;=0,"D+","R+")&amp;TEXT(ABS(G46)*100,"0.0")&amp;" or worse for El-Sayed = great for Rogers. Turnout: par is about "&amp;TEXT(D46,"#,##0")&amp;" two-party votes ("&amp;TEXT(Counties!AQ502/SUMIFS(Counties!$AQ:$AQ,Counties!$A:$A,"MI"),"0.0%")&amp;" of the state). At 95% of par the break-even moves to "&amp;IF((I46/0.95)&gt;=0,"D+","R+")&amp;TEXT(ABS((I46/0.95))*100,"0.0")&amp;"; at 105%, to "&amp;IF((I46/1.05)&gt;=0,"D+","R+")&amp;TEXT(ABS((I46/1.05))*100,"0.0")&amp;"."</f>
        <v/>
      </c>
    </row>
    <row r="47" ht="58" customHeight="1">
      <c r="A47" s="8" t="inlineStr">
        <is>
          <t>MI</t>
        </is>
      </c>
      <c r="B47" s="8" t="inlineStr">
        <is>
          <t>Oakland</t>
        </is>
      </c>
      <c r="C47" s="8" t="inlineStr">
        <is>
          <t>Big metro core</t>
        </is>
      </c>
      <c r="D47" s="12">
        <f>Counties!AT483</f>
        <v/>
      </c>
      <c r="E47" s="9">
        <f>Counties!O483</f>
        <v/>
      </c>
      <c r="F47" s="9">
        <f>Counties!R483</f>
        <v/>
      </c>
      <c r="G47" s="9">
        <f>MAX(-1,MIN(1,Counties!O483+-0.05+Dashboard!$F$11))</f>
        <v/>
      </c>
      <c r="H47" s="9">
        <f>MAX(-1,MIN(1,Counties!O483+-0.01+Dashboard!$F$11))</f>
        <v/>
      </c>
      <c r="I47" s="36">
        <f>MAX(-1,MIN(1,Counties!O483+0.0+Dashboard!$F$11))</f>
        <v/>
      </c>
      <c r="J47" s="9">
        <f>MAX(-1,MIN(1,Counties!O483+0.01+Dashboard!$F$11))</f>
        <v/>
      </c>
      <c r="K47" s="9">
        <f>MAX(-1,MIN(1,Counties!O483+0.05+Dashboard!$F$11))</f>
        <v/>
      </c>
      <c r="L47" s="37">
        <f>G47*D47</f>
        <v/>
      </c>
      <c r="M47" s="37">
        <f>H47*D47</f>
        <v/>
      </c>
      <c r="N47" s="37">
        <f>I47*D47</f>
        <v/>
      </c>
      <c r="O47" s="37">
        <f>J47*D47</f>
        <v/>
      </c>
      <c r="P47" s="37">
        <f>K47*D47</f>
        <v/>
      </c>
      <c r="Q47" s="12">
        <f>D47*(1+I47)/2</f>
        <v/>
      </c>
      <c r="R47" s="9">
        <f>Counties!AH483</f>
        <v/>
      </c>
      <c r="S47" s="37">
        <f>IF(Counties!AH483="","",Counties!AH483*Counties!AF483)</f>
        <v/>
      </c>
      <c r="T47" s="13">
        <f>Counties!AO483</f>
        <v/>
      </c>
      <c r="U47" s="16">
        <f>Counties!AU483</f>
        <v/>
      </c>
      <c r="V47" s="9">
        <f>Counties!AV483</f>
        <v/>
      </c>
      <c r="W47" s="10">
        <f>Counties!AY483</f>
        <v/>
      </c>
      <c r="X47" s="8">
        <f>IF(R47="","not in yet",IF(W47&lt;&gt;"",IF(W47&gt;=0.05,"Great for El-Sayed",IF(W47&gt;=0.01,"El-Sayed on track",IF(W47&gt;-0.01,"Toss-up",IF(W47&gt;-0.05,"Rogers on track","Great for Rogers"))))&amp;" (margin + turnout)",IF((R47-I47)&gt;=0.05,"Great for El-Sayed",IF((R47-I47)&gt;=0.01,"El-Sayed on track",IF((R47-I47)&gt;-0.01,"Toss-up",IF((R47-I47)&gt;-0.05,"Rogers on track","Great for Rogers"))))&amp;IF(Counties!AG483=1,""," (partial count)")))</f>
        <v/>
      </c>
      <c r="Y47" s="17">
        <f>"Break-even "&amp;IF(I47&gt;=0,"D+","R+")&amp;TEXT(ABS(I47)*100,"0.0")&amp;" ("&amp;IF(N47&gt;=0,"D +","R +")&amp;TEXT(ABS(N47),"#,##0")&amp;" net, about "&amp;TEXT(Q47,"#,##0")&amp;" El-Sayed votes). El-Sayed at "&amp;IF(K47&gt;=0,"D+","R+")&amp;TEXT(ABS(K47)*100,"0.0")&amp;" or better = great night; "&amp;IF(J47&gt;=0,"D+","R+")&amp;TEXT(ABS(J47)*100,"0.0")&amp;" = on track to win. Rogers holding it to "&amp;IF(H47&gt;=0,"D+","R+")&amp;TEXT(ABS(H47)*100,"0.0")&amp;" = Rogers on track; "&amp;IF(G47&gt;=0,"D+","R+")&amp;TEXT(ABS(G47)*100,"0.0")&amp;" or worse for El-Sayed = great for Rogers. Turnout: par is about "&amp;TEXT(D47,"#,##0")&amp;" two-party votes ("&amp;TEXT(Counties!AQ483/SUMIFS(Counties!$AQ:$AQ,Counties!$A:$A,"MI"),"0.0%")&amp;" of the state). At 95% of par the break-even moves to "&amp;IF((I47/0.95)&gt;=0,"D+","R+")&amp;TEXT(ABS((I47/0.95))*100,"0.0")&amp;"; at 105%, to "&amp;IF((I47/1.05)&gt;=0,"D+","R+")&amp;TEXT(ABS((I47/1.05))*100,"0.0")&amp;"."</f>
        <v/>
      </c>
    </row>
    <row r="48" ht="58" customHeight="1">
      <c r="A48" s="8" t="inlineStr">
        <is>
          <t>MI</t>
        </is>
      </c>
      <c r="B48" s="8" t="inlineStr">
        <is>
          <t>Macomb</t>
        </is>
      </c>
      <c r="C48" s="8" t="inlineStr">
        <is>
          <t>Big metro core</t>
        </is>
      </c>
      <c r="D48" s="12">
        <f>Counties!AT470</f>
        <v/>
      </c>
      <c r="E48" s="9">
        <f>Counties!O470</f>
        <v/>
      </c>
      <c r="F48" s="9">
        <f>Counties!R470</f>
        <v/>
      </c>
      <c r="G48" s="9">
        <f>MAX(-1,MIN(1,Counties!O470+-0.05+Dashboard!$F$11))</f>
        <v/>
      </c>
      <c r="H48" s="9">
        <f>MAX(-1,MIN(1,Counties!O470+-0.01+Dashboard!$F$11))</f>
        <v/>
      </c>
      <c r="I48" s="36">
        <f>MAX(-1,MIN(1,Counties!O470+0.0+Dashboard!$F$11))</f>
        <v/>
      </c>
      <c r="J48" s="9">
        <f>MAX(-1,MIN(1,Counties!O470+0.01+Dashboard!$F$11))</f>
        <v/>
      </c>
      <c r="K48" s="9">
        <f>MAX(-1,MIN(1,Counties!O470+0.05+Dashboard!$F$11))</f>
        <v/>
      </c>
      <c r="L48" s="37">
        <f>G48*D48</f>
        <v/>
      </c>
      <c r="M48" s="37">
        <f>H48*D48</f>
        <v/>
      </c>
      <c r="N48" s="37">
        <f>I48*D48</f>
        <v/>
      </c>
      <c r="O48" s="37">
        <f>J48*D48</f>
        <v/>
      </c>
      <c r="P48" s="37">
        <f>K48*D48</f>
        <v/>
      </c>
      <c r="Q48" s="12">
        <f>D48*(1+I48)/2</f>
        <v/>
      </c>
      <c r="R48" s="9">
        <f>Counties!AH470</f>
        <v/>
      </c>
      <c r="S48" s="37">
        <f>IF(Counties!AH470="","",Counties!AH470*Counties!AF470)</f>
        <v/>
      </c>
      <c r="T48" s="13">
        <f>Counties!AO470</f>
        <v/>
      </c>
      <c r="U48" s="16">
        <f>Counties!AU470</f>
        <v/>
      </c>
      <c r="V48" s="9">
        <f>Counties!AV470</f>
        <v/>
      </c>
      <c r="W48" s="10">
        <f>Counties!AY470</f>
        <v/>
      </c>
      <c r="X48" s="8">
        <f>IF(R48="","not in yet",IF(W48&lt;&gt;"",IF(W48&gt;=0.05,"Great for El-Sayed",IF(W48&gt;=0.01,"El-Sayed on track",IF(W48&gt;-0.01,"Toss-up",IF(W48&gt;-0.05,"Rogers on track","Great for Rogers"))))&amp;" (margin + turnout)",IF((R48-I48)&gt;=0.05,"Great for El-Sayed",IF((R48-I48)&gt;=0.01,"El-Sayed on track",IF((R48-I48)&gt;-0.01,"Toss-up",IF((R48-I48)&gt;-0.05,"Rogers on track","Great for Rogers"))))&amp;IF(Counties!AG470=1,""," (partial count)")))</f>
        <v/>
      </c>
      <c r="Y48" s="17">
        <f>"Break-even "&amp;IF(I48&gt;=0,"D+","R+")&amp;TEXT(ABS(I48)*100,"0.0")&amp;" ("&amp;IF(N48&gt;=0,"D +","R +")&amp;TEXT(ABS(N48),"#,##0")&amp;" net, about "&amp;TEXT(Q48,"#,##0")&amp;" El-Sayed votes). El-Sayed at "&amp;IF(K48&gt;=0,"D+","R+")&amp;TEXT(ABS(K48)*100,"0.0")&amp;" or better = great night; "&amp;IF(J48&gt;=0,"D+","R+")&amp;TEXT(ABS(J48)*100,"0.0")&amp;" = on track to win. Rogers holding it to "&amp;IF(H48&gt;=0,"D+","R+")&amp;TEXT(ABS(H48)*100,"0.0")&amp;" = Rogers on track; "&amp;IF(G48&gt;=0,"D+","R+")&amp;TEXT(ABS(G48)*100,"0.0")&amp;" or worse for El-Sayed = great for Rogers. Turnout: par is about "&amp;TEXT(D48,"#,##0")&amp;" two-party votes ("&amp;TEXT(Counties!AQ470/SUMIFS(Counties!$AQ:$AQ,Counties!$A:$A,"MI"),"0.0%")&amp;" of the state). At 95% of par the break-even moves to "&amp;IF((I48/0.95)&gt;=0,"D+","R+")&amp;TEXT(ABS((I48/0.95))*100,"0.0")&amp;"; at 105%, to "&amp;IF((I48/1.05)&gt;=0,"D+","R+")&amp;TEXT(ABS((I48/1.05))*100,"0.0")&amp;"."</f>
        <v/>
      </c>
    </row>
    <row r="49" ht="58" customHeight="1">
      <c r="A49" s="8" t="inlineStr">
        <is>
          <t>MI</t>
        </is>
      </c>
      <c r="B49" s="8" t="inlineStr">
        <is>
          <t>Kent</t>
        </is>
      </c>
      <c r="C49" s="8" t="inlineStr">
        <is>
          <t>Mid-size/working metro</t>
        </is>
      </c>
      <c r="D49" s="12">
        <f>Counties!AT461</f>
        <v/>
      </c>
      <c r="E49" s="9">
        <f>Counties!O461</f>
        <v/>
      </c>
      <c r="F49" s="9">
        <f>Counties!R461</f>
        <v/>
      </c>
      <c r="G49" s="9">
        <f>MAX(-1,MIN(1,Counties!O461+-0.05+Dashboard!$F$11))</f>
        <v/>
      </c>
      <c r="H49" s="9">
        <f>MAX(-1,MIN(1,Counties!O461+-0.01+Dashboard!$F$11))</f>
        <v/>
      </c>
      <c r="I49" s="36">
        <f>MAX(-1,MIN(1,Counties!O461+0.0+Dashboard!$F$11))</f>
        <v/>
      </c>
      <c r="J49" s="9">
        <f>MAX(-1,MIN(1,Counties!O461+0.01+Dashboard!$F$11))</f>
        <v/>
      </c>
      <c r="K49" s="9">
        <f>MAX(-1,MIN(1,Counties!O461+0.05+Dashboard!$F$11))</f>
        <v/>
      </c>
      <c r="L49" s="37">
        <f>G49*D49</f>
        <v/>
      </c>
      <c r="M49" s="37">
        <f>H49*D49</f>
        <v/>
      </c>
      <c r="N49" s="37">
        <f>I49*D49</f>
        <v/>
      </c>
      <c r="O49" s="37">
        <f>J49*D49</f>
        <v/>
      </c>
      <c r="P49" s="37">
        <f>K49*D49</f>
        <v/>
      </c>
      <c r="Q49" s="12">
        <f>D49*(1+I49)/2</f>
        <v/>
      </c>
      <c r="R49" s="9">
        <f>Counties!AH461</f>
        <v/>
      </c>
      <c r="S49" s="37">
        <f>IF(Counties!AH461="","",Counties!AH461*Counties!AF461)</f>
        <v/>
      </c>
      <c r="T49" s="13">
        <f>Counties!AO461</f>
        <v/>
      </c>
      <c r="U49" s="16">
        <f>Counties!AU461</f>
        <v/>
      </c>
      <c r="V49" s="9">
        <f>Counties!AV461</f>
        <v/>
      </c>
      <c r="W49" s="10">
        <f>Counties!AY461</f>
        <v/>
      </c>
      <c r="X49" s="8">
        <f>IF(R49="","not in yet",IF(W49&lt;&gt;"",IF(W49&gt;=0.05,"Great for El-Sayed",IF(W49&gt;=0.01,"El-Sayed on track",IF(W49&gt;-0.01,"Toss-up",IF(W49&gt;-0.05,"Rogers on track","Great for Rogers"))))&amp;" (margin + turnout)",IF((R49-I49)&gt;=0.05,"Great for El-Sayed",IF((R49-I49)&gt;=0.01,"El-Sayed on track",IF((R49-I49)&gt;-0.01,"Toss-up",IF((R49-I49)&gt;-0.05,"Rogers on track","Great for Rogers"))))&amp;IF(Counties!AG461=1,""," (partial count)")))</f>
        <v/>
      </c>
      <c r="Y49" s="17">
        <f>"Break-even "&amp;IF(I49&gt;=0,"D+","R+")&amp;TEXT(ABS(I49)*100,"0.0")&amp;" ("&amp;IF(N49&gt;=0,"D +","R +")&amp;TEXT(ABS(N49),"#,##0")&amp;" net, about "&amp;TEXT(Q49,"#,##0")&amp;" El-Sayed votes). El-Sayed at "&amp;IF(K49&gt;=0,"D+","R+")&amp;TEXT(ABS(K49)*100,"0.0")&amp;" or better = great night; "&amp;IF(J49&gt;=0,"D+","R+")&amp;TEXT(ABS(J49)*100,"0.0")&amp;" = on track to win. Rogers holding it to "&amp;IF(H49&gt;=0,"D+","R+")&amp;TEXT(ABS(H49)*100,"0.0")&amp;" = Rogers on track; "&amp;IF(G49&gt;=0,"D+","R+")&amp;TEXT(ABS(G49)*100,"0.0")&amp;" or worse for El-Sayed = great for Rogers. Turnout: par is about "&amp;TEXT(D49,"#,##0")&amp;" two-party votes ("&amp;TEXT(Counties!AQ461/SUMIFS(Counties!$AQ:$AQ,Counties!$A:$A,"MI"),"0.0%")&amp;" of the state). At 95% of par the break-even moves to "&amp;IF((I49/0.95)&gt;=0,"D+","R+")&amp;TEXT(ABS((I49/0.95))*100,"0.0")&amp;"; at 105%, to "&amp;IF((I49/1.05)&gt;=0,"D+","R+")&amp;TEXT(ABS((I49/1.05))*100,"0.0")&amp;"."</f>
        <v/>
      </c>
    </row>
    <row r="50" ht="58" customHeight="1">
      <c r="A50" s="8" t="inlineStr">
        <is>
          <t>MI</t>
        </is>
      </c>
      <c r="B50" s="8" t="inlineStr">
        <is>
          <t>Genesee</t>
        </is>
      </c>
      <c r="C50" s="8" t="inlineStr">
        <is>
          <t>Mid-size/working metro</t>
        </is>
      </c>
      <c r="D50" s="12">
        <f>Counties!AT445</f>
        <v/>
      </c>
      <c r="E50" s="9">
        <f>Counties!O445</f>
        <v/>
      </c>
      <c r="F50" s="9">
        <f>Counties!R445</f>
        <v/>
      </c>
      <c r="G50" s="9">
        <f>MAX(-1,MIN(1,Counties!O445+-0.05+Dashboard!$F$11))</f>
        <v/>
      </c>
      <c r="H50" s="9">
        <f>MAX(-1,MIN(1,Counties!O445+-0.01+Dashboard!$F$11))</f>
        <v/>
      </c>
      <c r="I50" s="36">
        <f>MAX(-1,MIN(1,Counties!O445+0.0+Dashboard!$F$11))</f>
        <v/>
      </c>
      <c r="J50" s="9">
        <f>MAX(-1,MIN(1,Counties!O445+0.01+Dashboard!$F$11))</f>
        <v/>
      </c>
      <c r="K50" s="9">
        <f>MAX(-1,MIN(1,Counties!O445+0.05+Dashboard!$F$11))</f>
        <v/>
      </c>
      <c r="L50" s="37">
        <f>G50*D50</f>
        <v/>
      </c>
      <c r="M50" s="37">
        <f>H50*D50</f>
        <v/>
      </c>
      <c r="N50" s="37">
        <f>I50*D50</f>
        <v/>
      </c>
      <c r="O50" s="37">
        <f>J50*D50</f>
        <v/>
      </c>
      <c r="P50" s="37">
        <f>K50*D50</f>
        <v/>
      </c>
      <c r="Q50" s="12">
        <f>D50*(1+I50)/2</f>
        <v/>
      </c>
      <c r="R50" s="9">
        <f>Counties!AH445</f>
        <v/>
      </c>
      <c r="S50" s="37">
        <f>IF(Counties!AH445="","",Counties!AH445*Counties!AF445)</f>
        <v/>
      </c>
      <c r="T50" s="13">
        <f>Counties!AO445</f>
        <v/>
      </c>
      <c r="U50" s="16">
        <f>Counties!AU445</f>
        <v/>
      </c>
      <c r="V50" s="9">
        <f>Counties!AV445</f>
        <v/>
      </c>
      <c r="W50" s="10">
        <f>Counties!AY445</f>
        <v/>
      </c>
      <c r="X50" s="8">
        <f>IF(R50="","not in yet",IF(W50&lt;&gt;"",IF(W50&gt;=0.05,"Great for El-Sayed",IF(W50&gt;=0.01,"El-Sayed on track",IF(W50&gt;-0.01,"Toss-up",IF(W50&gt;-0.05,"Rogers on track","Great for Rogers"))))&amp;" (margin + turnout)",IF((R50-I50)&gt;=0.05,"Great for El-Sayed",IF((R50-I50)&gt;=0.01,"El-Sayed on track",IF((R50-I50)&gt;-0.01,"Toss-up",IF((R50-I50)&gt;-0.05,"Rogers on track","Great for Rogers"))))&amp;IF(Counties!AG445=1,""," (partial count)")))</f>
        <v/>
      </c>
      <c r="Y50" s="17">
        <f>"Break-even "&amp;IF(I50&gt;=0,"D+","R+")&amp;TEXT(ABS(I50)*100,"0.0")&amp;" ("&amp;IF(N50&gt;=0,"D +","R +")&amp;TEXT(ABS(N50),"#,##0")&amp;" net, about "&amp;TEXT(Q50,"#,##0")&amp;" El-Sayed votes). El-Sayed at "&amp;IF(K50&gt;=0,"D+","R+")&amp;TEXT(ABS(K50)*100,"0.0")&amp;" or better = great night; "&amp;IF(J50&gt;=0,"D+","R+")&amp;TEXT(ABS(J50)*100,"0.0")&amp;" = on track to win. Rogers holding it to "&amp;IF(H50&gt;=0,"D+","R+")&amp;TEXT(ABS(H50)*100,"0.0")&amp;" = Rogers on track; "&amp;IF(G50&gt;=0,"D+","R+")&amp;TEXT(ABS(G50)*100,"0.0")&amp;" or worse for El-Sayed = great for Rogers. Turnout: par is about "&amp;TEXT(D50,"#,##0")&amp;" two-party votes ("&amp;TEXT(Counties!AQ445/SUMIFS(Counties!$AQ:$AQ,Counties!$A:$A,"MI"),"0.0%")&amp;" of the state). At 95% of par the break-even moves to "&amp;IF((I50/0.95)&gt;=0,"D+","R+")&amp;TEXT(ABS((I50/0.95))*100,"0.0")&amp;"; at 105%, to "&amp;IF((I50/1.05)&gt;=0,"D+","R+")&amp;TEXT(ABS((I50/1.05))*100,"0.0")&amp;"."</f>
        <v/>
      </c>
    </row>
    <row r="51" ht="58" customHeight="1">
      <c r="A51" s="8" t="inlineStr">
        <is>
          <t>MI</t>
        </is>
      </c>
      <c r="B51" s="8" t="inlineStr">
        <is>
          <t>Washtenaw</t>
        </is>
      </c>
      <c r="C51" s="8" t="inlineStr">
        <is>
          <t>College suburb/metro</t>
        </is>
      </c>
      <c r="D51" s="12">
        <f>Counties!AT501</f>
        <v/>
      </c>
      <c r="E51" s="9">
        <f>Counties!O501</f>
        <v/>
      </c>
      <c r="F51" s="9">
        <f>Counties!R501</f>
        <v/>
      </c>
      <c r="G51" s="9">
        <f>MAX(-1,MIN(1,Counties!O501+-0.05+Dashboard!$F$11))</f>
        <v/>
      </c>
      <c r="H51" s="9">
        <f>MAX(-1,MIN(1,Counties!O501+-0.01+Dashboard!$F$11))</f>
        <v/>
      </c>
      <c r="I51" s="36">
        <f>MAX(-1,MIN(1,Counties!O501+0.0+Dashboard!$F$11))</f>
        <v/>
      </c>
      <c r="J51" s="9">
        <f>MAX(-1,MIN(1,Counties!O501+0.01+Dashboard!$F$11))</f>
        <v/>
      </c>
      <c r="K51" s="9">
        <f>MAX(-1,MIN(1,Counties!O501+0.05+Dashboard!$F$11))</f>
        <v/>
      </c>
      <c r="L51" s="37">
        <f>G51*D51</f>
        <v/>
      </c>
      <c r="M51" s="37">
        <f>H51*D51</f>
        <v/>
      </c>
      <c r="N51" s="37">
        <f>I51*D51</f>
        <v/>
      </c>
      <c r="O51" s="37">
        <f>J51*D51</f>
        <v/>
      </c>
      <c r="P51" s="37">
        <f>K51*D51</f>
        <v/>
      </c>
      <c r="Q51" s="12">
        <f>D51*(1+I51)/2</f>
        <v/>
      </c>
      <c r="R51" s="9">
        <f>Counties!AH501</f>
        <v/>
      </c>
      <c r="S51" s="37">
        <f>IF(Counties!AH501="","",Counties!AH501*Counties!AF501)</f>
        <v/>
      </c>
      <c r="T51" s="13">
        <f>Counties!AO501</f>
        <v/>
      </c>
      <c r="U51" s="16">
        <f>Counties!AU501</f>
        <v/>
      </c>
      <c r="V51" s="9">
        <f>Counties!AV501</f>
        <v/>
      </c>
      <c r="W51" s="10">
        <f>Counties!AY501</f>
        <v/>
      </c>
      <c r="X51" s="8">
        <f>IF(R51="","not in yet",IF(W51&lt;&gt;"",IF(W51&gt;=0.05,"Great for El-Sayed",IF(W51&gt;=0.01,"El-Sayed on track",IF(W51&gt;-0.01,"Toss-up",IF(W51&gt;-0.05,"Rogers on track","Great for Rogers"))))&amp;" (margin + turnout)",IF((R51-I51)&gt;=0.05,"Great for El-Sayed",IF((R51-I51)&gt;=0.01,"El-Sayed on track",IF((R51-I51)&gt;-0.01,"Toss-up",IF((R51-I51)&gt;-0.05,"Rogers on track","Great for Rogers"))))&amp;IF(Counties!AG501=1,""," (partial count)")))</f>
        <v/>
      </c>
      <c r="Y51" s="17">
        <f>"Break-even "&amp;IF(I51&gt;=0,"D+","R+")&amp;TEXT(ABS(I51)*100,"0.0")&amp;" ("&amp;IF(N51&gt;=0,"D +","R +")&amp;TEXT(ABS(N51),"#,##0")&amp;" net, about "&amp;TEXT(Q51,"#,##0")&amp;" El-Sayed votes). El-Sayed at "&amp;IF(K51&gt;=0,"D+","R+")&amp;TEXT(ABS(K51)*100,"0.0")&amp;" or better = great night; "&amp;IF(J51&gt;=0,"D+","R+")&amp;TEXT(ABS(J51)*100,"0.0")&amp;" = on track to win. Rogers holding it to "&amp;IF(H51&gt;=0,"D+","R+")&amp;TEXT(ABS(H51)*100,"0.0")&amp;" = Rogers on track; "&amp;IF(G51&gt;=0,"D+","R+")&amp;TEXT(ABS(G51)*100,"0.0")&amp;" or worse for El-Sayed = great for Rogers. Turnout: par is about "&amp;TEXT(D51,"#,##0")&amp;" two-party votes ("&amp;TEXT(Counties!AQ501/SUMIFS(Counties!$AQ:$AQ,Counties!$A:$A,"MI"),"0.0%")&amp;" of the state). At 95% of par the break-even moves to "&amp;IF((I51/0.95)&gt;=0,"D+","R+")&amp;TEXT(ABS((I51/0.95))*100,"0.0")&amp;"; at 105%, to "&amp;IF((I51/1.05)&gt;=0,"D+","R+")&amp;TEXT(ABS((I51/1.05))*100,"0.0")&amp;"."</f>
        <v/>
      </c>
    </row>
    <row r="52" ht="58" customHeight="1">
      <c r="A52" s="8" t="inlineStr">
        <is>
          <t>MI</t>
        </is>
      </c>
      <c r="B52" s="8" t="inlineStr">
        <is>
          <t>Ottawa</t>
        </is>
      </c>
      <c r="C52" s="8" t="inlineStr">
        <is>
          <t>Mid-size/working metro</t>
        </is>
      </c>
      <c r="D52" s="12">
        <f>Counties!AT490</f>
        <v/>
      </c>
      <c r="E52" s="9">
        <f>Counties!O490</f>
        <v/>
      </c>
      <c r="F52" s="9">
        <f>Counties!R490</f>
        <v/>
      </c>
      <c r="G52" s="9">
        <f>MAX(-1,MIN(1,Counties!O490+-0.05+Dashboard!$F$11))</f>
        <v/>
      </c>
      <c r="H52" s="9">
        <f>MAX(-1,MIN(1,Counties!O490+-0.01+Dashboard!$F$11))</f>
        <v/>
      </c>
      <c r="I52" s="36">
        <f>MAX(-1,MIN(1,Counties!O490+0.0+Dashboard!$F$11))</f>
        <v/>
      </c>
      <c r="J52" s="9">
        <f>MAX(-1,MIN(1,Counties!O490+0.01+Dashboard!$F$11))</f>
        <v/>
      </c>
      <c r="K52" s="9">
        <f>MAX(-1,MIN(1,Counties!O490+0.05+Dashboard!$F$11))</f>
        <v/>
      </c>
      <c r="L52" s="37">
        <f>G52*D52</f>
        <v/>
      </c>
      <c r="M52" s="37">
        <f>H52*D52</f>
        <v/>
      </c>
      <c r="N52" s="37">
        <f>I52*D52</f>
        <v/>
      </c>
      <c r="O52" s="37">
        <f>J52*D52</f>
        <v/>
      </c>
      <c r="P52" s="37">
        <f>K52*D52</f>
        <v/>
      </c>
      <c r="Q52" s="12">
        <f>D52*(1+I52)/2</f>
        <v/>
      </c>
      <c r="R52" s="9">
        <f>Counties!AH490</f>
        <v/>
      </c>
      <c r="S52" s="37">
        <f>IF(Counties!AH490="","",Counties!AH490*Counties!AF490)</f>
        <v/>
      </c>
      <c r="T52" s="13">
        <f>Counties!AO490</f>
        <v/>
      </c>
      <c r="U52" s="16">
        <f>Counties!AU490</f>
        <v/>
      </c>
      <c r="V52" s="9">
        <f>Counties!AV490</f>
        <v/>
      </c>
      <c r="W52" s="10">
        <f>Counties!AY490</f>
        <v/>
      </c>
      <c r="X52" s="8">
        <f>IF(R52="","not in yet",IF(W52&lt;&gt;"",IF(W52&gt;=0.05,"Great for El-Sayed",IF(W52&gt;=0.01,"El-Sayed on track",IF(W52&gt;-0.01,"Toss-up",IF(W52&gt;-0.05,"Rogers on track","Great for Rogers"))))&amp;" (margin + turnout)",IF((R52-I52)&gt;=0.05,"Great for El-Sayed",IF((R52-I52)&gt;=0.01,"El-Sayed on track",IF((R52-I52)&gt;-0.01,"Toss-up",IF((R52-I52)&gt;-0.05,"Rogers on track","Great for Rogers"))))&amp;IF(Counties!AG490=1,""," (partial count)")))</f>
        <v/>
      </c>
      <c r="Y52" s="17">
        <f>"Break-even "&amp;IF(I52&gt;=0,"D+","R+")&amp;TEXT(ABS(I52)*100,"0.0")&amp;" ("&amp;IF(N52&gt;=0,"D +","R +")&amp;TEXT(ABS(N52),"#,##0")&amp;" net, about "&amp;TEXT(Q52,"#,##0")&amp;" El-Sayed votes). El-Sayed at "&amp;IF(K52&gt;=0,"D+","R+")&amp;TEXT(ABS(K52)*100,"0.0")&amp;" or better = great night; "&amp;IF(J52&gt;=0,"D+","R+")&amp;TEXT(ABS(J52)*100,"0.0")&amp;" = on track to win. Rogers holding it to "&amp;IF(H52&gt;=0,"D+","R+")&amp;TEXT(ABS(H52)*100,"0.0")&amp;" = Rogers on track; "&amp;IF(G52&gt;=0,"D+","R+")&amp;TEXT(ABS(G52)*100,"0.0")&amp;" or worse for El-Sayed = great for Rogers. Turnout: par is about "&amp;TEXT(D52,"#,##0")&amp;" two-party votes ("&amp;TEXT(Counties!AQ490/SUMIFS(Counties!$AQ:$AQ,Counties!$A:$A,"MI"),"0.0%")&amp;" of the state). At 95% of par the break-even moves to "&amp;IF((I52/0.95)&gt;=0,"D+","R+")&amp;TEXT(ABS((I52/0.95))*100,"0.0")&amp;"; at 105%, to "&amp;IF((I52/1.05)&gt;=0,"D+","R+")&amp;TEXT(ABS((I52/1.05))*100,"0.0")&amp;"."</f>
        <v/>
      </c>
    </row>
    <row r="53" ht="58" customHeight="1">
      <c r="A53" s="8" t="inlineStr">
        <is>
          <t>MI</t>
        </is>
      </c>
      <c r="B53" s="8" t="inlineStr">
        <is>
          <t>Livingston</t>
        </is>
      </c>
      <c r="C53" s="8" t="inlineStr">
        <is>
          <t>Mid-size/working metro</t>
        </is>
      </c>
      <c r="D53" s="12">
        <f>Counties!AT467</f>
        <v/>
      </c>
      <c r="E53" s="9">
        <f>Counties!O467</f>
        <v/>
      </c>
      <c r="F53" s="9">
        <f>Counties!R467</f>
        <v/>
      </c>
      <c r="G53" s="9">
        <f>MAX(-1,MIN(1,Counties!O467+-0.05+Dashboard!$F$11))</f>
        <v/>
      </c>
      <c r="H53" s="9">
        <f>MAX(-1,MIN(1,Counties!O467+-0.01+Dashboard!$F$11))</f>
        <v/>
      </c>
      <c r="I53" s="36">
        <f>MAX(-1,MIN(1,Counties!O467+0.0+Dashboard!$F$11))</f>
        <v/>
      </c>
      <c r="J53" s="9">
        <f>MAX(-1,MIN(1,Counties!O467+0.01+Dashboard!$F$11))</f>
        <v/>
      </c>
      <c r="K53" s="9">
        <f>MAX(-1,MIN(1,Counties!O467+0.05+Dashboard!$F$11))</f>
        <v/>
      </c>
      <c r="L53" s="37">
        <f>G53*D53</f>
        <v/>
      </c>
      <c r="M53" s="37">
        <f>H53*D53</f>
        <v/>
      </c>
      <c r="N53" s="37">
        <f>I53*D53</f>
        <v/>
      </c>
      <c r="O53" s="37">
        <f>J53*D53</f>
        <v/>
      </c>
      <c r="P53" s="37">
        <f>K53*D53</f>
        <v/>
      </c>
      <c r="Q53" s="12">
        <f>D53*(1+I53)/2</f>
        <v/>
      </c>
      <c r="R53" s="9">
        <f>Counties!AH467</f>
        <v/>
      </c>
      <c r="S53" s="37">
        <f>IF(Counties!AH467="","",Counties!AH467*Counties!AF467)</f>
        <v/>
      </c>
      <c r="T53" s="13">
        <f>Counties!AO467</f>
        <v/>
      </c>
      <c r="U53" s="16">
        <f>Counties!AU467</f>
        <v/>
      </c>
      <c r="V53" s="9">
        <f>Counties!AV467</f>
        <v/>
      </c>
      <c r="W53" s="10">
        <f>Counties!AY467</f>
        <v/>
      </c>
      <c r="X53" s="8">
        <f>IF(R53="","not in yet",IF(W53&lt;&gt;"",IF(W53&gt;=0.05,"Great for El-Sayed",IF(W53&gt;=0.01,"El-Sayed on track",IF(W53&gt;-0.01,"Toss-up",IF(W53&gt;-0.05,"Rogers on track","Great for Rogers"))))&amp;" (margin + turnout)",IF((R53-I53)&gt;=0.05,"Great for El-Sayed",IF((R53-I53)&gt;=0.01,"El-Sayed on track",IF((R53-I53)&gt;-0.01,"Toss-up",IF((R53-I53)&gt;-0.05,"Rogers on track","Great for Rogers"))))&amp;IF(Counties!AG467=1,""," (partial count)")))</f>
        <v/>
      </c>
      <c r="Y53" s="17">
        <f>"Break-even "&amp;IF(I53&gt;=0,"D+","R+")&amp;TEXT(ABS(I53)*100,"0.0")&amp;" ("&amp;IF(N53&gt;=0,"D +","R +")&amp;TEXT(ABS(N53),"#,##0")&amp;" net, about "&amp;TEXT(Q53,"#,##0")&amp;" El-Sayed votes). El-Sayed at "&amp;IF(K53&gt;=0,"D+","R+")&amp;TEXT(ABS(K53)*100,"0.0")&amp;" or better = great night; "&amp;IF(J53&gt;=0,"D+","R+")&amp;TEXT(ABS(J53)*100,"0.0")&amp;" = on track to win. Rogers holding it to "&amp;IF(H53&gt;=0,"D+","R+")&amp;TEXT(ABS(H53)*100,"0.0")&amp;" = Rogers on track; "&amp;IF(G53&gt;=0,"D+","R+")&amp;TEXT(ABS(G53)*100,"0.0")&amp;" or worse for El-Sayed = great for Rogers. Turnout: par is about "&amp;TEXT(D53,"#,##0")&amp;" two-party votes ("&amp;TEXT(Counties!AQ467/SUMIFS(Counties!$AQ:$AQ,Counties!$A:$A,"MI"),"0.0%")&amp;" of the state). At 95% of par the break-even moves to "&amp;IF((I53/0.95)&gt;=0,"D+","R+")&amp;TEXT(ABS((I53/0.95))*100,"0.0")&amp;"; at 105%, to "&amp;IF((I53/1.05)&gt;=0,"D+","R+")&amp;TEXT(ABS((I53/1.05))*100,"0.0")&amp;"."</f>
        <v/>
      </c>
    </row>
    <row r="54" ht="58" customHeight="1">
      <c r="A54" s="8" t="inlineStr">
        <is>
          <t>MI</t>
        </is>
      </c>
      <c r="B54" s="8" t="inlineStr">
        <is>
          <t>Saginaw</t>
        </is>
      </c>
      <c r="C54" s="8" t="inlineStr">
        <is>
          <t>Mid-size/working metro</t>
        </is>
      </c>
      <c r="D54" s="12">
        <f>Counties!AT493</f>
        <v/>
      </c>
      <c r="E54" s="9">
        <f>Counties!O493</f>
        <v/>
      </c>
      <c r="F54" s="9">
        <f>Counties!R493</f>
        <v/>
      </c>
      <c r="G54" s="9">
        <f>MAX(-1,MIN(1,Counties!O493+-0.05+Dashboard!$F$11))</f>
        <v/>
      </c>
      <c r="H54" s="9">
        <f>MAX(-1,MIN(1,Counties!O493+-0.01+Dashboard!$F$11))</f>
        <v/>
      </c>
      <c r="I54" s="36">
        <f>MAX(-1,MIN(1,Counties!O493+0.0+Dashboard!$F$11))</f>
        <v/>
      </c>
      <c r="J54" s="9">
        <f>MAX(-1,MIN(1,Counties!O493+0.01+Dashboard!$F$11))</f>
        <v/>
      </c>
      <c r="K54" s="9">
        <f>MAX(-1,MIN(1,Counties!O493+0.05+Dashboard!$F$11))</f>
        <v/>
      </c>
      <c r="L54" s="37">
        <f>G54*D54</f>
        <v/>
      </c>
      <c r="M54" s="37">
        <f>H54*D54</f>
        <v/>
      </c>
      <c r="N54" s="37">
        <f>I54*D54</f>
        <v/>
      </c>
      <c r="O54" s="37">
        <f>J54*D54</f>
        <v/>
      </c>
      <c r="P54" s="37">
        <f>K54*D54</f>
        <v/>
      </c>
      <c r="Q54" s="12">
        <f>D54*(1+I54)/2</f>
        <v/>
      </c>
      <c r="R54" s="9">
        <f>Counties!AH493</f>
        <v/>
      </c>
      <c r="S54" s="37">
        <f>IF(Counties!AH493="","",Counties!AH493*Counties!AF493)</f>
        <v/>
      </c>
      <c r="T54" s="13">
        <f>Counties!AO493</f>
        <v/>
      </c>
      <c r="U54" s="16">
        <f>Counties!AU493</f>
        <v/>
      </c>
      <c r="V54" s="9">
        <f>Counties!AV493</f>
        <v/>
      </c>
      <c r="W54" s="10">
        <f>Counties!AY493</f>
        <v/>
      </c>
      <c r="X54" s="8">
        <f>IF(R54="","not in yet",IF(W54&lt;&gt;"",IF(W54&gt;=0.05,"Great for El-Sayed",IF(W54&gt;=0.01,"El-Sayed on track",IF(W54&gt;-0.01,"Toss-up",IF(W54&gt;-0.05,"Rogers on track","Great for Rogers"))))&amp;" (margin + turnout)",IF((R54-I54)&gt;=0.05,"Great for El-Sayed",IF((R54-I54)&gt;=0.01,"El-Sayed on track",IF((R54-I54)&gt;-0.01,"Toss-up",IF((R54-I54)&gt;-0.05,"Rogers on track","Great for Rogers"))))&amp;IF(Counties!AG493=1,""," (partial count)")))</f>
        <v/>
      </c>
      <c r="Y54" s="17">
        <f>"Break-even "&amp;IF(I54&gt;=0,"D+","R+")&amp;TEXT(ABS(I54)*100,"0.0")&amp;" ("&amp;IF(N54&gt;=0,"D +","R +")&amp;TEXT(ABS(N54),"#,##0")&amp;" net, about "&amp;TEXT(Q54,"#,##0")&amp;" El-Sayed votes). El-Sayed at "&amp;IF(K54&gt;=0,"D+","R+")&amp;TEXT(ABS(K54)*100,"0.0")&amp;" or better = great night; "&amp;IF(J54&gt;=0,"D+","R+")&amp;TEXT(ABS(J54)*100,"0.0")&amp;" = on track to win. Rogers holding it to "&amp;IF(H54&gt;=0,"D+","R+")&amp;TEXT(ABS(H54)*100,"0.0")&amp;" = Rogers on track; "&amp;IF(G54&gt;=0,"D+","R+")&amp;TEXT(ABS(G54)*100,"0.0")&amp;" or worse for El-Sayed = great for Rogers. Turnout: par is about "&amp;TEXT(D54,"#,##0")&amp;" two-party votes ("&amp;TEXT(Counties!AQ493/SUMIFS(Counties!$AQ:$AQ,Counties!$A:$A,"MI"),"0.0%")&amp;" of the state). At 95% of par the break-even moves to "&amp;IF((I54/0.95)&gt;=0,"D+","R+")&amp;TEXT(ABS((I54/0.95))*100,"0.0")&amp;"; at 105%, to "&amp;IF((I54/1.05)&gt;=0,"D+","R+")&amp;TEXT(ABS((I54/1.05))*100,"0.0")&amp;"."</f>
        <v/>
      </c>
    </row>
    <row r="55" ht="58" customHeight="1">
      <c r="A55" s="8" t="inlineStr">
        <is>
          <t>MI</t>
        </is>
      </c>
      <c r="B55" s="8" t="inlineStr">
        <is>
          <t>St. Clair</t>
        </is>
      </c>
      <c r="C55" s="8" t="inlineStr">
        <is>
          <t>Mid-size/working metro</t>
        </is>
      </c>
      <c r="D55" s="12">
        <f>Counties!AT497</f>
        <v/>
      </c>
      <c r="E55" s="9">
        <f>Counties!O497</f>
        <v/>
      </c>
      <c r="F55" s="9">
        <f>Counties!R497</f>
        <v/>
      </c>
      <c r="G55" s="9">
        <f>MAX(-1,MIN(1,Counties!O497+-0.05+Dashboard!$F$11))</f>
        <v/>
      </c>
      <c r="H55" s="9">
        <f>MAX(-1,MIN(1,Counties!O497+-0.01+Dashboard!$F$11))</f>
        <v/>
      </c>
      <c r="I55" s="36">
        <f>MAX(-1,MIN(1,Counties!O497+0.0+Dashboard!$F$11))</f>
        <v/>
      </c>
      <c r="J55" s="9">
        <f>MAX(-1,MIN(1,Counties!O497+0.01+Dashboard!$F$11))</f>
        <v/>
      </c>
      <c r="K55" s="9">
        <f>MAX(-1,MIN(1,Counties!O497+0.05+Dashboard!$F$11))</f>
        <v/>
      </c>
      <c r="L55" s="37">
        <f>G55*D55</f>
        <v/>
      </c>
      <c r="M55" s="37">
        <f>H55*D55</f>
        <v/>
      </c>
      <c r="N55" s="37">
        <f>I55*D55</f>
        <v/>
      </c>
      <c r="O55" s="37">
        <f>J55*D55</f>
        <v/>
      </c>
      <c r="P55" s="37">
        <f>K55*D55</f>
        <v/>
      </c>
      <c r="Q55" s="12">
        <f>D55*(1+I55)/2</f>
        <v/>
      </c>
      <c r="R55" s="9">
        <f>Counties!AH497</f>
        <v/>
      </c>
      <c r="S55" s="37">
        <f>IF(Counties!AH497="","",Counties!AH497*Counties!AF497)</f>
        <v/>
      </c>
      <c r="T55" s="13">
        <f>Counties!AO497</f>
        <v/>
      </c>
      <c r="U55" s="16">
        <f>Counties!AU497</f>
        <v/>
      </c>
      <c r="V55" s="9">
        <f>Counties!AV497</f>
        <v/>
      </c>
      <c r="W55" s="10">
        <f>Counties!AY497</f>
        <v/>
      </c>
      <c r="X55" s="8">
        <f>IF(R55="","not in yet",IF(W55&lt;&gt;"",IF(W55&gt;=0.05,"Great for El-Sayed",IF(W55&gt;=0.01,"El-Sayed on track",IF(W55&gt;-0.01,"Toss-up",IF(W55&gt;-0.05,"Rogers on track","Great for Rogers"))))&amp;" (margin + turnout)",IF((R55-I55)&gt;=0.05,"Great for El-Sayed",IF((R55-I55)&gt;=0.01,"El-Sayed on track",IF((R55-I55)&gt;-0.01,"Toss-up",IF((R55-I55)&gt;-0.05,"Rogers on track","Great for Rogers"))))&amp;IF(Counties!AG497=1,""," (partial count)")))</f>
        <v/>
      </c>
      <c r="Y55" s="17">
        <f>"Break-even "&amp;IF(I55&gt;=0,"D+","R+")&amp;TEXT(ABS(I55)*100,"0.0")&amp;" ("&amp;IF(N55&gt;=0,"D +","R +")&amp;TEXT(ABS(N55),"#,##0")&amp;" net, about "&amp;TEXT(Q55,"#,##0")&amp;" El-Sayed votes). El-Sayed at "&amp;IF(K55&gt;=0,"D+","R+")&amp;TEXT(ABS(K55)*100,"0.0")&amp;" or better = great night; "&amp;IF(J55&gt;=0,"D+","R+")&amp;TEXT(ABS(J55)*100,"0.0")&amp;" = on track to win. Rogers holding it to "&amp;IF(H55&gt;=0,"D+","R+")&amp;TEXT(ABS(H55)*100,"0.0")&amp;" = Rogers on track; "&amp;IF(G55&gt;=0,"D+","R+")&amp;TEXT(ABS(G55)*100,"0.0")&amp;" or worse for El-Sayed = great for Rogers. Turnout: par is about "&amp;TEXT(D55,"#,##0")&amp;" two-party votes ("&amp;TEXT(Counties!AQ497/SUMIFS(Counties!$AQ:$AQ,Counties!$A:$A,"MI"),"0.0%")&amp;" of the state). At 95% of par the break-even moves to "&amp;IF((I55/0.95)&gt;=0,"D+","R+")&amp;TEXT(ABS((I55/0.95))*100,"0.0")&amp;"; at 105%, to "&amp;IF((I55/1.05)&gt;=0,"D+","R+")&amp;TEXT(ABS((I55/1.05))*100,"0.0")&amp;"."</f>
        <v/>
      </c>
    </row>
    <row r="56">
      <c r="A56" s="22" t="inlineStr">
        <is>
          <t>Minnesota: Peggy Flanagan vs Michele Tafoya · 2024 statewide D+4.3 (D+4.9 with 2022's turnout pattern)</t>
        </is>
      </c>
      <c r="B56" s="22" t="n"/>
      <c r="C56" s="22" t="n"/>
      <c r="D56" s="22" t="n"/>
      <c r="E56" s="22" t="n"/>
      <c r="F56" s="22" t="n"/>
      <c r="G56" s="22" t="n"/>
      <c r="H56" s="22" t="n"/>
      <c r="I56" s="22" t="n"/>
      <c r="J56" s="22" t="n"/>
      <c r="K56" s="22" t="n"/>
      <c r="L56" s="22" t="n"/>
      <c r="M56" s="22" t="n"/>
      <c r="N56" s="22" t="n"/>
      <c r="O56" s="22" t="n"/>
      <c r="P56" s="22" t="n"/>
      <c r="Q56" s="22" t="n"/>
      <c r="R56" s="22" t="n"/>
      <c r="S56" s="22" t="n"/>
      <c r="T56" s="22" t="n"/>
      <c r="U56" s="22" t="n"/>
      <c r="V56" s="22" t="n"/>
      <c r="W56" s="22" t="n"/>
      <c r="X56" s="22" t="n"/>
      <c r="Y56" s="22" t="n"/>
    </row>
    <row r="57" ht="58" customHeight="1">
      <c r="A57" s="8" t="inlineStr">
        <is>
          <t>MN</t>
        </is>
      </c>
      <c r="B57" s="8" t="inlineStr">
        <is>
          <t>Hennepin</t>
        </is>
      </c>
      <c r="C57" s="8" t="inlineStr">
        <is>
          <t>Big metro core</t>
        </is>
      </c>
      <c r="D57" s="12">
        <f>Counties!AT530</f>
        <v/>
      </c>
      <c r="E57" s="9">
        <f>Counties!O530</f>
        <v/>
      </c>
      <c r="F57" s="9">
        <f>Counties!R530</f>
        <v/>
      </c>
      <c r="G57" s="9">
        <f>MAX(-1,MIN(1,Counties!O530+-0.05+Dashboard!$F$12))</f>
        <v/>
      </c>
      <c r="H57" s="9">
        <f>MAX(-1,MIN(1,Counties!O530+-0.01+Dashboard!$F$12))</f>
        <v/>
      </c>
      <c r="I57" s="36">
        <f>MAX(-1,MIN(1,Counties!O530+0.0+Dashboard!$F$12))</f>
        <v/>
      </c>
      <c r="J57" s="9">
        <f>MAX(-1,MIN(1,Counties!O530+0.01+Dashboard!$F$12))</f>
        <v/>
      </c>
      <c r="K57" s="9">
        <f>MAX(-1,MIN(1,Counties!O530+0.05+Dashboard!$F$12))</f>
        <v/>
      </c>
      <c r="L57" s="37">
        <f>G57*D57</f>
        <v/>
      </c>
      <c r="M57" s="37">
        <f>H57*D57</f>
        <v/>
      </c>
      <c r="N57" s="37">
        <f>I57*D57</f>
        <v/>
      </c>
      <c r="O57" s="37">
        <f>J57*D57</f>
        <v/>
      </c>
      <c r="P57" s="37">
        <f>K57*D57</f>
        <v/>
      </c>
      <c r="Q57" s="12">
        <f>D57*(1+I57)/2</f>
        <v/>
      </c>
      <c r="R57" s="9">
        <f>Counties!AH530</f>
        <v/>
      </c>
      <c r="S57" s="37">
        <f>IF(Counties!AH530="","",Counties!AH530*Counties!AF530)</f>
        <v/>
      </c>
      <c r="T57" s="13">
        <f>Counties!AO530</f>
        <v/>
      </c>
      <c r="U57" s="16">
        <f>Counties!AU530</f>
        <v/>
      </c>
      <c r="V57" s="9">
        <f>Counties!AV530</f>
        <v/>
      </c>
      <c r="W57" s="10">
        <f>Counties!AY530</f>
        <v/>
      </c>
      <c r="X57" s="8">
        <f>IF(R57="","not in yet",IF(W57&lt;&gt;"",IF(W57&gt;=0.05,"Great for Flanagan",IF(W57&gt;=0.01,"Flanagan on track",IF(W57&gt;-0.01,"Toss-up",IF(W57&gt;-0.05,"Tafoya on track","Great for Tafoya"))))&amp;" (margin + turnout)",IF((R57-I57)&gt;=0.05,"Great for Flanagan",IF((R57-I57)&gt;=0.01,"Flanagan on track",IF((R57-I57)&gt;-0.01,"Toss-up",IF((R57-I57)&gt;-0.05,"Tafoya on track","Great for Tafoya"))))&amp;IF(Counties!AG530=1,""," (partial count)")))</f>
        <v/>
      </c>
      <c r="Y57" s="17">
        <f>"Break-even "&amp;IF(I57&gt;=0,"D+","R+")&amp;TEXT(ABS(I57)*100,"0.0")&amp;" ("&amp;IF(N57&gt;=0,"D +","R +")&amp;TEXT(ABS(N57),"#,##0")&amp;" net, about "&amp;TEXT(Q57,"#,##0")&amp;" Flanagan votes). Flanagan at "&amp;IF(K57&gt;=0,"D+","R+")&amp;TEXT(ABS(K57)*100,"0.0")&amp;" or better = great night; "&amp;IF(J57&gt;=0,"D+","R+")&amp;TEXT(ABS(J57)*100,"0.0")&amp;" = on track to win. Tafoya holding it to "&amp;IF(H57&gt;=0,"D+","R+")&amp;TEXT(ABS(H57)*100,"0.0")&amp;" = Tafoya on track; "&amp;IF(G57&gt;=0,"D+","R+")&amp;TEXT(ABS(G57)*100,"0.0")&amp;" or worse for Flanagan = great for Tafoya. Turnout: par is about "&amp;TEXT(D57,"#,##0")&amp;" two-party votes ("&amp;TEXT(Counties!AQ530/SUMIFS(Counties!$AQ:$AQ,Counties!$A:$A,"MN"),"0.0%")&amp;" of the state). At 95% of par the break-even moves to "&amp;IF((I57/0.95)&gt;=0,"D+","R+")&amp;TEXT(ABS((I57/0.95))*100,"0.0")&amp;"; at 105%, to "&amp;IF((I57/1.05)&gt;=0,"D+","R+")&amp;TEXT(ABS((I57/1.05))*100,"0.0")&amp;"."</f>
        <v/>
      </c>
    </row>
    <row r="58" ht="58" customHeight="1">
      <c r="A58" s="8" t="inlineStr">
        <is>
          <t>MN</t>
        </is>
      </c>
      <c r="B58" s="8" t="inlineStr">
        <is>
          <t>Ramsey</t>
        </is>
      </c>
      <c r="C58" s="8" t="inlineStr">
        <is>
          <t>College suburb/metro</t>
        </is>
      </c>
      <c r="D58" s="12">
        <f>Counties!AT565</f>
        <v/>
      </c>
      <c r="E58" s="9">
        <f>Counties!O565</f>
        <v/>
      </c>
      <c r="F58" s="9">
        <f>Counties!R565</f>
        <v/>
      </c>
      <c r="G58" s="9">
        <f>MAX(-1,MIN(1,Counties!O565+-0.05+Dashboard!$F$12))</f>
        <v/>
      </c>
      <c r="H58" s="9">
        <f>MAX(-1,MIN(1,Counties!O565+-0.01+Dashboard!$F$12))</f>
        <v/>
      </c>
      <c r="I58" s="36">
        <f>MAX(-1,MIN(1,Counties!O565+0.0+Dashboard!$F$12))</f>
        <v/>
      </c>
      <c r="J58" s="9">
        <f>MAX(-1,MIN(1,Counties!O565+0.01+Dashboard!$F$12))</f>
        <v/>
      </c>
      <c r="K58" s="9">
        <f>MAX(-1,MIN(1,Counties!O565+0.05+Dashboard!$F$12))</f>
        <v/>
      </c>
      <c r="L58" s="37">
        <f>G58*D58</f>
        <v/>
      </c>
      <c r="M58" s="37">
        <f>H58*D58</f>
        <v/>
      </c>
      <c r="N58" s="37">
        <f>I58*D58</f>
        <v/>
      </c>
      <c r="O58" s="37">
        <f>J58*D58</f>
        <v/>
      </c>
      <c r="P58" s="37">
        <f>K58*D58</f>
        <v/>
      </c>
      <c r="Q58" s="12">
        <f>D58*(1+I58)/2</f>
        <v/>
      </c>
      <c r="R58" s="9">
        <f>Counties!AH565</f>
        <v/>
      </c>
      <c r="S58" s="37">
        <f>IF(Counties!AH565="","",Counties!AH565*Counties!AF565)</f>
        <v/>
      </c>
      <c r="T58" s="13">
        <f>Counties!AO565</f>
        <v/>
      </c>
      <c r="U58" s="16">
        <f>Counties!AU565</f>
        <v/>
      </c>
      <c r="V58" s="9">
        <f>Counties!AV565</f>
        <v/>
      </c>
      <c r="W58" s="10">
        <f>Counties!AY565</f>
        <v/>
      </c>
      <c r="X58" s="8">
        <f>IF(R58="","not in yet",IF(W58&lt;&gt;"",IF(W58&gt;=0.05,"Great for Flanagan",IF(W58&gt;=0.01,"Flanagan on track",IF(W58&gt;-0.01,"Toss-up",IF(W58&gt;-0.05,"Tafoya on track","Great for Tafoya"))))&amp;" (margin + turnout)",IF((R58-I58)&gt;=0.05,"Great for Flanagan",IF((R58-I58)&gt;=0.01,"Flanagan on track",IF((R58-I58)&gt;-0.01,"Toss-up",IF((R58-I58)&gt;-0.05,"Tafoya on track","Great for Tafoya"))))&amp;IF(Counties!AG565=1,""," (partial count)")))</f>
        <v/>
      </c>
      <c r="Y58" s="17">
        <f>"Break-even "&amp;IF(I58&gt;=0,"D+","R+")&amp;TEXT(ABS(I58)*100,"0.0")&amp;" ("&amp;IF(N58&gt;=0,"D +","R +")&amp;TEXT(ABS(N58),"#,##0")&amp;" net, about "&amp;TEXT(Q58,"#,##0")&amp;" Flanagan votes). Flanagan at "&amp;IF(K58&gt;=0,"D+","R+")&amp;TEXT(ABS(K58)*100,"0.0")&amp;" or better = great night; "&amp;IF(J58&gt;=0,"D+","R+")&amp;TEXT(ABS(J58)*100,"0.0")&amp;" = on track to win. Tafoya holding it to "&amp;IF(H58&gt;=0,"D+","R+")&amp;TEXT(ABS(H58)*100,"0.0")&amp;" = Tafoya on track; "&amp;IF(G58&gt;=0,"D+","R+")&amp;TEXT(ABS(G58)*100,"0.0")&amp;" or worse for Flanagan = great for Tafoya. Turnout: par is about "&amp;TEXT(D58,"#,##0")&amp;" two-party votes ("&amp;TEXT(Counties!AQ565/SUMIFS(Counties!$AQ:$AQ,Counties!$A:$A,"MN"),"0.0%")&amp;" of the state). At 95% of par the break-even moves to "&amp;IF((I58/0.95)&gt;=0,"D+","R+")&amp;TEXT(ABS((I58/0.95))*100,"0.0")&amp;"; at 105%, to "&amp;IF((I58/1.05)&gt;=0,"D+","R+")&amp;TEXT(ABS((I58/1.05))*100,"0.0")&amp;"."</f>
        <v/>
      </c>
    </row>
    <row r="59" ht="58" customHeight="1">
      <c r="A59" s="8" t="inlineStr">
        <is>
          <t>MN</t>
        </is>
      </c>
      <c r="B59" s="8" t="inlineStr">
        <is>
          <t>Dakota</t>
        </is>
      </c>
      <c r="C59" s="8" t="inlineStr">
        <is>
          <t>College suburb/metro</t>
        </is>
      </c>
      <c r="D59" s="12">
        <f>Counties!AT522</f>
        <v/>
      </c>
      <c r="E59" s="9">
        <f>Counties!O522</f>
        <v/>
      </c>
      <c r="F59" s="9">
        <f>Counties!R522</f>
        <v/>
      </c>
      <c r="G59" s="9">
        <f>MAX(-1,MIN(1,Counties!O522+-0.05+Dashboard!$F$12))</f>
        <v/>
      </c>
      <c r="H59" s="9">
        <f>MAX(-1,MIN(1,Counties!O522+-0.01+Dashboard!$F$12))</f>
        <v/>
      </c>
      <c r="I59" s="36">
        <f>MAX(-1,MIN(1,Counties!O522+0.0+Dashboard!$F$12))</f>
        <v/>
      </c>
      <c r="J59" s="9">
        <f>MAX(-1,MIN(1,Counties!O522+0.01+Dashboard!$F$12))</f>
        <v/>
      </c>
      <c r="K59" s="9">
        <f>MAX(-1,MIN(1,Counties!O522+0.05+Dashboard!$F$12))</f>
        <v/>
      </c>
      <c r="L59" s="37">
        <f>G59*D59</f>
        <v/>
      </c>
      <c r="M59" s="37">
        <f>H59*D59</f>
        <v/>
      </c>
      <c r="N59" s="37">
        <f>I59*D59</f>
        <v/>
      </c>
      <c r="O59" s="37">
        <f>J59*D59</f>
        <v/>
      </c>
      <c r="P59" s="37">
        <f>K59*D59</f>
        <v/>
      </c>
      <c r="Q59" s="12">
        <f>D59*(1+I59)/2</f>
        <v/>
      </c>
      <c r="R59" s="9">
        <f>Counties!AH522</f>
        <v/>
      </c>
      <c r="S59" s="37">
        <f>IF(Counties!AH522="","",Counties!AH522*Counties!AF522)</f>
        <v/>
      </c>
      <c r="T59" s="13">
        <f>Counties!AO522</f>
        <v/>
      </c>
      <c r="U59" s="16">
        <f>Counties!AU522</f>
        <v/>
      </c>
      <c r="V59" s="9">
        <f>Counties!AV522</f>
        <v/>
      </c>
      <c r="W59" s="10">
        <f>Counties!AY522</f>
        <v/>
      </c>
      <c r="X59" s="8">
        <f>IF(R59="","not in yet",IF(W59&lt;&gt;"",IF(W59&gt;=0.05,"Great for Flanagan",IF(W59&gt;=0.01,"Flanagan on track",IF(W59&gt;-0.01,"Toss-up",IF(W59&gt;-0.05,"Tafoya on track","Great for Tafoya"))))&amp;" (margin + turnout)",IF((R59-I59)&gt;=0.05,"Great for Flanagan",IF((R59-I59)&gt;=0.01,"Flanagan on track",IF((R59-I59)&gt;-0.01,"Toss-up",IF((R59-I59)&gt;-0.05,"Tafoya on track","Great for Tafoya"))))&amp;IF(Counties!AG522=1,""," (partial count)")))</f>
        <v/>
      </c>
      <c r="Y59" s="17">
        <f>"Break-even "&amp;IF(I59&gt;=0,"D+","R+")&amp;TEXT(ABS(I59)*100,"0.0")&amp;" ("&amp;IF(N59&gt;=0,"D +","R +")&amp;TEXT(ABS(N59),"#,##0")&amp;" net, about "&amp;TEXT(Q59,"#,##0")&amp;" Flanagan votes). Flanagan at "&amp;IF(K59&gt;=0,"D+","R+")&amp;TEXT(ABS(K59)*100,"0.0")&amp;" or better = great night; "&amp;IF(J59&gt;=0,"D+","R+")&amp;TEXT(ABS(J59)*100,"0.0")&amp;" = on track to win. Tafoya holding it to "&amp;IF(H59&gt;=0,"D+","R+")&amp;TEXT(ABS(H59)*100,"0.0")&amp;" = Tafoya on track; "&amp;IF(G59&gt;=0,"D+","R+")&amp;TEXT(ABS(G59)*100,"0.0")&amp;" or worse for Flanagan = great for Tafoya. Turnout: par is about "&amp;TEXT(D59,"#,##0")&amp;" two-party votes ("&amp;TEXT(Counties!AQ522/SUMIFS(Counties!$AQ:$AQ,Counties!$A:$A,"MN"),"0.0%")&amp;" of the state). At 95% of par the break-even moves to "&amp;IF((I59/0.95)&gt;=0,"D+","R+")&amp;TEXT(ABS((I59/0.95))*100,"0.0")&amp;"; at 105%, to "&amp;IF((I59/1.05)&gt;=0,"D+","R+")&amp;TEXT(ABS((I59/1.05))*100,"0.0")&amp;"."</f>
        <v/>
      </c>
    </row>
    <row r="60" ht="58" customHeight="1">
      <c r="A60" s="8" t="inlineStr">
        <is>
          <t>MN</t>
        </is>
      </c>
      <c r="B60" s="8" t="inlineStr">
        <is>
          <t>Anoka</t>
        </is>
      </c>
      <c r="C60" s="8" t="inlineStr">
        <is>
          <t>Mid-size/working metro</t>
        </is>
      </c>
      <c r="D60" s="12">
        <f>Counties!AT505</f>
        <v/>
      </c>
      <c r="E60" s="9">
        <f>Counties!O505</f>
        <v/>
      </c>
      <c r="F60" s="9">
        <f>Counties!R505</f>
        <v/>
      </c>
      <c r="G60" s="9">
        <f>MAX(-1,MIN(1,Counties!O505+-0.05+Dashboard!$F$12))</f>
        <v/>
      </c>
      <c r="H60" s="9">
        <f>MAX(-1,MIN(1,Counties!O505+-0.01+Dashboard!$F$12))</f>
        <v/>
      </c>
      <c r="I60" s="36">
        <f>MAX(-1,MIN(1,Counties!O505+0.0+Dashboard!$F$12))</f>
        <v/>
      </c>
      <c r="J60" s="9">
        <f>MAX(-1,MIN(1,Counties!O505+0.01+Dashboard!$F$12))</f>
        <v/>
      </c>
      <c r="K60" s="9">
        <f>MAX(-1,MIN(1,Counties!O505+0.05+Dashboard!$F$12))</f>
        <v/>
      </c>
      <c r="L60" s="37">
        <f>G60*D60</f>
        <v/>
      </c>
      <c r="M60" s="37">
        <f>H60*D60</f>
        <v/>
      </c>
      <c r="N60" s="37">
        <f>I60*D60</f>
        <v/>
      </c>
      <c r="O60" s="37">
        <f>J60*D60</f>
        <v/>
      </c>
      <c r="P60" s="37">
        <f>K60*D60</f>
        <v/>
      </c>
      <c r="Q60" s="12">
        <f>D60*(1+I60)/2</f>
        <v/>
      </c>
      <c r="R60" s="9">
        <f>Counties!AH505</f>
        <v/>
      </c>
      <c r="S60" s="37">
        <f>IF(Counties!AH505="","",Counties!AH505*Counties!AF505)</f>
        <v/>
      </c>
      <c r="T60" s="13">
        <f>Counties!AO505</f>
        <v/>
      </c>
      <c r="U60" s="16">
        <f>Counties!AU505</f>
        <v/>
      </c>
      <c r="V60" s="9">
        <f>Counties!AV505</f>
        <v/>
      </c>
      <c r="W60" s="10">
        <f>Counties!AY505</f>
        <v/>
      </c>
      <c r="X60" s="8">
        <f>IF(R60="","not in yet",IF(W60&lt;&gt;"",IF(W60&gt;=0.05,"Great for Flanagan",IF(W60&gt;=0.01,"Flanagan on track",IF(W60&gt;-0.01,"Toss-up",IF(W60&gt;-0.05,"Tafoya on track","Great for Tafoya"))))&amp;" (margin + turnout)",IF((R60-I60)&gt;=0.05,"Great for Flanagan",IF((R60-I60)&gt;=0.01,"Flanagan on track",IF((R60-I60)&gt;-0.01,"Toss-up",IF((R60-I60)&gt;-0.05,"Tafoya on track","Great for Tafoya"))))&amp;IF(Counties!AG505=1,""," (partial count)")))</f>
        <v/>
      </c>
      <c r="Y60" s="17">
        <f>"Break-even "&amp;IF(I60&gt;=0,"D+","R+")&amp;TEXT(ABS(I60)*100,"0.0")&amp;" ("&amp;IF(N60&gt;=0,"D +","R +")&amp;TEXT(ABS(N60),"#,##0")&amp;" net, about "&amp;TEXT(Q60,"#,##0")&amp;" Flanagan votes). Flanagan at "&amp;IF(K60&gt;=0,"D+","R+")&amp;TEXT(ABS(K60)*100,"0.0")&amp;" or better = great night; "&amp;IF(J60&gt;=0,"D+","R+")&amp;TEXT(ABS(J60)*100,"0.0")&amp;" = on track to win. Tafoya holding it to "&amp;IF(H60&gt;=0,"D+","R+")&amp;TEXT(ABS(H60)*100,"0.0")&amp;" = Tafoya on track; "&amp;IF(G60&gt;=0,"D+","R+")&amp;TEXT(ABS(G60)*100,"0.0")&amp;" or worse for Flanagan = great for Tafoya. Turnout: par is about "&amp;TEXT(D60,"#,##0")&amp;" two-party votes ("&amp;TEXT(Counties!AQ505/SUMIFS(Counties!$AQ:$AQ,Counties!$A:$A,"MN"),"0.0%")&amp;" of the state). At 95% of par the break-even moves to "&amp;IF((I60/0.95)&gt;=0,"D+","R+")&amp;TEXT(ABS((I60/0.95))*100,"0.0")&amp;"; at 105%, to "&amp;IF((I60/1.05)&gt;=0,"D+","R+")&amp;TEXT(ABS((I60/1.05))*100,"0.0")&amp;"."</f>
        <v/>
      </c>
    </row>
    <row r="61" ht="58" customHeight="1">
      <c r="A61" s="8" t="inlineStr">
        <is>
          <t>MN</t>
        </is>
      </c>
      <c r="B61" s="8" t="inlineStr">
        <is>
          <t>Washington</t>
        </is>
      </c>
      <c r="C61" s="8" t="inlineStr">
        <is>
          <t>College suburb/metro</t>
        </is>
      </c>
      <c r="D61" s="12">
        <f>Counties!AT585</f>
        <v/>
      </c>
      <c r="E61" s="9">
        <f>Counties!O585</f>
        <v/>
      </c>
      <c r="F61" s="9">
        <f>Counties!R585</f>
        <v/>
      </c>
      <c r="G61" s="9">
        <f>MAX(-1,MIN(1,Counties!O585+-0.05+Dashboard!$F$12))</f>
        <v/>
      </c>
      <c r="H61" s="9">
        <f>MAX(-1,MIN(1,Counties!O585+-0.01+Dashboard!$F$12))</f>
        <v/>
      </c>
      <c r="I61" s="36">
        <f>MAX(-1,MIN(1,Counties!O585+0.0+Dashboard!$F$12))</f>
        <v/>
      </c>
      <c r="J61" s="9">
        <f>MAX(-1,MIN(1,Counties!O585+0.01+Dashboard!$F$12))</f>
        <v/>
      </c>
      <c r="K61" s="9">
        <f>MAX(-1,MIN(1,Counties!O585+0.05+Dashboard!$F$12))</f>
        <v/>
      </c>
      <c r="L61" s="37">
        <f>G61*D61</f>
        <v/>
      </c>
      <c r="M61" s="37">
        <f>H61*D61</f>
        <v/>
      </c>
      <c r="N61" s="37">
        <f>I61*D61</f>
        <v/>
      </c>
      <c r="O61" s="37">
        <f>J61*D61</f>
        <v/>
      </c>
      <c r="P61" s="37">
        <f>K61*D61</f>
        <v/>
      </c>
      <c r="Q61" s="12">
        <f>D61*(1+I61)/2</f>
        <v/>
      </c>
      <c r="R61" s="9">
        <f>Counties!AH585</f>
        <v/>
      </c>
      <c r="S61" s="37">
        <f>IF(Counties!AH585="","",Counties!AH585*Counties!AF585)</f>
        <v/>
      </c>
      <c r="T61" s="13">
        <f>Counties!AO585</f>
        <v/>
      </c>
      <c r="U61" s="16">
        <f>Counties!AU585</f>
        <v/>
      </c>
      <c r="V61" s="9">
        <f>Counties!AV585</f>
        <v/>
      </c>
      <c r="W61" s="10">
        <f>Counties!AY585</f>
        <v/>
      </c>
      <c r="X61" s="8">
        <f>IF(R61="","not in yet",IF(W61&lt;&gt;"",IF(W61&gt;=0.05,"Great for Flanagan",IF(W61&gt;=0.01,"Flanagan on track",IF(W61&gt;-0.01,"Toss-up",IF(W61&gt;-0.05,"Tafoya on track","Great for Tafoya"))))&amp;" (margin + turnout)",IF((R61-I61)&gt;=0.05,"Great for Flanagan",IF((R61-I61)&gt;=0.01,"Flanagan on track",IF((R61-I61)&gt;-0.01,"Toss-up",IF((R61-I61)&gt;-0.05,"Tafoya on track","Great for Tafoya"))))&amp;IF(Counties!AG585=1,""," (partial count)")))</f>
        <v/>
      </c>
      <c r="Y61" s="17">
        <f>"Break-even "&amp;IF(I61&gt;=0,"D+","R+")&amp;TEXT(ABS(I61)*100,"0.0")&amp;" ("&amp;IF(N61&gt;=0,"D +","R +")&amp;TEXT(ABS(N61),"#,##0")&amp;" net, about "&amp;TEXT(Q61,"#,##0")&amp;" Flanagan votes). Flanagan at "&amp;IF(K61&gt;=0,"D+","R+")&amp;TEXT(ABS(K61)*100,"0.0")&amp;" or better = great night; "&amp;IF(J61&gt;=0,"D+","R+")&amp;TEXT(ABS(J61)*100,"0.0")&amp;" = on track to win. Tafoya holding it to "&amp;IF(H61&gt;=0,"D+","R+")&amp;TEXT(ABS(H61)*100,"0.0")&amp;" = Tafoya on track; "&amp;IF(G61&gt;=0,"D+","R+")&amp;TEXT(ABS(G61)*100,"0.0")&amp;" or worse for Flanagan = great for Tafoya. Turnout: par is about "&amp;TEXT(D61,"#,##0")&amp;" two-party votes ("&amp;TEXT(Counties!AQ585/SUMIFS(Counties!$AQ:$AQ,Counties!$A:$A,"MN"),"0.0%")&amp;" of the state). At 95% of par the break-even moves to "&amp;IF((I61/0.95)&gt;=0,"D+","R+")&amp;TEXT(ABS((I61/0.95))*100,"0.0")&amp;"; at 105%, to "&amp;IF((I61/1.05)&gt;=0,"D+","R+")&amp;TEXT(ABS((I61/1.05))*100,"0.0")&amp;"."</f>
        <v/>
      </c>
    </row>
    <row r="62" ht="58" customHeight="1">
      <c r="A62" s="8" t="inlineStr">
        <is>
          <t>MN</t>
        </is>
      </c>
      <c r="B62" s="8" t="inlineStr">
        <is>
          <t>St. Louis</t>
        </is>
      </c>
      <c r="C62" s="8" t="inlineStr">
        <is>
          <t>Mid-size/working metro</t>
        </is>
      </c>
      <c r="D62" s="12">
        <f>Counties!AT575</f>
        <v/>
      </c>
      <c r="E62" s="9">
        <f>Counties!O575</f>
        <v/>
      </c>
      <c r="F62" s="9">
        <f>Counties!R575</f>
        <v/>
      </c>
      <c r="G62" s="9">
        <f>MAX(-1,MIN(1,Counties!O575+-0.05+Dashboard!$F$12))</f>
        <v/>
      </c>
      <c r="H62" s="9">
        <f>MAX(-1,MIN(1,Counties!O575+-0.01+Dashboard!$F$12))</f>
        <v/>
      </c>
      <c r="I62" s="36">
        <f>MAX(-1,MIN(1,Counties!O575+0.0+Dashboard!$F$12))</f>
        <v/>
      </c>
      <c r="J62" s="9">
        <f>MAX(-1,MIN(1,Counties!O575+0.01+Dashboard!$F$12))</f>
        <v/>
      </c>
      <c r="K62" s="9">
        <f>MAX(-1,MIN(1,Counties!O575+0.05+Dashboard!$F$12))</f>
        <v/>
      </c>
      <c r="L62" s="37">
        <f>G62*D62</f>
        <v/>
      </c>
      <c r="M62" s="37">
        <f>H62*D62</f>
        <v/>
      </c>
      <c r="N62" s="37">
        <f>I62*D62</f>
        <v/>
      </c>
      <c r="O62" s="37">
        <f>J62*D62</f>
        <v/>
      </c>
      <c r="P62" s="37">
        <f>K62*D62</f>
        <v/>
      </c>
      <c r="Q62" s="12">
        <f>D62*(1+I62)/2</f>
        <v/>
      </c>
      <c r="R62" s="9">
        <f>Counties!AH575</f>
        <v/>
      </c>
      <c r="S62" s="37">
        <f>IF(Counties!AH575="","",Counties!AH575*Counties!AF575)</f>
        <v/>
      </c>
      <c r="T62" s="13">
        <f>Counties!AO575</f>
        <v/>
      </c>
      <c r="U62" s="16">
        <f>Counties!AU575</f>
        <v/>
      </c>
      <c r="V62" s="9">
        <f>Counties!AV575</f>
        <v/>
      </c>
      <c r="W62" s="10">
        <f>Counties!AY575</f>
        <v/>
      </c>
      <c r="X62" s="8">
        <f>IF(R62="","not in yet",IF(W62&lt;&gt;"",IF(W62&gt;=0.05,"Great for Flanagan",IF(W62&gt;=0.01,"Flanagan on track",IF(W62&gt;-0.01,"Toss-up",IF(W62&gt;-0.05,"Tafoya on track","Great for Tafoya"))))&amp;" (margin + turnout)",IF((R62-I62)&gt;=0.05,"Great for Flanagan",IF((R62-I62)&gt;=0.01,"Flanagan on track",IF((R62-I62)&gt;-0.01,"Toss-up",IF((R62-I62)&gt;-0.05,"Tafoya on track","Great for Tafoya"))))&amp;IF(Counties!AG575=1,""," (partial count)")))</f>
        <v/>
      </c>
      <c r="Y62" s="17">
        <f>"Break-even "&amp;IF(I62&gt;=0,"D+","R+")&amp;TEXT(ABS(I62)*100,"0.0")&amp;" ("&amp;IF(N62&gt;=0,"D +","R +")&amp;TEXT(ABS(N62),"#,##0")&amp;" net, about "&amp;TEXT(Q62,"#,##0")&amp;" Flanagan votes). Flanagan at "&amp;IF(K62&gt;=0,"D+","R+")&amp;TEXT(ABS(K62)*100,"0.0")&amp;" or better = great night; "&amp;IF(J62&gt;=0,"D+","R+")&amp;TEXT(ABS(J62)*100,"0.0")&amp;" = on track to win. Tafoya holding it to "&amp;IF(H62&gt;=0,"D+","R+")&amp;TEXT(ABS(H62)*100,"0.0")&amp;" = Tafoya on track; "&amp;IF(G62&gt;=0,"D+","R+")&amp;TEXT(ABS(G62)*100,"0.0")&amp;" or worse for Flanagan = great for Tafoya. Turnout: par is about "&amp;TEXT(D62,"#,##0")&amp;" two-party votes ("&amp;TEXT(Counties!AQ575/SUMIFS(Counties!$AQ:$AQ,Counties!$A:$A,"MN"),"0.0%")&amp;" of the state). At 95% of par the break-even moves to "&amp;IF((I62/0.95)&gt;=0,"D+","R+")&amp;TEXT(ABS((I62/0.95))*100,"0.0")&amp;"; at 105%, to "&amp;IF((I62/1.05)&gt;=0,"D+","R+")&amp;TEXT(ABS((I62/1.05))*100,"0.0")&amp;"."</f>
        <v/>
      </c>
    </row>
    <row r="63" ht="58" customHeight="1">
      <c r="A63" s="8" t="inlineStr">
        <is>
          <t>MN</t>
        </is>
      </c>
      <c r="B63" s="8" t="inlineStr">
        <is>
          <t>Olmsted</t>
        </is>
      </c>
      <c r="C63" s="8" t="inlineStr">
        <is>
          <t>College suburb/metro</t>
        </is>
      </c>
      <c r="D63" s="12">
        <f>Counties!AT558</f>
        <v/>
      </c>
      <c r="E63" s="9">
        <f>Counties!O558</f>
        <v/>
      </c>
      <c r="F63" s="9">
        <f>Counties!R558</f>
        <v/>
      </c>
      <c r="G63" s="9">
        <f>MAX(-1,MIN(1,Counties!O558+-0.05+Dashboard!$F$12))</f>
        <v/>
      </c>
      <c r="H63" s="9">
        <f>MAX(-1,MIN(1,Counties!O558+-0.01+Dashboard!$F$12))</f>
        <v/>
      </c>
      <c r="I63" s="36">
        <f>MAX(-1,MIN(1,Counties!O558+0.0+Dashboard!$F$12))</f>
        <v/>
      </c>
      <c r="J63" s="9">
        <f>MAX(-1,MIN(1,Counties!O558+0.01+Dashboard!$F$12))</f>
        <v/>
      </c>
      <c r="K63" s="9">
        <f>MAX(-1,MIN(1,Counties!O558+0.05+Dashboard!$F$12))</f>
        <v/>
      </c>
      <c r="L63" s="37">
        <f>G63*D63</f>
        <v/>
      </c>
      <c r="M63" s="37">
        <f>H63*D63</f>
        <v/>
      </c>
      <c r="N63" s="37">
        <f>I63*D63</f>
        <v/>
      </c>
      <c r="O63" s="37">
        <f>J63*D63</f>
        <v/>
      </c>
      <c r="P63" s="37">
        <f>K63*D63</f>
        <v/>
      </c>
      <c r="Q63" s="12">
        <f>D63*(1+I63)/2</f>
        <v/>
      </c>
      <c r="R63" s="9">
        <f>Counties!AH558</f>
        <v/>
      </c>
      <c r="S63" s="37">
        <f>IF(Counties!AH558="","",Counties!AH558*Counties!AF558)</f>
        <v/>
      </c>
      <c r="T63" s="13">
        <f>Counties!AO558</f>
        <v/>
      </c>
      <c r="U63" s="16">
        <f>Counties!AU558</f>
        <v/>
      </c>
      <c r="V63" s="9">
        <f>Counties!AV558</f>
        <v/>
      </c>
      <c r="W63" s="10">
        <f>Counties!AY558</f>
        <v/>
      </c>
      <c r="X63" s="8">
        <f>IF(R63="","not in yet",IF(W63&lt;&gt;"",IF(W63&gt;=0.05,"Great for Flanagan",IF(W63&gt;=0.01,"Flanagan on track",IF(W63&gt;-0.01,"Toss-up",IF(W63&gt;-0.05,"Tafoya on track","Great for Tafoya"))))&amp;" (margin + turnout)",IF((R63-I63)&gt;=0.05,"Great for Flanagan",IF((R63-I63)&gt;=0.01,"Flanagan on track",IF((R63-I63)&gt;-0.01,"Toss-up",IF((R63-I63)&gt;-0.05,"Tafoya on track","Great for Tafoya"))))&amp;IF(Counties!AG558=1,""," (partial count)")))</f>
        <v/>
      </c>
      <c r="Y63" s="17">
        <f>"Break-even "&amp;IF(I63&gt;=0,"D+","R+")&amp;TEXT(ABS(I63)*100,"0.0")&amp;" ("&amp;IF(N63&gt;=0,"D +","R +")&amp;TEXT(ABS(N63),"#,##0")&amp;" net, about "&amp;TEXT(Q63,"#,##0")&amp;" Flanagan votes). Flanagan at "&amp;IF(K63&gt;=0,"D+","R+")&amp;TEXT(ABS(K63)*100,"0.0")&amp;" or better = great night; "&amp;IF(J63&gt;=0,"D+","R+")&amp;TEXT(ABS(J63)*100,"0.0")&amp;" = on track to win. Tafoya holding it to "&amp;IF(H63&gt;=0,"D+","R+")&amp;TEXT(ABS(H63)*100,"0.0")&amp;" = Tafoya on track; "&amp;IF(G63&gt;=0,"D+","R+")&amp;TEXT(ABS(G63)*100,"0.0")&amp;" or worse for Flanagan = great for Tafoya. Turnout: par is about "&amp;TEXT(D63,"#,##0")&amp;" two-party votes ("&amp;TEXT(Counties!AQ558/SUMIFS(Counties!$AQ:$AQ,Counties!$A:$A,"MN"),"0.0%")&amp;" of the state). At 95% of par the break-even moves to "&amp;IF((I63/0.95)&gt;=0,"D+","R+")&amp;TEXT(ABS((I63/0.95))*100,"0.0")&amp;"; at 105%, to "&amp;IF((I63/1.05)&gt;=0,"D+","R+")&amp;TEXT(ABS((I63/1.05))*100,"0.0")&amp;"."</f>
        <v/>
      </c>
    </row>
    <row r="64" ht="58" customHeight="1">
      <c r="A64" s="8" t="inlineStr">
        <is>
          <t>MN</t>
        </is>
      </c>
      <c r="B64" s="8" t="inlineStr">
        <is>
          <t>Wright</t>
        </is>
      </c>
      <c r="C64" s="8" t="inlineStr">
        <is>
          <t>Mid-size/working metro</t>
        </is>
      </c>
      <c r="D64" s="12">
        <f>Counties!AT589</f>
        <v/>
      </c>
      <c r="E64" s="9">
        <f>Counties!O589</f>
        <v/>
      </c>
      <c r="F64" s="9">
        <f>Counties!R589</f>
        <v/>
      </c>
      <c r="G64" s="9">
        <f>MAX(-1,MIN(1,Counties!O589+-0.05+Dashboard!$F$12))</f>
        <v/>
      </c>
      <c r="H64" s="9">
        <f>MAX(-1,MIN(1,Counties!O589+-0.01+Dashboard!$F$12))</f>
        <v/>
      </c>
      <c r="I64" s="36">
        <f>MAX(-1,MIN(1,Counties!O589+0.0+Dashboard!$F$12))</f>
        <v/>
      </c>
      <c r="J64" s="9">
        <f>MAX(-1,MIN(1,Counties!O589+0.01+Dashboard!$F$12))</f>
        <v/>
      </c>
      <c r="K64" s="9">
        <f>MAX(-1,MIN(1,Counties!O589+0.05+Dashboard!$F$12))</f>
        <v/>
      </c>
      <c r="L64" s="37">
        <f>G64*D64</f>
        <v/>
      </c>
      <c r="M64" s="37">
        <f>H64*D64</f>
        <v/>
      </c>
      <c r="N64" s="37">
        <f>I64*D64</f>
        <v/>
      </c>
      <c r="O64" s="37">
        <f>J64*D64</f>
        <v/>
      </c>
      <c r="P64" s="37">
        <f>K64*D64</f>
        <v/>
      </c>
      <c r="Q64" s="12">
        <f>D64*(1+I64)/2</f>
        <v/>
      </c>
      <c r="R64" s="9">
        <f>Counties!AH589</f>
        <v/>
      </c>
      <c r="S64" s="37">
        <f>IF(Counties!AH589="","",Counties!AH589*Counties!AF589)</f>
        <v/>
      </c>
      <c r="T64" s="13">
        <f>Counties!AO589</f>
        <v/>
      </c>
      <c r="U64" s="16">
        <f>Counties!AU589</f>
        <v/>
      </c>
      <c r="V64" s="9">
        <f>Counties!AV589</f>
        <v/>
      </c>
      <c r="W64" s="10">
        <f>Counties!AY589</f>
        <v/>
      </c>
      <c r="X64" s="8">
        <f>IF(R64="","not in yet",IF(W64&lt;&gt;"",IF(W64&gt;=0.05,"Great for Flanagan",IF(W64&gt;=0.01,"Flanagan on track",IF(W64&gt;-0.01,"Toss-up",IF(W64&gt;-0.05,"Tafoya on track","Great for Tafoya"))))&amp;" (margin + turnout)",IF((R64-I64)&gt;=0.05,"Great for Flanagan",IF((R64-I64)&gt;=0.01,"Flanagan on track",IF((R64-I64)&gt;-0.01,"Toss-up",IF((R64-I64)&gt;-0.05,"Tafoya on track","Great for Tafoya"))))&amp;IF(Counties!AG589=1,""," (partial count)")))</f>
        <v/>
      </c>
      <c r="Y64" s="17">
        <f>"Break-even "&amp;IF(I64&gt;=0,"D+","R+")&amp;TEXT(ABS(I64)*100,"0.0")&amp;" ("&amp;IF(N64&gt;=0,"D +","R +")&amp;TEXT(ABS(N64),"#,##0")&amp;" net, about "&amp;TEXT(Q64,"#,##0")&amp;" Flanagan votes). Flanagan at "&amp;IF(K64&gt;=0,"D+","R+")&amp;TEXT(ABS(K64)*100,"0.0")&amp;" or better = great night; "&amp;IF(J64&gt;=0,"D+","R+")&amp;TEXT(ABS(J64)*100,"0.0")&amp;" = on track to win. Tafoya holding it to "&amp;IF(H64&gt;=0,"D+","R+")&amp;TEXT(ABS(H64)*100,"0.0")&amp;" = Tafoya on track; "&amp;IF(G64&gt;=0,"D+","R+")&amp;TEXT(ABS(G64)*100,"0.0")&amp;" or worse for Flanagan = great for Tafoya. Turnout: par is about "&amp;TEXT(D64,"#,##0")&amp;" two-party votes ("&amp;TEXT(Counties!AQ589/SUMIFS(Counties!$AQ:$AQ,Counties!$A:$A,"MN"),"0.0%")&amp;" of the state). At 95% of par the break-even moves to "&amp;IF((I64/0.95)&gt;=0,"D+","R+")&amp;TEXT(ABS((I64/0.95))*100,"0.0")&amp;"; at 105%, to "&amp;IF((I64/1.05)&gt;=0,"D+","R+")&amp;TEXT(ABS((I64/1.05))*100,"0.0")&amp;"."</f>
        <v/>
      </c>
    </row>
    <row r="65" ht="58" customHeight="1">
      <c r="A65" s="8" t="inlineStr">
        <is>
          <t>MN</t>
        </is>
      </c>
      <c r="B65" s="8" t="inlineStr">
        <is>
          <t>Stearns</t>
        </is>
      </c>
      <c r="C65" s="8" t="inlineStr">
        <is>
          <t>Mid-size/working metro</t>
        </is>
      </c>
      <c r="D65" s="12">
        <f>Counties!AT576</f>
        <v/>
      </c>
      <c r="E65" s="9">
        <f>Counties!O576</f>
        <v/>
      </c>
      <c r="F65" s="9">
        <f>Counties!R576</f>
        <v/>
      </c>
      <c r="G65" s="9">
        <f>MAX(-1,MIN(1,Counties!O576+-0.05+Dashboard!$F$12))</f>
        <v/>
      </c>
      <c r="H65" s="9">
        <f>MAX(-1,MIN(1,Counties!O576+-0.01+Dashboard!$F$12))</f>
        <v/>
      </c>
      <c r="I65" s="36">
        <f>MAX(-1,MIN(1,Counties!O576+0.0+Dashboard!$F$12))</f>
        <v/>
      </c>
      <c r="J65" s="9">
        <f>MAX(-1,MIN(1,Counties!O576+0.01+Dashboard!$F$12))</f>
        <v/>
      </c>
      <c r="K65" s="9">
        <f>MAX(-1,MIN(1,Counties!O576+0.05+Dashboard!$F$12))</f>
        <v/>
      </c>
      <c r="L65" s="37">
        <f>G65*D65</f>
        <v/>
      </c>
      <c r="M65" s="37">
        <f>H65*D65</f>
        <v/>
      </c>
      <c r="N65" s="37">
        <f>I65*D65</f>
        <v/>
      </c>
      <c r="O65" s="37">
        <f>J65*D65</f>
        <v/>
      </c>
      <c r="P65" s="37">
        <f>K65*D65</f>
        <v/>
      </c>
      <c r="Q65" s="12">
        <f>D65*(1+I65)/2</f>
        <v/>
      </c>
      <c r="R65" s="9">
        <f>Counties!AH576</f>
        <v/>
      </c>
      <c r="S65" s="37">
        <f>IF(Counties!AH576="","",Counties!AH576*Counties!AF576)</f>
        <v/>
      </c>
      <c r="T65" s="13">
        <f>Counties!AO576</f>
        <v/>
      </c>
      <c r="U65" s="16">
        <f>Counties!AU576</f>
        <v/>
      </c>
      <c r="V65" s="9">
        <f>Counties!AV576</f>
        <v/>
      </c>
      <c r="W65" s="10">
        <f>Counties!AY576</f>
        <v/>
      </c>
      <c r="X65" s="8">
        <f>IF(R65="","not in yet",IF(W65&lt;&gt;"",IF(W65&gt;=0.05,"Great for Flanagan",IF(W65&gt;=0.01,"Flanagan on track",IF(W65&gt;-0.01,"Toss-up",IF(W65&gt;-0.05,"Tafoya on track","Great for Tafoya"))))&amp;" (margin + turnout)",IF((R65-I65)&gt;=0.05,"Great for Flanagan",IF((R65-I65)&gt;=0.01,"Flanagan on track",IF((R65-I65)&gt;-0.01,"Toss-up",IF((R65-I65)&gt;-0.05,"Tafoya on track","Great for Tafoya"))))&amp;IF(Counties!AG576=1,""," (partial count)")))</f>
        <v/>
      </c>
      <c r="Y65" s="17">
        <f>"Break-even "&amp;IF(I65&gt;=0,"D+","R+")&amp;TEXT(ABS(I65)*100,"0.0")&amp;" ("&amp;IF(N65&gt;=0,"D +","R +")&amp;TEXT(ABS(N65),"#,##0")&amp;" net, about "&amp;TEXT(Q65,"#,##0")&amp;" Flanagan votes). Flanagan at "&amp;IF(K65&gt;=0,"D+","R+")&amp;TEXT(ABS(K65)*100,"0.0")&amp;" or better = great night; "&amp;IF(J65&gt;=0,"D+","R+")&amp;TEXT(ABS(J65)*100,"0.0")&amp;" = on track to win. Tafoya holding it to "&amp;IF(H65&gt;=0,"D+","R+")&amp;TEXT(ABS(H65)*100,"0.0")&amp;" = Tafoya on track; "&amp;IF(G65&gt;=0,"D+","R+")&amp;TEXT(ABS(G65)*100,"0.0")&amp;" or worse for Flanagan = great for Tafoya. Turnout: par is about "&amp;TEXT(D65,"#,##0")&amp;" two-party votes ("&amp;TEXT(Counties!AQ576/SUMIFS(Counties!$AQ:$AQ,Counties!$A:$A,"MN"),"0.0%")&amp;" of the state). At 95% of par the break-even moves to "&amp;IF((I65/0.95)&gt;=0,"D+","R+")&amp;TEXT(ABS((I65/0.95))*100,"0.0")&amp;"; at 105%, to "&amp;IF((I65/1.05)&gt;=0,"D+","R+")&amp;TEXT(ABS((I65/1.05))*100,"0.0")&amp;"."</f>
        <v/>
      </c>
    </row>
    <row r="66" ht="58" customHeight="1">
      <c r="A66" s="8" t="inlineStr">
        <is>
          <t>MN</t>
        </is>
      </c>
      <c r="B66" s="8" t="inlineStr">
        <is>
          <t>Sherburne</t>
        </is>
      </c>
      <c r="C66" s="8" t="inlineStr">
        <is>
          <t>Mid-size/working metro</t>
        </is>
      </c>
      <c r="D66" s="12">
        <f>Counties!AT573</f>
        <v/>
      </c>
      <c r="E66" s="9">
        <f>Counties!O573</f>
        <v/>
      </c>
      <c r="F66" s="9">
        <f>Counties!R573</f>
        <v/>
      </c>
      <c r="G66" s="9">
        <f>MAX(-1,MIN(1,Counties!O573+-0.05+Dashboard!$F$12))</f>
        <v/>
      </c>
      <c r="H66" s="9">
        <f>MAX(-1,MIN(1,Counties!O573+-0.01+Dashboard!$F$12))</f>
        <v/>
      </c>
      <c r="I66" s="36">
        <f>MAX(-1,MIN(1,Counties!O573+0.0+Dashboard!$F$12))</f>
        <v/>
      </c>
      <c r="J66" s="9">
        <f>MAX(-1,MIN(1,Counties!O573+0.01+Dashboard!$F$12))</f>
        <v/>
      </c>
      <c r="K66" s="9">
        <f>MAX(-1,MIN(1,Counties!O573+0.05+Dashboard!$F$12))</f>
        <v/>
      </c>
      <c r="L66" s="37">
        <f>G66*D66</f>
        <v/>
      </c>
      <c r="M66" s="37">
        <f>H66*D66</f>
        <v/>
      </c>
      <c r="N66" s="37">
        <f>I66*D66</f>
        <v/>
      </c>
      <c r="O66" s="37">
        <f>J66*D66</f>
        <v/>
      </c>
      <c r="P66" s="37">
        <f>K66*D66</f>
        <v/>
      </c>
      <c r="Q66" s="12">
        <f>D66*(1+I66)/2</f>
        <v/>
      </c>
      <c r="R66" s="9">
        <f>Counties!AH573</f>
        <v/>
      </c>
      <c r="S66" s="37">
        <f>IF(Counties!AH573="","",Counties!AH573*Counties!AF573)</f>
        <v/>
      </c>
      <c r="T66" s="13">
        <f>Counties!AO573</f>
        <v/>
      </c>
      <c r="U66" s="16">
        <f>Counties!AU573</f>
        <v/>
      </c>
      <c r="V66" s="9">
        <f>Counties!AV573</f>
        <v/>
      </c>
      <c r="W66" s="10">
        <f>Counties!AY573</f>
        <v/>
      </c>
      <c r="X66" s="8">
        <f>IF(R66="","not in yet",IF(W66&lt;&gt;"",IF(W66&gt;=0.05,"Great for Flanagan",IF(W66&gt;=0.01,"Flanagan on track",IF(W66&gt;-0.01,"Toss-up",IF(W66&gt;-0.05,"Tafoya on track","Great for Tafoya"))))&amp;" (margin + turnout)",IF((R66-I66)&gt;=0.05,"Great for Flanagan",IF((R66-I66)&gt;=0.01,"Flanagan on track",IF((R66-I66)&gt;-0.01,"Toss-up",IF((R66-I66)&gt;-0.05,"Tafoya on track","Great for Tafoya"))))&amp;IF(Counties!AG573=1,""," (partial count)")))</f>
        <v/>
      </c>
      <c r="Y66" s="17">
        <f>"Break-even "&amp;IF(I66&gt;=0,"D+","R+")&amp;TEXT(ABS(I66)*100,"0.0")&amp;" ("&amp;IF(N66&gt;=0,"D +","R +")&amp;TEXT(ABS(N66),"#,##0")&amp;" net, about "&amp;TEXT(Q66,"#,##0")&amp;" Flanagan votes). Flanagan at "&amp;IF(K66&gt;=0,"D+","R+")&amp;TEXT(ABS(K66)*100,"0.0")&amp;" or better = great night; "&amp;IF(J66&gt;=0,"D+","R+")&amp;TEXT(ABS(J66)*100,"0.0")&amp;" = on track to win. Tafoya holding it to "&amp;IF(H66&gt;=0,"D+","R+")&amp;TEXT(ABS(H66)*100,"0.0")&amp;" = Tafoya on track; "&amp;IF(G66&gt;=0,"D+","R+")&amp;TEXT(ABS(G66)*100,"0.0")&amp;" or worse for Flanagan = great for Tafoya. Turnout: par is about "&amp;TEXT(D66,"#,##0")&amp;" two-party votes ("&amp;TEXT(Counties!AQ573/SUMIFS(Counties!$AQ:$AQ,Counties!$A:$A,"MN"),"0.0%")&amp;" of the state). At 95% of par the break-even moves to "&amp;IF((I66/0.95)&gt;=0,"D+","R+")&amp;TEXT(ABS((I66/0.95))*100,"0.0")&amp;"; at 105%, to "&amp;IF((I66/1.05)&gt;=0,"D+","R+")&amp;TEXT(ABS((I66/1.05))*100,"0.0")&amp;"."</f>
        <v/>
      </c>
    </row>
    <row r="67">
      <c r="A67" s="22" t="inlineStr">
        <is>
          <t>Mississippi: Scott Colom vs Cindy Hyde-Smith · 2024 statewide R+23.1 (R+21.8 with 2022's turnout pattern)</t>
        </is>
      </c>
      <c r="B67" s="22" t="n"/>
      <c r="C67" s="22" t="n"/>
      <c r="D67" s="22" t="n"/>
      <c r="E67" s="22" t="n"/>
      <c r="F67" s="22" t="n"/>
      <c r="G67" s="22" t="n"/>
      <c r="H67" s="22" t="n"/>
      <c r="I67" s="22" t="n"/>
      <c r="J67" s="22" t="n"/>
      <c r="K67" s="22" t="n"/>
      <c r="L67" s="22" t="n"/>
      <c r="M67" s="22" t="n"/>
      <c r="N67" s="22" t="n"/>
      <c r="O67" s="22" t="n"/>
      <c r="P67" s="22" t="n"/>
      <c r="Q67" s="22" t="n"/>
      <c r="R67" s="22" t="n"/>
      <c r="S67" s="22" t="n"/>
      <c r="T67" s="22" t="n"/>
      <c r="U67" s="22" t="n"/>
      <c r="V67" s="22" t="n"/>
      <c r="W67" s="22" t="n"/>
      <c r="X67" s="22" t="n"/>
      <c r="Y67" s="22" t="n"/>
    </row>
    <row r="68" ht="58" customHeight="1">
      <c r="A68" s="8" t="inlineStr">
        <is>
          <t>MS</t>
        </is>
      </c>
      <c r="B68" s="8" t="inlineStr">
        <is>
          <t>Hinds</t>
        </is>
      </c>
      <c r="C68" s="8" t="inlineStr">
        <is>
          <t>Black Belt</t>
        </is>
      </c>
      <c r="D68" s="12">
        <f>Counties!AT615</f>
        <v/>
      </c>
      <c r="E68" s="9">
        <f>Counties!O615</f>
        <v/>
      </c>
      <c r="F68" s="9">
        <f>Counties!R615</f>
        <v/>
      </c>
      <c r="G68" s="9">
        <f>MAX(-1,MIN(1,Counties!O615+-0.05+Dashboard!$F$13))</f>
        <v/>
      </c>
      <c r="H68" s="9">
        <f>MAX(-1,MIN(1,Counties!O615+-0.01+Dashboard!$F$13))</f>
        <v/>
      </c>
      <c r="I68" s="36">
        <f>MAX(-1,MIN(1,Counties!O615+0.0+Dashboard!$F$13))</f>
        <v/>
      </c>
      <c r="J68" s="9">
        <f>MAX(-1,MIN(1,Counties!O615+0.01+Dashboard!$F$13))</f>
        <v/>
      </c>
      <c r="K68" s="9">
        <f>MAX(-1,MIN(1,Counties!O615+0.05+Dashboard!$F$13))</f>
        <v/>
      </c>
      <c r="L68" s="37">
        <f>G68*D68</f>
        <v/>
      </c>
      <c r="M68" s="37">
        <f>H68*D68</f>
        <v/>
      </c>
      <c r="N68" s="37">
        <f>I68*D68</f>
        <v/>
      </c>
      <c r="O68" s="37">
        <f>J68*D68</f>
        <v/>
      </c>
      <c r="P68" s="37">
        <f>K68*D68</f>
        <v/>
      </c>
      <c r="Q68" s="12">
        <f>D68*(1+I68)/2</f>
        <v/>
      </c>
      <c r="R68" s="9">
        <f>Counties!AH615</f>
        <v/>
      </c>
      <c r="S68" s="37">
        <f>IF(Counties!AH615="","",Counties!AH615*Counties!AF615)</f>
        <v/>
      </c>
      <c r="T68" s="13">
        <f>Counties!AO615</f>
        <v/>
      </c>
      <c r="U68" s="16">
        <f>Counties!AU615</f>
        <v/>
      </c>
      <c r="V68" s="9">
        <f>Counties!AV615</f>
        <v/>
      </c>
      <c r="W68" s="10">
        <f>Counties!AY615</f>
        <v/>
      </c>
      <c r="X68" s="8">
        <f>IF(R68="","not in yet",IF(W68&lt;&gt;"",IF(W68&gt;=0.05,"Great for Colom",IF(W68&gt;=0.01,"Colom on track",IF(W68&gt;-0.01,"Toss-up",IF(W68&gt;-0.05,"Hyde-Smith on track","Great for Hyde-Smith"))))&amp;" (margin + turnout)",IF((R68-I68)&gt;=0.05,"Great for Colom",IF((R68-I68)&gt;=0.01,"Colom on track",IF((R68-I68)&gt;-0.01,"Toss-up",IF((R68-I68)&gt;-0.05,"Hyde-Smith on track","Great for Hyde-Smith"))))&amp;IF(Counties!AG615=1,""," (partial count)")))</f>
        <v/>
      </c>
      <c r="Y68" s="17">
        <f>"Break-even "&amp;IF(I68&gt;=0,"D+","R+")&amp;TEXT(ABS(I68)*100,"0.0")&amp;" ("&amp;IF(N68&gt;=0,"D +","R +")&amp;TEXT(ABS(N68),"#,##0")&amp;" net, about "&amp;TEXT(Q68,"#,##0")&amp;" Colom votes). Colom at "&amp;IF(K68&gt;=0,"D+","R+")&amp;TEXT(ABS(K68)*100,"0.0")&amp;" or better = great night; "&amp;IF(J68&gt;=0,"D+","R+")&amp;TEXT(ABS(J68)*100,"0.0")&amp;" = on track to win. Hyde-Smith holding it to "&amp;IF(H68&gt;=0,"D+","R+")&amp;TEXT(ABS(H68)*100,"0.0")&amp;" = Hyde-Smith on track; "&amp;IF(G68&gt;=0,"D+","R+")&amp;TEXT(ABS(G68)*100,"0.0")&amp;" or worse for Colom = great for Hyde-Smith. Turnout: par is about "&amp;TEXT(D68,"#,##0")&amp;" two-party votes ("&amp;TEXT(Counties!AQ615/SUMIFS(Counties!$AQ:$AQ,Counties!$A:$A,"MS"),"0.0%")&amp;" of the state). At 95% of par the break-even moves to "&amp;IF((I68/0.95)&gt;=0,"D+","R+")&amp;TEXT(ABS((I68/0.95))*100,"0.0")&amp;"; at 105%, to "&amp;IF((I68/1.05)&gt;=0,"D+","R+")&amp;TEXT(ABS((I68/1.05))*100,"0.0")&amp;"."</f>
        <v/>
      </c>
    </row>
    <row r="69" ht="58" customHeight="1">
      <c r="A69" s="8" t="inlineStr">
        <is>
          <t>MS</t>
        </is>
      </c>
      <c r="B69" s="8" t="inlineStr">
        <is>
          <t>DeSoto</t>
        </is>
      </c>
      <c r="C69" s="8" t="inlineStr">
        <is>
          <t>Mid-size/working metro</t>
        </is>
      </c>
      <c r="D69" s="12">
        <f>Counties!AT607</f>
        <v/>
      </c>
      <c r="E69" s="9">
        <f>Counties!O607</f>
        <v/>
      </c>
      <c r="F69" s="9">
        <f>Counties!R607</f>
        <v/>
      </c>
      <c r="G69" s="9">
        <f>MAX(-1,MIN(1,Counties!O607+-0.05+Dashboard!$F$13))</f>
        <v/>
      </c>
      <c r="H69" s="9">
        <f>MAX(-1,MIN(1,Counties!O607+-0.01+Dashboard!$F$13))</f>
        <v/>
      </c>
      <c r="I69" s="36">
        <f>MAX(-1,MIN(1,Counties!O607+0.0+Dashboard!$F$13))</f>
        <v/>
      </c>
      <c r="J69" s="9">
        <f>MAX(-1,MIN(1,Counties!O607+0.01+Dashboard!$F$13))</f>
        <v/>
      </c>
      <c r="K69" s="9">
        <f>MAX(-1,MIN(1,Counties!O607+0.05+Dashboard!$F$13))</f>
        <v/>
      </c>
      <c r="L69" s="37">
        <f>G69*D69</f>
        <v/>
      </c>
      <c r="M69" s="37">
        <f>H69*D69</f>
        <v/>
      </c>
      <c r="N69" s="37">
        <f>I69*D69</f>
        <v/>
      </c>
      <c r="O69" s="37">
        <f>J69*D69</f>
        <v/>
      </c>
      <c r="P69" s="37">
        <f>K69*D69</f>
        <v/>
      </c>
      <c r="Q69" s="12">
        <f>D69*(1+I69)/2</f>
        <v/>
      </c>
      <c r="R69" s="9">
        <f>Counties!AH607</f>
        <v/>
      </c>
      <c r="S69" s="37">
        <f>IF(Counties!AH607="","",Counties!AH607*Counties!AF607)</f>
        <v/>
      </c>
      <c r="T69" s="13">
        <f>Counties!AO607</f>
        <v/>
      </c>
      <c r="U69" s="16">
        <f>Counties!AU607</f>
        <v/>
      </c>
      <c r="V69" s="9">
        <f>Counties!AV607</f>
        <v/>
      </c>
      <c r="W69" s="10">
        <f>Counties!AY607</f>
        <v/>
      </c>
      <c r="X69" s="8">
        <f>IF(R69="","not in yet",IF(W69&lt;&gt;"",IF(W69&gt;=0.05,"Great for Colom",IF(W69&gt;=0.01,"Colom on track",IF(W69&gt;-0.01,"Toss-up",IF(W69&gt;-0.05,"Hyde-Smith on track","Great for Hyde-Smith"))))&amp;" (margin + turnout)",IF((R69-I69)&gt;=0.05,"Great for Colom",IF((R69-I69)&gt;=0.01,"Colom on track",IF((R69-I69)&gt;-0.01,"Toss-up",IF((R69-I69)&gt;-0.05,"Hyde-Smith on track","Great for Hyde-Smith"))))&amp;IF(Counties!AG607=1,""," (partial count)")))</f>
        <v/>
      </c>
      <c r="Y69" s="17">
        <f>"Break-even "&amp;IF(I69&gt;=0,"D+","R+")&amp;TEXT(ABS(I69)*100,"0.0")&amp;" ("&amp;IF(N69&gt;=0,"D +","R +")&amp;TEXT(ABS(N69),"#,##0")&amp;" net, about "&amp;TEXT(Q69,"#,##0")&amp;" Colom votes). Colom at "&amp;IF(K69&gt;=0,"D+","R+")&amp;TEXT(ABS(K69)*100,"0.0")&amp;" or better = great night; "&amp;IF(J69&gt;=0,"D+","R+")&amp;TEXT(ABS(J69)*100,"0.0")&amp;" = on track to win. Hyde-Smith holding it to "&amp;IF(H69&gt;=0,"D+","R+")&amp;TEXT(ABS(H69)*100,"0.0")&amp;" = Hyde-Smith on track; "&amp;IF(G69&gt;=0,"D+","R+")&amp;TEXT(ABS(G69)*100,"0.0")&amp;" or worse for Colom = great for Hyde-Smith. Turnout: par is about "&amp;TEXT(D69,"#,##0")&amp;" two-party votes ("&amp;TEXT(Counties!AQ607/SUMIFS(Counties!$AQ:$AQ,Counties!$A:$A,"MS"),"0.0%")&amp;" of the state). At 95% of par the break-even moves to "&amp;IF((I69/0.95)&gt;=0,"D+","R+")&amp;TEXT(ABS((I69/0.95))*100,"0.0")&amp;"; at 105%, to "&amp;IF((I69/1.05)&gt;=0,"D+","R+")&amp;TEXT(ABS((I69/1.05))*100,"0.0")&amp;"."</f>
        <v/>
      </c>
    </row>
    <row r="70" ht="58" customHeight="1">
      <c r="A70" s="8" t="inlineStr">
        <is>
          <t>MS</t>
        </is>
      </c>
      <c r="B70" s="8" t="inlineStr">
        <is>
          <t>Harrison</t>
        </is>
      </c>
      <c r="C70" s="8" t="inlineStr">
        <is>
          <t>Mid-size/working metro</t>
        </is>
      </c>
      <c r="D70" s="12">
        <f>Counties!AT614</f>
        <v/>
      </c>
      <c r="E70" s="9">
        <f>Counties!O614</f>
        <v/>
      </c>
      <c r="F70" s="9">
        <f>Counties!R614</f>
        <v/>
      </c>
      <c r="G70" s="9">
        <f>MAX(-1,MIN(1,Counties!O614+-0.05+Dashboard!$F$13))</f>
        <v/>
      </c>
      <c r="H70" s="9">
        <f>MAX(-1,MIN(1,Counties!O614+-0.01+Dashboard!$F$13))</f>
        <v/>
      </c>
      <c r="I70" s="36">
        <f>MAX(-1,MIN(1,Counties!O614+0.0+Dashboard!$F$13))</f>
        <v/>
      </c>
      <c r="J70" s="9">
        <f>MAX(-1,MIN(1,Counties!O614+0.01+Dashboard!$F$13))</f>
        <v/>
      </c>
      <c r="K70" s="9">
        <f>MAX(-1,MIN(1,Counties!O614+0.05+Dashboard!$F$13))</f>
        <v/>
      </c>
      <c r="L70" s="37">
        <f>G70*D70</f>
        <v/>
      </c>
      <c r="M70" s="37">
        <f>H70*D70</f>
        <v/>
      </c>
      <c r="N70" s="37">
        <f>I70*D70</f>
        <v/>
      </c>
      <c r="O70" s="37">
        <f>J70*D70</f>
        <v/>
      </c>
      <c r="P70" s="37">
        <f>K70*D70</f>
        <v/>
      </c>
      <c r="Q70" s="12">
        <f>D70*(1+I70)/2</f>
        <v/>
      </c>
      <c r="R70" s="9">
        <f>Counties!AH614</f>
        <v/>
      </c>
      <c r="S70" s="37">
        <f>IF(Counties!AH614="","",Counties!AH614*Counties!AF614)</f>
        <v/>
      </c>
      <c r="T70" s="13">
        <f>Counties!AO614</f>
        <v/>
      </c>
      <c r="U70" s="16">
        <f>Counties!AU614</f>
        <v/>
      </c>
      <c r="V70" s="9">
        <f>Counties!AV614</f>
        <v/>
      </c>
      <c r="W70" s="10">
        <f>Counties!AY614</f>
        <v/>
      </c>
      <c r="X70" s="8">
        <f>IF(R70="","not in yet",IF(W70&lt;&gt;"",IF(W70&gt;=0.05,"Great for Colom",IF(W70&gt;=0.01,"Colom on track",IF(W70&gt;-0.01,"Toss-up",IF(W70&gt;-0.05,"Hyde-Smith on track","Great for Hyde-Smith"))))&amp;" (margin + turnout)",IF((R70-I70)&gt;=0.05,"Great for Colom",IF((R70-I70)&gt;=0.01,"Colom on track",IF((R70-I70)&gt;-0.01,"Toss-up",IF((R70-I70)&gt;-0.05,"Hyde-Smith on track","Great for Hyde-Smith"))))&amp;IF(Counties!AG614=1,""," (partial count)")))</f>
        <v/>
      </c>
      <c r="Y70" s="17">
        <f>"Break-even "&amp;IF(I70&gt;=0,"D+","R+")&amp;TEXT(ABS(I70)*100,"0.0")&amp;" ("&amp;IF(N70&gt;=0,"D +","R +")&amp;TEXT(ABS(N70),"#,##0")&amp;" net, about "&amp;TEXT(Q70,"#,##0")&amp;" Colom votes). Colom at "&amp;IF(K70&gt;=0,"D+","R+")&amp;TEXT(ABS(K70)*100,"0.0")&amp;" or better = great night; "&amp;IF(J70&gt;=0,"D+","R+")&amp;TEXT(ABS(J70)*100,"0.0")&amp;" = on track to win. Hyde-Smith holding it to "&amp;IF(H70&gt;=0,"D+","R+")&amp;TEXT(ABS(H70)*100,"0.0")&amp;" = Hyde-Smith on track; "&amp;IF(G70&gt;=0,"D+","R+")&amp;TEXT(ABS(G70)*100,"0.0")&amp;" or worse for Colom = great for Hyde-Smith. Turnout: par is about "&amp;TEXT(D70,"#,##0")&amp;" two-party votes ("&amp;TEXT(Counties!AQ614/SUMIFS(Counties!$AQ:$AQ,Counties!$A:$A,"MS"),"0.0%")&amp;" of the state). At 95% of par the break-even moves to "&amp;IF((I70/0.95)&gt;=0,"D+","R+")&amp;TEXT(ABS((I70/0.95))*100,"0.0")&amp;"; at 105%, to "&amp;IF((I70/1.05)&gt;=0,"D+","R+")&amp;TEXT(ABS((I70/1.05))*100,"0.0")&amp;"."</f>
        <v/>
      </c>
    </row>
    <row r="71" ht="58" customHeight="1">
      <c r="A71" s="8" t="inlineStr">
        <is>
          <t>MS</t>
        </is>
      </c>
      <c r="B71" s="8" t="inlineStr">
        <is>
          <t>Rankin</t>
        </is>
      </c>
      <c r="C71" s="8" t="inlineStr">
        <is>
          <t>Mid-size/working metro</t>
        </is>
      </c>
      <c r="D71" s="12">
        <f>Counties!AT651</f>
        <v/>
      </c>
      <c r="E71" s="9">
        <f>Counties!O651</f>
        <v/>
      </c>
      <c r="F71" s="9">
        <f>Counties!R651</f>
        <v/>
      </c>
      <c r="G71" s="9">
        <f>MAX(-1,MIN(1,Counties!O651+-0.05+Dashboard!$F$13))</f>
        <v/>
      </c>
      <c r="H71" s="9">
        <f>MAX(-1,MIN(1,Counties!O651+-0.01+Dashboard!$F$13))</f>
        <v/>
      </c>
      <c r="I71" s="36">
        <f>MAX(-1,MIN(1,Counties!O651+0.0+Dashboard!$F$13))</f>
        <v/>
      </c>
      <c r="J71" s="9">
        <f>MAX(-1,MIN(1,Counties!O651+0.01+Dashboard!$F$13))</f>
        <v/>
      </c>
      <c r="K71" s="9">
        <f>MAX(-1,MIN(1,Counties!O651+0.05+Dashboard!$F$13))</f>
        <v/>
      </c>
      <c r="L71" s="37">
        <f>G71*D71</f>
        <v/>
      </c>
      <c r="M71" s="37">
        <f>H71*D71</f>
        <v/>
      </c>
      <c r="N71" s="37">
        <f>I71*D71</f>
        <v/>
      </c>
      <c r="O71" s="37">
        <f>J71*D71</f>
        <v/>
      </c>
      <c r="P71" s="37">
        <f>K71*D71</f>
        <v/>
      </c>
      <c r="Q71" s="12">
        <f>D71*(1+I71)/2</f>
        <v/>
      </c>
      <c r="R71" s="9">
        <f>Counties!AH651</f>
        <v/>
      </c>
      <c r="S71" s="37">
        <f>IF(Counties!AH651="","",Counties!AH651*Counties!AF651)</f>
        <v/>
      </c>
      <c r="T71" s="13">
        <f>Counties!AO651</f>
        <v/>
      </c>
      <c r="U71" s="16">
        <f>Counties!AU651</f>
        <v/>
      </c>
      <c r="V71" s="9">
        <f>Counties!AV651</f>
        <v/>
      </c>
      <c r="W71" s="10">
        <f>Counties!AY651</f>
        <v/>
      </c>
      <c r="X71" s="8">
        <f>IF(R71="","not in yet",IF(W71&lt;&gt;"",IF(W71&gt;=0.05,"Great for Colom",IF(W71&gt;=0.01,"Colom on track",IF(W71&gt;-0.01,"Toss-up",IF(W71&gt;-0.05,"Hyde-Smith on track","Great for Hyde-Smith"))))&amp;" (margin + turnout)",IF((R71-I71)&gt;=0.05,"Great for Colom",IF((R71-I71)&gt;=0.01,"Colom on track",IF((R71-I71)&gt;-0.01,"Toss-up",IF((R71-I71)&gt;-0.05,"Hyde-Smith on track","Great for Hyde-Smith"))))&amp;IF(Counties!AG651=1,""," (partial count)")))</f>
        <v/>
      </c>
      <c r="Y71" s="17">
        <f>"Break-even "&amp;IF(I71&gt;=0,"D+","R+")&amp;TEXT(ABS(I71)*100,"0.0")&amp;" ("&amp;IF(N71&gt;=0,"D +","R +")&amp;TEXT(ABS(N71),"#,##0")&amp;" net, about "&amp;TEXT(Q71,"#,##0")&amp;" Colom votes). Colom at "&amp;IF(K71&gt;=0,"D+","R+")&amp;TEXT(ABS(K71)*100,"0.0")&amp;" or better = great night; "&amp;IF(J71&gt;=0,"D+","R+")&amp;TEXT(ABS(J71)*100,"0.0")&amp;" = on track to win. Hyde-Smith holding it to "&amp;IF(H71&gt;=0,"D+","R+")&amp;TEXT(ABS(H71)*100,"0.0")&amp;" = Hyde-Smith on track; "&amp;IF(G71&gt;=0,"D+","R+")&amp;TEXT(ABS(G71)*100,"0.0")&amp;" or worse for Colom = great for Hyde-Smith. Turnout: par is about "&amp;TEXT(D71,"#,##0")&amp;" two-party votes ("&amp;TEXT(Counties!AQ651/SUMIFS(Counties!$AQ:$AQ,Counties!$A:$A,"MS"),"0.0%")&amp;" of the state). At 95% of par the break-even moves to "&amp;IF((I71/0.95)&gt;=0,"D+","R+")&amp;TEXT(ABS((I71/0.95))*100,"0.0")&amp;"; at 105%, to "&amp;IF((I71/1.05)&gt;=0,"D+","R+")&amp;TEXT(ABS((I71/1.05))*100,"0.0")&amp;"."</f>
        <v/>
      </c>
    </row>
    <row r="72" ht="58" customHeight="1">
      <c r="A72" s="8" t="inlineStr">
        <is>
          <t>MS</t>
        </is>
      </c>
      <c r="B72" s="8" t="inlineStr">
        <is>
          <t>Madison</t>
        </is>
      </c>
      <c r="C72" s="8" t="inlineStr">
        <is>
          <t>College suburb/metro</t>
        </is>
      </c>
      <c r="D72" s="12">
        <f>Counties!AT635</f>
        <v/>
      </c>
      <c r="E72" s="9">
        <f>Counties!O635</f>
        <v/>
      </c>
      <c r="F72" s="9">
        <f>Counties!R635</f>
        <v/>
      </c>
      <c r="G72" s="9">
        <f>MAX(-1,MIN(1,Counties!O635+-0.05+Dashboard!$F$13))</f>
        <v/>
      </c>
      <c r="H72" s="9">
        <f>MAX(-1,MIN(1,Counties!O635+-0.01+Dashboard!$F$13))</f>
        <v/>
      </c>
      <c r="I72" s="36">
        <f>MAX(-1,MIN(1,Counties!O635+0.0+Dashboard!$F$13))</f>
        <v/>
      </c>
      <c r="J72" s="9">
        <f>MAX(-1,MIN(1,Counties!O635+0.01+Dashboard!$F$13))</f>
        <v/>
      </c>
      <c r="K72" s="9">
        <f>MAX(-1,MIN(1,Counties!O635+0.05+Dashboard!$F$13))</f>
        <v/>
      </c>
      <c r="L72" s="37">
        <f>G72*D72</f>
        <v/>
      </c>
      <c r="M72" s="37">
        <f>H72*D72</f>
        <v/>
      </c>
      <c r="N72" s="37">
        <f>I72*D72</f>
        <v/>
      </c>
      <c r="O72" s="37">
        <f>J72*D72</f>
        <v/>
      </c>
      <c r="P72" s="37">
        <f>K72*D72</f>
        <v/>
      </c>
      <c r="Q72" s="12">
        <f>D72*(1+I72)/2</f>
        <v/>
      </c>
      <c r="R72" s="9">
        <f>Counties!AH635</f>
        <v/>
      </c>
      <c r="S72" s="37">
        <f>IF(Counties!AH635="","",Counties!AH635*Counties!AF635)</f>
        <v/>
      </c>
      <c r="T72" s="13">
        <f>Counties!AO635</f>
        <v/>
      </c>
      <c r="U72" s="16">
        <f>Counties!AU635</f>
        <v/>
      </c>
      <c r="V72" s="9">
        <f>Counties!AV635</f>
        <v/>
      </c>
      <c r="W72" s="10">
        <f>Counties!AY635</f>
        <v/>
      </c>
      <c r="X72" s="8">
        <f>IF(R72="","not in yet",IF(W72&lt;&gt;"",IF(W72&gt;=0.05,"Great for Colom",IF(W72&gt;=0.01,"Colom on track",IF(W72&gt;-0.01,"Toss-up",IF(W72&gt;-0.05,"Hyde-Smith on track","Great for Hyde-Smith"))))&amp;" (margin + turnout)",IF((R72-I72)&gt;=0.05,"Great for Colom",IF((R72-I72)&gt;=0.01,"Colom on track",IF((R72-I72)&gt;-0.01,"Toss-up",IF((R72-I72)&gt;-0.05,"Hyde-Smith on track","Great for Hyde-Smith"))))&amp;IF(Counties!AG635=1,""," (partial count)")))</f>
        <v/>
      </c>
      <c r="Y72" s="17">
        <f>"Break-even "&amp;IF(I72&gt;=0,"D+","R+")&amp;TEXT(ABS(I72)*100,"0.0")&amp;" ("&amp;IF(N72&gt;=0,"D +","R +")&amp;TEXT(ABS(N72),"#,##0")&amp;" net, about "&amp;TEXT(Q72,"#,##0")&amp;" Colom votes). Colom at "&amp;IF(K72&gt;=0,"D+","R+")&amp;TEXT(ABS(K72)*100,"0.0")&amp;" or better = great night; "&amp;IF(J72&gt;=0,"D+","R+")&amp;TEXT(ABS(J72)*100,"0.0")&amp;" = on track to win. Hyde-Smith holding it to "&amp;IF(H72&gt;=0,"D+","R+")&amp;TEXT(ABS(H72)*100,"0.0")&amp;" = Hyde-Smith on track; "&amp;IF(G72&gt;=0,"D+","R+")&amp;TEXT(ABS(G72)*100,"0.0")&amp;" or worse for Colom = great for Hyde-Smith. Turnout: par is about "&amp;TEXT(D72,"#,##0")&amp;" two-party votes ("&amp;TEXT(Counties!AQ635/SUMIFS(Counties!$AQ:$AQ,Counties!$A:$A,"MS"),"0.0%")&amp;" of the state). At 95% of par the break-even moves to "&amp;IF((I72/0.95)&gt;=0,"D+","R+")&amp;TEXT(ABS((I72/0.95))*100,"0.0")&amp;"; at 105%, to "&amp;IF((I72/1.05)&gt;=0,"D+","R+")&amp;TEXT(ABS((I72/1.05))*100,"0.0")&amp;"."</f>
        <v/>
      </c>
    </row>
    <row r="73" ht="58" customHeight="1">
      <c r="A73" s="8" t="inlineStr">
        <is>
          <t>MS</t>
        </is>
      </c>
      <c r="B73" s="8" t="inlineStr">
        <is>
          <t>Lee</t>
        </is>
      </c>
      <c r="C73" s="8" t="inlineStr">
        <is>
          <t>Small town &amp; rural</t>
        </is>
      </c>
      <c r="D73" s="12">
        <f>Counties!AT631</f>
        <v/>
      </c>
      <c r="E73" s="9">
        <f>Counties!O631</f>
        <v/>
      </c>
      <c r="F73" s="9">
        <f>Counties!R631</f>
        <v/>
      </c>
      <c r="G73" s="9">
        <f>MAX(-1,MIN(1,Counties!O631+-0.05+Dashboard!$F$13))</f>
        <v/>
      </c>
      <c r="H73" s="9">
        <f>MAX(-1,MIN(1,Counties!O631+-0.01+Dashboard!$F$13))</f>
        <v/>
      </c>
      <c r="I73" s="36">
        <f>MAX(-1,MIN(1,Counties!O631+0.0+Dashboard!$F$13))</f>
        <v/>
      </c>
      <c r="J73" s="9">
        <f>MAX(-1,MIN(1,Counties!O631+0.01+Dashboard!$F$13))</f>
        <v/>
      </c>
      <c r="K73" s="9">
        <f>MAX(-1,MIN(1,Counties!O631+0.05+Dashboard!$F$13))</f>
        <v/>
      </c>
      <c r="L73" s="37">
        <f>G73*D73</f>
        <v/>
      </c>
      <c r="M73" s="37">
        <f>H73*D73</f>
        <v/>
      </c>
      <c r="N73" s="37">
        <f>I73*D73</f>
        <v/>
      </c>
      <c r="O73" s="37">
        <f>J73*D73</f>
        <v/>
      </c>
      <c r="P73" s="37">
        <f>K73*D73</f>
        <v/>
      </c>
      <c r="Q73" s="12">
        <f>D73*(1+I73)/2</f>
        <v/>
      </c>
      <c r="R73" s="9">
        <f>Counties!AH631</f>
        <v/>
      </c>
      <c r="S73" s="37">
        <f>IF(Counties!AH631="","",Counties!AH631*Counties!AF631)</f>
        <v/>
      </c>
      <c r="T73" s="13">
        <f>Counties!AO631</f>
        <v/>
      </c>
      <c r="U73" s="16">
        <f>Counties!AU631</f>
        <v/>
      </c>
      <c r="V73" s="9">
        <f>Counties!AV631</f>
        <v/>
      </c>
      <c r="W73" s="10">
        <f>Counties!AY631</f>
        <v/>
      </c>
      <c r="X73" s="8">
        <f>IF(R73="","not in yet",IF(W73&lt;&gt;"",IF(W73&gt;=0.05,"Great for Colom",IF(W73&gt;=0.01,"Colom on track",IF(W73&gt;-0.01,"Toss-up",IF(W73&gt;-0.05,"Hyde-Smith on track","Great for Hyde-Smith"))))&amp;" (margin + turnout)",IF((R73-I73)&gt;=0.05,"Great for Colom",IF((R73-I73)&gt;=0.01,"Colom on track",IF((R73-I73)&gt;-0.01,"Toss-up",IF((R73-I73)&gt;-0.05,"Hyde-Smith on track","Great for Hyde-Smith"))))&amp;IF(Counties!AG631=1,""," (partial count)")))</f>
        <v/>
      </c>
      <c r="Y73" s="17">
        <f>"Break-even "&amp;IF(I73&gt;=0,"D+","R+")&amp;TEXT(ABS(I73)*100,"0.0")&amp;" ("&amp;IF(N73&gt;=0,"D +","R +")&amp;TEXT(ABS(N73),"#,##0")&amp;" net, about "&amp;TEXT(Q73,"#,##0")&amp;" Colom votes). Colom at "&amp;IF(K73&gt;=0,"D+","R+")&amp;TEXT(ABS(K73)*100,"0.0")&amp;" or better = great night; "&amp;IF(J73&gt;=0,"D+","R+")&amp;TEXT(ABS(J73)*100,"0.0")&amp;" = on track to win. Hyde-Smith holding it to "&amp;IF(H73&gt;=0,"D+","R+")&amp;TEXT(ABS(H73)*100,"0.0")&amp;" = Hyde-Smith on track; "&amp;IF(G73&gt;=0,"D+","R+")&amp;TEXT(ABS(G73)*100,"0.0")&amp;" or worse for Colom = great for Hyde-Smith. Turnout: par is about "&amp;TEXT(D73,"#,##0")&amp;" two-party votes ("&amp;TEXT(Counties!AQ631/SUMIFS(Counties!$AQ:$AQ,Counties!$A:$A,"MS"),"0.0%")&amp;" of the state). At 95% of par the break-even moves to "&amp;IF((I73/0.95)&gt;=0,"D+","R+")&amp;TEXT(ABS((I73/0.95))*100,"0.0")&amp;"; at 105%, to "&amp;IF((I73/1.05)&gt;=0,"D+","R+")&amp;TEXT(ABS((I73/1.05))*100,"0.0")&amp;"."</f>
        <v/>
      </c>
    </row>
    <row r="74">
      <c r="A74" s="22" t="inlineStr">
        <is>
          <t>North Carolina: Roy Cooper vs Michael Whatley · 2024 statewide R+3.3 (R+2.8 with 2022's turnout pattern)</t>
        </is>
      </c>
      <c r="B74" s="22" t="n"/>
      <c r="C74" s="22" t="n"/>
      <c r="D74" s="22" t="n"/>
      <c r="E74" s="22" t="n"/>
      <c r="F74" s="22" t="n"/>
      <c r="G74" s="22" t="n"/>
      <c r="H74" s="22" t="n"/>
      <c r="I74" s="22" t="n"/>
      <c r="J74" s="22" t="n"/>
      <c r="K74" s="22" t="n"/>
      <c r="L74" s="22" t="n"/>
      <c r="M74" s="22" t="n"/>
      <c r="N74" s="22" t="n"/>
      <c r="O74" s="22" t="n"/>
      <c r="P74" s="22" t="n"/>
      <c r="Q74" s="22" t="n"/>
      <c r="R74" s="22" t="n"/>
      <c r="S74" s="22" t="n"/>
      <c r="T74" s="22" t="n"/>
      <c r="U74" s="22" t="n"/>
      <c r="V74" s="22" t="n"/>
      <c r="W74" s="22" t="n"/>
      <c r="X74" s="22" t="n"/>
      <c r="Y74" s="22" t="n"/>
    </row>
    <row r="75" ht="58" customHeight="1">
      <c r="A75" s="8" t="inlineStr">
        <is>
          <t>NC</t>
        </is>
      </c>
      <c r="B75" s="8" t="inlineStr">
        <is>
          <t>Wake</t>
        </is>
      </c>
      <c r="C75" s="8" t="inlineStr">
        <is>
          <t>Big metro core</t>
        </is>
      </c>
      <c r="D75" s="12">
        <f>Counties!AT764</f>
        <v/>
      </c>
      <c r="E75" s="9">
        <f>Counties!O764</f>
        <v/>
      </c>
      <c r="F75" s="9">
        <f>Counties!R764</f>
        <v/>
      </c>
      <c r="G75" s="9">
        <f>MAX(-1,MIN(1,Counties!O764+-0.05+Dashboard!$F$14))</f>
        <v/>
      </c>
      <c r="H75" s="9">
        <f>MAX(-1,MIN(1,Counties!O764+-0.01+Dashboard!$F$14))</f>
        <v/>
      </c>
      <c r="I75" s="36">
        <f>MAX(-1,MIN(1,Counties!O764+0.0+Dashboard!$F$14))</f>
        <v/>
      </c>
      <c r="J75" s="9">
        <f>MAX(-1,MIN(1,Counties!O764+0.01+Dashboard!$F$14))</f>
        <v/>
      </c>
      <c r="K75" s="9">
        <f>MAX(-1,MIN(1,Counties!O764+0.05+Dashboard!$F$14))</f>
        <v/>
      </c>
      <c r="L75" s="37">
        <f>G75*D75</f>
        <v/>
      </c>
      <c r="M75" s="37">
        <f>H75*D75</f>
        <v/>
      </c>
      <c r="N75" s="37">
        <f>I75*D75</f>
        <v/>
      </c>
      <c r="O75" s="37">
        <f>J75*D75</f>
        <v/>
      </c>
      <c r="P75" s="37">
        <f>K75*D75</f>
        <v/>
      </c>
      <c r="Q75" s="12">
        <f>D75*(1+I75)/2</f>
        <v/>
      </c>
      <c r="R75" s="9">
        <f>Counties!AH764</f>
        <v/>
      </c>
      <c r="S75" s="37">
        <f>IF(Counties!AH764="","",Counties!AH764*Counties!AF764)</f>
        <v/>
      </c>
      <c r="T75" s="13">
        <f>Counties!AO764</f>
        <v/>
      </c>
      <c r="U75" s="16">
        <f>Counties!AU764</f>
        <v/>
      </c>
      <c r="V75" s="9">
        <f>Counties!AV764</f>
        <v/>
      </c>
      <c r="W75" s="10">
        <f>Counties!AY764</f>
        <v/>
      </c>
      <c r="X75" s="8">
        <f>IF(R75="","not in yet",IF(W75&lt;&gt;"",IF(W75&gt;=0.05,"Great for Cooper",IF(W75&gt;=0.01,"Cooper on track",IF(W75&gt;-0.01,"Toss-up",IF(W75&gt;-0.05,"Whatley on track","Great for Whatley"))))&amp;" (margin + turnout)",IF((R75-I75)&gt;=0.05,"Great for Cooper",IF((R75-I75)&gt;=0.01,"Cooper on track",IF((R75-I75)&gt;-0.01,"Toss-up",IF((R75-I75)&gt;-0.05,"Whatley on track","Great for Whatley"))))&amp;IF(Counties!AG764=1,""," (partial count)")))</f>
        <v/>
      </c>
      <c r="Y75" s="17">
        <f>"Break-even "&amp;IF(I75&gt;=0,"D+","R+")&amp;TEXT(ABS(I75)*100,"0.0")&amp;" ("&amp;IF(N75&gt;=0,"D +","R +")&amp;TEXT(ABS(N75),"#,##0")&amp;" net, about "&amp;TEXT(Q75,"#,##0")&amp;" Cooper votes). Cooper at "&amp;IF(K75&gt;=0,"D+","R+")&amp;TEXT(ABS(K75)*100,"0.0")&amp;" or better = great night; "&amp;IF(J75&gt;=0,"D+","R+")&amp;TEXT(ABS(J75)*100,"0.0")&amp;" = on track to win. Whatley holding it to "&amp;IF(H75&gt;=0,"D+","R+")&amp;TEXT(ABS(H75)*100,"0.0")&amp;" = Whatley on track; "&amp;IF(G75&gt;=0,"D+","R+")&amp;TEXT(ABS(G75)*100,"0.0")&amp;" or worse for Cooper = great for Whatley. Turnout: par is about "&amp;TEXT(D75,"#,##0")&amp;" two-party votes ("&amp;TEXT(Counties!AQ764/SUMIFS(Counties!$AQ:$AQ,Counties!$A:$A,"NC"),"0.0%")&amp;" of the state). At 95% of par the break-even moves to "&amp;IF((I75/0.95)&gt;=0,"D+","R+")&amp;TEXT(ABS((I75/0.95))*100,"0.0")&amp;"; at 105%, to "&amp;IF((I75/1.05)&gt;=0,"D+","R+")&amp;TEXT(ABS((I75/1.05))*100,"0.0")&amp;"."</f>
        <v/>
      </c>
    </row>
    <row r="76" ht="58" customHeight="1">
      <c r="A76" s="8" t="inlineStr">
        <is>
          <t>NC</t>
        </is>
      </c>
      <c r="B76" s="8" t="inlineStr">
        <is>
          <t>Mecklenburg</t>
        </is>
      </c>
      <c r="C76" s="8" t="inlineStr">
        <is>
          <t>Big metro core</t>
        </is>
      </c>
      <c r="D76" s="12">
        <f>Counties!AT732</f>
        <v/>
      </c>
      <c r="E76" s="9">
        <f>Counties!O732</f>
        <v/>
      </c>
      <c r="F76" s="9">
        <f>Counties!R732</f>
        <v/>
      </c>
      <c r="G76" s="9">
        <f>MAX(-1,MIN(1,Counties!O732+-0.05+Dashboard!$F$14))</f>
        <v/>
      </c>
      <c r="H76" s="9">
        <f>MAX(-1,MIN(1,Counties!O732+-0.01+Dashboard!$F$14))</f>
        <v/>
      </c>
      <c r="I76" s="36">
        <f>MAX(-1,MIN(1,Counties!O732+0.0+Dashboard!$F$14))</f>
        <v/>
      </c>
      <c r="J76" s="9">
        <f>MAX(-1,MIN(1,Counties!O732+0.01+Dashboard!$F$14))</f>
        <v/>
      </c>
      <c r="K76" s="9">
        <f>MAX(-1,MIN(1,Counties!O732+0.05+Dashboard!$F$14))</f>
        <v/>
      </c>
      <c r="L76" s="37">
        <f>G76*D76</f>
        <v/>
      </c>
      <c r="M76" s="37">
        <f>H76*D76</f>
        <v/>
      </c>
      <c r="N76" s="37">
        <f>I76*D76</f>
        <v/>
      </c>
      <c r="O76" s="37">
        <f>J76*D76</f>
        <v/>
      </c>
      <c r="P76" s="37">
        <f>K76*D76</f>
        <v/>
      </c>
      <c r="Q76" s="12">
        <f>D76*(1+I76)/2</f>
        <v/>
      </c>
      <c r="R76" s="9">
        <f>Counties!AH732</f>
        <v/>
      </c>
      <c r="S76" s="37">
        <f>IF(Counties!AH732="","",Counties!AH732*Counties!AF732)</f>
        <v/>
      </c>
      <c r="T76" s="13">
        <f>Counties!AO732</f>
        <v/>
      </c>
      <c r="U76" s="16">
        <f>Counties!AU732</f>
        <v/>
      </c>
      <c r="V76" s="9">
        <f>Counties!AV732</f>
        <v/>
      </c>
      <c r="W76" s="10">
        <f>Counties!AY732</f>
        <v/>
      </c>
      <c r="X76" s="8">
        <f>IF(R76="","not in yet",IF(W76&lt;&gt;"",IF(W76&gt;=0.05,"Great for Cooper",IF(W76&gt;=0.01,"Cooper on track",IF(W76&gt;-0.01,"Toss-up",IF(W76&gt;-0.05,"Whatley on track","Great for Whatley"))))&amp;" (margin + turnout)",IF((R76-I76)&gt;=0.05,"Great for Cooper",IF((R76-I76)&gt;=0.01,"Cooper on track",IF((R76-I76)&gt;-0.01,"Toss-up",IF((R76-I76)&gt;-0.05,"Whatley on track","Great for Whatley"))))&amp;IF(Counties!AG732=1,""," (partial count)")))</f>
        <v/>
      </c>
      <c r="Y76" s="17">
        <f>"Break-even "&amp;IF(I76&gt;=0,"D+","R+")&amp;TEXT(ABS(I76)*100,"0.0")&amp;" ("&amp;IF(N76&gt;=0,"D +","R +")&amp;TEXT(ABS(N76),"#,##0")&amp;" net, about "&amp;TEXT(Q76,"#,##0")&amp;" Cooper votes). Cooper at "&amp;IF(K76&gt;=0,"D+","R+")&amp;TEXT(ABS(K76)*100,"0.0")&amp;" or better = great night; "&amp;IF(J76&gt;=0,"D+","R+")&amp;TEXT(ABS(J76)*100,"0.0")&amp;" = on track to win. Whatley holding it to "&amp;IF(H76&gt;=0,"D+","R+")&amp;TEXT(ABS(H76)*100,"0.0")&amp;" = Whatley on track; "&amp;IF(G76&gt;=0,"D+","R+")&amp;TEXT(ABS(G76)*100,"0.0")&amp;" or worse for Cooper = great for Whatley. Turnout: par is about "&amp;TEXT(D76,"#,##0")&amp;" two-party votes ("&amp;TEXT(Counties!AQ732/SUMIFS(Counties!$AQ:$AQ,Counties!$A:$A,"NC"),"0.0%")&amp;" of the state). At 95% of par the break-even moves to "&amp;IF((I76/0.95)&gt;=0,"D+","R+")&amp;TEXT(ABS((I76/0.95))*100,"0.0")&amp;"; at 105%, to "&amp;IF((I76/1.05)&gt;=0,"D+","R+")&amp;TEXT(ABS((I76/1.05))*100,"0.0")&amp;"."</f>
        <v/>
      </c>
    </row>
    <row r="77" ht="58" customHeight="1">
      <c r="A77" s="8" t="inlineStr">
        <is>
          <t>NC</t>
        </is>
      </c>
      <c r="B77" s="8" t="inlineStr">
        <is>
          <t>Guilford</t>
        </is>
      </c>
      <c r="C77" s="8" t="inlineStr">
        <is>
          <t>Mid-size/working metro</t>
        </is>
      </c>
      <c r="D77" s="12">
        <f>Counties!AT713</f>
        <v/>
      </c>
      <c r="E77" s="9">
        <f>Counties!O713</f>
        <v/>
      </c>
      <c r="F77" s="9">
        <f>Counties!R713</f>
        <v/>
      </c>
      <c r="G77" s="9">
        <f>MAX(-1,MIN(1,Counties!O713+-0.05+Dashboard!$F$14))</f>
        <v/>
      </c>
      <c r="H77" s="9">
        <f>MAX(-1,MIN(1,Counties!O713+-0.01+Dashboard!$F$14))</f>
        <v/>
      </c>
      <c r="I77" s="36">
        <f>MAX(-1,MIN(1,Counties!O713+0.0+Dashboard!$F$14))</f>
        <v/>
      </c>
      <c r="J77" s="9">
        <f>MAX(-1,MIN(1,Counties!O713+0.01+Dashboard!$F$14))</f>
        <v/>
      </c>
      <c r="K77" s="9">
        <f>MAX(-1,MIN(1,Counties!O713+0.05+Dashboard!$F$14))</f>
        <v/>
      </c>
      <c r="L77" s="37">
        <f>G77*D77</f>
        <v/>
      </c>
      <c r="M77" s="37">
        <f>H77*D77</f>
        <v/>
      </c>
      <c r="N77" s="37">
        <f>I77*D77</f>
        <v/>
      </c>
      <c r="O77" s="37">
        <f>J77*D77</f>
        <v/>
      </c>
      <c r="P77" s="37">
        <f>K77*D77</f>
        <v/>
      </c>
      <c r="Q77" s="12">
        <f>D77*(1+I77)/2</f>
        <v/>
      </c>
      <c r="R77" s="9">
        <f>Counties!AH713</f>
        <v/>
      </c>
      <c r="S77" s="37">
        <f>IF(Counties!AH713="","",Counties!AH713*Counties!AF713)</f>
        <v/>
      </c>
      <c r="T77" s="13">
        <f>Counties!AO713</f>
        <v/>
      </c>
      <c r="U77" s="16">
        <f>Counties!AU713</f>
        <v/>
      </c>
      <c r="V77" s="9">
        <f>Counties!AV713</f>
        <v/>
      </c>
      <c r="W77" s="10">
        <f>Counties!AY713</f>
        <v/>
      </c>
      <c r="X77" s="8">
        <f>IF(R77="","not in yet",IF(W77&lt;&gt;"",IF(W77&gt;=0.05,"Great for Cooper",IF(W77&gt;=0.01,"Cooper on track",IF(W77&gt;-0.01,"Toss-up",IF(W77&gt;-0.05,"Whatley on track","Great for Whatley"))))&amp;" (margin + turnout)",IF((R77-I77)&gt;=0.05,"Great for Cooper",IF((R77-I77)&gt;=0.01,"Cooper on track",IF((R77-I77)&gt;-0.01,"Toss-up",IF((R77-I77)&gt;-0.05,"Whatley on track","Great for Whatley"))))&amp;IF(Counties!AG713=1,""," (partial count)")))</f>
        <v/>
      </c>
      <c r="Y77" s="17">
        <f>"Break-even "&amp;IF(I77&gt;=0,"D+","R+")&amp;TEXT(ABS(I77)*100,"0.0")&amp;" ("&amp;IF(N77&gt;=0,"D +","R +")&amp;TEXT(ABS(N77),"#,##0")&amp;" net, about "&amp;TEXT(Q77,"#,##0")&amp;" Cooper votes). Cooper at "&amp;IF(K77&gt;=0,"D+","R+")&amp;TEXT(ABS(K77)*100,"0.0")&amp;" or better = great night; "&amp;IF(J77&gt;=0,"D+","R+")&amp;TEXT(ABS(J77)*100,"0.0")&amp;" = on track to win. Whatley holding it to "&amp;IF(H77&gt;=0,"D+","R+")&amp;TEXT(ABS(H77)*100,"0.0")&amp;" = Whatley on track; "&amp;IF(G77&gt;=0,"D+","R+")&amp;TEXT(ABS(G77)*100,"0.0")&amp;" or worse for Cooper = great for Whatley. Turnout: par is about "&amp;TEXT(D77,"#,##0")&amp;" two-party votes ("&amp;TEXT(Counties!AQ713/SUMIFS(Counties!$AQ:$AQ,Counties!$A:$A,"NC"),"0.0%")&amp;" of the state). At 95% of par the break-even moves to "&amp;IF((I77/0.95)&gt;=0,"D+","R+")&amp;TEXT(ABS((I77/0.95))*100,"0.0")&amp;"; at 105%, to "&amp;IF((I77/1.05)&gt;=0,"D+","R+")&amp;TEXT(ABS((I77/1.05))*100,"0.0")&amp;"."</f>
        <v/>
      </c>
    </row>
    <row r="78" ht="58" customHeight="1">
      <c r="A78" s="8" t="inlineStr">
        <is>
          <t>NC</t>
        </is>
      </c>
      <c r="B78" s="8" t="inlineStr">
        <is>
          <t>Durham</t>
        </is>
      </c>
      <c r="C78" s="8" t="inlineStr">
        <is>
          <t>College suburb/metro</t>
        </is>
      </c>
      <c r="D78" s="12">
        <f>Counties!AT704</f>
        <v/>
      </c>
      <c r="E78" s="9">
        <f>Counties!O704</f>
        <v/>
      </c>
      <c r="F78" s="9">
        <f>Counties!R704</f>
        <v/>
      </c>
      <c r="G78" s="9">
        <f>MAX(-1,MIN(1,Counties!O704+-0.05+Dashboard!$F$14))</f>
        <v/>
      </c>
      <c r="H78" s="9">
        <f>MAX(-1,MIN(1,Counties!O704+-0.01+Dashboard!$F$14))</f>
        <v/>
      </c>
      <c r="I78" s="36">
        <f>MAX(-1,MIN(1,Counties!O704+0.0+Dashboard!$F$14))</f>
        <v/>
      </c>
      <c r="J78" s="9">
        <f>MAX(-1,MIN(1,Counties!O704+0.01+Dashboard!$F$14))</f>
        <v/>
      </c>
      <c r="K78" s="9">
        <f>MAX(-1,MIN(1,Counties!O704+0.05+Dashboard!$F$14))</f>
        <v/>
      </c>
      <c r="L78" s="37">
        <f>G78*D78</f>
        <v/>
      </c>
      <c r="M78" s="37">
        <f>H78*D78</f>
        <v/>
      </c>
      <c r="N78" s="37">
        <f>I78*D78</f>
        <v/>
      </c>
      <c r="O78" s="37">
        <f>J78*D78</f>
        <v/>
      </c>
      <c r="P78" s="37">
        <f>K78*D78</f>
        <v/>
      </c>
      <c r="Q78" s="12">
        <f>D78*(1+I78)/2</f>
        <v/>
      </c>
      <c r="R78" s="9">
        <f>Counties!AH704</f>
        <v/>
      </c>
      <c r="S78" s="37">
        <f>IF(Counties!AH704="","",Counties!AH704*Counties!AF704)</f>
        <v/>
      </c>
      <c r="T78" s="13">
        <f>Counties!AO704</f>
        <v/>
      </c>
      <c r="U78" s="16">
        <f>Counties!AU704</f>
        <v/>
      </c>
      <c r="V78" s="9">
        <f>Counties!AV704</f>
        <v/>
      </c>
      <c r="W78" s="10">
        <f>Counties!AY704</f>
        <v/>
      </c>
      <c r="X78" s="8">
        <f>IF(R78="","not in yet",IF(W78&lt;&gt;"",IF(W78&gt;=0.05,"Great for Cooper",IF(W78&gt;=0.01,"Cooper on track",IF(W78&gt;-0.01,"Toss-up",IF(W78&gt;-0.05,"Whatley on track","Great for Whatley"))))&amp;" (margin + turnout)",IF((R78-I78)&gt;=0.05,"Great for Cooper",IF((R78-I78)&gt;=0.01,"Cooper on track",IF((R78-I78)&gt;-0.01,"Toss-up",IF((R78-I78)&gt;-0.05,"Whatley on track","Great for Whatley"))))&amp;IF(Counties!AG704=1,""," (partial count)")))</f>
        <v/>
      </c>
      <c r="Y78" s="17">
        <f>"Break-even "&amp;IF(I78&gt;=0,"D+","R+")&amp;TEXT(ABS(I78)*100,"0.0")&amp;" ("&amp;IF(N78&gt;=0,"D +","R +")&amp;TEXT(ABS(N78),"#,##0")&amp;" net, about "&amp;TEXT(Q78,"#,##0")&amp;" Cooper votes). Cooper at "&amp;IF(K78&gt;=0,"D+","R+")&amp;TEXT(ABS(K78)*100,"0.0")&amp;" or better = great night; "&amp;IF(J78&gt;=0,"D+","R+")&amp;TEXT(ABS(J78)*100,"0.0")&amp;" = on track to win. Whatley holding it to "&amp;IF(H78&gt;=0,"D+","R+")&amp;TEXT(ABS(H78)*100,"0.0")&amp;" = Whatley on track; "&amp;IF(G78&gt;=0,"D+","R+")&amp;TEXT(ABS(G78)*100,"0.0")&amp;" or worse for Cooper = great for Whatley. Turnout: par is about "&amp;TEXT(D78,"#,##0")&amp;" two-party votes ("&amp;TEXT(Counties!AQ704/SUMIFS(Counties!$AQ:$AQ,Counties!$A:$A,"NC"),"0.0%")&amp;" of the state). At 95% of par the break-even moves to "&amp;IF((I78/0.95)&gt;=0,"D+","R+")&amp;TEXT(ABS((I78/0.95))*100,"0.0")&amp;"; at 105%, to "&amp;IF((I78/1.05)&gt;=0,"D+","R+")&amp;TEXT(ABS((I78/1.05))*100,"0.0")&amp;"."</f>
        <v/>
      </c>
    </row>
    <row r="79" ht="58" customHeight="1">
      <c r="A79" s="8" t="inlineStr">
        <is>
          <t>NC</t>
        </is>
      </c>
      <c r="B79" s="8" t="inlineStr">
        <is>
          <t>Buncombe</t>
        </is>
      </c>
      <c r="C79" s="8" t="inlineStr">
        <is>
          <t>College suburb/metro</t>
        </is>
      </c>
      <c r="D79" s="12">
        <f>Counties!AT683</f>
        <v/>
      </c>
      <c r="E79" s="9">
        <f>Counties!O683</f>
        <v/>
      </c>
      <c r="F79" s="9">
        <f>Counties!R683</f>
        <v/>
      </c>
      <c r="G79" s="9">
        <f>MAX(-1,MIN(1,Counties!O683+-0.05+Dashboard!$F$14))</f>
        <v/>
      </c>
      <c r="H79" s="9">
        <f>MAX(-1,MIN(1,Counties!O683+-0.01+Dashboard!$F$14))</f>
        <v/>
      </c>
      <c r="I79" s="36">
        <f>MAX(-1,MIN(1,Counties!O683+0.0+Dashboard!$F$14))</f>
        <v/>
      </c>
      <c r="J79" s="9">
        <f>MAX(-1,MIN(1,Counties!O683+0.01+Dashboard!$F$14))</f>
        <v/>
      </c>
      <c r="K79" s="9">
        <f>MAX(-1,MIN(1,Counties!O683+0.05+Dashboard!$F$14))</f>
        <v/>
      </c>
      <c r="L79" s="37">
        <f>G79*D79</f>
        <v/>
      </c>
      <c r="M79" s="37">
        <f>H79*D79</f>
        <v/>
      </c>
      <c r="N79" s="37">
        <f>I79*D79</f>
        <v/>
      </c>
      <c r="O79" s="37">
        <f>J79*D79</f>
        <v/>
      </c>
      <c r="P79" s="37">
        <f>K79*D79</f>
        <v/>
      </c>
      <c r="Q79" s="12">
        <f>D79*(1+I79)/2</f>
        <v/>
      </c>
      <c r="R79" s="9">
        <f>Counties!AH683</f>
        <v/>
      </c>
      <c r="S79" s="37">
        <f>IF(Counties!AH683="","",Counties!AH683*Counties!AF683)</f>
        <v/>
      </c>
      <c r="T79" s="13">
        <f>Counties!AO683</f>
        <v/>
      </c>
      <c r="U79" s="16">
        <f>Counties!AU683</f>
        <v/>
      </c>
      <c r="V79" s="9">
        <f>Counties!AV683</f>
        <v/>
      </c>
      <c r="W79" s="10">
        <f>Counties!AY683</f>
        <v/>
      </c>
      <c r="X79" s="8">
        <f>IF(R79="","not in yet",IF(W79&lt;&gt;"",IF(W79&gt;=0.05,"Great for Cooper",IF(W79&gt;=0.01,"Cooper on track",IF(W79&gt;-0.01,"Toss-up",IF(W79&gt;-0.05,"Whatley on track","Great for Whatley"))))&amp;" (margin + turnout)",IF((R79-I79)&gt;=0.05,"Great for Cooper",IF((R79-I79)&gt;=0.01,"Cooper on track",IF((R79-I79)&gt;-0.01,"Toss-up",IF((R79-I79)&gt;-0.05,"Whatley on track","Great for Whatley"))))&amp;IF(Counties!AG683=1,""," (partial count)")))</f>
        <v/>
      </c>
      <c r="Y79" s="17">
        <f>"Break-even "&amp;IF(I79&gt;=0,"D+","R+")&amp;TEXT(ABS(I79)*100,"0.0")&amp;" ("&amp;IF(N79&gt;=0,"D +","R +")&amp;TEXT(ABS(N79),"#,##0")&amp;" net, about "&amp;TEXT(Q79,"#,##0")&amp;" Cooper votes). Cooper at "&amp;IF(K79&gt;=0,"D+","R+")&amp;TEXT(ABS(K79)*100,"0.0")&amp;" or better = great night; "&amp;IF(J79&gt;=0,"D+","R+")&amp;TEXT(ABS(J79)*100,"0.0")&amp;" = on track to win. Whatley holding it to "&amp;IF(H79&gt;=0,"D+","R+")&amp;TEXT(ABS(H79)*100,"0.0")&amp;" = Whatley on track; "&amp;IF(G79&gt;=0,"D+","R+")&amp;TEXT(ABS(G79)*100,"0.0")&amp;" or worse for Cooper = great for Whatley. Turnout: par is about "&amp;TEXT(D79,"#,##0")&amp;" two-party votes ("&amp;TEXT(Counties!AQ683/SUMIFS(Counties!$AQ:$AQ,Counties!$A:$A,"NC"),"0.0%")&amp;" of the state). At 95% of par the break-even moves to "&amp;IF((I79/0.95)&gt;=0,"D+","R+")&amp;TEXT(ABS((I79/0.95))*100,"0.0")&amp;"; at 105%, to "&amp;IF((I79/1.05)&gt;=0,"D+","R+")&amp;TEXT(ABS((I79/1.05))*100,"0.0")&amp;"."</f>
        <v/>
      </c>
    </row>
    <row r="80" ht="58" customHeight="1">
      <c r="A80" s="8" t="inlineStr">
        <is>
          <t>NC</t>
        </is>
      </c>
      <c r="B80" s="8" t="inlineStr">
        <is>
          <t>Union</t>
        </is>
      </c>
      <c r="C80" s="8" t="inlineStr">
        <is>
          <t>Mid-size/working metro</t>
        </is>
      </c>
      <c r="D80" s="12">
        <f>Counties!AT762</f>
        <v/>
      </c>
      <c r="E80" s="9">
        <f>Counties!O762</f>
        <v/>
      </c>
      <c r="F80" s="9">
        <f>Counties!R762</f>
        <v/>
      </c>
      <c r="G80" s="9">
        <f>MAX(-1,MIN(1,Counties!O762+-0.05+Dashboard!$F$14))</f>
        <v/>
      </c>
      <c r="H80" s="9">
        <f>MAX(-1,MIN(1,Counties!O762+-0.01+Dashboard!$F$14))</f>
        <v/>
      </c>
      <c r="I80" s="36">
        <f>MAX(-1,MIN(1,Counties!O762+0.0+Dashboard!$F$14))</f>
        <v/>
      </c>
      <c r="J80" s="9">
        <f>MAX(-1,MIN(1,Counties!O762+0.01+Dashboard!$F$14))</f>
        <v/>
      </c>
      <c r="K80" s="9">
        <f>MAX(-1,MIN(1,Counties!O762+0.05+Dashboard!$F$14))</f>
        <v/>
      </c>
      <c r="L80" s="37">
        <f>G80*D80</f>
        <v/>
      </c>
      <c r="M80" s="37">
        <f>H80*D80</f>
        <v/>
      </c>
      <c r="N80" s="37">
        <f>I80*D80</f>
        <v/>
      </c>
      <c r="O80" s="37">
        <f>J80*D80</f>
        <v/>
      </c>
      <c r="P80" s="37">
        <f>K80*D80</f>
        <v/>
      </c>
      <c r="Q80" s="12">
        <f>D80*(1+I80)/2</f>
        <v/>
      </c>
      <c r="R80" s="9">
        <f>Counties!AH762</f>
        <v/>
      </c>
      <c r="S80" s="37">
        <f>IF(Counties!AH762="","",Counties!AH762*Counties!AF762)</f>
        <v/>
      </c>
      <c r="T80" s="13">
        <f>Counties!AO762</f>
        <v/>
      </c>
      <c r="U80" s="16">
        <f>Counties!AU762</f>
        <v/>
      </c>
      <c r="V80" s="9">
        <f>Counties!AV762</f>
        <v/>
      </c>
      <c r="W80" s="10">
        <f>Counties!AY762</f>
        <v/>
      </c>
      <c r="X80" s="8">
        <f>IF(R80="","not in yet",IF(W80&lt;&gt;"",IF(W80&gt;=0.05,"Great for Cooper",IF(W80&gt;=0.01,"Cooper on track",IF(W80&gt;-0.01,"Toss-up",IF(W80&gt;-0.05,"Whatley on track","Great for Whatley"))))&amp;" (margin + turnout)",IF((R80-I80)&gt;=0.05,"Great for Cooper",IF((R80-I80)&gt;=0.01,"Cooper on track",IF((R80-I80)&gt;-0.01,"Toss-up",IF((R80-I80)&gt;-0.05,"Whatley on track","Great for Whatley"))))&amp;IF(Counties!AG762=1,""," (partial count)")))</f>
        <v/>
      </c>
      <c r="Y80" s="17">
        <f>"Break-even "&amp;IF(I80&gt;=0,"D+","R+")&amp;TEXT(ABS(I80)*100,"0.0")&amp;" ("&amp;IF(N80&gt;=0,"D +","R +")&amp;TEXT(ABS(N80),"#,##0")&amp;" net, about "&amp;TEXT(Q80,"#,##0")&amp;" Cooper votes). Cooper at "&amp;IF(K80&gt;=0,"D+","R+")&amp;TEXT(ABS(K80)*100,"0.0")&amp;" or better = great night; "&amp;IF(J80&gt;=0,"D+","R+")&amp;TEXT(ABS(J80)*100,"0.0")&amp;" = on track to win. Whatley holding it to "&amp;IF(H80&gt;=0,"D+","R+")&amp;TEXT(ABS(H80)*100,"0.0")&amp;" = Whatley on track; "&amp;IF(G80&gt;=0,"D+","R+")&amp;TEXT(ABS(G80)*100,"0.0")&amp;" or worse for Cooper = great for Whatley. Turnout: par is about "&amp;TEXT(D80,"#,##0")&amp;" two-party votes ("&amp;TEXT(Counties!AQ762/SUMIFS(Counties!$AQ:$AQ,Counties!$A:$A,"NC"),"0.0%")&amp;" of the state). At 95% of par the break-even moves to "&amp;IF((I80/0.95)&gt;=0,"D+","R+")&amp;TEXT(ABS((I80/0.95))*100,"0.0")&amp;"; at 105%, to "&amp;IF((I80/1.05)&gt;=0,"D+","R+")&amp;TEXT(ABS((I80/1.05))*100,"0.0")&amp;"."</f>
        <v/>
      </c>
    </row>
    <row r="81" ht="58" customHeight="1">
      <c r="A81" s="8" t="inlineStr">
        <is>
          <t>NC</t>
        </is>
      </c>
      <c r="B81" s="8" t="inlineStr">
        <is>
          <t>New Hanover</t>
        </is>
      </c>
      <c r="C81" s="8" t="inlineStr">
        <is>
          <t>College suburb/metro</t>
        </is>
      </c>
      <c r="D81" s="12">
        <f>Counties!AT737</f>
        <v/>
      </c>
      <c r="E81" s="9">
        <f>Counties!O737</f>
        <v/>
      </c>
      <c r="F81" s="9">
        <f>Counties!R737</f>
        <v/>
      </c>
      <c r="G81" s="9">
        <f>MAX(-1,MIN(1,Counties!O737+-0.05+Dashboard!$F$14))</f>
        <v/>
      </c>
      <c r="H81" s="9">
        <f>MAX(-1,MIN(1,Counties!O737+-0.01+Dashboard!$F$14))</f>
        <v/>
      </c>
      <c r="I81" s="36">
        <f>MAX(-1,MIN(1,Counties!O737+0.0+Dashboard!$F$14))</f>
        <v/>
      </c>
      <c r="J81" s="9">
        <f>MAX(-1,MIN(1,Counties!O737+0.01+Dashboard!$F$14))</f>
        <v/>
      </c>
      <c r="K81" s="9">
        <f>MAX(-1,MIN(1,Counties!O737+0.05+Dashboard!$F$14))</f>
        <v/>
      </c>
      <c r="L81" s="37">
        <f>G81*D81</f>
        <v/>
      </c>
      <c r="M81" s="37">
        <f>H81*D81</f>
        <v/>
      </c>
      <c r="N81" s="37">
        <f>I81*D81</f>
        <v/>
      </c>
      <c r="O81" s="37">
        <f>J81*D81</f>
        <v/>
      </c>
      <c r="P81" s="37">
        <f>K81*D81</f>
        <v/>
      </c>
      <c r="Q81" s="12">
        <f>D81*(1+I81)/2</f>
        <v/>
      </c>
      <c r="R81" s="9">
        <f>Counties!AH737</f>
        <v/>
      </c>
      <c r="S81" s="37">
        <f>IF(Counties!AH737="","",Counties!AH737*Counties!AF737)</f>
        <v/>
      </c>
      <c r="T81" s="13">
        <f>Counties!AO737</f>
        <v/>
      </c>
      <c r="U81" s="16">
        <f>Counties!AU737</f>
        <v/>
      </c>
      <c r="V81" s="9">
        <f>Counties!AV737</f>
        <v/>
      </c>
      <c r="W81" s="10">
        <f>Counties!AY737</f>
        <v/>
      </c>
      <c r="X81" s="8">
        <f>IF(R81="","not in yet",IF(W81&lt;&gt;"",IF(W81&gt;=0.05,"Great for Cooper",IF(W81&gt;=0.01,"Cooper on track",IF(W81&gt;-0.01,"Toss-up",IF(W81&gt;-0.05,"Whatley on track","Great for Whatley"))))&amp;" (margin + turnout)",IF((R81-I81)&gt;=0.05,"Great for Cooper",IF((R81-I81)&gt;=0.01,"Cooper on track",IF((R81-I81)&gt;-0.01,"Toss-up",IF((R81-I81)&gt;-0.05,"Whatley on track","Great for Whatley"))))&amp;IF(Counties!AG737=1,""," (partial count)")))</f>
        <v/>
      </c>
      <c r="Y81" s="17">
        <f>"Break-even "&amp;IF(I81&gt;=0,"D+","R+")&amp;TEXT(ABS(I81)*100,"0.0")&amp;" ("&amp;IF(N81&gt;=0,"D +","R +")&amp;TEXT(ABS(N81),"#,##0")&amp;" net, about "&amp;TEXT(Q81,"#,##0")&amp;" Cooper votes). Cooper at "&amp;IF(K81&gt;=0,"D+","R+")&amp;TEXT(ABS(K81)*100,"0.0")&amp;" or better = great night; "&amp;IF(J81&gt;=0,"D+","R+")&amp;TEXT(ABS(J81)*100,"0.0")&amp;" = on track to win. Whatley holding it to "&amp;IF(H81&gt;=0,"D+","R+")&amp;TEXT(ABS(H81)*100,"0.0")&amp;" = Whatley on track; "&amp;IF(G81&gt;=0,"D+","R+")&amp;TEXT(ABS(G81)*100,"0.0")&amp;" or worse for Cooper = great for Whatley. Turnout: par is about "&amp;TEXT(D81,"#,##0")&amp;" two-party votes ("&amp;TEXT(Counties!AQ737/SUMIFS(Counties!$AQ:$AQ,Counties!$A:$A,"NC"),"0.0%")&amp;" of the state). At 95% of par the break-even moves to "&amp;IF((I81/0.95)&gt;=0,"D+","R+")&amp;TEXT(ABS((I81/0.95))*100,"0.0")&amp;"; at 105%, to "&amp;IF((I81/1.05)&gt;=0,"D+","R+")&amp;TEXT(ABS((I81/1.05))*100,"0.0")&amp;"."</f>
        <v/>
      </c>
    </row>
    <row r="82" ht="58" customHeight="1">
      <c r="A82" s="8" t="inlineStr">
        <is>
          <t>NC</t>
        </is>
      </c>
      <c r="B82" s="8" t="inlineStr">
        <is>
          <t>Johnston</t>
        </is>
      </c>
      <c r="C82" s="8" t="inlineStr">
        <is>
          <t>Mid-size/working metro</t>
        </is>
      </c>
      <c r="D82" s="12">
        <f>Counties!AT723</f>
        <v/>
      </c>
      <c r="E82" s="9">
        <f>Counties!O723</f>
        <v/>
      </c>
      <c r="F82" s="9">
        <f>Counties!R723</f>
        <v/>
      </c>
      <c r="G82" s="9">
        <f>MAX(-1,MIN(1,Counties!O723+-0.05+Dashboard!$F$14))</f>
        <v/>
      </c>
      <c r="H82" s="9">
        <f>MAX(-1,MIN(1,Counties!O723+-0.01+Dashboard!$F$14))</f>
        <v/>
      </c>
      <c r="I82" s="36">
        <f>MAX(-1,MIN(1,Counties!O723+0.0+Dashboard!$F$14))</f>
        <v/>
      </c>
      <c r="J82" s="9">
        <f>MAX(-1,MIN(1,Counties!O723+0.01+Dashboard!$F$14))</f>
        <v/>
      </c>
      <c r="K82" s="9">
        <f>MAX(-1,MIN(1,Counties!O723+0.05+Dashboard!$F$14))</f>
        <v/>
      </c>
      <c r="L82" s="37">
        <f>G82*D82</f>
        <v/>
      </c>
      <c r="M82" s="37">
        <f>H82*D82</f>
        <v/>
      </c>
      <c r="N82" s="37">
        <f>I82*D82</f>
        <v/>
      </c>
      <c r="O82" s="37">
        <f>J82*D82</f>
        <v/>
      </c>
      <c r="P82" s="37">
        <f>K82*D82</f>
        <v/>
      </c>
      <c r="Q82" s="12">
        <f>D82*(1+I82)/2</f>
        <v/>
      </c>
      <c r="R82" s="9">
        <f>Counties!AH723</f>
        <v/>
      </c>
      <c r="S82" s="37">
        <f>IF(Counties!AH723="","",Counties!AH723*Counties!AF723)</f>
        <v/>
      </c>
      <c r="T82" s="13">
        <f>Counties!AO723</f>
        <v/>
      </c>
      <c r="U82" s="16">
        <f>Counties!AU723</f>
        <v/>
      </c>
      <c r="V82" s="9">
        <f>Counties!AV723</f>
        <v/>
      </c>
      <c r="W82" s="10">
        <f>Counties!AY723</f>
        <v/>
      </c>
      <c r="X82" s="8">
        <f>IF(R82="","not in yet",IF(W82&lt;&gt;"",IF(W82&gt;=0.05,"Great for Cooper",IF(W82&gt;=0.01,"Cooper on track",IF(W82&gt;-0.01,"Toss-up",IF(W82&gt;-0.05,"Whatley on track","Great for Whatley"))))&amp;" (margin + turnout)",IF((R82-I82)&gt;=0.05,"Great for Cooper",IF((R82-I82)&gt;=0.01,"Cooper on track",IF((R82-I82)&gt;-0.01,"Toss-up",IF((R82-I82)&gt;-0.05,"Whatley on track","Great for Whatley"))))&amp;IF(Counties!AG723=1,""," (partial count)")))</f>
        <v/>
      </c>
      <c r="Y82" s="17">
        <f>"Break-even "&amp;IF(I82&gt;=0,"D+","R+")&amp;TEXT(ABS(I82)*100,"0.0")&amp;" ("&amp;IF(N82&gt;=0,"D +","R +")&amp;TEXT(ABS(N82),"#,##0")&amp;" net, about "&amp;TEXT(Q82,"#,##0")&amp;" Cooper votes). Cooper at "&amp;IF(K82&gt;=0,"D+","R+")&amp;TEXT(ABS(K82)*100,"0.0")&amp;" or better = great night; "&amp;IF(J82&gt;=0,"D+","R+")&amp;TEXT(ABS(J82)*100,"0.0")&amp;" = on track to win. Whatley holding it to "&amp;IF(H82&gt;=0,"D+","R+")&amp;TEXT(ABS(H82)*100,"0.0")&amp;" = Whatley on track; "&amp;IF(G82&gt;=0,"D+","R+")&amp;TEXT(ABS(G82)*100,"0.0")&amp;" or worse for Cooper = great for Whatley. Turnout: par is about "&amp;TEXT(D82,"#,##0")&amp;" two-party votes ("&amp;TEXT(Counties!AQ723/SUMIFS(Counties!$AQ:$AQ,Counties!$A:$A,"NC"),"0.0%")&amp;" of the state). At 95% of par the break-even moves to "&amp;IF((I82/0.95)&gt;=0,"D+","R+")&amp;TEXT(ABS((I82/0.95))*100,"0.0")&amp;"; at 105%, to "&amp;IF((I82/1.05)&gt;=0,"D+","R+")&amp;TEXT(ABS((I82/1.05))*100,"0.0")&amp;"."</f>
        <v/>
      </c>
    </row>
    <row r="83" ht="58" customHeight="1">
      <c r="A83" s="8" t="inlineStr">
        <is>
          <t>NC</t>
        </is>
      </c>
      <c r="B83" s="8" t="inlineStr">
        <is>
          <t>Davidson</t>
        </is>
      </c>
      <c r="C83" s="8" t="inlineStr">
        <is>
          <t>Mid-size/working metro</t>
        </is>
      </c>
      <c r="D83" s="12">
        <f>Counties!AT701</f>
        <v/>
      </c>
      <c r="E83" s="9">
        <f>Counties!O701</f>
        <v/>
      </c>
      <c r="F83" s="9">
        <f>Counties!R701</f>
        <v/>
      </c>
      <c r="G83" s="9">
        <f>MAX(-1,MIN(1,Counties!O701+-0.05+Dashboard!$F$14))</f>
        <v/>
      </c>
      <c r="H83" s="9">
        <f>MAX(-1,MIN(1,Counties!O701+-0.01+Dashboard!$F$14))</f>
        <v/>
      </c>
      <c r="I83" s="36">
        <f>MAX(-1,MIN(1,Counties!O701+0.0+Dashboard!$F$14))</f>
        <v/>
      </c>
      <c r="J83" s="9">
        <f>MAX(-1,MIN(1,Counties!O701+0.01+Dashboard!$F$14))</f>
        <v/>
      </c>
      <c r="K83" s="9">
        <f>MAX(-1,MIN(1,Counties!O701+0.05+Dashboard!$F$14))</f>
        <v/>
      </c>
      <c r="L83" s="37">
        <f>G83*D83</f>
        <v/>
      </c>
      <c r="M83" s="37">
        <f>H83*D83</f>
        <v/>
      </c>
      <c r="N83" s="37">
        <f>I83*D83</f>
        <v/>
      </c>
      <c r="O83" s="37">
        <f>J83*D83</f>
        <v/>
      </c>
      <c r="P83" s="37">
        <f>K83*D83</f>
        <v/>
      </c>
      <c r="Q83" s="12">
        <f>D83*(1+I83)/2</f>
        <v/>
      </c>
      <c r="R83" s="9">
        <f>Counties!AH701</f>
        <v/>
      </c>
      <c r="S83" s="37">
        <f>IF(Counties!AH701="","",Counties!AH701*Counties!AF701)</f>
        <v/>
      </c>
      <c r="T83" s="13">
        <f>Counties!AO701</f>
        <v/>
      </c>
      <c r="U83" s="16">
        <f>Counties!AU701</f>
        <v/>
      </c>
      <c r="V83" s="9">
        <f>Counties!AV701</f>
        <v/>
      </c>
      <c r="W83" s="10">
        <f>Counties!AY701</f>
        <v/>
      </c>
      <c r="X83" s="8">
        <f>IF(R83="","not in yet",IF(W83&lt;&gt;"",IF(W83&gt;=0.05,"Great for Cooper",IF(W83&gt;=0.01,"Cooper on track",IF(W83&gt;-0.01,"Toss-up",IF(W83&gt;-0.05,"Whatley on track","Great for Whatley"))))&amp;" (margin + turnout)",IF((R83-I83)&gt;=0.05,"Great for Cooper",IF((R83-I83)&gt;=0.01,"Cooper on track",IF((R83-I83)&gt;-0.01,"Toss-up",IF((R83-I83)&gt;-0.05,"Whatley on track","Great for Whatley"))))&amp;IF(Counties!AG701=1,""," (partial count)")))</f>
        <v/>
      </c>
      <c r="Y83" s="17">
        <f>"Break-even "&amp;IF(I83&gt;=0,"D+","R+")&amp;TEXT(ABS(I83)*100,"0.0")&amp;" ("&amp;IF(N83&gt;=0,"D +","R +")&amp;TEXT(ABS(N83),"#,##0")&amp;" net, about "&amp;TEXT(Q83,"#,##0")&amp;" Cooper votes). Cooper at "&amp;IF(K83&gt;=0,"D+","R+")&amp;TEXT(ABS(K83)*100,"0.0")&amp;" or better = great night; "&amp;IF(J83&gt;=0,"D+","R+")&amp;TEXT(ABS(J83)*100,"0.0")&amp;" = on track to win. Whatley holding it to "&amp;IF(H83&gt;=0,"D+","R+")&amp;TEXT(ABS(H83)*100,"0.0")&amp;" = Whatley on track; "&amp;IF(G83&gt;=0,"D+","R+")&amp;TEXT(ABS(G83)*100,"0.0")&amp;" or worse for Cooper = great for Whatley. Turnout: par is about "&amp;TEXT(D83,"#,##0")&amp;" two-party votes ("&amp;TEXT(Counties!AQ701/SUMIFS(Counties!$AQ:$AQ,Counties!$A:$A,"NC"),"0.0%")&amp;" of the state). At 95% of par the break-even moves to "&amp;IF((I83/0.95)&gt;=0,"D+","R+")&amp;TEXT(ABS((I83/0.95))*100,"0.0")&amp;"; at 105%, to "&amp;IF((I83/1.05)&gt;=0,"D+","R+")&amp;TEXT(ABS((I83/1.05))*100,"0.0")&amp;"."</f>
        <v/>
      </c>
    </row>
    <row r="84" ht="58" customHeight="1">
      <c r="A84" s="8" t="inlineStr">
        <is>
          <t>NC</t>
        </is>
      </c>
      <c r="B84" s="8" t="inlineStr">
        <is>
          <t>Randolph</t>
        </is>
      </c>
      <c r="C84" s="8" t="inlineStr">
        <is>
          <t>Mid-size/working metro</t>
        </is>
      </c>
      <c r="D84" s="12">
        <f>Counties!AT748</f>
        <v/>
      </c>
      <c r="E84" s="9">
        <f>Counties!O748</f>
        <v/>
      </c>
      <c r="F84" s="9">
        <f>Counties!R748</f>
        <v/>
      </c>
      <c r="G84" s="9">
        <f>MAX(-1,MIN(1,Counties!O748+-0.05+Dashboard!$F$14))</f>
        <v/>
      </c>
      <c r="H84" s="9">
        <f>MAX(-1,MIN(1,Counties!O748+-0.01+Dashboard!$F$14))</f>
        <v/>
      </c>
      <c r="I84" s="36">
        <f>MAX(-1,MIN(1,Counties!O748+0.0+Dashboard!$F$14))</f>
        <v/>
      </c>
      <c r="J84" s="9">
        <f>MAX(-1,MIN(1,Counties!O748+0.01+Dashboard!$F$14))</f>
        <v/>
      </c>
      <c r="K84" s="9">
        <f>MAX(-1,MIN(1,Counties!O748+0.05+Dashboard!$F$14))</f>
        <v/>
      </c>
      <c r="L84" s="37">
        <f>G84*D84</f>
        <v/>
      </c>
      <c r="M84" s="37">
        <f>H84*D84</f>
        <v/>
      </c>
      <c r="N84" s="37">
        <f>I84*D84</f>
        <v/>
      </c>
      <c r="O84" s="37">
        <f>J84*D84</f>
        <v/>
      </c>
      <c r="P84" s="37">
        <f>K84*D84</f>
        <v/>
      </c>
      <c r="Q84" s="12">
        <f>D84*(1+I84)/2</f>
        <v/>
      </c>
      <c r="R84" s="9">
        <f>Counties!AH748</f>
        <v/>
      </c>
      <c r="S84" s="37">
        <f>IF(Counties!AH748="","",Counties!AH748*Counties!AF748)</f>
        <v/>
      </c>
      <c r="T84" s="13">
        <f>Counties!AO748</f>
        <v/>
      </c>
      <c r="U84" s="16">
        <f>Counties!AU748</f>
        <v/>
      </c>
      <c r="V84" s="9">
        <f>Counties!AV748</f>
        <v/>
      </c>
      <c r="W84" s="10">
        <f>Counties!AY748</f>
        <v/>
      </c>
      <c r="X84" s="8">
        <f>IF(R84="","not in yet",IF(W84&lt;&gt;"",IF(W84&gt;=0.05,"Great for Cooper",IF(W84&gt;=0.01,"Cooper on track",IF(W84&gt;-0.01,"Toss-up",IF(W84&gt;-0.05,"Whatley on track","Great for Whatley"))))&amp;" (margin + turnout)",IF((R84-I84)&gt;=0.05,"Great for Cooper",IF((R84-I84)&gt;=0.01,"Cooper on track",IF((R84-I84)&gt;-0.01,"Toss-up",IF((R84-I84)&gt;-0.05,"Whatley on track","Great for Whatley"))))&amp;IF(Counties!AG748=1,""," (partial count)")))</f>
        <v/>
      </c>
      <c r="Y84" s="17">
        <f>"Break-even "&amp;IF(I84&gt;=0,"D+","R+")&amp;TEXT(ABS(I84)*100,"0.0")&amp;" ("&amp;IF(N84&gt;=0,"D +","R +")&amp;TEXT(ABS(N84),"#,##0")&amp;" net, about "&amp;TEXT(Q84,"#,##0")&amp;" Cooper votes). Cooper at "&amp;IF(K84&gt;=0,"D+","R+")&amp;TEXT(ABS(K84)*100,"0.0")&amp;" or better = great night; "&amp;IF(J84&gt;=0,"D+","R+")&amp;TEXT(ABS(J84)*100,"0.0")&amp;" = on track to win. Whatley holding it to "&amp;IF(H84&gt;=0,"D+","R+")&amp;TEXT(ABS(H84)*100,"0.0")&amp;" = Whatley on track; "&amp;IF(G84&gt;=0,"D+","R+")&amp;TEXT(ABS(G84)*100,"0.0")&amp;" or worse for Cooper = great for Whatley. Turnout: par is about "&amp;TEXT(D84,"#,##0")&amp;" two-party votes ("&amp;TEXT(Counties!AQ748/SUMIFS(Counties!$AQ:$AQ,Counties!$A:$A,"NC"),"0.0%")&amp;" of the state). At 95% of par the break-even moves to "&amp;IF((I84/0.95)&gt;=0,"D+","R+")&amp;TEXT(ABS((I84/0.95))*100,"0.0")&amp;"; at 105%, to "&amp;IF((I84/1.05)&gt;=0,"D+","R+")&amp;TEXT(ABS((I84/1.05))*100,"0.0")&amp;"."</f>
        <v/>
      </c>
    </row>
    <row r="85" ht="58" customHeight="1">
      <c r="A85" s="8" t="inlineStr">
        <is>
          <t>NC</t>
        </is>
      </c>
      <c r="B85" s="8" t="inlineStr">
        <is>
          <t>Robeson</t>
        </is>
      </c>
      <c r="C85" s="8" t="inlineStr">
        <is>
          <t>Native American</t>
        </is>
      </c>
      <c r="D85" s="12">
        <f>Counties!AT750</f>
        <v/>
      </c>
      <c r="E85" s="9">
        <f>Counties!O750</f>
        <v/>
      </c>
      <c r="F85" s="9">
        <f>Counties!R750</f>
        <v/>
      </c>
      <c r="G85" s="9">
        <f>MAX(-1,MIN(1,Counties!O750+-0.05+Dashboard!$F$14))</f>
        <v/>
      </c>
      <c r="H85" s="9">
        <f>MAX(-1,MIN(1,Counties!O750+-0.01+Dashboard!$F$14))</f>
        <v/>
      </c>
      <c r="I85" s="36">
        <f>MAX(-1,MIN(1,Counties!O750+0.0+Dashboard!$F$14))</f>
        <v/>
      </c>
      <c r="J85" s="9">
        <f>MAX(-1,MIN(1,Counties!O750+0.01+Dashboard!$F$14))</f>
        <v/>
      </c>
      <c r="K85" s="9">
        <f>MAX(-1,MIN(1,Counties!O750+0.05+Dashboard!$F$14))</f>
        <v/>
      </c>
      <c r="L85" s="37">
        <f>G85*D85</f>
        <v/>
      </c>
      <c r="M85" s="37">
        <f>H85*D85</f>
        <v/>
      </c>
      <c r="N85" s="37">
        <f>I85*D85</f>
        <v/>
      </c>
      <c r="O85" s="37">
        <f>J85*D85</f>
        <v/>
      </c>
      <c r="P85" s="37">
        <f>K85*D85</f>
        <v/>
      </c>
      <c r="Q85" s="12">
        <f>D85*(1+I85)/2</f>
        <v/>
      </c>
      <c r="R85" s="9">
        <f>Counties!AH750</f>
        <v/>
      </c>
      <c r="S85" s="37">
        <f>IF(Counties!AH750="","",Counties!AH750*Counties!AF750)</f>
        <v/>
      </c>
      <c r="T85" s="13">
        <f>Counties!AO750</f>
        <v/>
      </c>
      <c r="U85" s="16">
        <f>Counties!AU750</f>
        <v/>
      </c>
      <c r="V85" s="9">
        <f>Counties!AV750</f>
        <v/>
      </c>
      <c r="W85" s="10">
        <f>Counties!AY750</f>
        <v/>
      </c>
      <c r="X85" s="8">
        <f>IF(R85="","not in yet",IF(W85&lt;&gt;"",IF(W85&gt;=0.05,"Great for Cooper",IF(W85&gt;=0.01,"Cooper on track",IF(W85&gt;-0.01,"Toss-up",IF(W85&gt;-0.05,"Whatley on track","Great for Whatley"))))&amp;" (margin + turnout)",IF((R85-I85)&gt;=0.05,"Great for Cooper",IF((R85-I85)&gt;=0.01,"Cooper on track",IF((R85-I85)&gt;-0.01,"Toss-up",IF((R85-I85)&gt;-0.05,"Whatley on track","Great for Whatley"))))&amp;IF(Counties!AG750=1,""," (partial count)")))</f>
        <v/>
      </c>
      <c r="Y85" s="17">
        <f>"Break-even "&amp;IF(I85&gt;=0,"D+","R+")&amp;TEXT(ABS(I85)*100,"0.0")&amp;" ("&amp;IF(N85&gt;=0,"D +","R +")&amp;TEXT(ABS(N85),"#,##0")&amp;" net, about "&amp;TEXT(Q85,"#,##0")&amp;" Cooper votes). Cooper at "&amp;IF(K85&gt;=0,"D+","R+")&amp;TEXT(ABS(K85)*100,"0.0")&amp;" or better = great night; "&amp;IF(J85&gt;=0,"D+","R+")&amp;TEXT(ABS(J85)*100,"0.0")&amp;" = on track to win. Whatley holding it to "&amp;IF(H85&gt;=0,"D+","R+")&amp;TEXT(ABS(H85)*100,"0.0")&amp;" = Whatley on track; "&amp;IF(G85&gt;=0,"D+","R+")&amp;TEXT(ABS(G85)*100,"0.0")&amp;" or worse for Cooper = great for Whatley. Turnout: par is about "&amp;TEXT(D85,"#,##0")&amp;" two-party votes ("&amp;TEXT(Counties!AQ750/SUMIFS(Counties!$AQ:$AQ,Counties!$A:$A,"NC"),"0.0%")&amp;" of the state). At 95% of par the break-even moves to "&amp;IF((I85/0.95)&gt;=0,"D+","R+")&amp;TEXT(ABS((I85/0.95))*100,"0.0")&amp;"; at 105%, to "&amp;IF((I85/1.05)&gt;=0,"D+","R+")&amp;TEXT(ABS((I85/1.05))*100,"0.0")&amp;"."</f>
        <v/>
      </c>
    </row>
    <row r="86">
      <c r="A86" s="22" t="inlineStr">
        <is>
          <t>Nebraska: Dan Osborn vs Pete Ricketts · 2024 statewide R+20.8 (R+21.3 with 2022's turnout pattern) · Osborn's columns use Harris's 2024 margins, which understate him in rural counties</t>
        </is>
      </c>
      <c r="B86" s="22" t="n"/>
      <c r="C86" s="22" t="n"/>
      <c r="D86" s="22" t="n"/>
      <c r="E86" s="22" t="n"/>
      <c r="F86" s="22" t="n"/>
      <c r="G86" s="22" t="n"/>
      <c r="H86" s="22" t="n"/>
      <c r="I86" s="22" t="n"/>
      <c r="J86" s="22" t="n"/>
      <c r="K86" s="22" t="n"/>
      <c r="L86" s="22" t="n"/>
      <c r="M86" s="22" t="n"/>
      <c r="N86" s="22" t="n"/>
      <c r="O86" s="22" t="n"/>
      <c r="P86" s="22" t="n"/>
      <c r="Q86" s="22" t="n"/>
      <c r="R86" s="22" t="n"/>
      <c r="S86" s="22" t="n"/>
      <c r="T86" s="22" t="n"/>
      <c r="U86" s="22" t="n"/>
      <c r="V86" s="22" t="n"/>
      <c r="W86" s="22" t="n"/>
      <c r="X86" s="22" t="n"/>
      <c r="Y86" s="22" t="n"/>
    </row>
    <row r="87" ht="58" customHeight="1">
      <c r="A87" s="8" t="inlineStr">
        <is>
          <t>NE</t>
        </is>
      </c>
      <c r="B87" s="8" t="inlineStr">
        <is>
          <t>Douglas</t>
        </is>
      </c>
      <c r="C87" s="8" t="inlineStr">
        <is>
          <t>College suburb/metro</t>
        </is>
      </c>
      <c r="D87" s="12">
        <f>Counties!AT800</f>
        <v/>
      </c>
      <c r="E87" s="9">
        <f>Counties!O800</f>
        <v/>
      </c>
      <c r="F87" s="9">
        <f>Counties!R800</f>
        <v/>
      </c>
      <c r="G87" s="9">
        <f>MAX(-1,MIN(1,Counties!O800+-0.05+Dashboard!$F$15))</f>
        <v/>
      </c>
      <c r="H87" s="9">
        <f>MAX(-1,MIN(1,Counties!O800+-0.01+Dashboard!$F$15))</f>
        <v/>
      </c>
      <c r="I87" s="36">
        <f>MAX(-1,MIN(1,Counties!O800+0.0+Dashboard!$F$15))</f>
        <v/>
      </c>
      <c r="J87" s="9">
        <f>MAX(-1,MIN(1,Counties!O800+0.01+Dashboard!$F$15))</f>
        <v/>
      </c>
      <c r="K87" s="9">
        <f>MAX(-1,MIN(1,Counties!O800+0.05+Dashboard!$F$15))</f>
        <v/>
      </c>
      <c r="L87" s="37">
        <f>G87*D87</f>
        <v/>
      </c>
      <c r="M87" s="37">
        <f>H87*D87</f>
        <v/>
      </c>
      <c r="N87" s="37">
        <f>I87*D87</f>
        <v/>
      </c>
      <c r="O87" s="37">
        <f>J87*D87</f>
        <v/>
      </c>
      <c r="P87" s="37">
        <f>K87*D87</f>
        <v/>
      </c>
      <c r="Q87" s="12">
        <f>D87*(1+I87)/2</f>
        <v/>
      </c>
      <c r="R87" s="9">
        <f>Counties!AH800</f>
        <v/>
      </c>
      <c r="S87" s="37">
        <f>IF(Counties!AH800="","",Counties!AH800*Counties!AF800)</f>
        <v/>
      </c>
      <c r="T87" s="13">
        <f>Counties!AO800</f>
        <v/>
      </c>
      <c r="U87" s="16">
        <f>Counties!AU800</f>
        <v/>
      </c>
      <c r="V87" s="9">
        <f>Counties!AV800</f>
        <v/>
      </c>
      <c r="W87" s="10">
        <f>Counties!AY800</f>
        <v/>
      </c>
      <c r="X87" s="8">
        <f>IF(R87="","not in yet",IF(W87&lt;&gt;"",IF(W87&gt;=0.05,"Great for Osborn",IF(W87&gt;=0.01,"Osborn on track",IF(W87&gt;-0.01,"Toss-up",IF(W87&gt;-0.05,"Ricketts on track","Great for Ricketts"))))&amp;" (margin + turnout)",IF((R87-I87)&gt;=0.05,"Great for Osborn",IF((R87-I87)&gt;=0.01,"Osborn on track",IF((R87-I87)&gt;-0.01,"Toss-up",IF((R87-I87)&gt;-0.05,"Ricketts on track","Great for Ricketts"))))&amp;IF(Counties!AG800=1,""," (partial count)")))</f>
        <v/>
      </c>
      <c r="Y87" s="17">
        <f>"Break-even "&amp;IF(I87&gt;=0,"D+","R+")&amp;TEXT(ABS(I87)*100,"0.0")&amp;" ("&amp;IF(N87&gt;=0,"D +","R +")&amp;TEXT(ABS(N87),"#,##0")&amp;" net, about "&amp;TEXT(Q87,"#,##0")&amp;" Osborn votes). Osborn at "&amp;IF(K87&gt;=0,"D+","R+")&amp;TEXT(ABS(K87)*100,"0.0")&amp;" or better = great night; "&amp;IF(J87&gt;=0,"D+","R+")&amp;TEXT(ABS(J87)*100,"0.0")&amp;" = on track to win. Ricketts holding it to "&amp;IF(H87&gt;=0,"D+","R+")&amp;TEXT(ABS(H87)*100,"0.0")&amp;" = Ricketts on track; "&amp;IF(G87&gt;=0,"D+","R+")&amp;TEXT(ABS(G87)*100,"0.0")&amp;" or worse for Osborn = great for Ricketts. Turnout: par is about "&amp;TEXT(D87,"#,##0")&amp;" two-party votes ("&amp;TEXT(Counties!AQ800/SUMIFS(Counties!$AQ:$AQ,Counties!$A:$A,"NE"),"0.0%")&amp;" of the state). At 95% of par the break-even moves to "&amp;IF((I87/0.95)&gt;=0,"D+","R+")&amp;TEXT(ABS((I87/0.95))*100,"0.0")&amp;"; at 105%, to "&amp;IF((I87/1.05)&gt;=0,"D+","R+")&amp;TEXT(ABS((I87/1.05))*100,"0.0")&amp;"."</f>
        <v/>
      </c>
    </row>
    <row r="88" ht="58" customHeight="1">
      <c r="A88" s="8" t="inlineStr">
        <is>
          <t>NE</t>
        </is>
      </c>
      <c r="B88" s="8" t="inlineStr">
        <is>
          <t>Lancaster</t>
        </is>
      </c>
      <c r="C88" s="8" t="inlineStr">
        <is>
          <t>College suburb/metro</t>
        </is>
      </c>
      <c r="D88" s="12">
        <f>Counties!AT827</f>
        <v/>
      </c>
      <c r="E88" s="9">
        <f>Counties!O827</f>
        <v/>
      </c>
      <c r="F88" s="9">
        <f>Counties!R827</f>
        <v/>
      </c>
      <c r="G88" s="9">
        <f>MAX(-1,MIN(1,Counties!O827+-0.05+Dashboard!$F$15))</f>
        <v/>
      </c>
      <c r="H88" s="9">
        <f>MAX(-1,MIN(1,Counties!O827+-0.01+Dashboard!$F$15))</f>
        <v/>
      </c>
      <c r="I88" s="36">
        <f>MAX(-1,MIN(1,Counties!O827+0.0+Dashboard!$F$15))</f>
        <v/>
      </c>
      <c r="J88" s="9">
        <f>MAX(-1,MIN(1,Counties!O827+0.01+Dashboard!$F$15))</f>
        <v/>
      </c>
      <c r="K88" s="9">
        <f>MAX(-1,MIN(1,Counties!O827+0.05+Dashboard!$F$15))</f>
        <v/>
      </c>
      <c r="L88" s="37">
        <f>G88*D88</f>
        <v/>
      </c>
      <c r="M88" s="37">
        <f>H88*D88</f>
        <v/>
      </c>
      <c r="N88" s="37">
        <f>I88*D88</f>
        <v/>
      </c>
      <c r="O88" s="37">
        <f>J88*D88</f>
        <v/>
      </c>
      <c r="P88" s="37">
        <f>K88*D88</f>
        <v/>
      </c>
      <c r="Q88" s="12">
        <f>D88*(1+I88)/2</f>
        <v/>
      </c>
      <c r="R88" s="9">
        <f>Counties!AH827</f>
        <v/>
      </c>
      <c r="S88" s="37">
        <f>IF(Counties!AH827="","",Counties!AH827*Counties!AF827)</f>
        <v/>
      </c>
      <c r="T88" s="13">
        <f>Counties!AO827</f>
        <v/>
      </c>
      <c r="U88" s="16">
        <f>Counties!AU827</f>
        <v/>
      </c>
      <c r="V88" s="9">
        <f>Counties!AV827</f>
        <v/>
      </c>
      <c r="W88" s="10">
        <f>Counties!AY827</f>
        <v/>
      </c>
      <c r="X88" s="8">
        <f>IF(R88="","not in yet",IF(W88&lt;&gt;"",IF(W88&gt;=0.05,"Great for Osborn",IF(W88&gt;=0.01,"Osborn on track",IF(W88&gt;-0.01,"Toss-up",IF(W88&gt;-0.05,"Ricketts on track","Great for Ricketts"))))&amp;" (margin + turnout)",IF((R88-I88)&gt;=0.05,"Great for Osborn",IF((R88-I88)&gt;=0.01,"Osborn on track",IF((R88-I88)&gt;-0.01,"Toss-up",IF((R88-I88)&gt;-0.05,"Ricketts on track","Great for Ricketts"))))&amp;IF(Counties!AG827=1,""," (partial count)")))</f>
        <v/>
      </c>
      <c r="Y88" s="17">
        <f>"Break-even "&amp;IF(I88&gt;=0,"D+","R+")&amp;TEXT(ABS(I88)*100,"0.0")&amp;" ("&amp;IF(N88&gt;=0,"D +","R +")&amp;TEXT(ABS(N88),"#,##0")&amp;" net, about "&amp;TEXT(Q88,"#,##0")&amp;" Osborn votes). Osborn at "&amp;IF(K88&gt;=0,"D+","R+")&amp;TEXT(ABS(K88)*100,"0.0")&amp;" or better = great night; "&amp;IF(J88&gt;=0,"D+","R+")&amp;TEXT(ABS(J88)*100,"0.0")&amp;" = on track to win. Ricketts holding it to "&amp;IF(H88&gt;=0,"D+","R+")&amp;TEXT(ABS(H88)*100,"0.0")&amp;" = Ricketts on track; "&amp;IF(G88&gt;=0,"D+","R+")&amp;TEXT(ABS(G88)*100,"0.0")&amp;" or worse for Osborn = great for Ricketts. Turnout: par is about "&amp;TEXT(D88,"#,##0")&amp;" two-party votes ("&amp;TEXT(Counties!AQ827/SUMIFS(Counties!$AQ:$AQ,Counties!$A:$A,"NE"),"0.0%")&amp;" of the state). At 95% of par the break-even moves to "&amp;IF((I88/0.95)&gt;=0,"D+","R+")&amp;TEXT(ABS((I88/0.95))*100,"0.0")&amp;"; at 105%, to "&amp;IF((I88/1.05)&gt;=0,"D+","R+")&amp;TEXT(ABS((I88/1.05))*100,"0.0")&amp;"."</f>
        <v/>
      </c>
    </row>
    <row r="89" ht="58" customHeight="1">
      <c r="A89" s="8" t="inlineStr">
        <is>
          <t>NE</t>
        </is>
      </c>
      <c r="B89" s="8" t="inlineStr">
        <is>
          <t>Sarpy</t>
        </is>
      </c>
      <c r="C89" s="8" t="inlineStr">
        <is>
          <t>College suburb/metro</t>
        </is>
      </c>
      <c r="D89" s="12">
        <f>Counties!AT849</f>
        <v/>
      </c>
      <c r="E89" s="9">
        <f>Counties!O849</f>
        <v/>
      </c>
      <c r="F89" s="9">
        <f>Counties!R849</f>
        <v/>
      </c>
      <c r="G89" s="9">
        <f>MAX(-1,MIN(1,Counties!O849+-0.05+Dashboard!$F$15))</f>
        <v/>
      </c>
      <c r="H89" s="9">
        <f>MAX(-1,MIN(1,Counties!O849+-0.01+Dashboard!$F$15))</f>
        <v/>
      </c>
      <c r="I89" s="36">
        <f>MAX(-1,MIN(1,Counties!O849+0.0+Dashboard!$F$15))</f>
        <v/>
      </c>
      <c r="J89" s="9">
        <f>MAX(-1,MIN(1,Counties!O849+0.01+Dashboard!$F$15))</f>
        <v/>
      </c>
      <c r="K89" s="9">
        <f>MAX(-1,MIN(1,Counties!O849+0.05+Dashboard!$F$15))</f>
        <v/>
      </c>
      <c r="L89" s="37">
        <f>G89*D89</f>
        <v/>
      </c>
      <c r="M89" s="37">
        <f>H89*D89</f>
        <v/>
      </c>
      <c r="N89" s="37">
        <f>I89*D89</f>
        <v/>
      </c>
      <c r="O89" s="37">
        <f>J89*D89</f>
        <v/>
      </c>
      <c r="P89" s="37">
        <f>K89*D89</f>
        <v/>
      </c>
      <c r="Q89" s="12">
        <f>D89*(1+I89)/2</f>
        <v/>
      </c>
      <c r="R89" s="9">
        <f>Counties!AH849</f>
        <v/>
      </c>
      <c r="S89" s="37">
        <f>IF(Counties!AH849="","",Counties!AH849*Counties!AF849)</f>
        <v/>
      </c>
      <c r="T89" s="13">
        <f>Counties!AO849</f>
        <v/>
      </c>
      <c r="U89" s="16">
        <f>Counties!AU849</f>
        <v/>
      </c>
      <c r="V89" s="9">
        <f>Counties!AV849</f>
        <v/>
      </c>
      <c r="W89" s="10">
        <f>Counties!AY849</f>
        <v/>
      </c>
      <c r="X89" s="8">
        <f>IF(R89="","not in yet",IF(W89&lt;&gt;"",IF(W89&gt;=0.05,"Great for Osborn",IF(W89&gt;=0.01,"Osborn on track",IF(W89&gt;-0.01,"Toss-up",IF(W89&gt;-0.05,"Ricketts on track","Great for Ricketts"))))&amp;" (margin + turnout)",IF((R89-I89)&gt;=0.05,"Great for Osborn",IF((R89-I89)&gt;=0.01,"Osborn on track",IF((R89-I89)&gt;-0.01,"Toss-up",IF((R89-I89)&gt;-0.05,"Ricketts on track","Great for Ricketts"))))&amp;IF(Counties!AG849=1,""," (partial count)")))</f>
        <v/>
      </c>
      <c r="Y89" s="17">
        <f>"Break-even "&amp;IF(I89&gt;=0,"D+","R+")&amp;TEXT(ABS(I89)*100,"0.0")&amp;" ("&amp;IF(N89&gt;=0,"D +","R +")&amp;TEXT(ABS(N89),"#,##0")&amp;" net, about "&amp;TEXT(Q89,"#,##0")&amp;" Osborn votes). Osborn at "&amp;IF(K89&gt;=0,"D+","R+")&amp;TEXT(ABS(K89)*100,"0.0")&amp;" or better = great night; "&amp;IF(J89&gt;=0,"D+","R+")&amp;TEXT(ABS(J89)*100,"0.0")&amp;" = on track to win. Ricketts holding it to "&amp;IF(H89&gt;=0,"D+","R+")&amp;TEXT(ABS(H89)*100,"0.0")&amp;" = Ricketts on track; "&amp;IF(G89&gt;=0,"D+","R+")&amp;TEXT(ABS(G89)*100,"0.0")&amp;" or worse for Osborn = great for Ricketts. Turnout: par is about "&amp;TEXT(D89,"#,##0")&amp;" two-party votes ("&amp;TEXT(Counties!AQ849/SUMIFS(Counties!$AQ:$AQ,Counties!$A:$A,"NE"),"0.0%")&amp;" of the state). At 95% of par the break-even moves to "&amp;IF((I89/0.95)&gt;=0,"D+","R+")&amp;TEXT(ABS((I89/0.95))*100,"0.0")&amp;"; at 105%, to "&amp;IF((I89/1.05)&gt;=0,"D+","R+")&amp;TEXT(ABS((I89/1.05))*100,"0.0")&amp;"."</f>
        <v/>
      </c>
    </row>
    <row r="90" ht="58" customHeight="1">
      <c r="A90" s="8" t="inlineStr">
        <is>
          <t>NE</t>
        </is>
      </c>
      <c r="B90" s="8" t="inlineStr">
        <is>
          <t>Buffalo</t>
        </is>
      </c>
      <c r="C90" s="8" t="inlineStr">
        <is>
          <t>Small town &amp; rural</t>
        </is>
      </c>
      <c r="D90" s="12">
        <f>Counties!AT782</f>
        <v/>
      </c>
      <c r="E90" s="9">
        <f>Counties!O782</f>
        <v/>
      </c>
      <c r="F90" s="9">
        <f>Counties!R782</f>
        <v/>
      </c>
      <c r="G90" s="9">
        <f>MAX(-1,MIN(1,Counties!O782+-0.05+Dashboard!$F$15))</f>
        <v/>
      </c>
      <c r="H90" s="9">
        <f>MAX(-1,MIN(1,Counties!O782+-0.01+Dashboard!$F$15))</f>
        <v/>
      </c>
      <c r="I90" s="36">
        <f>MAX(-1,MIN(1,Counties!O782+0.0+Dashboard!$F$15))</f>
        <v/>
      </c>
      <c r="J90" s="9">
        <f>MAX(-1,MIN(1,Counties!O782+0.01+Dashboard!$F$15))</f>
        <v/>
      </c>
      <c r="K90" s="9">
        <f>MAX(-1,MIN(1,Counties!O782+0.05+Dashboard!$F$15))</f>
        <v/>
      </c>
      <c r="L90" s="37">
        <f>G90*D90</f>
        <v/>
      </c>
      <c r="M90" s="37">
        <f>H90*D90</f>
        <v/>
      </c>
      <c r="N90" s="37">
        <f>I90*D90</f>
        <v/>
      </c>
      <c r="O90" s="37">
        <f>J90*D90</f>
        <v/>
      </c>
      <c r="P90" s="37">
        <f>K90*D90</f>
        <v/>
      </c>
      <c r="Q90" s="12">
        <f>D90*(1+I90)/2</f>
        <v/>
      </c>
      <c r="R90" s="9">
        <f>Counties!AH782</f>
        <v/>
      </c>
      <c r="S90" s="37">
        <f>IF(Counties!AH782="","",Counties!AH782*Counties!AF782)</f>
        <v/>
      </c>
      <c r="T90" s="13">
        <f>Counties!AO782</f>
        <v/>
      </c>
      <c r="U90" s="16">
        <f>Counties!AU782</f>
        <v/>
      </c>
      <c r="V90" s="9">
        <f>Counties!AV782</f>
        <v/>
      </c>
      <c r="W90" s="10">
        <f>Counties!AY782</f>
        <v/>
      </c>
      <c r="X90" s="8">
        <f>IF(R90="","not in yet",IF(W90&lt;&gt;"",IF(W90&gt;=0.05,"Great for Osborn",IF(W90&gt;=0.01,"Osborn on track",IF(W90&gt;-0.01,"Toss-up",IF(W90&gt;-0.05,"Ricketts on track","Great for Ricketts"))))&amp;" (margin + turnout)",IF((R90-I90)&gt;=0.05,"Great for Osborn",IF((R90-I90)&gt;=0.01,"Osborn on track",IF((R90-I90)&gt;-0.01,"Toss-up",IF((R90-I90)&gt;-0.05,"Ricketts on track","Great for Ricketts"))))&amp;IF(Counties!AG782=1,""," (partial count)")))</f>
        <v/>
      </c>
      <c r="Y90" s="17">
        <f>"Break-even "&amp;IF(I90&gt;=0,"D+","R+")&amp;TEXT(ABS(I90)*100,"0.0")&amp;" ("&amp;IF(N90&gt;=0,"D +","R +")&amp;TEXT(ABS(N90),"#,##0")&amp;" net, about "&amp;TEXT(Q90,"#,##0")&amp;" Osborn votes). Osborn at "&amp;IF(K90&gt;=0,"D+","R+")&amp;TEXT(ABS(K90)*100,"0.0")&amp;" or better = great night; "&amp;IF(J90&gt;=0,"D+","R+")&amp;TEXT(ABS(J90)*100,"0.0")&amp;" = on track to win. Ricketts holding it to "&amp;IF(H90&gt;=0,"D+","R+")&amp;TEXT(ABS(H90)*100,"0.0")&amp;" = Ricketts on track; "&amp;IF(G90&gt;=0,"D+","R+")&amp;TEXT(ABS(G90)*100,"0.0")&amp;" or worse for Osborn = great for Ricketts. Turnout: par is about "&amp;TEXT(D90,"#,##0")&amp;" two-party votes ("&amp;TEXT(Counties!AQ782/SUMIFS(Counties!$AQ:$AQ,Counties!$A:$A,"NE"),"0.0%")&amp;" of the state). At 95% of par the break-even moves to "&amp;IF((I90/0.95)&gt;=0,"D+","R+")&amp;TEXT(ABS((I90/0.95))*100,"0.0")&amp;"; at 105%, to "&amp;IF((I90/1.05)&gt;=0,"D+","R+")&amp;TEXT(ABS((I90/1.05))*100,"0.0")&amp;"."</f>
        <v/>
      </c>
    </row>
    <row r="91" ht="58" customHeight="1">
      <c r="A91" s="8" t="inlineStr">
        <is>
          <t>NE</t>
        </is>
      </c>
      <c r="B91" s="8" t="inlineStr">
        <is>
          <t>Hall</t>
        </is>
      </c>
      <c r="C91" s="8" t="inlineStr">
        <is>
          <t>Small town &amp; rural</t>
        </is>
      </c>
      <c r="D91" s="12">
        <f>Counties!AT812</f>
        <v/>
      </c>
      <c r="E91" s="9">
        <f>Counties!O812</f>
        <v/>
      </c>
      <c r="F91" s="9">
        <f>Counties!R812</f>
        <v/>
      </c>
      <c r="G91" s="9">
        <f>MAX(-1,MIN(1,Counties!O812+-0.05+Dashboard!$F$15))</f>
        <v/>
      </c>
      <c r="H91" s="9">
        <f>MAX(-1,MIN(1,Counties!O812+-0.01+Dashboard!$F$15))</f>
        <v/>
      </c>
      <c r="I91" s="36">
        <f>MAX(-1,MIN(1,Counties!O812+0.0+Dashboard!$F$15))</f>
        <v/>
      </c>
      <c r="J91" s="9">
        <f>MAX(-1,MIN(1,Counties!O812+0.01+Dashboard!$F$15))</f>
        <v/>
      </c>
      <c r="K91" s="9">
        <f>MAX(-1,MIN(1,Counties!O812+0.05+Dashboard!$F$15))</f>
        <v/>
      </c>
      <c r="L91" s="37">
        <f>G91*D91</f>
        <v/>
      </c>
      <c r="M91" s="37">
        <f>H91*D91</f>
        <v/>
      </c>
      <c r="N91" s="37">
        <f>I91*D91</f>
        <v/>
      </c>
      <c r="O91" s="37">
        <f>J91*D91</f>
        <v/>
      </c>
      <c r="P91" s="37">
        <f>K91*D91</f>
        <v/>
      </c>
      <c r="Q91" s="12">
        <f>D91*(1+I91)/2</f>
        <v/>
      </c>
      <c r="R91" s="9">
        <f>Counties!AH812</f>
        <v/>
      </c>
      <c r="S91" s="37">
        <f>IF(Counties!AH812="","",Counties!AH812*Counties!AF812)</f>
        <v/>
      </c>
      <c r="T91" s="13">
        <f>Counties!AO812</f>
        <v/>
      </c>
      <c r="U91" s="16">
        <f>Counties!AU812</f>
        <v/>
      </c>
      <c r="V91" s="9">
        <f>Counties!AV812</f>
        <v/>
      </c>
      <c r="W91" s="10">
        <f>Counties!AY812</f>
        <v/>
      </c>
      <c r="X91" s="8">
        <f>IF(R91="","not in yet",IF(W91&lt;&gt;"",IF(W91&gt;=0.05,"Great for Osborn",IF(W91&gt;=0.01,"Osborn on track",IF(W91&gt;-0.01,"Toss-up",IF(W91&gt;-0.05,"Ricketts on track","Great for Ricketts"))))&amp;" (margin + turnout)",IF((R91-I91)&gt;=0.05,"Great for Osborn",IF((R91-I91)&gt;=0.01,"Osborn on track",IF((R91-I91)&gt;-0.01,"Toss-up",IF((R91-I91)&gt;-0.05,"Ricketts on track","Great for Ricketts"))))&amp;IF(Counties!AG812=1,""," (partial count)")))</f>
        <v/>
      </c>
      <c r="Y91" s="17">
        <f>"Break-even "&amp;IF(I91&gt;=0,"D+","R+")&amp;TEXT(ABS(I91)*100,"0.0")&amp;" ("&amp;IF(N91&gt;=0,"D +","R +")&amp;TEXT(ABS(N91),"#,##0")&amp;" net, about "&amp;TEXT(Q91,"#,##0")&amp;" Osborn votes). Osborn at "&amp;IF(K91&gt;=0,"D+","R+")&amp;TEXT(ABS(K91)*100,"0.0")&amp;" or better = great night; "&amp;IF(J91&gt;=0,"D+","R+")&amp;TEXT(ABS(J91)*100,"0.0")&amp;" = on track to win. Ricketts holding it to "&amp;IF(H91&gt;=0,"D+","R+")&amp;TEXT(ABS(H91)*100,"0.0")&amp;" = Ricketts on track; "&amp;IF(G91&gt;=0,"D+","R+")&amp;TEXT(ABS(G91)*100,"0.0")&amp;" or worse for Osborn = great for Ricketts. Turnout: par is about "&amp;TEXT(D91,"#,##0")&amp;" two-party votes ("&amp;TEXT(Counties!AQ812/SUMIFS(Counties!$AQ:$AQ,Counties!$A:$A,"NE"),"0.0%")&amp;" of the state). At 95% of par the break-even moves to "&amp;IF((I91/0.95)&gt;=0,"D+","R+")&amp;TEXT(ABS((I91/0.95))*100,"0.0")&amp;"; at 105%, to "&amp;IF((I91/1.05)&gt;=0,"D+","R+")&amp;TEXT(ABS((I91/1.05))*100,"0.0")&amp;"."</f>
        <v/>
      </c>
    </row>
    <row r="92" ht="58" customHeight="1">
      <c r="A92" s="8" t="inlineStr">
        <is>
          <t>NE</t>
        </is>
      </c>
      <c r="B92" s="8" t="inlineStr">
        <is>
          <t>Lincoln</t>
        </is>
      </c>
      <c r="C92" s="8" t="inlineStr">
        <is>
          <t>Small town &amp; rural</t>
        </is>
      </c>
      <c r="D92" s="12">
        <f>Counties!AT828</f>
        <v/>
      </c>
      <c r="E92" s="9">
        <f>Counties!O828</f>
        <v/>
      </c>
      <c r="F92" s="9">
        <f>Counties!R828</f>
        <v/>
      </c>
      <c r="G92" s="9">
        <f>MAX(-1,MIN(1,Counties!O828+-0.05+Dashboard!$F$15))</f>
        <v/>
      </c>
      <c r="H92" s="9">
        <f>MAX(-1,MIN(1,Counties!O828+-0.01+Dashboard!$F$15))</f>
        <v/>
      </c>
      <c r="I92" s="36">
        <f>MAX(-1,MIN(1,Counties!O828+0.0+Dashboard!$F$15))</f>
        <v/>
      </c>
      <c r="J92" s="9">
        <f>MAX(-1,MIN(1,Counties!O828+0.01+Dashboard!$F$15))</f>
        <v/>
      </c>
      <c r="K92" s="9">
        <f>MAX(-1,MIN(1,Counties!O828+0.05+Dashboard!$F$15))</f>
        <v/>
      </c>
      <c r="L92" s="37">
        <f>G92*D92</f>
        <v/>
      </c>
      <c r="M92" s="37">
        <f>H92*D92</f>
        <v/>
      </c>
      <c r="N92" s="37">
        <f>I92*D92</f>
        <v/>
      </c>
      <c r="O92" s="37">
        <f>J92*D92</f>
        <v/>
      </c>
      <c r="P92" s="37">
        <f>K92*D92</f>
        <v/>
      </c>
      <c r="Q92" s="12">
        <f>D92*(1+I92)/2</f>
        <v/>
      </c>
      <c r="R92" s="9">
        <f>Counties!AH828</f>
        <v/>
      </c>
      <c r="S92" s="37">
        <f>IF(Counties!AH828="","",Counties!AH828*Counties!AF828)</f>
        <v/>
      </c>
      <c r="T92" s="13">
        <f>Counties!AO828</f>
        <v/>
      </c>
      <c r="U92" s="16">
        <f>Counties!AU828</f>
        <v/>
      </c>
      <c r="V92" s="9">
        <f>Counties!AV828</f>
        <v/>
      </c>
      <c r="W92" s="10">
        <f>Counties!AY828</f>
        <v/>
      </c>
      <c r="X92" s="8">
        <f>IF(R92="","not in yet",IF(W92&lt;&gt;"",IF(W92&gt;=0.05,"Great for Osborn",IF(W92&gt;=0.01,"Osborn on track",IF(W92&gt;-0.01,"Toss-up",IF(W92&gt;-0.05,"Ricketts on track","Great for Ricketts"))))&amp;" (margin + turnout)",IF((R92-I92)&gt;=0.05,"Great for Osborn",IF((R92-I92)&gt;=0.01,"Osborn on track",IF((R92-I92)&gt;-0.01,"Toss-up",IF((R92-I92)&gt;-0.05,"Ricketts on track","Great for Ricketts"))))&amp;IF(Counties!AG828=1,""," (partial count)")))</f>
        <v/>
      </c>
      <c r="Y92" s="17">
        <f>"Break-even "&amp;IF(I92&gt;=0,"D+","R+")&amp;TEXT(ABS(I92)*100,"0.0")&amp;" ("&amp;IF(N92&gt;=0,"D +","R +")&amp;TEXT(ABS(N92),"#,##0")&amp;" net, about "&amp;TEXT(Q92,"#,##0")&amp;" Osborn votes). Osborn at "&amp;IF(K92&gt;=0,"D+","R+")&amp;TEXT(ABS(K92)*100,"0.0")&amp;" or better = great night; "&amp;IF(J92&gt;=0,"D+","R+")&amp;TEXT(ABS(J92)*100,"0.0")&amp;" = on track to win. Ricketts holding it to "&amp;IF(H92&gt;=0,"D+","R+")&amp;TEXT(ABS(H92)*100,"0.0")&amp;" = Ricketts on track; "&amp;IF(G92&gt;=0,"D+","R+")&amp;TEXT(ABS(G92)*100,"0.0")&amp;" or worse for Osborn = great for Ricketts. Turnout: par is about "&amp;TEXT(D92,"#,##0")&amp;" two-party votes ("&amp;TEXT(Counties!AQ828/SUMIFS(Counties!$AQ:$AQ,Counties!$A:$A,"NE"),"0.0%")&amp;" of the state). At 95% of par the break-even moves to "&amp;IF((I92/0.95)&gt;=0,"D+","R+")&amp;TEXT(ABS((I92/0.95))*100,"0.0")&amp;"; at 105%, to "&amp;IF((I92/1.05)&gt;=0,"D+","R+")&amp;TEXT(ABS((I92/1.05))*100,"0.0")&amp;"."</f>
        <v/>
      </c>
    </row>
    <row r="93">
      <c r="A93" s="22" t="inlineStr">
        <is>
          <t>New Hampshire: Chris Pappas vs John E. Sununu · 2024 statewide D+2.8 (D+2.8 with 2022's turnout pattern)</t>
        </is>
      </c>
      <c r="B93" s="22" t="n"/>
      <c r="C93" s="22" t="n"/>
      <c r="D93" s="22" t="n"/>
      <c r="E93" s="22" t="n"/>
      <c r="F93" s="22" t="n"/>
      <c r="G93" s="22" t="n"/>
      <c r="H93" s="22" t="n"/>
      <c r="I93" s="22" t="n"/>
      <c r="J93" s="22" t="n"/>
      <c r="K93" s="22" t="n"/>
      <c r="L93" s="22" t="n"/>
      <c r="M93" s="22" t="n"/>
      <c r="N93" s="22" t="n"/>
      <c r="O93" s="22" t="n"/>
      <c r="P93" s="22" t="n"/>
      <c r="Q93" s="22" t="n"/>
      <c r="R93" s="22" t="n"/>
      <c r="S93" s="22" t="n"/>
      <c r="T93" s="22" t="n"/>
      <c r="U93" s="22" t="n"/>
      <c r="V93" s="22" t="n"/>
      <c r="W93" s="22" t="n"/>
      <c r="X93" s="22" t="n"/>
      <c r="Y93" s="22" t="n"/>
    </row>
    <row r="94" ht="58" customHeight="1">
      <c r="A94" s="8" t="inlineStr">
        <is>
          <t>NH</t>
        </is>
      </c>
      <c r="B94" s="8" t="inlineStr">
        <is>
          <t>Hillsborough</t>
        </is>
      </c>
      <c r="C94" s="8" t="inlineStr">
        <is>
          <t>College suburb/metro</t>
        </is>
      </c>
      <c r="D94" s="12">
        <f>Counties!AT871</f>
        <v/>
      </c>
      <c r="E94" s="9">
        <f>Counties!O871</f>
        <v/>
      </c>
      <c r="F94" s="9">
        <f>Counties!R871</f>
        <v/>
      </c>
      <c r="G94" s="9">
        <f>MAX(-1,MIN(1,Counties!O871+-0.05+Dashboard!$F$16))</f>
        <v/>
      </c>
      <c r="H94" s="9">
        <f>MAX(-1,MIN(1,Counties!O871+-0.01+Dashboard!$F$16))</f>
        <v/>
      </c>
      <c r="I94" s="36">
        <f>MAX(-1,MIN(1,Counties!O871+0.0+Dashboard!$F$16))</f>
        <v/>
      </c>
      <c r="J94" s="9">
        <f>MAX(-1,MIN(1,Counties!O871+0.01+Dashboard!$F$16))</f>
        <v/>
      </c>
      <c r="K94" s="9">
        <f>MAX(-1,MIN(1,Counties!O871+0.05+Dashboard!$F$16))</f>
        <v/>
      </c>
      <c r="L94" s="37">
        <f>G94*D94</f>
        <v/>
      </c>
      <c r="M94" s="37">
        <f>H94*D94</f>
        <v/>
      </c>
      <c r="N94" s="37">
        <f>I94*D94</f>
        <v/>
      </c>
      <c r="O94" s="37">
        <f>J94*D94</f>
        <v/>
      </c>
      <c r="P94" s="37">
        <f>K94*D94</f>
        <v/>
      </c>
      <c r="Q94" s="12">
        <f>D94*(1+I94)/2</f>
        <v/>
      </c>
      <c r="R94" s="9">
        <f>Counties!AH871</f>
        <v/>
      </c>
      <c r="S94" s="37">
        <f>IF(Counties!AH871="","",Counties!AH871*Counties!AF871)</f>
        <v/>
      </c>
      <c r="T94" s="13">
        <f>Counties!AO871</f>
        <v/>
      </c>
      <c r="U94" s="16">
        <f>Counties!AU871</f>
        <v/>
      </c>
      <c r="V94" s="9">
        <f>Counties!AV871</f>
        <v/>
      </c>
      <c r="W94" s="10">
        <f>Counties!AY871</f>
        <v/>
      </c>
      <c r="X94" s="8">
        <f>IF(R94="","not in yet",IF(W94&lt;&gt;"",IF(W94&gt;=0.05,"Great for Pappas",IF(W94&gt;=0.01,"Pappas on track",IF(W94&gt;-0.01,"Toss-up",IF(W94&gt;-0.05,"Sununu on track","Great for Sununu"))))&amp;" (margin + turnout)",IF((R94-I94)&gt;=0.05,"Great for Pappas",IF((R94-I94)&gt;=0.01,"Pappas on track",IF((R94-I94)&gt;-0.01,"Toss-up",IF((R94-I94)&gt;-0.05,"Sununu on track","Great for Sununu"))))&amp;IF(Counties!AG871=1,""," (partial count)")))</f>
        <v/>
      </c>
      <c r="Y94" s="17">
        <f>"Break-even "&amp;IF(I94&gt;=0,"D+","R+")&amp;TEXT(ABS(I94)*100,"0.0")&amp;" ("&amp;IF(N94&gt;=0,"D +","R +")&amp;TEXT(ABS(N94),"#,##0")&amp;" net, about "&amp;TEXT(Q94,"#,##0")&amp;" Pappas votes). Pappas at "&amp;IF(K94&gt;=0,"D+","R+")&amp;TEXT(ABS(K94)*100,"0.0")&amp;" or better = great night; "&amp;IF(J94&gt;=0,"D+","R+")&amp;TEXT(ABS(J94)*100,"0.0")&amp;" = on track to win. Sununu holding it to "&amp;IF(H94&gt;=0,"D+","R+")&amp;TEXT(ABS(H94)*100,"0.0")&amp;" = Sununu on track; "&amp;IF(G94&gt;=0,"D+","R+")&amp;TEXT(ABS(G94)*100,"0.0")&amp;" or worse for Pappas = great for Sununu. Turnout: par is about "&amp;TEXT(D94,"#,##0")&amp;" two-party votes ("&amp;TEXT(Counties!AQ871/SUMIFS(Counties!$AQ:$AQ,Counties!$A:$A,"NH"),"0.0%")&amp;" of the state). At 95% of par the break-even moves to "&amp;IF((I94/0.95)&gt;=0,"D+","R+")&amp;TEXT(ABS((I94/0.95))*100,"0.0")&amp;"; at 105%, to "&amp;IF((I94/1.05)&gt;=0,"D+","R+")&amp;TEXT(ABS((I94/1.05))*100,"0.0")&amp;"."</f>
        <v/>
      </c>
    </row>
    <row r="95" ht="58" customHeight="1">
      <c r="A95" s="8" t="inlineStr">
        <is>
          <t>NH</t>
        </is>
      </c>
      <c r="B95" s="8" t="inlineStr">
        <is>
          <t>Rockingham</t>
        </is>
      </c>
      <c r="C95" s="8" t="inlineStr">
        <is>
          <t>College suburb/metro</t>
        </is>
      </c>
      <c r="D95" s="12">
        <f>Counties!AT873</f>
        <v/>
      </c>
      <c r="E95" s="9">
        <f>Counties!O873</f>
        <v/>
      </c>
      <c r="F95" s="9">
        <f>Counties!R873</f>
        <v/>
      </c>
      <c r="G95" s="9">
        <f>MAX(-1,MIN(1,Counties!O873+-0.05+Dashboard!$F$16))</f>
        <v/>
      </c>
      <c r="H95" s="9">
        <f>MAX(-1,MIN(1,Counties!O873+-0.01+Dashboard!$F$16))</f>
        <v/>
      </c>
      <c r="I95" s="36">
        <f>MAX(-1,MIN(1,Counties!O873+0.0+Dashboard!$F$16))</f>
        <v/>
      </c>
      <c r="J95" s="9">
        <f>MAX(-1,MIN(1,Counties!O873+0.01+Dashboard!$F$16))</f>
        <v/>
      </c>
      <c r="K95" s="9">
        <f>MAX(-1,MIN(1,Counties!O873+0.05+Dashboard!$F$16))</f>
        <v/>
      </c>
      <c r="L95" s="37">
        <f>G95*D95</f>
        <v/>
      </c>
      <c r="M95" s="37">
        <f>H95*D95</f>
        <v/>
      </c>
      <c r="N95" s="37">
        <f>I95*D95</f>
        <v/>
      </c>
      <c r="O95" s="37">
        <f>J95*D95</f>
        <v/>
      </c>
      <c r="P95" s="37">
        <f>K95*D95</f>
        <v/>
      </c>
      <c r="Q95" s="12">
        <f>D95*(1+I95)/2</f>
        <v/>
      </c>
      <c r="R95" s="9">
        <f>Counties!AH873</f>
        <v/>
      </c>
      <c r="S95" s="37">
        <f>IF(Counties!AH873="","",Counties!AH873*Counties!AF873)</f>
        <v/>
      </c>
      <c r="T95" s="13">
        <f>Counties!AO873</f>
        <v/>
      </c>
      <c r="U95" s="16">
        <f>Counties!AU873</f>
        <v/>
      </c>
      <c r="V95" s="9">
        <f>Counties!AV873</f>
        <v/>
      </c>
      <c r="W95" s="10">
        <f>Counties!AY873</f>
        <v/>
      </c>
      <c r="X95" s="8">
        <f>IF(R95="","not in yet",IF(W95&lt;&gt;"",IF(W95&gt;=0.05,"Great for Pappas",IF(W95&gt;=0.01,"Pappas on track",IF(W95&gt;-0.01,"Toss-up",IF(W95&gt;-0.05,"Sununu on track","Great for Sununu"))))&amp;" (margin + turnout)",IF((R95-I95)&gt;=0.05,"Great for Pappas",IF((R95-I95)&gt;=0.01,"Pappas on track",IF((R95-I95)&gt;-0.01,"Toss-up",IF((R95-I95)&gt;-0.05,"Sununu on track","Great for Sununu"))))&amp;IF(Counties!AG873=1,""," (partial count)")))</f>
        <v/>
      </c>
      <c r="Y95" s="17">
        <f>"Break-even "&amp;IF(I95&gt;=0,"D+","R+")&amp;TEXT(ABS(I95)*100,"0.0")&amp;" ("&amp;IF(N95&gt;=0,"D +","R +")&amp;TEXT(ABS(N95),"#,##0")&amp;" net, about "&amp;TEXT(Q95,"#,##0")&amp;" Pappas votes). Pappas at "&amp;IF(K95&gt;=0,"D+","R+")&amp;TEXT(ABS(K95)*100,"0.0")&amp;" or better = great night; "&amp;IF(J95&gt;=0,"D+","R+")&amp;TEXT(ABS(J95)*100,"0.0")&amp;" = on track to win. Sununu holding it to "&amp;IF(H95&gt;=0,"D+","R+")&amp;TEXT(ABS(H95)*100,"0.0")&amp;" = Sununu on track; "&amp;IF(G95&gt;=0,"D+","R+")&amp;TEXT(ABS(G95)*100,"0.0")&amp;" or worse for Pappas = great for Sununu. Turnout: par is about "&amp;TEXT(D95,"#,##0")&amp;" two-party votes ("&amp;TEXT(Counties!AQ873/SUMIFS(Counties!$AQ:$AQ,Counties!$A:$A,"NH"),"0.0%")&amp;" of the state). At 95% of par the break-even moves to "&amp;IF((I95/0.95)&gt;=0,"D+","R+")&amp;TEXT(ABS((I95/0.95))*100,"0.0")&amp;"; at 105%, to "&amp;IF((I95/1.05)&gt;=0,"D+","R+")&amp;TEXT(ABS((I95/1.05))*100,"0.0")&amp;"."</f>
        <v/>
      </c>
    </row>
    <row r="96" ht="58" customHeight="1">
      <c r="A96" s="8" t="inlineStr">
        <is>
          <t>NH</t>
        </is>
      </c>
      <c r="B96" s="8" t="inlineStr">
        <is>
          <t>Merrimack</t>
        </is>
      </c>
      <c r="C96" s="8" t="inlineStr">
        <is>
          <t>Mid-size/working metro</t>
        </is>
      </c>
      <c r="D96" s="12">
        <f>Counties!AT872</f>
        <v/>
      </c>
      <c r="E96" s="9">
        <f>Counties!O872</f>
        <v/>
      </c>
      <c r="F96" s="9">
        <f>Counties!R872</f>
        <v/>
      </c>
      <c r="G96" s="9">
        <f>MAX(-1,MIN(1,Counties!O872+-0.05+Dashboard!$F$16))</f>
        <v/>
      </c>
      <c r="H96" s="9">
        <f>MAX(-1,MIN(1,Counties!O872+-0.01+Dashboard!$F$16))</f>
        <v/>
      </c>
      <c r="I96" s="36">
        <f>MAX(-1,MIN(1,Counties!O872+0.0+Dashboard!$F$16))</f>
        <v/>
      </c>
      <c r="J96" s="9">
        <f>MAX(-1,MIN(1,Counties!O872+0.01+Dashboard!$F$16))</f>
        <v/>
      </c>
      <c r="K96" s="9">
        <f>MAX(-1,MIN(1,Counties!O872+0.05+Dashboard!$F$16))</f>
        <v/>
      </c>
      <c r="L96" s="37">
        <f>G96*D96</f>
        <v/>
      </c>
      <c r="M96" s="37">
        <f>H96*D96</f>
        <v/>
      </c>
      <c r="N96" s="37">
        <f>I96*D96</f>
        <v/>
      </c>
      <c r="O96" s="37">
        <f>J96*D96</f>
        <v/>
      </c>
      <c r="P96" s="37">
        <f>K96*D96</f>
        <v/>
      </c>
      <c r="Q96" s="12">
        <f>D96*(1+I96)/2</f>
        <v/>
      </c>
      <c r="R96" s="9">
        <f>Counties!AH872</f>
        <v/>
      </c>
      <c r="S96" s="37">
        <f>IF(Counties!AH872="","",Counties!AH872*Counties!AF872)</f>
        <v/>
      </c>
      <c r="T96" s="13">
        <f>Counties!AO872</f>
        <v/>
      </c>
      <c r="U96" s="16">
        <f>Counties!AU872</f>
        <v/>
      </c>
      <c r="V96" s="9">
        <f>Counties!AV872</f>
        <v/>
      </c>
      <c r="W96" s="10">
        <f>Counties!AY872</f>
        <v/>
      </c>
      <c r="X96" s="8">
        <f>IF(R96="","not in yet",IF(W96&lt;&gt;"",IF(W96&gt;=0.05,"Great for Pappas",IF(W96&gt;=0.01,"Pappas on track",IF(W96&gt;-0.01,"Toss-up",IF(W96&gt;-0.05,"Sununu on track","Great for Sununu"))))&amp;" (margin + turnout)",IF((R96-I96)&gt;=0.05,"Great for Pappas",IF((R96-I96)&gt;=0.01,"Pappas on track",IF((R96-I96)&gt;-0.01,"Toss-up",IF((R96-I96)&gt;-0.05,"Sununu on track","Great for Sununu"))))&amp;IF(Counties!AG872=1,""," (partial count)")))</f>
        <v/>
      </c>
      <c r="Y96" s="17">
        <f>"Break-even "&amp;IF(I96&gt;=0,"D+","R+")&amp;TEXT(ABS(I96)*100,"0.0")&amp;" ("&amp;IF(N96&gt;=0,"D +","R +")&amp;TEXT(ABS(N96),"#,##0")&amp;" net, about "&amp;TEXT(Q96,"#,##0")&amp;" Pappas votes). Pappas at "&amp;IF(K96&gt;=0,"D+","R+")&amp;TEXT(ABS(K96)*100,"0.0")&amp;" or better = great night; "&amp;IF(J96&gt;=0,"D+","R+")&amp;TEXT(ABS(J96)*100,"0.0")&amp;" = on track to win. Sununu holding it to "&amp;IF(H96&gt;=0,"D+","R+")&amp;TEXT(ABS(H96)*100,"0.0")&amp;" = Sununu on track; "&amp;IF(G96&gt;=0,"D+","R+")&amp;TEXT(ABS(G96)*100,"0.0")&amp;" or worse for Pappas = great for Sununu. Turnout: par is about "&amp;TEXT(D96,"#,##0")&amp;" two-party votes ("&amp;TEXT(Counties!AQ872/SUMIFS(Counties!$AQ:$AQ,Counties!$A:$A,"NH"),"0.0%")&amp;" of the state). At 95% of par the break-even moves to "&amp;IF((I96/0.95)&gt;=0,"D+","R+")&amp;TEXT(ABS((I96/0.95))*100,"0.0")&amp;"; at 105%, to "&amp;IF((I96/1.05)&gt;=0,"D+","R+")&amp;TEXT(ABS((I96/1.05))*100,"0.0")&amp;"."</f>
        <v/>
      </c>
    </row>
    <row r="97" ht="58" customHeight="1">
      <c r="A97" s="8" t="inlineStr">
        <is>
          <t>NH</t>
        </is>
      </c>
      <c r="B97" s="8" t="inlineStr">
        <is>
          <t>Strafford</t>
        </is>
      </c>
      <c r="C97" s="8" t="inlineStr">
        <is>
          <t>Mid-size/working metro</t>
        </is>
      </c>
      <c r="D97" s="12">
        <f>Counties!AT874</f>
        <v/>
      </c>
      <c r="E97" s="9">
        <f>Counties!O874</f>
        <v/>
      </c>
      <c r="F97" s="9">
        <f>Counties!R874</f>
        <v/>
      </c>
      <c r="G97" s="9">
        <f>MAX(-1,MIN(1,Counties!O874+-0.05+Dashboard!$F$16))</f>
        <v/>
      </c>
      <c r="H97" s="9">
        <f>MAX(-1,MIN(1,Counties!O874+-0.01+Dashboard!$F$16))</f>
        <v/>
      </c>
      <c r="I97" s="36">
        <f>MAX(-1,MIN(1,Counties!O874+0.0+Dashboard!$F$16))</f>
        <v/>
      </c>
      <c r="J97" s="9">
        <f>MAX(-1,MIN(1,Counties!O874+0.01+Dashboard!$F$16))</f>
        <v/>
      </c>
      <c r="K97" s="9">
        <f>MAX(-1,MIN(1,Counties!O874+0.05+Dashboard!$F$16))</f>
        <v/>
      </c>
      <c r="L97" s="37">
        <f>G97*D97</f>
        <v/>
      </c>
      <c r="M97" s="37">
        <f>H97*D97</f>
        <v/>
      </c>
      <c r="N97" s="37">
        <f>I97*D97</f>
        <v/>
      </c>
      <c r="O97" s="37">
        <f>J97*D97</f>
        <v/>
      </c>
      <c r="P97" s="37">
        <f>K97*D97</f>
        <v/>
      </c>
      <c r="Q97" s="12">
        <f>D97*(1+I97)/2</f>
        <v/>
      </c>
      <c r="R97" s="9">
        <f>Counties!AH874</f>
        <v/>
      </c>
      <c r="S97" s="37">
        <f>IF(Counties!AH874="","",Counties!AH874*Counties!AF874)</f>
        <v/>
      </c>
      <c r="T97" s="13">
        <f>Counties!AO874</f>
        <v/>
      </c>
      <c r="U97" s="16">
        <f>Counties!AU874</f>
        <v/>
      </c>
      <c r="V97" s="9">
        <f>Counties!AV874</f>
        <v/>
      </c>
      <c r="W97" s="10">
        <f>Counties!AY874</f>
        <v/>
      </c>
      <c r="X97" s="8">
        <f>IF(R97="","not in yet",IF(W97&lt;&gt;"",IF(W97&gt;=0.05,"Great for Pappas",IF(W97&gt;=0.01,"Pappas on track",IF(W97&gt;-0.01,"Toss-up",IF(W97&gt;-0.05,"Sununu on track","Great for Sununu"))))&amp;" (margin + turnout)",IF((R97-I97)&gt;=0.05,"Great for Pappas",IF((R97-I97)&gt;=0.01,"Pappas on track",IF((R97-I97)&gt;-0.01,"Toss-up",IF((R97-I97)&gt;-0.05,"Sununu on track","Great for Sununu"))))&amp;IF(Counties!AG874=1,""," (partial count)")))</f>
        <v/>
      </c>
      <c r="Y97" s="17">
        <f>"Break-even "&amp;IF(I97&gt;=0,"D+","R+")&amp;TEXT(ABS(I97)*100,"0.0")&amp;" ("&amp;IF(N97&gt;=0,"D +","R +")&amp;TEXT(ABS(N97),"#,##0")&amp;" net, about "&amp;TEXT(Q97,"#,##0")&amp;" Pappas votes). Pappas at "&amp;IF(K97&gt;=0,"D+","R+")&amp;TEXT(ABS(K97)*100,"0.0")&amp;" or better = great night; "&amp;IF(J97&gt;=0,"D+","R+")&amp;TEXT(ABS(J97)*100,"0.0")&amp;" = on track to win. Sununu holding it to "&amp;IF(H97&gt;=0,"D+","R+")&amp;TEXT(ABS(H97)*100,"0.0")&amp;" = Sununu on track; "&amp;IF(G97&gt;=0,"D+","R+")&amp;TEXT(ABS(G97)*100,"0.0")&amp;" or worse for Pappas = great for Sununu. Turnout: par is about "&amp;TEXT(D97,"#,##0")&amp;" two-party votes ("&amp;TEXT(Counties!AQ874/SUMIFS(Counties!$AQ:$AQ,Counties!$A:$A,"NH"),"0.0%")&amp;" of the state). At 95% of par the break-even moves to "&amp;IF((I97/0.95)&gt;=0,"D+","R+")&amp;TEXT(ABS((I97/0.95))*100,"0.0")&amp;"; at 105%, to "&amp;IF((I97/1.05)&gt;=0,"D+","R+")&amp;TEXT(ABS((I97/1.05))*100,"0.0")&amp;"."</f>
        <v/>
      </c>
    </row>
    <row r="98" ht="58" customHeight="1">
      <c r="A98" s="8" t="inlineStr">
        <is>
          <t>NH</t>
        </is>
      </c>
      <c r="B98" s="8" t="inlineStr">
        <is>
          <t>Grafton</t>
        </is>
      </c>
      <c r="C98" s="8" t="inlineStr">
        <is>
          <t>Small town &amp; rural</t>
        </is>
      </c>
      <c r="D98" s="12">
        <f>Counties!AT870</f>
        <v/>
      </c>
      <c r="E98" s="9">
        <f>Counties!O870</f>
        <v/>
      </c>
      <c r="F98" s="9">
        <f>Counties!R870</f>
        <v/>
      </c>
      <c r="G98" s="9">
        <f>MAX(-1,MIN(1,Counties!O870+-0.05+Dashboard!$F$16))</f>
        <v/>
      </c>
      <c r="H98" s="9">
        <f>MAX(-1,MIN(1,Counties!O870+-0.01+Dashboard!$F$16))</f>
        <v/>
      </c>
      <c r="I98" s="36">
        <f>MAX(-1,MIN(1,Counties!O870+0.0+Dashboard!$F$16))</f>
        <v/>
      </c>
      <c r="J98" s="9">
        <f>MAX(-1,MIN(1,Counties!O870+0.01+Dashboard!$F$16))</f>
        <v/>
      </c>
      <c r="K98" s="9">
        <f>MAX(-1,MIN(1,Counties!O870+0.05+Dashboard!$F$16))</f>
        <v/>
      </c>
      <c r="L98" s="37">
        <f>G98*D98</f>
        <v/>
      </c>
      <c r="M98" s="37">
        <f>H98*D98</f>
        <v/>
      </c>
      <c r="N98" s="37">
        <f>I98*D98</f>
        <v/>
      </c>
      <c r="O98" s="37">
        <f>J98*D98</f>
        <v/>
      </c>
      <c r="P98" s="37">
        <f>K98*D98</f>
        <v/>
      </c>
      <c r="Q98" s="12">
        <f>D98*(1+I98)/2</f>
        <v/>
      </c>
      <c r="R98" s="9">
        <f>Counties!AH870</f>
        <v/>
      </c>
      <c r="S98" s="37">
        <f>IF(Counties!AH870="","",Counties!AH870*Counties!AF870)</f>
        <v/>
      </c>
      <c r="T98" s="13">
        <f>Counties!AO870</f>
        <v/>
      </c>
      <c r="U98" s="16">
        <f>Counties!AU870</f>
        <v/>
      </c>
      <c r="V98" s="9">
        <f>Counties!AV870</f>
        <v/>
      </c>
      <c r="W98" s="10">
        <f>Counties!AY870</f>
        <v/>
      </c>
      <c r="X98" s="8">
        <f>IF(R98="","not in yet",IF(W98&lt;&gt;"",IF(W98&gt;=0.05,"Great for Pappas",IF(W98&gt;=0.01,"Pappas on track",IF(W98&gt;-0.01,"Toss-up",IF(W98&gt;-0.05,"Sununu on track","Great for Sununu"))))&amp;" (margin + turnout)",IF((R98-I98)&gt;=0.05,"Great for Pappas",IF((R98-I98)&gt;=0.01,"Pappas on track",IF((R98-I98)&gt;-0.01,"Toss-up",IF((R98-I98)&gt;-0.05,"Sununu on track","Great for Sununu"))))&amp;IF(Counties!AG870=1,""," (partial count)")))</f>
        <v/>
      </c>
      <c r="Y98" s="17">
        <f>"Break-even "&amp;IF(I98&gt;=0,"D+","R+")&amp;TEXT(ABS(I98)*100,"0.0")&amp;" ("&amp;IF(N98&gt;=0,"D +","R +")&amp;TEXT(ABS(N98),"#,##0")&amp;" net, about "&amp;TEXT(Q98,"#,##0")&amp;" Pappas votes). Pappas at "&amp;IF(K98&gt;=0,"D+","R+")&amp;TEXT(ABS(K98)*100,"0.0")&amp;" or better = great night; "&amp;IF(J98&gt;=0,"D+","R+")&amp;TEXT(ABS(J98)*100,"0.0")&amp;" = on track to win. Sununu holding it to "&amp;IF(H98&gt;=0,"D+","R+")&amp;TEXT(ABS(H98)*100,"0.0")&amp;" = Sununu on track; "&amp;IF(G98&gt;=0,"D+","R+")&amp;TEXT(ABS(G98)*100,"0.0")&amp;" or worse for Pappas = great for Sununu. Turnout: par is about "&amp;TEXT(D98,"#,##0")&amp;" two-party votes ("&amp;TEXT(Counties!AQ870/SUMIFS(Counties!$AQ:$AQ,Counties!$A:$A,"NH"),"0.0%")&amp;" of the state). At 95% of par the break-even moves to "&amp;IF((I98/0.95)&gt;=0,"D+","R+")&amp;TEXT(ABS((I98/0.95))*100,"0.0")&amp;"; at 105%, to "&amp;IF((I98/1.05)&gt;=0,"D+","R+")&amp;TEXT(ABS((I98/1.05))*100,"0.0")&amp;"."</f>
        <v/>
      </c>
    </row>
    <row r="99" ht="58" customHeight="1">
      <c r="A99" s="8" t="inlineStr">
        <is>
          <t>NH</t>
        </is>
      </c>
      <c r="B99" s="8" t="inlineStr">
        <is>
          <t>Belknap</t>
        </is>
      </c>
      <c r="C99" s="8" t="inlineStr">
        <is>
          <t>Small town &amp; rural</t>
        </is>
      </c>
      <c r="D99" s="12">
        <f>Counties!AT866</f>
        <v/>
      </c>
      <c r="E99" s="9">
        <f>Counties!O866</f>
        <v/>
      </c>
      <c r="F99" s="9">
        <f>Counties!R866</f>
        <v/>
      </c>
      <c r="G99" s="9">
        <f>MAX(-1,MIN(1,Counties!O866+-0.05+Dashboard!$F$16))</f>
        <v/>
      </c>
      <c r="H99" s="9">
        <f>MAX(-1,MIN(1,Counties!O866+-0.01+Dashboard!$F$16))</f>
        <v/>
      </c>
      <c r="I99" s="36">
        <f>MAX(-1,MIN(1,Counties!O866+0.0+Dashboard!$F$16))</f>
        <v/>
      </c>
      <c r="J99" s="9">
        <f>MAX(-1,MIN(1,Counties!O866+0.01+Dashboard!$F$16))</f>
        <v/>
      </c>
      <c r="K99" s="9">
        <f>MAX(-1,MIN(1,Counties!O866+0.05+Dashboard!$F$16))</f>
        <v/>
      </c>
      <c r="L99" s="37">
        <f>G99*D99</f>
        <v/>
      </c>
      <c r="M99" s="37">
        <f>H99*D99</f>
        <v/>
      </c>
      <c r="N99" s="37">
        <f>I99*D99</f>
        <v/>
      </c>
      <c r="O99" s="37">
        <f>J99*D99</f>
        <v/>
      </c>
      <c r="P99" s="37">
        <f>K99*D99</f>
        <v/>
      </c>
      <c r="Q99" s="12">
        <f>D99*(1+I99)/2</f>
        <v/>
      </c>
      <c r="R99" s="9">
        <f>Counties!AH866</f>
        <v/>
      </c>
      <c r="S99" s="37">
        <f>IF(Counties!AH866="","",Counties!AH866*Counties!AF866)</f>
        <v/>
      </c>
      <c r="T99" s="13">
        <f>Counties!AO866</f>
        <v/>
      </c>
      <c r="U99" s="16">
        <f>Counties!AU866</f>
        <v/>
      </c>
      <c r="V99" s="9">
        <f>Counties!AV866</f>
        <v/>
      </c>
      <c r="W99" s="10">
        <f>Counties!AY866</f>
        <v/>
      </c>
      <c r="X99" s="8">
        <f>IF(R99="","not in yet",IF(W99&lt;&gt;"",IF(W99&gt;=0.05,"Great for Pappas",IF(W99&gt;=0.01,"Pappas on track",IF(W99&gt;-0.01,"Toss-up",IF(W99&gt;-0.05,"Sununu on track","Great for Sununu"))))&amp;" (margin + turnout)",IF((R99-I99)&gt;=0.05,"Great for Pappas",IF((R99-I99)&gt;=0.01,"Pappas on track",IF((R99-I99)&gt;-0.01,"Toss-up",IF((R99-I99)&gt;-0.05,"Sununu on track","Great for Sununu"))))&amp;IF(Counties!AG866=1,""," (partial count)")))</f>
        <v/>
      </c>
      <c r="Y99" s="17">
        <f>"Break-even "&amp;IF(I99&gt;=0,"D+","R+")&amp;TEXT(ABS(I99)*100,"0.0")&amp;" ("&amp;IF(N99&gt;=0,"D +","R +")&amp;TEXT(ABS(N99),"#,##0")&amp;" net, about "&amp;TEXT(Q99,"#,##0")&amp;" Pappas votes). Pappas at "&amp;IF(K99&gt;=0,"D+","R+")&amp;TEXT(ABS(K99)*100,"0.0")&amp;" or better = great night; "&amp;IF(J99&gt;=0,"D+","R+")&amp;TEXT(ABS(J99)*100,"0.0")&amp;" = on track to win. Sununu holding it to "&amp;IF(H99&gt;=0,"D+","R+")&amp;TEXT(ABS(H99)*100,"0.0")&amp;" = Sununu on track; "&amp;IF(G99&gt;=0,"D+","R+")&amp;TEXT(ABS(G99)*100,"0.0")&amp;" or worse for Pappas = great for Sununu. Turnout: par is about "&amp;TEXT(D99,"#,##0")&amp;" two-party votes ("&amp;TEXT(Counties!AQ866/SUMIFS(Counties!$AQ:$AQ,Counties!$A:$A,"NH"),"0.0%")&amp;" of the state). At 95% of par the break-even moves to "&amp;IF((I99/0.95)&gt;=0,"D+","R+")&amp;TEXT(ABS((I99/0.95))*100,"0.0")&amp;"; at 105%, to "&amp;IF((I99/1.05)&gt;=0,"D+","R+")&amp;TEXT(ABS((I99/1.05))*100,"0.0")&amp;"."</f>
        <v/>
      </c>
    </row>
    <row r="100" ht="58" customHeight="1">
      <c r="A100" s="8" t="inlineStr">
        <is>
          <t>NH</t>
        </is>
      </c>
      <c r="B100" s="8" t="inlineStr">
        <is>
          <t>Coos</t>
        </is>
      </c>
      <c r="C100" s="8" t="inlineStr">
        <is>
          <t>Small town &amp; rural</t>
        </is>
      </c>
      <c r="D100" s="12">
        <f>Counties!AT869</f>
        <v/>
      </c>
      <c r="E100" s="9">
        <f>Counties!O869</f>
        <v/>
      </c>
      <c r="F100" s="9">
        <f>Counties!R869</f>
        <v/>
      </c>
      <c r="G100" s="9">
        <f>MAX(-1,MIN(1,Counties!O869+-0.05+Dashboard!$F$16))</f>
        <v/>
      </c>
      <c r="H100" s="9">
        <f>MAX(-1,MIN(1,Counties!O869+-0.01+Dashboard!$F$16))</f>
        <v/>
      </c>
      <c r="I100" s="36">
        <f>MAX(-1,MIN(1,Counties!O869+0.0+Dashboard!$F$16))</f>
        <v/>
      </c>
      <c r="J100" s="9">
        <f>MAX(-1,MIN(1,Counties!O869+0.01+Dashboard!$F$16))</f>
        <v/>
      </c>
      <c r="K100" s="9">
        <f>MAX(-1,MIN(1,Counties!O869+0.05+Dashboard!$F$16))</f>
        <v/>
      </c>
      <c r="L100" s="37">
        <f>G100*D100</f>
        <v/>
      </c>
      <c r="M100" s="37">
        <f>H100*D100</f>
        <v/>
      </c>
      <c r="N100" s="37">
        <f>I100*D100</f>
        <v/>
      </c>
      <c r="O100" s="37">
        <f>J100*D100</f>
        <v/>
      </c>
      <c r="P100" s="37">
        <f>K100*D100</f>
        <v/>
      </c>
      <c r="Q100" s="12">
        <f>D100*(1+I100)/2</f>
        <v/>
      </c>
      <c r="R100" s="9">
        <f>Counties!AH869</f>
        <v/>
      </c>
      <c r="S100" s="37">
        <f>IF(Counties!AH869="","",Counties!AH869*Counties!AF869)</f>
        <v/>
      </c>
      <c r="T100" s="13">
        <f>Counties!AO869</f>
        <v/>
      </c>
      <c r="U100" s="16">
        <f>Counties!AU869</f>
        <v/>
      </c>
      <c r="V100" s="9">
        <f>Counties!AV869</f>
        <v/>
      </c>
      <c r="W100" s="10">
        <f>Counties!AY869</f>
        <v/>
      </c>
      <c r="X100" s="8">
        <f>IF(R100="","not in yet",IF(W100&lt;&gt;"",IF(W100&gt;=0.05,"Great for Pappas",IF(W100&gt;=0.01,"Pappas on track",IF(W100&gt;-0.01,"Toss-up",IF(W100&gt;-0.05,"Sununu on track","Great for Sununu"))))&amp;" (margin + turnout)",IF((R100-I100)&gt;=0.05,"Great for Pappas",IF((R100-I100)&gt;=0.01,"Pappas on track",IF((R100-I100)&gt;-0.01,"Toss-up",IF((R100-I100)&gt;-0.05,"Sununu on track","Great for Sununu"))))&amp;IF(Counties!AG869=1,""," (partial count)")))</f>
        <v/>
      </c>
      <c r="Y100" s="17">
        <f>"Break-even "&amp;IF(I100&gt;=0,"D+","R+")&amp;TEXT(ABS(I100)*100,"0.0")&amp;" ("&amp;IF(N100&gt;=0,"D +","R +")&amp;TEXT(ABS(N100),"#,##0")&amp;" net, about "&amp;TEXT(Q100,"#,##0")&amp;" Pappas votes). Pappas at "&amp;IF(K100&gt;=0,"D+","R+")&amp;TEXT(ABS(K100)*100,"0.0")&amp;" or better = great night; "&amp;IF(J100&gt;=0,"D+","R+")&amp;TEXT(ABS(J100)*100,"0.0")&amp;" = on track to win. Sununu holding it to "&amp;IF(H100&gt;=0,"D+","R+")&amp;TEXT(ABS(H100)*100,"0.0")&amp;" = Sununu on track; "&amp;IF(G100&gt;=0,"D+","R+")&amp;TEXT(ABS(G100)*100,"0.0")&amp;" or worse for Pappas = great for Sununu. Turnout: par is about "&amp;TEXT(D100,"#,##0")&amp;" two-party votes ("&amp;TEXT(Counties!AQ869/SUMIFS(Counties!$AQ:$AQ,Counties!$A:$A,"NH"),"0.0%")&amp;" of the state). At 95% of par the break-even moves to "&amp;IF((I100/0.95)&gt;=0,"D+","R+")&amp;TEXT(ABS((I100/0.95))*100,"0.0")&amp;"; at 105%, to "&amp;IF((I100/1.05)&gt;=0,"D+","R+")&amp;TEXT(ABS((I100/1.05))*100,"0.0")&amp;"."</f>
        <v/>
      </c>
    </row>
    <row r="101">
      <c r="A101" s="22" t="inlineStr">
        <is>
          <t>Ohio: Sherrod Brown vs Jon Husted · 2024 statewide R+11.3 (R+11.2 with 2022's turnout pattern)</t>
        </is>
      </c>
      <c r="B101" s="22" t="n"/>
      <c r="C101" s="22" t="n"/>
      <c r="D101" s="22" t="n"/>
      <c r="E101" s="22" t="n"/>
      <c r="F101" s="22" t="n"/>
      <c r="G101" s="22" t="n"/>
      <c r="H101" s="22" t="n"/>
      <c r="I101" s="22" t="n"/>
      <c r="J101" s="22" t="n"/>
      <c r="K101" s="22" t="n"/>
      <c r="L101" s="22" t="n"/>
      <c r="M101" s="22" t="n"/>
      <c r="N101" s="22" t="n"/>
      <c r="O101" s="22" t="n"/>
      <c r="P101" s="22" t="n"/>
      <c r="Q101" s="22" t="n"/>
      <c r="R101" s="22" t="n"/>
      <c r="S101" s="22" t="n"/>
      <c r="T101" s="22" t="n"/>
      <c r="U101" s="22" t="n"/>
      <c r="V101" s="22" t="n"/>
      <c r="W101" s="22" t="n"/>
      <c r="X101" s="22" t="n"/>
      <c r="Y101" s="22" t="n"/>
    </row>
    <row r="102" ht="58" customHeight="1">
      <c r="A102" s="8" t="inlineStr">
        <is>
          <t>OH</t>
        </is>
      </c>
      <c r="B102" s="8" t="inlineStr">
        <is>
          <t>Franklin</t>
        </is>
      </c>
      <c r="C102" s="8" t="inlineStr">
        <is>
          <t>Big metro core</t>
        </is>
      </c>
      <c r="D102" s="12">
        <f>Counties!AT900</f>
        <v/>
      </c>
      <c r="E102" s="9">
        <f>Counties!O900</f>
        <v/>
      </c>
      <c r="F102" s="9">
        <f>Counties!R900</f>
        <v/>
      </c>
      <c r="G102" s="9">
        <f>MAX(-1,MIN(1,Counties!O900+-0.05+Dashboard!$F$17))</f>
        <v/>
      </c>
      <c r="H102" s="9">
        <f>MAX(-1,MIN(1,Counties!O900+-0.01+Dashboard!$F$17))</f>
        <v/>
      </c>
      <c r="I102" s="36">
        <f>MAX(-1,MIN(1,Counties!O900+0.0+Dashboard!$F$17))</f>
        <v/>
      </c>
      <c r="J102" s="9">
        <f>MAX(-1,MIN(1,Counties!O900+0.01+Dashboard!$F$17))</f>
        <v/>
      </c>
      <c r="K102" s="9">
        <f>MAX(-1,MIN(1,Counties!O900+0.05+Dashboard!$F$17))</f>
        <v/>
      </c>
      <c r="L102" s="37">
        <f>G102*D102</f>
        <v/>
      </c>
      <c r="M102" s="37">
        <f>H102*D102</f>
        <v/>
      </c>
      <c r="N102" s="37">
        <f>I102*D102</f>
        <v/>
      </c>
      <c r="O102" s="37">
        <f>J102*D102</f>
        <v/>
      </c>
      <c r="P102" s="37">
        <f>K102*D102</f>
        <v/>
      </c>
      <c r="Q102" s="12">
        <f>D102*(1+I102)/2</f>
        <v/>
      </c>
      <c r="R102" s="9">
        <f>Counties!AH900</f>
        <v/>
      </c>
      <c r="S102" s="37">
        <f>IF(Counties!AH900="","",Counties!AH900*Counties!AF900)</f>
        <v/>
      </c>
      <c r="T102" s="13">
        <f>Counties!AO900</f>
        <v/>
      </c>
      <c r="U102" s="16">
        <f>Counties!AU900</f>
        <v/>
      </c>
      <c r="V102" s="9">
        <f>Counties!AV900</f>
        <v/>
      </c>
      <c r="W102" s="10">
        <f>Counties!AY900</f>
        <v/>
      </c>
      <c r="X102" s="8">
        <f>IF(R102="","not in yet",IF(W102&lt;&gt;"",IF(W102&gt;=0.05,"Great for Brown",IF(W102&gt;=0.01,"Brown on track",IF(W102&gt;-0.01,"Toss-up",IF(W102&gt;-0.05,"Husted on track","Great for Husted"))))&amp;" (margin + turnout)",IF((R102-I102)&gt;=0.05,"Great for Brown",IF((R102-I102)&gt;=0.01,"Brown on track",IF((R102-I102)&gt;-0.01,"Toss-up",IF((R102-I102)&gt;-0.05,"Husted on track","Great for Husted"))))&amp;IF(Counties!AG900=1,""," (partial count)")))</f>
        <v/>
      </c>
      <c r="Y102" s="17">
        <f>"Break-even "&amp;IF(I102&gt;=0,"D+","R+")&amp;TEXT(ABS(I102)*100,"0.0")&amp;" ("&amp;IF(N102&gt;=0,"D +","R +")&amp;TEXT(ABS(N102),"#,##0")&amp;" net, about "&amp;TEXT(Q102,"#,##0")&amp;" Brown votes). Brown at "&amp;IF(K102&gt;=0,"D+","R+")&amp;TEXT(ABS(K102)*100,"0.0")&amp;" or better = great night; "&amp;IF(J102&gt;=0,"D+","R+")&amp;TEXT(ABS(J102)*100,"0.0")&amp;" = on track to win. Husted holding it to "&amp;IF(H102&gt;=0,"D+","R+")&amp;TEXT(ABS(H102)*100,"0.0")&amp;" = Husted on track; "&amp;IF(G102&gt;=0,"D+","R+")&amp;TEXT(ABS(G102)*100,"0.0")&amp;" or worse for Brown = great for Husted. Turnout: par is about "&amp;TEXT(D102,"#,##0")&amp;" two-party votes ("&amp;TEXT(Counties!AQ900/SUMIFS(Counties!$AQ:$AQ,Counties!$A:$A,"OH"),"0.0%")&amp;" of the state). At 95% of par the break-even moves to "&amp;IF((I102/0.95)&gt;=0,"D+","R+")&amp;TEXT(ABS((I102/0.95))*100,"0.0")&amp;"; at 105%, to "&amp;IF((I102/1.05)&gt;=0,"D+","R+")&amp;TEXT(ABS((I102/1.05))*100,"0.0")&amp;"."</f>
        <v/>
      </c>
    </row>
    <row r="103" ht="58" customHeight="1">
      <c r="A103" s="8" t="inlineStr">
        <is>
          <t>OH</t>
        </is>
      </c>
      <c r="B103" s="8" t="inlineStr">
        <is>
          <t>Cuyahoga</t>
        </is>
      </c>
      <c r="C103" s="8" t="inlineStr">
        <is>
          <t>Big metro core</t>
        </is>
      </c>
      <c r="D103" s="12">
        <f>Counties!AT893</f>
        <v/>
      </c>
      <c r="E103" s="9">
        <f>Counties!O893</f>
        <v/>
      </c>
      <c r="F103" s="9">
        <f>Counties!R893</f>
        <v/>
      </c>
      <c r="G103" s="9">
        <f>MAX(-1,MIN(1,Counties!O893+-0.05+Dashboard!$F$17))</f>
        <v/>
      </c>
      <c r="H103" s="9">
        <f>MAX(-1,MIN(1,Counties!O893+-0.01+Dashboard!$F$17))</f>
        <v/>
      </c>
      <c r="I103" s="36">
        <f>MAX(-1,MIN(1,Counties!O893+0.0+Dashboard!$F$17))</f>
        <v/>
      </c>
      <c r="J103" s="9">
        <f>MAX(-1,MIN(1,Counties!O893+0.01+Dashboard!$F$17))</f>
        <v/>
      </c>
      <c r="K103" s="9">
        <f>MAX(-1,MIN(1,Counties!O893+0.05+Dashboard!$F$17))</f>
        <v/>
      </c>
      <c r="L103" s="37">
        <f>G103*D103</f>
        <v/>
      </c>
      <c r="M103" s="37">
        <f>H103*D103</f>
        <v/>
      </c>
      <c r="N103" s="37">
        <f>I103*D103</f>
        <v/>
      </c>
      <c r="O103" s="37">
        <f>J103*D103</f>
        <v/>
      </c>
      <c r="P103" s="37">
        <f>K103*D103</f>
        <v/>
      </c>
      <c r="Q103" s="12">
        <f>D103*(1+I103)/2</f>
        <v/>
      </c>
      <c r="R103" s="9">
        <f>Counties!AH893</f>
        <v/>
      </c>
      <c r="S103" s="37">
        <f>IF(Counties!AH893="","",Counties!AH893*Counties!AF893)</f>
        <v/>
      </c>
      <c r="T103" s="13">
        <f>Counties!AO893</f>
        <v/>
      </c>
      <c r="U103" s="16">
        <f>Counties!AU893</f>
        <v/>
      </c>
      <c r="V103" s="9">
        <f>Counties!AV893</f>
        <v/>
      </c>
      <c r="W103" s="10">
        <f>Counties!AY893</f>
        <v/>
      </c>
      <c r="X103" s="8">
        <f>IF(R103="","not in yet",IF(W103&lt;&gt;"",IF(W103&gt;=0.05,"Great for Brown",IF(W103&gt;=0.01,"Brown on track",IF(W103&gt;-0.01,"Toss-up",IF(W103&gt;-0.05,"Husted on track","Great for Husted"))))&amp;" (margin + turnout)",IF((R103-I103)&gt;=0.05,"Great for Brown",IF((R103-I103)&gt;=0.01,"Brown on track",IF((R103-I103)&gt;-0.01,"Toss-up",IF((R103-I103)&gt;-0.05,"Husted on track","Great for Husted"))))&amp;IF(Counties!AG893=1,""," (partial count)")))</f>
        <v/>
      </c>
      <c r="Y103" s="17">
        <f>"Break-even "&amp;IF(I103&gt;=0,"D+","R+")&amp;TEXT(ABS(I103)*100,"0.0")&amp;" ("&amp;IF(N103&gt;=0,"D +","R +")&amp;TEXT(ABS(N103),"#,##0")&amp;" net, about "&amp;TEXT(Q103,"#,##0")&amp;" Brown votes). Brown at "&amp;IF(K103&gt;=0,"D+","R+")&amp;TEXT(ABS(K103)*100,"0.0")&amp;" or better = great night; "&amp;IF(J103&gt;=0,"D+","R+")&amp;TEXT(ABS(J103)*100,"0.0")&amp;" = on track to win. Husted holding it to "&amp;IF(H103&gt;=0,"D+","R+")&amp;TEXT(ABS(H103)*100,"0.0")&amp;" = Husted on track; "&amp;IF(G103&gt;=0,"D+","R+")&amp;TEXT(ABS(G103)*100,"0.0")&amp;" or worse for Brown = great for Husted. Turnout: par is about "&amp;TEXT(D103,"#,##0")&amp;" two-party votes ("&amp;TEXT(Counties!AQ893/SUMIFS(Counties!$AQ:$AQ,Counties!$A:$A,"OH"),"0.0%")&amp;" of the state). At 95% of par the break-even moves to "&amp;IF((I103/0.95)&gt;=0,"D+","R+")&amp;TEXT(ABS((I103/0.95))*100,"0.0")&amp;"; at 105%, to "&amp;IF((I103/1.05)&gt;=0,"D+","R+")&amp;TEXT(ABS((I103/1.05))*100,"0.0")&amp;"."</f>
        <v/>
      </c>
    </row>
    <row r="104" ht="58" customHeight="1">
      <c r="A104" s="8" t="inlineStr">
        <is>
          <t>OH</t>
        </is>
      </c>
      <c r="B104" s="8" t="inlineStr">
        <is>
          <t>Hamilton</t>
        </is>
      </c>
      <c r="C104" s="8" t="inlineStr">
        <is>
          <t>Big metro core</t>
        </is>
      </c>
      <c r="D104" s="12">
        <f>Counties!AT906</f>
        <v/>
      </c>
      <c r="E104" s="9">
        <f>Counties!O906</f>
        <v/>
      </c>
      <c r="F104" s="9">
        <f>Counties!R906</f>
        <v/>
      </c>
      <c r="G104" s="9">
        <f>MAX(-1,MIN(1,Counties!O906+-0.05+Dashboard!$F$17))</f>
        <v/>
      </c>
      <c r="H104" s="9">
        <f>MAX(-1,MIN(1,Counties!O906+-0.01+Dashboard!$F$17))</f>
        <v/>
      </c>
      <c r="I104" s="36">
        <f>MAX(-1,MIN(1,Counties!O906+0.0+Dashboard!$F$17))</f>
        <v/>
      </c>
      <c r="J104" s="9">
        <f>MAX(-1,MIN(1,Counties!O906+0.01+Dashboard!$F$17))</f>
        <v/>
      </c>
      <c r="K104" s="9">
        <f>MAX(-1,MIN(1,Counties!O906+0.05+Dashboard!$F$17))</f>
        <v/>
      </c>
      <c r="L104" s="37">
        <f>G104*D104</f>
        <v/>
      </c>
      <c r="M104" s="37">
        <f>H104*D104</f>
        <v/>
      </c>
      <c r="N104" s="37">
        <f>I104*D104</f>
        <v/>
      </c>
      <c r="O104" s="37">
        <f>J104*D104</f>
        <v/>
      </c>
      <c r="P104" s="37">
        <f>K104*D104</f>
        <v/>
      </c>
      <c r="Q104" s="12">
        <f>D104*(1+I104)/2</f>
        <v/>
      </c>
      <c r="R104" s="9">
        <f>Counties!AH906</f>
        <v/>
      </c>
      <c r="S104" s="37">
        <f>IF(Counties!AH906="","",Counties!AH906*Counties!AF906)</f>
        <v/>
      </c>
      <c r="T104" s="13">
        <f>Counties!AO906</f>
        <v/>
      </c>
      <c r="U104" s="16">
        <f>Counties!AU906</f>
        <v/>
      </c>
      <c r="V104" s="9">
        <f>Counties!AV906</f>
        <v/>
      </c>
      <c r="W104" s="10">
        <f>Counties!AY906</f>
        <v/>
      </c>
      <c r="X104" s="8">
        <f>IF(R104="","not in yet",IF(W104&lt;&gt;"",IF(W104&gt;=0.05,"Great for Brown",IF(W104&gt;=0.01,"Brown on track",IF(W104&gt;-0.01,"Toss-up",IF(W104&gt;-0.05,"Husted on track","Great for Husted"))))&amp;" (margin + turnout)",IF((R104-I104)&gt;=0.05,"Great for Brown",IF((R104-I104)&gt;=0.01,"Brown on track",IF((R104-I104)&gt;-0.01,"Toss-up",IF((R104-I104)&gt;-0.05,"Husted on track","Great for Husted"))))&amp;IF(Counties!AG906=1,""," (partial count)")))</f>
        <v/>
      </c>
      <c r="Y104" s="17">
        <f>"Break-even "&amp;IF(I104&gt;=0,"D+","R+")&amp;TEXT(ABS(I104)*100,"0.0")&amp;" ("&amp;IF(N104&gt;=0,"D +","R +")&amp;TEXT(ABS(N104),"#,##0")&amp;" net, about "&amp;TEXT(Q104,"#,##0")&amp;" Brown votes). Brown at "&amp;IF(K104&gt;=0,"D+","R+")&amp;TEXT(ABS(K104)*100,"0.0")&amp;" or better = great night; "&amp;IF(J104&gt;=0,"D+","R+")&amp;TEXT(ABS(J104)*100,"0.0")&amp;" = on track to win. Husted holding it to "&amp;IF(H104&gt;=0,"D+","R+")&amp;TEXT(ABS(H104)*100,"0.0")&amp;" = Husted on track; "&amp;IF(G104&gt;=0,"D+","R+")&amp;TEXT(ABS(G104)*100,"0.0")&amp;" or worse for Brown = great for Husted. Turnout: par is about "&amp;TEXT(D104,"#,##0")&amp;" two-party votes ("&amp;TEXT(Counties!AQ906/SUMIFS(Counties!$AQ:$AQ,Counties!$A:$A,"OH"),"0.0%")&amp;" of the state). At 95% of par the break-even moves to "&amp;IF((I104/0.95)&gt;=0,"D+","R+")&amp;TEXT(ABS((I104/0.95))*100,"0.0")&amp;"; at 105%, to "&amp;IF((I104/1.05)&gt;=0,"D+","R+")&amp;TEXT(ABS((I104/1.05))*100,"0.0")&amp;"."</f>
        <v/>
      </c>
    </row>
    <row r="105" ht="58" customHeight="1">
      <c r="A105" s="8" t="inlineStr">
        <is>
          <t>OH</t>
        </is>
      </c>
      <c r="B105" s="8" t="inlineStr">
        <is>
          <t>Summit</t>
        </is>
      </c>
      <c r="C105" s="8" t="inlineStr">
        <is>
          <t>Mid-size/working metro</t>
        </is>
      </c>
      <c r="D105" s="12">
        <f>Counties!AT952</f>
        <v/>
      </c>
      <c r="E105" s="9">
        <f>Counties!O952</f>
        <v/>
      </c>
      <c r="F105" s="9">
        <f>Counties!R952</f>
        <v/>
      </c>
      <c r="G105" s="9">
        <f>MAX(-1,MIN(1,Counties!O952+-0.05+Dashboard!$F$17))</f>
        <v/>
      </c>
      <c r="H105" s="9">
        <f>MAX(-1,MIN(1,Counties!O952+-0.01+Dashboard!$F$17))</f>
        <v/>
      </c>
      <c r="I105" s="36">
        <f>MAX(-1,MIN(1,Counties!O952+0.0+Dashboard!$F$17))</f>
        <v/>
      </c>
      <c r="J105" s="9">
        <f>MAX(-1,MIN(1,Counties!O952+0.01+Dashboard!$F$17))</f>
        <v/>
      </c>
      <c r="K105" s="9">
        <f>MAX(-1,MIN(1,Counties!O952+0.05+Dashboard!$F$17))</f>
        <v/>
      </c>
      <c r="L105" s="37">
        <f>G105*D105</f>
        <v/>
      </c>
      <c r="M105" s="37">
        <f>H105*D105</f>
        <v/>
      </c>
      <c r="N105" s="37">
        <f>I105*D105</f>
        <v/>
      </c>
      <c r="O105" s="37">
        <f>J105*D105</f>
        <v/>
      </c>
      <c r="P105" s="37">
        <f>K105*D105</f>
        <v/>
      </c>
      <c r="Q105" s="12">
        <f>D105*(1+I105)/2</f>
        <v/>
      </c>
      <c r="R105" s="9">
        <f>Counties!AH952</f>
        <v/>
      </c>
      <c r="S105" s="37">
        <f>IF(Counties!AH952="","",Counties!AH952*Counties!AF952)</f>
        <v/>
      </c>
      <c r="T105" s="13">
        <f>Counties!AO952</f>
        <v/>
      </c>
      <c r="U105" s="16">
        <f>Counties!AU952</f>
        <v/>
      </c>
      <c r="V105" s="9">
        <f>Counties!AV952</f>
        <v/>
      </c>
      <c r="W105" s="10">
        <f>Counties!AY952</f>
        <v/>
      </c>
      <c r="X105" s="8">
        <f>IF(R105="","not in yet",IF(W105&lt;&gt;"",IF(W105&gt;=0.05,"Great for Brown",IF(W105&gt;=0.01,"Brown on track",IF(W105&gt;-0.01,"Toss-up",IF(W105&gt;-0.05,"Husted on track","Great for Husted"))))&amp;" (margin + turnout)",IF((R105-I105)&gt;=0.05,"Great for Brown",IF((R105-I105)&gt;=0.01,"Brown on track",IF((R105-I105)&gt;-0.01,"Toss-up",IF((R105-I105)&gt;-0.05,"Husted on track","Great for Husted"))))&amp;IF(Counties!AG952=1,""," (partial count)")))</f>
        <v/>
      </c>
      <c r="Y105" s="17">
        <f>"Break-even "&amp;IF(I105&gt;=0,"D+","R+")&amp;TEXT(ABS(I105)*100,"0.0")&amp;" ("&amp;IF(N105&gt;=0,"D +","R +")&amp;TEXT(ABS(N105),"#,##0")&amp;" net, about "&amp;TEXT(Q105,"#,##0")&amp;" Brown votes). Brown at "&amp;IF(K105&gt;=0,"D+","R+")&amp;TEXT(ABS(K105)*100,"0.0")&amp;" or better = great night; "&amp;IF(J105&gt;=0,"D+","R+")&amp;TEXT(ABS(J105)*100,"0.0")&amp;" = on track to win. Husted holding it to "&amp;IF(H105&gt;=0,"D+","R+")&amp;TEXT(ABS(H105)*100,"0.0")&amp;" = Husted on track; "&amp;IF(G105&gt;=0,"D+","R+")&amp;TEXT(ABS(G105)*100,"0.0")&amp;" or worse for Brown = great for Husted. Turnout: par is about "&amp;TEXT(D105,"#,##0")&amp;" two-party votes ("&amp;TEXT(Counties!AQ952/SUMIFS(Counties!$AQ:$AQ,Counties!$A:$A,"OH"),"0.0%")&amp;" of the state). At 95% of par the break-even moves to "&amp;IF((I105/0.95)&gt;=0,"D+","R+")&amp;TEXT(ABS((I105/0.95))*100,"0.0")&amp;"; at 105%, to "&amp;IF((I105/1.05)&gt;=0,"D+","R+")&amp;TEXT(ABS((I105/1.05))*100,"0.0")&amp;"."</f>
        <v/>
      </c>
    </row>
    <row r="106" ht="58" customHeight="1">
      <c r="A106" s="8" t="inlineStr">
        <is>
          <t>OH</t>
        </is>
      </c>
      <c r="B106" s="8" t="inlineStr">
        <is>
          <t>Montgomery</t>
        </is>
      </c>
      <c r="C106" s="8" t="inlineStr">
        <is>
          <t>Mid-size/working metro</t>
        </is>
      </c>
      <c r="D106" s="12">
        <f>Counties!AT932</f>
        <v/>
      </c>
      <c r="E106" s="9">
        <f>Counties!O932</f>
        <v/>
      </c>
      <c r="F106" s="9">
        <f>Counties!R932</f>
        <v/>
      </c>
      <c r="G106" s="9">
        <f>MAX(-1,MIN(1,Counties!O932+-0.05+Dashboard!$F$17))</f>
        <v/>
      </c>
      <c r="H106" s="9">
        <f>MAX(-1,MIN(1,Counties!O932+-0.01+Dashboard!$F$17))</f>
        <v/>
      </c>
      <c r="I106" s="36">
        <f>MAX(-1,MIN(1,Counties!O932+0.0+Dashboard!$F$17))</f>
        <v/>
      </c>
      <c r="J106" s="9">
        <f>MAX(-1,MIN(1,Counties!O932+0.01+Dashboard!$F$17))</f>
        <v/>
      </c>
      <c r="K106" s="9">
        <f>MAX(-1,MIN(1,Counties!O932+0.05+Dashboard!$F$17))</f>
        <v/>
      </c>
      <c r="L106" s="37">
        <f>G106*D106</f>
        <v/>
      </c>
      <c r="M106" s="37">
        <f>H106*D106</f>
        <v/>
      </c>
      <c r="N106" s="37">
        <f>I106*D106</f>
        <v/>
      </c>
      <c r="O106" s="37">
        <f>J106*D106</f>
        <v/>
      </c>
      <c r="P106" s="37">
        <f>K106*D106</f>
        <v/>
      </c>
      <c r="Q106" s="12">
        <f>D106*(1+I106)/2</f>
        <v/>
      </c>
      <c r="R106" s="9">
        <f>Counties!AH932</f>
        <v/>
      </c>
      <c r="S106" s="37">
        <f>IF(Counties!AH932="","",Counties!AH932*Counties!AF932)</f>
        <v/>
      </c>
      <c r="T106" s="13">
        <f>Counties!AO932</f>
        <v/>
      </c>
      <c r="U106" s="16">
        <f>Counties!AU932</f>
        <v/>
      </c>
      <c r="V106" s="9">
        <f>Counties!AV932</f>
        <v/>
      </c>
      <c r="W106" s="10">
        <f>Counties!AY932</f>
        <v/>
      </c>
      <c r="X106" s="8">
        <f>IF(R106="","not in yet",IF(W106&lt;&gt;"",IF(W106&gt;=0.05,"Great for Brown",IF(W106&gt;=0.01,"Brown on track",IF(W106&gt;-0.01,"Toss-up",IF(W106&gt;-0.05,"Husted on track","Great for Husted"))))&amp;" (margin + turnout)",IF((R106-I106)&gt;=0.05,"Great for Brown",IF((R106-I106)&gt;=0.01,"Brown on track",IF((R106-I106)&gt;-0.01,"Toss-up",IF((R106-I106)&gt;-0.05,"Husted on track","Great for Husted"))))&amp;IF(Counties!AG932=1,""," (partial count)")))</f>
        <v/>
      </c>
      <c r="Y106" s="17">
        <f>"Break-even "&amp;IF(I106&gt;=0,"D+","R+")&amp;TEXT(ABS(I106)*100,"0.0")&amp;" ("&amp;IF(N106&gt;=0,"D +","R +")&amp;TEXT(ABS(N106),"#,##0")&amp;" net, about "&amp;TEXT(Q106,"#,##0")&amp;" Brown votes). Brown at "&amp;IF(K106&gt;=0,"D+","R+")&amp;TEXT(ABS(K106)*100,"0.0")&amp;" or better = great night; "&amp;IF(J106&gt;=0,"D+","R+")&amp;TEXT(ABS(J106)*100,"0.0")&amp;" = on track to win. Husted holding it to "&amp;IF(H106&gt;=0,"D+","R+")&amp;TEXT(ABS(H106)*100,"0.0")&amp;" = Husted on track; "&amp;IF(G106&gt;=0,"D+","R+")&amp;TEXT(ABS(G106)*100,"0.0")&amp;" or worse for Brown = great for Husted. Turnout: par is about "&amp;TEXT(D106,"#,##0")&amp;" two-party votes ("&amp;TEXT(Counties!AQ932/SUMIFS(Counties!$AQ:$AQ,Counties!$A:$A,"OH"),"0.0%")&amp;" of the state). At 95% of par the break-even moves to "&amp;IF((I106/0.95)&gt;=0,"D+","R+")&amp;TEXT(ABS((I106/0.95))*100,"0.0")&amp;"; at 105%, to "&amp;IF((I106/1.05)&gt;=0,"D+","R+")&amp;TEXT(ABS((I106/1.05))*100,"0.0")&amp;"."</f>
        <v/>
      </c>
    </row>
    <row r="107" ht="58" customHeight="1">
      <c r="A107" s="8" t="inlineStr">
        <is>
          <t>OH</t>
        </is>
      </c>
      <c r="B107" s="8" t="inlineStr">
        <is>
          <t>Stark</t>
        </is>
      </c>
      <c r="C107" s="8" t="inlineStr">
        <is>
          <t>Mid-size/working metro</t>
        </is>
      </c>
      <c r="D107" s="12">
        <f>Counties!AT951</f>
        <v/>
      </c>
      <c r="E107" s="9">
        <f>Counties!O951</f>
        <v/>
      </c>
      <c r="F107" s="9">
        <f>Counties!R951</f>
        <v/>
      </c>
      <c r="G107" s="9">
        <f>MAX(-1,MIN(1,Counties!O951+-0.05+Dashboard!$F$17))</f>
        <v/>
      </c>
      <c r="H107" s="9">
        <f>MAX(-1,MIN(1,Counties!O951+-0.01+Dashboard!$F$17))</f>
        <v/>
      </c>
      <c r="I107" s="36">
        <f>MAX(-1,MIN(1,Counties!O951+0.0+Dashboard!$F$17))</f>
        <v/>
      </c>
      <c r="J107" s="9">
        <f>MAX(-1,MIN(1,Counties!O951+0.01+Dashboard!$F$17))</f>
        <v/>
      </c>
      <c r="K107" s="9">
        <f>MAX(-1,MIN(1,Counties!O951+0.05+Dashboard!$F$17))</f>
        <v/>
      </c>
      <c r="L107" s="37">
        <f>G107*D107</f>
        <v/>
      </c>
      <c r="M107" s="37">
        <f>H107*D107</f>
        <v/>
      </c>
      <c r="N107" s="37">
        <f>I107*D107</f>
        <v/>
      </c>
      <c r="O107" s="37">
        <f>J107*D107</f>
        <v/>
      </c>
      <c r="P107" s="37">
        <f>K107*D107</f>
        <v/>
      </c>
      <c r="Q107" s="12">
        <f>D107*(1+I107)/2</f>
        <v/>
      </c>
      <c r="R107" s="9">
        <f>Counties!AH951</f>
        <v/>
      </c>
      <c r="S107" s="37">
        <f>IF(Counties!AH951="","",Counties!AH951*Counties!AF951)</f>
        <v/>
      </c>
      <c r="T107" s="13">
        <f>Counties!AO951</f>
        <v/>
      </c>
      <c r="U107" s="16">
        <f>Counties!AU951</f>
        <v/>
      </c>
      <c r="V107" s="9">
        <f>Counties!AV951</f>
        <v/>
      </c>
      <c r="W107" s="10">
        <f>Counties!AY951</f>
        <v/>
      </c>
      <c r="X107" s="8">
        <f>IF(R107="","not in yet",IF(W107&lt;&gt;"",IF(W107&gt;=0.05,"Great for Brown",IF(W107&gt;=0.01,"Brown on track",IF(W107&gt;-0.01,"Toss-up",IF(W107&gt;-0.05,"Husted on track","Great for Husted"))))&amp;" (margin + turnout)",IF((R107-I107)&gt;=0.05,"Great for Brown",IF((R107-I107)&gt;=0.01,"Brown on track",IF((R107-I107)&gt;-0.01,"Toss-up",IF((R107-I107)&gt;-0.05,"Husted on track","Great for Husted"))))&amp;IF(Counties!AG951=1,""," (partial count)")))</f>
        <v/>
      </c>
      <c r="Y107" s="17">
        <f>"Break-even "&amp;IF(I107&gt;=0,"D+","R+")&amp;TEXT(ABS(I107)*100,"0.0")&amp;" ("&amp;IF(N107&gt;=0,"D +","R +")&amp;TEXT(ABS(N107),"#,##0")&amp;" net, about "&amp;TEXT(Q107,"#,##0")&amp;" Brown votes). Brown at "&amp;IF(K107&gt;=0,"D+","R+")&amp;TEXT(ABS(K107)*100,"0.0")&amp;" or better = great night; "&amp;IF(J107&gt;=0,"D+","R+")&amp;TEXT(ABS(J107)*100,"0.0")&amp;" = on track to win. Husted holding it to "&amp;IF(H107&gt;=0,"D+","R+")&amp;TEXT(ABS(H107)*100,"0.0")&amp;" = Husted on track; "&amp;IF(G107&gt;=0,"D+","R+")&amp;TEXT(ABS(G107)*100,"0.0")&amp;" or worse for Brown = great for Husted. Turnout: par is about "&amp;TEXT(D107,"#,##0")&amp;" two-party votes ("&amp;TEXT(Counties!AQ951/SUMIFS(Counties!$AQ:$AQ,Counties!$A:$A,"OH"),"0.0%")&amp;" of the state). At 95% of par the break-even moves to "&amp;IF((I107/0.95)&gt;=0,"D+","R+")&amp;TEXT(ABS((I107/0.95))*100,"0.0")&amp;"; at 105%, to "&amp;IF((I107/1.05)&gt;=0,"D+","R+")&amp;TEXT(ABS((I107/1.05))*100,"0.0")&amp;"."</f>
        <v/>
      </c>
    </row>
    <row r="108" ht="58" customHeight="1">
      <c r="A108" s="8" t="inlineStr">
        <is>
          <t>OH</t>
        </is>
      </c>
      <c r="B108" s="8" t="inlineStr">
        <is>
          <t>Butler</t>
        </is>
      </c>
      <c r="C108" s="8" t="inlineStr">
        <is>
          <t>Mid-size/working metro</t>
        </is>
      </c>
      <c r="D108" s="12">
        <f>Counties!AT884</f>
        <v/>
      </c>
      <c r="E108" s="9">
        <f>Counties!O884</f>
        <v/>
      </c>
      <c r="F108" s="9">
        <f>Counties!R884</f>
        <v/>
      </c>
      <c r="G108" s="9">
        <f>MAX(-1,MIN(1,Counties!O884+-0.05+Dashboard!$F$17))</f>
        <v/>
      </c>
      <c r="H108" s="9">
        <f>MAX(-1,MIN(1,Counties!O884+-0.01+Dashboard!$F$17))</f>
        <v/>
      </c>
      <c r="I108" s="36">
        <f>MAX(-1,MIN(1,Counties!O884+0.0+Dashboard!$F$17))</f>
        <v/>
      </c>
      <c r="J108" s="9">
        <f>MAX(-1,MIN(1,Counties!O884+0.01+Dashboard!$F$17))</f>
        <v/>
      </c>
      <c r="K108" s="9">
        <f>MAX(-1,MIN(1,Counties!O884+0.05+Dashboard!$F$17))</f>
        <v/>
      </c>
      <c r="L108" s="37">
        <f>G108*D108</f>
        <v/>
      </c>
      <c r="M108" s="37">
        <f>H108*D108</f>
        <v/>
      </c>
      <c r="N108" s="37">
        <f>I108*D108</f>
        <v/>
      </c>
      <c r="O108" s="37">
        <f>J108*D108</f>
        <v/>
      </c>
      <c r="P108" s="37">
        <f>K108*D108</f>
        <v/>
      </c>
      <c r="Q108" s="12">
        <f>D108*(1+I108)/2</f>
        <v/>
      </c>
      <c r="R108" s="9">
        <f>Counties!AH884</f>
        <v/>
      </c>
      <c r="S108" s="37">
        <f>IF(Counties!AH884="","",Counties!AH884*Counties!AF884)</f>
        <v/>
      </c>
      <c r="T108" s="13">
        <f>Counties!AO884</f>
        <v/>
      </c>
      <c r="U108" s="16">
        <f>Counties!AU884</f>
        <v/>
      </c>
      <c r="V108" s="9">
        <f>Counties!AV884</f>
        <v/>
      </c>
      <c r="W108" s="10">
        <f>Counties!AY884</f>
        <v/>
      </c>
      <c r="X108" s="8">
        <f>IF(R108="","not in yet",IF(W108&lt;&gt;"",IF(W108&gt;=0.05,"Great for Brown",IF(W108&gt;=0.01,"Brown on track",IF(W108&gt;-0.01,"Toss-up",IF(W108&gt;-0.05,"Husted on track","Great for Husted"))))&amp;" (margin + turnout)",IF((R108-I108)&gt;=0.05,"Great for Brown",IF((R108-I108)&gt;=0.01,"Brown on track",IF((R108-I108)&gt;-0.01,"Toss-up",IF((R108-I108)&gt;-0.05,"Husted on track","Great for Husted"))))&amp;IF(Counties!AG884=1,""," (partial count)")))</f>
        <v/>
      </c>
      <c r="Y108" s="17">
        <f>"Break-even "&amp;IF(I108&gt;=0,"D+","R+")&amp;TEXT(ABS(I108)*100,"0.0")&amp;" ("&amp;IF(N108&gt;=0,"D +","R +")&amp;TEXT(ABS(N108),"#,##0")&amp;" net, about "&amp;TEXT(Q108,"#,##0")&amp;" Brown votes). Brown at "&amp;IF(K108&gt;=0,"D+","R+")&amp;TEXT(ABS(K108)*100,"0.0")&amp;" or better = great night; "&amp;IF(J108&gt;=0,"D+","R+")&amp;TEXT(ABS(J108)*100,"0.0")&amp;" = on track to win. Husted holding it to "&amp;IF(H108&gt;=0,"D+","R+")&amp;TEXT(ABS(H108)*100,"0.0")&amp;" = Husted on track; "&amp;IF(G108&gt;=0,"D+","R+")&amp;TEXT(ABS(G108)*100,"0.0")&amp;" or worse for Brown = great for Husted. Turnout: par is about "&amp;TEXT(D108,"#,##0")&amp;" two-party votes ("&amp;TEXT(Counties!AQ884/SUMIFS(Counties!$AQ:$AQ,Counties!$A:$A,"OH"),"0.0%")&amp;" of the state). At 95% of par the break-even moves to "&amp;IF((I108/0.95)&gt;=0,"D+","R+")&amp;TEXT(ABS((I108/0.95))*100,"0.0")&amp;"; at 105%, to "&amp;IF((I108/1.05)&gt;=0,"D+","R+")&amp;TEXT(ABS((I108/1.05))*100,"0.0")&amp;"."</f>
        <v/>
      </c>
    </row>
    <row r="109" ht="58" customHeight="1">
      <c r="A109" s="8" t="inlineStr">
        <is>
          <t>OH</t>
        </is>
      </c>
      <c r="B109" s="8" t="inlineStr">
        <is>
          <t>Lorain</t>
        </is>
      </c>
      <c r="C109" s="8" t="inlineStr">
        <is>
          <t>Mid-size/working metro</t>
        </is>
      </c>
      <c r="D109" s="12">
        <f>Counties!AT922</f>
        <v/>
      </c>
      <c r="E109" s="9">
        <f>Counties!O922</f>
        <v/>
      </c>
      <c r="F109" s="9">
        <f>Counties!R922</f>
        <v/>
      </c>
      <c r="G109" s="9">
        <f>MAX(-1,MIN(1,Counties!O922+-0.05+Dashboard!$F$17))</f>
        <v/>
      </c>
      <c r="H109" s="9">
        <f>MAX(-1,MIN(1,Counties!O922+-0.01+Dashboard!$F$17))</f>
        <v/>
      </c>
      <c r="I109" s="36">
        <f>MAX(-1,MIN(1,Counties!O922+0.0+Dashboard!$F$17))</f>
        <v/>
      </c>
      <c r="J109" s="9">
        <f>MAX(-1,MIN(1,Counties!O922+0.01+Dashboard!$F$17))</f>
        <v/>
      </c>
      <c r="K109" s="9">
        <f>MAX(-1,MIN(1,Counties!O922+0.05+Dashboard!$F$17))</f>
        <v/>
      </c>
      <c r="L109" s="37">
        <f>G109*D109</f>
        <v/>
      </c>
      <c r="M109" s="37">
        <f>H109*D109</f>
        <v/>
      </c>
      <c r="N109" s="37">
        <f>I109*D109</f>
        <v/>
      </c>
      <c r="O109" s="37">
        <f>J109*D109</f>
        <v/>
      </c>
      <c r="P109" s="37">
        <f>K109*D109</f>
        <v/>
      </c>
      <c r="Q109" s="12">
        <f>D109*(1+I109)/2</f>
        <v/>
      </c>
      <c r="R109" s="9">
        <f>Counties!AH922</f>
        <v/>
      </c>
      <c r="S109" s="37">
        <f>IF(Counties!AH922="","",Counties!AH922*Counties!AF922)</f>
        <v/>
      </c>
      <c r="T109" s="13">
        <f>Counties!AO922</f>
        <v/>
      </c>
      <c r="U109" s="16">
        <f>Counties!AU922</f>
        <v/>
      </c>
      <c r="V109" s="9">
        <f>Counties!AV922</f>
        <v/>
      </c>
      <c r="W109" s="10">
        <f>Counties!AY922</f>
        <v/>
      </c>
      <c r="X109" s="8">
        <f>IF(R109="","not in yet",IF(W109&lt;&gt;"",IF(W109&gt;=0.05,"Great for Brown",IF(W109&gt;=0.01,"Brown on track",IF(W109&gt;-0.01,"Toss-up",IF(W109&gt;-0.05,"Husted on track","Great for Husted"))))&amp;" (margin + turnout)",IF((R109-I109)&gt;=0.05,"Great for Brown",IF((R109-I109)&gt;=0.01,"Brown on track",IF((R109-I109)&gt;-0.01,"Toss-up",IF((R109-I109)&gt;-0.05,"Husted on track","Great for Husted"))))&amp;IF(Counties!AG922=1,""," (partial count)")))</f>
        <v/>
      </c>
      <c r="Y109" s="17">
        <f>"Break-even "&amp;IF(I109&gt;=0,"D+","R+")&amp;TEXT(ABS(I109)*100,"0.0")&amp;" ("&amp;IF(N109&gt;=0,"D +","R +")&amp;TEXT(ABS(N109),"#,##0")&amp;" net, about "&amp;TEXT(Q109,"#,##0")&amp;" Brown votes). Brown at "&amp;IF(K109&gt;=0,"D+","R+")&amp;TEXT(ABS(K109)*100,"0.0")&amp;" or better = great night; "&amp;IF(J109&gt;=0,"D+","R+")&amp;TEXT(ABS(J109)*100,"0.0")&amp;" = on track to win. Husted holding it to "&amp;IF(H109&gt;=0,"D+","R+")&amp;TEXT(ABS(H109)*100,"0.0")&amp;" = Husted on track; "&amp;IF(G109&gt;=0,"D+","R+")&amp;TEXT(ABS(G109)*100,"0.0")&amp;" or worse for Brown = great for Husted. Turnout: par is about "&amp;TEXT(D109,"#,##0")&amp;" two-party votes ("&amp;TEXT(Counties!AQ922/SUMIFS(Counties!$AQ:$AQ,Counties!$A:$A,"OH"),"0.0%")&amp;" of the state). At 95% of par the break-even moves to "&amp;IF((I109/0.95)&gt;=0,"D+","R+")&amp;TEXT(ABS((I109/0.95))*100,"0.0")&amp;"; at 105%, to "&amp;IF((I109/1.05)&gt;=0,"D+","R+")&amp;TEXT(ABS((I109/1.05))*100,"0.0")&amp;"."</f>
        <v/>
      </c>
    </row>
    <row r="110" ht="58" customHeight="1">
      <c r="A110" s="8" t="inlineStr">
        <is>
          <t>OH</t>
        </is>
      </c>
      <c r="B110" s="8" t="inlineStr">
        <is>
          <t>Warren</t>
        </is>
      </c>
      <c r="C110" s="8" t="inlineStr">
        <is>
          <t>College suburb/metro</t>
        </is>
      </c>
      <c r="D110" s="12">
        <f>Counties!AT958</f>
        <v/>
      </c>
      <c r="E110" s="9">
        <f>Counties!O958</f>
        <v/>
      </c>
      <c r="F110" s="9">
        <f>Counties!R958</f>
        <v/>
      </c>
      <c r="G110" s="9">
        <f>MAX(-1,MIN(1,Counties!O958+-0.05+Dashboard!$F$17))</f>
        <v/>
      </c>
      <c r="H110" s="9">
        <f>MAX(-1,MIN(1,Counties!O958+-0.01+Dashboard!$F$17))</f>
        <v/>
      </c>
      <c r="I110" s="36">
        <f>MAX(-1,MIN(1,Counties!O958+0.0+Dashboard!$F$17))</f>
        <v/>
      </c>
      <c r="J110" s="9">
        <f>MAX(-1,MIN(1,Counties!O958+0.01+Dashboard!$F$17))</f>
        <v/>
      </c>
      <c r="K110" s="9">
        <f>MAX(-1,MIN(1,Counties!O958+0.05+Dashboard!$F$17))</f>
        <v/>
      </c>
      <c r="L110" s="37">
        <f>G110*D110</f>
        <v/>
      </c>
      <c r="M110" s="37">
        <f>H110*D110</f>
        <v/>
      </c>
      <c r="N110" s="37">
        <f>I110*D110</f>
        <v/>
      </c>
      <c r="O110" s="37">
        <f>J110*D110</f>
        <v/>
      </c>
      <c r="P110" s="37">
        <f>K110*D110</f>
        <v/>
      </c>
      <c r="Q110" s="12">
        <f>D110*(1+I110)/2</f>
        <v/>
      </c>
      <c r="R110" s="9">
        <f>Counties!AH958</f>
        <v/>
      </c>
      <c r="S110" s="37">
        <f>IF(Counties!AH958="","",Counties!AH958*Counties!AF958)</f>
        <v/>
      </c>
      <c r="T110" s="13">
        <f>Counties!AO958</f>
        <v/>
      </c>
      <c r="U110" s="16">
        <f>Counties!AU958</f>
        <v/>
      </c>
      <c r="V110" s="9">
        <f>Counties!AV958</f>
        <v/>
      </c>
      <c r="W110" s="10">
        <f>Counties!AY958</f>
        <v/>
      </c>
      <c r="X110" s="8">
        <f>IF(R110="","not in yet",IF(W110&lt;&gt;"",IF(W110&gt;=0.05,"Great for Brown",IF(W110&gt;=0.01,"Brown on track",IF(W110&gt;-0.01,"Toss-up",IF(W110&gt;-0.05,"Husted on track","Great for Husted"))))&amp;" (margin + turnout)",IF((R110-I110)&gt;=0.05,"Great for Brown",IF((R110-I110)&gt;=0.01,"Brown on track",IF((R110-I110)&gt;-0.01,"Toss-up",IF((R110-I110)&gt;-0.05,"Husted on track","Great for Husted"))))&amp;IF(Counties!AG958=1,""," (partial count)")))</f>
        <v/>
      </c>
      <c r="Y110" s="17">
        <f>"Break-even "&amp;IF(I110&gt;=0,"D+","R+")&amp;TEXT(ABS(I110)*100,"0.0")&amp;" ("&amp;IF(N110&gt;=0,"D +","R +")&amp;TEXT(ABS(N110),"#,##0")&amp;" net, about "&amp;TEXT(Q110,"#,##0")&amp;" Brown votes). Brown at "&amp;IF(K110&gt;=0,"D+","R+")&amp;TEXT(ABS(K110)*100,"0.0")&amp;" or better = great night; "&amp;IF(J110&gt;=0,"D+","R+")&amp;TEXT(ABS(J110)*100,"0.0")&amp;" = on track to win. Husted holding it to "&amp;IF(H110&gt;=0,"D+","R+")&amp;TEXT(ABS(H110)*100,"0.0")&amp;" = Husted on track; "&amp;IF(G110&gt;=0,"D+","R+")&amp;TEXT(ABS(G110)*100,"0.0")&amp;" or worse for Brown = great for Husted. Turnout: par is about "&amp;TEXT(D110,"#,##0")&amp;" two-party votes ("&amp;TEXT(Counties!AQ958/SUMIFS(Counties!$AQ:$AQ,Counties!$A:$A,"OH"),"0.0%")&amp;" of the state). At 95% of par the break-even moves to "&amp;IF((I110/0.95)&gt;=0,"D+","R+")&amp;TEXT(ABS((I110/0.95))*100,"0.0")&amp;"; at 105%, to "&amp;IF((I110/1.05)&gt;=0,"D+","R+")&amp;TEXT(ABS((I110/1.05))*100,"0.0")&amp;"."</f>
        <v/>
      </c>
    </row>
    <row r="111" ht="58" customHeight="1">
      <c r="A111" s="8" t="inlineStr">
        <is>
          <t>OH</t>
        </is>
      </c>
      <c r="B111" s="8" t="inlineStr">
        <is>
          <t>Delaware</t>
        </is>
      </c>
      <c r="C111" s="8" t="inlineStr">
        <is>
          <t>College suburb/metro</t>
        </is>
      </c>
      <c r="D111" s="12">
        <f>Counties!AT896</f>
        <v/>
      </c>
      <c r="E111" s="9">
        <f>Counties!O896</f>
        <v/>
      </c>
      <c r="F111" s="9">
        <f>Counties!R896</f>
        <v/>
      </c>
      <c r="G111" s="9">
        <f>MAX(-1,MIN(1,Counties!O896+-0.05+Dashboard!$F$17))</f>
        <v/>
      </c>
      <c r="H111" s="9">
        <f>MAX(-1,MIN(1,Counties!O896+-0.01+Dashboard!$F$17))</f>
        <v/>
      </c>
      <c r="I111" s="36">
        <f>MAX(-1,MIN(1,Counties!O896+0.0+Dashboard!$F$17))</f>
        <v/>
      </c>
      <c r="J111" s="9">
        <f>MAX(-1,MIN(1,Counties!O896+0.01+Dashboard!$F$17))</f>
        <v/>
      </c>
      <c r="K111" s="9">
        <f>MAX(-1,MIN(1,Counties!O896+0.05+Dashboard!$F$17))</f>
        <v/>
      </c>
      <c r="L111" s="37">
        <f>G111*D111</f>
        <v/>
      </c>
      <c r="M111" s="37">
        <f>H111*D111</f>
        <v/>
      </c>
      <c r="N111" s="37">
        <f>I111*D111</f>
        <v/>
      </c>
      <c r="O111" s="37">
        <f>J111*D111</f>
        <v/>
      </c>
      <c r="P111" s="37">
        <f>K111*D111</f>
        <v/>
      </c>
      <c r="Q111" s="12">
        <f>D111*(1+I111)/2</f>
        <v/>
      </c>
      <c r="R111" s="9">
        <f>Counties!AH896</f>
        <v/>
      </c>
      <c r="S111" s="37">
        <f>IF(Counties!AH896="","",Counties!AH896*Counties!AF896)</f>
        <v/>
      </c>
      <c r="T111" s="13">
        <f>Counties!AO896</f>
        <v/>
      </c>
      <c r="U111" s="16">
        <f>Counties!AU896</f>
        <v/>
      </c>
      <c r="V111" s="9">
        <f>Counties!AV896</f>
        <v/>
      </c>
      <c r="W111" s="10">
        <f>Counties!AY896</f>
        <v/>
      </c>
      <c r="X111" s="8">
        <f>IF(R111="","not in yet",IF(W111&lt;&gt;"",IF(W111&gt;=0.05,"Great for Brown",IF(W111&gt;=0.01,"Brown on track",IF(W111&gt;-0.01,"Toss-up",IF(W111&gt;-0.05,"Husted on track","Great for Husted"))))&amp;" (margin + turnout)",IF((R111-I111)&gt;=0.05,"Great for Brown",IF((R111-I111)&gt;=0.01,"Brown on track",IF((R111-I111)&gt;-0.01,"Toss-up",IF((R111-I111)&gt;-0.05,"Husted on track","Great for Husted"))))&amp;IF(Counties!AG896=1,""," (partial count)")))</f>
        <v/>
      </c>
      <c r="Y111" s="17">
        <f>"Break-even "&amp;IF(I111&gt;=0,"D+","R+")&amp;TEXT(ABS(I111)*100,"0.0")&amp;" ("&amp;IF(N111&gt;=0,"D +","R +")&amp;TEXT(ABS(N111),"#,##0")&amp;" net, about "&amp;TEXT(Q111,"#,##0")&amp;" Brown votes). Brown at "&amp;IF(K111&gt;=0,"D+","R+")&amp;TEXT(ABS(K111)*100,"0.0")&amp;" or better = great night; "&amp;IF(J111&gt;=0,"D+","R+")&amp;TEXT(ABS(J111)*100,"0.0")&amp;" = on track to win. Husted holding it to "&amp;IF(H111&gt;=0,"D+","R+")&amp;TEXT(ABS(H111)*100,"0.0")&amp;" = Husted on track; "&amp;IF(G111&gt;=0,"D+","R+")&amp;TEXT(ABS(G111)*100,"0.0")&amp;" or worse for Brown = great for Husted. Turnout: par is about "&amp;TEXT(D111,"#,##0")&amp;" two-party votes ("&amp;TEXT(Counties!AQ896/SUMIFS(Counties!$AQ:$AQ,Counties!$A:$A,"OH"),"0.0%")&amp;" of the state). At 95% of par the break-even moves to "&amp;IF((I111/0.95)&gt;=0,"D+","R+")&amp;TEXT(ABS((I111/0.95))*100,"0.0")&amp;"; at 105%, to "&amp;IF((I111/1.05)&gt;=0,"D+","R+")&amp;TEXT(ABS((I111/1.05))*100,"0.0")&amp;"."</f>
        <v/>
      </c>
    </row>
    <row r="112" ht="58" customHeight="1">
      <c r="A112" s="8" t="inlineStr">
        <is>
          <t>OH</t>
        </is>
      </c>
      <c r="B112" s="8" t="inlineStr">
        <is>
          <t>Mahoning</t>
        </is>
      </c>
      <c r="C112" s="8" t="inlineStr">
        <is>
          <t>Mid-size/working metro</t>
        </is>
      </c>
      <c r="D112" s="12">
        <f>Counties!AT925</f>
        <v/>
      </c>
      <c r="E112" s="9">
        <f>Counties!O925</f>
        <v/>
      </c>
      <c r="F112" s="9">
        <f>Counties!R925</f>
        <v/>
      </c>
      <c r="G112" s="9">
        <f>MAX(-1,MIN(1,Counties!O925+-0.05+Dashboard!$F$17))</f>
        <v/>
      </c>
      <c r="H112" s="9">
        <f>MAX(-1,MIN(1,Counties!O925+-0.01+Dashboard!$F$17))</f>
        <v/>
      </c>
      <c r="I112" s="36">
        <f>MAX(-1,MIN(1,Counties!O925+0.0+Dashboard!$F$17))</f>
        <v/>
      </c>
      <c r="J112" s="9">
        <f>MAX(-1,MIN(1,Counties!O925+0.01+Dashboard!$F$17))</f>
        <v/>
      </c>
      <c r="K112" s="9">
        <f>MAX(-1,MIN(1,Counties!O925+0.05+Dashboard!$F$17))</f>
        <v/>
      </c>
      <c r="L112" s="37">
        <f>G112*D112</f>
        <v/>
      </c>
      <c r="M112" s="37">
        <f>H112*D112</f>
        <v/>
      </c>
      <c r="N112" s="37">
        <f>I112*D112</f>
        <v/>
      </c>
      <c r="O112" s="37">
        <f>J112*D112</f>
        <v/>
      </c>
      <c r="P112" s="37">
        <f>K112*D112</f>
        <v/>
      </c>
      <c r="Q112" s="12">
        <f>D112*(1+I112)/2</f>
        <v/>
      </c>
      <c r="R112" s="9">
        <f>Counties!AH925</f>
        <v/>
      </c>
      <c r="S112" s="37">
        <f>IF(Counties!AH925="","",Counties!AH925*Counties!AF925)</f>
        <v/>
      </c>
      <c r="T112" s="13">
        <f>Counties!AO925</f>
        <v/>
      </c>
      <c r="U112" s="16">
        <f>Counties!AU925</f>
        <v/>
      </c>
      <c r="V112" s="9">
        <f>Counties!AV925</f>
        <v/>
      </c>
      <c r="W112" s="10">
        <f>Counties!AY925</f>
        <v/>
      </c>
      <c r="X112" s="8">
        <f>IF(R112="","not in yet",IF(W112&lt;&gt;"",IF(W112&gt;=0.05,"Great for Brown",IF(W112&gt;=0.01,"Brown on track",IF(W112&gt;-0.01,"Toss-up",IF(W112&gt;-0.05,"Husted on track","Great for Husted"))))&amp;" (margin + turnout)",IF((R112-I112)&gt;=0.05,"Great for Brown",IF((R112-I112)&gt;=0.01,"Brown on track",IF((R112-I112)&gt;-0.01,"Toss-up",IF((R112-I112)&gt;-0.05,"Husted on track","Great for Husted"))))&amp;IF(Counties!AG925=1,""," (partial count)")))</f>
        <v/>
      </c>
      <c r="Y112" s="17">
        <f>"Break-even "&amp;IF(I112&gt;=0,"D+","R+")&amp;TEXT(ABS(I112)*100,"0.0")&amp;" ("&amp;IF(N112&gt;=0,"D +","R +")&amp;TEXT(ABS(N112),"#,##0")&amp;" net, about "&amp;TEXT(Q112,"#,##0")&amp;" Brown votes). Brown at "&amp;IF(K112&gt;=0,"D+","R+")&amp;TEXT(ABS(K112)*100,"0.0")&amp;" or better = great night; "&amp;IF(J112&gt;=0,"D+","R+")&amp;TEXT(ABS(J112)*100,"0.0")&amp;" = on track to win. Husted holding it to "&amp;IF(H112&gt;=0,"D+","R+")&amp;TEXT(ABS(H112)*100,"0.0")&amp;" = Husted on track; "&amp;IF(G112&gt;=0,"D+","R+")&amp;TEXT(ABS(G112)*100,"0.0")&amp;" or worse for Brown = great for Husted. Turnout: par is about "&amp;TEXT(D112,"#,##0")&amp;" two-party votes ("&amp;TEXT(Counties!AQ925/SUMIFS(Counties!$AQ:$AQ,Counties!$A:$A,"OH"),"0.0%")&amp;" of the state). At 95% of par the break-even moves to "&amp;IF((I112/0.95)&gt;=0,"D+","R+")&amp;TEXT(ABS((I112/0.95))*100,"0.0")&amp;"; at 105%, to "&amp;IF((I112/1.05)&gt;=0,"D+","R+")&amp;TEXT(ABS((I112/1.05))*100,"0.0")&amp;"."</f>
        <v/>
      </c>
    </row>
    <row r="113">
      <c r="A113" s="22" t="inlineStr">
        <is>
          <t>South Carolina: Annie Andrews vs Darline Graham · 2024 statewide R+18.1 (R+17.7 with 2022's turnout pattern)</t>
        </is>
      </c>
      <c r="B113" s="22" t="n"/>
      <c r="C113" s="22" t="n"/>
      <c r="D113" s="22" t="n"/>
      <c r="E113" s="22" t="n"/>
      <c r="F113" s="22" t="n"/>
      <c r="G113" s="22" t="n"/>
      <c r="H113" s="22" t="n"/>
      <c r="I113" s="22" t="n"/>
      <c r="J113" s="22" t="n"/>
      <c r="K113" s="22" t="n"/>
      <c r="L113" s="22" t="n"/>
      <c r="M113" s="22" t="n"/>
      <c r="N113" s="22" t="n"/>
      <c r="O113" s="22" t="n"/>
      <c r="P113" s="22" t="n"/>
      <c r="Q113" s="22" t="n"/>
      <c r="R113" s="22" t="n"/>
      <c r="S113" s="22" t="n"/>
      <c r="T113" s="22" t="n"/>
      <c r="U113" s="22" t="n"/>
      <c r="V113" s="22" t="n"/>
      <c r="W113" s="22" t="n"/>
      <c r="X113" s="22" t="n"/>
      <c r="Y113" s="22" t="n"/>
    </row>
    <row r="114" ht="58" customHeight="1">
      <c r="A114" s="8" t="inlineStr">
        <is>
          <t>SC</t>
        </is>
      </c>
      <c r="B114" s="8" t="inlineStr">
        <is>
          <t>Greenville</t>
        </is>
      </c>
      <c r="C114" s="8" t="inlineStr">
        <is>
          <t>College suburb/metro</t>
        </is>
      </c>
      <c r="D114" s="12">
        <f>Counties!AT986</f>
        <v/>
      </c>
      <c r="E114" s="9">
        <f>Counties!O986</f>
        <v/>
      </c>
      <c r="F114" s="9">
        <f>Counties!R986</f>
        <v/>
      </c>
      <c r="G114" s="9">
        <f>MAX(-1,MIN(1,Counties!O986+-0.05+Dashboard!$F$18))</f>
        <v/>
      </c>
      <c r="H114" s="9">
        <f>MAX(-1,MIN(1,Counties!O986+-0.01+Dashboard!$F$18))</f>
        <v/>
      </c>
      <c r="I114" s="36">
        <f>MAX(-1,MIN(1,Counties!O986+0.0+Dashboard!$F$18))</f>
        <v/>
      </c>
      <c r="J114" s="9">
        <f>MAX(-1,MIN(1,Counties!O986+0.01+Dashboard!$F$18))</f>
        <v/>
      </c>
      <c r="K114" s="9">
        <f>MAX(-1,MIN(1,Counties!O986+0.05+Dashboard!$F$18))</f>
        <v/>
      </c>
      <c r="L114" s="37">
        <f>G114*D114</f>
        <v/>
      </c>
      <c r="M114" s="37">
        <f>H114*D114</f>
        <v/>
      </c>
      <c r="N114" s="37">
        <f>I114*D114</f>
        <v/>
      </c>
      <c r="O114" s="37">
        <f>J114*D114</f>
        <v/>
      </c>
      <c r="P114" s="37">
        <f>K114*D114</f>
        <v/>
      </c>
      <c r="Q114" s="12">
        <f>D114*(1+I114)/2</f>
        <v/>
      </c>
      <c r="R114" s="9">
        <f>Counties!AH986</f>
        <v/>
      </c>
      <c r="S114" s="37">
        <f>IF(Counties!AH986="","",Counties!AH986*Counties!AF986)</f>
        <v/>
      </c>
      <c r="T114" s="13">
        <f>Counties!AO986</f>
        <v/>
      </c>
      <c r="U114" s="16">
        <f>Counties!AU986</f>
        <v/>
      </c>
      <c r="V114" s="9">
        <f>Counties!AV986</f>
        <v/>
      </c>
      <c r="W114" s="10">
        <f>Counties!AY986</f>
        <v/>
      </c>
      <c r="X114" s="8">
        <f>IF(R114="","not in yet",IF(W114&lt;&gt;"",IF(W114&gt;=0.05,"Great for Andrews",IF(W114&gt;=0.01,"Andrews on track",IF(W114&gt;-0.01,"Toss-up",IF(W114&gt;-0.05,"Graham on track","Great for Graham"))))&amp;" (margin + turnout)",IF((R114-I114)&gt;=0.05,"Great for Andrews",IF((R114-I114)&gt;=0.01,"Andrews on track",IF((R114-I114)&gt;-0.01,"Toss-up",IF((R114-I114)&gt;-0.05,"Graham on track","Great for Graham"))))&amp;IF(Counties!AG986=1,""," (partial count)")))</f>
        <v/>
      </c>
      <c r="Y114" s="17">
        <f>"Break-even "&amp;IF(I114&gt;=0,"D+","R+")&amp;TEXT(ABS(I114)*100,"0.0")&amp;" ("&amp;IF(N114&gt;=0,"D +","R +")&amp;TEXT(ABS(N114),"#,##0")&amp;" net, about "&amp;TEXT(Q114,"#,##0")&amp;" Andrews votes). Andrews at "&amp;IF(K114&gt;=0,"D+","R+")&amp;TEXT(ABS(K114)*100,"0.0")&amp;" or better = great night; "&amp;IF(J114&gt;=0,"D+","R+")&amp;TEXT(ABS(J114)*100,"0.0")&amp;" = on track to win. Graham holding it to "&amp;IF(H114&gt;=0,"D+","R+")&amp;TEXT(ABS(H114)*100,"0.0")&amp;" = Graham on track; "&amp;IF(G114&gt;=0,"D+","R+")&amp;TEXT(ABS(G114)*100,"0.0")&amp;" or worse for Andrews = great for Graham. Turnout: par is about "&amp;TEXT(D114,"#,##0")&amp;" two-party votes ("&amp;TEXT(Counties!AQ986/SUMIFS(Counties!$AQ:$AQ,Counties!$A:$A,"SC"),"0.0%")&amp;" of the state). At 95% of par the break-even moves to "&amp;IF((I114/0.95)&gt;=0,"D+","R+")&amp;TEXT(ABS((I114/0.95))*100,"0.0")&amp;"; at 105%, to "&amp;IF((I114/1.05)&gt;=0,"D+","R+")&amp;TEXT(ABS((I114/1.05))*100,"0.0")&amp;"."</f>
        <v/>
      </c>
    </row>
    <row r="115" ht="58" customHeight="1">
      <c r="A115" s="8" t="inlineStr">
        <is>
          <t>SC</t>
        </is>
      </c>
      <c r="B115" s="8" t="inlineStr">
        <is>
          <t>Charleston</t>
        </is>
      </c>
      <c r="C115" s="8" t="inlineStr">
        <is>
          <t>College suburb/metro</t>
        </is>
      </c>
      <c r="D115" s="12">
        <f>Counties!AT973</f>
        <v/>
      </c>
      <c r="E115" s="9">
        <f>Counties!O973</f>
        <v/>
      </c>
      <c r="F115" s="9">
        <f>Counties!R973</f>
        <v/>
      </c>
      <c r="G115" s="9">
        <f>MAX(-1,MIN(1,Counties!O973+-0.05+Dashboard!$F$18))</f>
        <v/>
      </c>
      <c r="H115" s="9">
        <f>MAX(-1,MIN(1,Counties!O973+-0.01+Dashboard!$F$18))</f>
        <v/>
      </c>
      <c r="I115" s="36">
        <f>MAX(-1,MIN(1,Counties!O973+0.0+Dashboard!$F$18))</f>
        <v/>
      </c>
      <c r="J115" s="9">
        <f>MAX(-1,MIN(1,Counties!O973+0.01+Dashboard!$F$18))</f>
        <v/>
      </c>
      <c r="K115" s="9">
        <f>MAX(-1,MIN(1,Counties!O973+0.05+Dashboard!$F$18))</f>
        <v/>
      </c>
      <c r="L115" s="37">
        <f>G115*D115</f>
        <v/>
      </c>
      <c r="M115" s="37">
        <f>H115*D115</f>
        <v/>
      </c>
      <c r="N115" s="37">
        <f>I115*D115</f>
        <v/>
      </c>
      <c r="O115" s="37">
        <f>J115*D115</f>
        <v/>
      </c>
      <c r="P115" s="37">
        <f>K115*D115</f>
        <v/>
      </c>
      <c r="Q115" s="12">
        <f>D115*(1+I115)/2</f>
        <v/>
      </c>
      <c r="R115" s="9">
        <f>Counties!AH973</f>
        <v/>
      </c>
      <c r="S115" s="37">
        <f>IF(Counties!AH973="","",Counties!AH973*Counties!AF973)</f>
        <v/>
      </c>
      <c r="T115" s="13">
        <f>Counties!AO973</f>
        <v/>
      </c>
      <c r="U115" s="16">
        <f>Counties!AU973</f>
        <v/>
      </c>
      <c r="V115" s="9">
        <f>Counties!AV973</f>
        <v/>
      </c>
      <c r="W115" s="10">
        <f>Counties!AY973</f>
        <v/>
      </c>
      <c r="X115" s="8">
        <f>IF(R115="","not in yet",IF(W115&lt;&gt;"",IF(W115&gt;=0.05,"Great for Andrews",IF(W115&gt;=0.01,"Andrews on track",IF(W115&gt;-0.01,"Toss-up",IF(W115&gt;-0.05,"Graham on track","Great for Graham"))))&amp;" (margin + turnout)",IF((R115-I115)&gt;=0.05,"Great for Andrews",IF((R115-I115)&gt;=0.01,"Andrews on track",IF((R115-I115)&gt;-0.01,"Toss-up",IF((R115-I115)&gt;-0.05,"Graham on track","Great for Graham"))))&amp;IF(Counties!AG973=1,""," (partial count)")))</f>
        <v/>
      </c>
      <c r="Y115" s="17">
        <f>"Break-even "&amp;IF(I115&gt;=0,"D+","R+")&amp;TEXT(ABS(I115)*100,"0.0")&amp;" ("&amp;IF(N115&gt;=0,"D +","R +")&amp;TEXT(ABS(N115),"#,##0")&amp;" net, about "&amp;TEXT(Q115,"#,##0")&amp;" Andrews votes). Andrews at "&amp;IF(K115&gt;=0,"D+","R+")&amp;TEXT(ABS(K115)*100,"0.0")&amp;" or better = great night; "&amp;IF(J115&gt;=0,"D+","R+")&amp;TEXT(ABS(J115)*100,"0.0")&amp;" = on track to win. Graham holding it to "&amp;IF(H115&gt;=0,"D+","R+")&amp;TEXT(ABS(H115)*100,"0.0")&amp;" = Graham on track; "&amp;IF(G115&gt;=0,"D+","R+")&amp;TEXT(ABS(G115)*100,"0.0")&amp;" or worse for Andrews = great for Graham. Turnout: par is about "&amp;TEXT(D115,"#,##0")&amp;" two-party votes ("&amp;TEXT(Counties!AQ973/SUMIFS(Counties!$AQ:$AQ,Counties!$A:$A,"SC"),"0.0%")&amp;" of the state). At 95% of par the break-even moves to "&amp;IF((I115/0.95)&gt;=0,"D+","R+")&amp;TEXT(ABS((I115/0.95))*100,"0.0")&amp;"; at 105%, to "&amp;IF((I115/1.05)&gt;=0,"D+","R+")&amp;TEXT(ABS((I115/1.05))*100,"0.0")&amp;"."</f>
        <v/>
      </c>
    </row>
    <row r="116" ht="58" customHeight="1">
      <c r="A116" s="8" t="inlineStr">
        <is>
          <t>SC</t>
        </is>
      </c>
      <c r="B116" s="8" t="inlineStr">
        <is>
          <t>Horry</t>
        </is>
      </c>
      <c r="C116" s="8" t="inlineStr">
        <is>
          <t>Mid-size/working metro</t>
        </is>
      </c>
      <c r="D116" s="12">
        <f>Counties!AT989</f>
        <v/>
      </c>
      <c r="E116" s="9">
        <f>Counties!O989</f>
        <v/>
      </c>
      <c r="F116" s="9">
        <f>Counties!R989</f>
        <v/>
      </c>
      <c r="G116" s="9">
        <f>MAX(-1,MIN(1,Counties!O989+-0.05+Dashboard!$F$18))</f>
        <v/>
      </c>
      <c r="H116" s="9">
        <f>MAX(-1,MIN(1,Counties!O989+-0.01+Dashboard!$F$18))</f>
        <v/>
      </c>
      <c r="I116" s="36">
        <f>MAX(-1,MIN(1,Counties!O989+0.0+Dashboard!$F$18))</f>
        <v/>
      </c>
      <c r="J116" s="9">
        <f>MAX(-1,MIN(1,Counties!O989+0.01+Dashboard!$F$18))</f>
        <v/>
      </c>
      <c r="K116" s="9">
        <f>MAX(-1,MIN(1,Counties!O989+0.05+Dashboard!$F$18))</f>
        <v/>
      </c>
      <c r="L116" s="37">
        <f>G116*D116</f>
        <v/>
      </c>
      <c r="M116" s="37">
        <f>H116*D116</f>
        <v/>
      </c>
      <c r="N116" s="37">
        <f>I116*D116</f>
        <v/>
      </c>
      <c r="O116" s="37">
        <f>J116*D116</f>
        <v/>
      </c>
      <c r="P116" s="37">
        <f>K116*D116</f>
        <v/>
      </c>
      <c r="Q116" s="12">
        <f>D116*(1+I116)/2</f>
        <v/>
      </c>
      <c r="R116" s="9">
        <f>Counties!AH989</f>
        <v/>
      </c>
      <c r="S116" s="37">
        <f>IF(Counties!AH989="","",Counties!AH989*Counties!AF989)</f>
        <v/>
      </c>
      <c r="T116" s="13">
        <f>Counties!AO989</f>
        <v/>
      </c>
      <c r="U116" s="16">
        <f>Counties!AU989</f>
        <v/>
      </c>
      <c r="V116" s="9">
        <f>Counties!AV989</f>
        <v/>
      </c>
      <c r="W116" s="10">
        <f>Counties!AY989</f>
        <v/>
      </c>
      <c r="X116" s="8">
        <f>IF(R116="","not in yet",IF(W116&lt;&gt;"",IF(W116&gt;=0.05,"Great for Andrews",IF(W116&gt;=0.01,"Andrews on track",IF(W116&gt;-0.01,"Toss-up",IF(W116&gt;-0.05,"Graham on track","Great for Graham"))))&amp;" (margin + turnout)",IF((R116-I116)&gt;=0.05,"Great for Andrews",IF((R116-I116)&gt;=0.01,"Andrews on track",IF((R116-I116)&gt;-0.01,"Toss-up",IF((R116-I116)&gt;-0.05,"Graham on track","Great for Graham"))))&amp;IF(Counties!AG989=1,""," (partial count)")))</f>
        <v/>
      </c>
      <c r="Y116" s="17">
        <f>"Break-even "&amp;IF(I116&gt;=0,"D+","R+")&amp;TEXT(ABS(I116)*100,"0.0")&amp;" ("&amp;IF(N116&gt;=0,"D +","R +")&amp;TEXT(ABS(N116),"#,##0")&amp;" net, about "&amp;TEXT(Q116,"#,##0")&amp;" Andrews votes). Andrews at "&amp;IF(K116&gt;=0,"D+","R+")&amp;TEXT(ABS(K116)*100,"0.0")&amp;" or better = great night; "&amp;IF(J116&gt;=0,"D+","R+")&amp;TEXT(ABS(J116)*100,"0.0")&amp;" = on track to win. Graham holding it to "&amp;IF(H116&gt;=0,"D+","R+")&amp;TEXT(ABS(H116)*100,"0.0")&amp;" = Graham on track; "&amp;IF(G116&gt;=0,"D+","R+")&amp;TEXT(ABS(G116)*100,"0.0")&amp;" or worse for Andrews = great for Graham. Turnout: par is about "&amp;TEXT(D116,"#,##0")&amp;" two-party votes ("&amp;TEXT(Counties!AQ989/SUMIFS(Counties!$AQ:$AQ,Counties!$A:$A,"SC"),"0.0%")&amp;" of the state). At 95% of par the break-even moves to "&amp;IF((I116/0.95)&gt;=0,"D+","R+")&amp;TEXT(ABS((I116/0.95))*100,"0.0")&amp;"; at 105%, to "&amp;IF((I116/1.05)&gt;=0,"D+","R+")&amp;TEXT(ABS((I116/1.05))*100,"0.0")&amp;"."</f>
        <v/>
      </c>
    </row>
    <row r="117" ht="58" customHeight="1">
      <c r="A117" s="8" t="inlineStr">
        <is>
          <t>SC</t>
        </is>
      </c>
      <c r="B117" s="8" t="inlineStr">
        <is>
          <t>Richland</t>
        </is>
      </c>
      <c r="C117" s="8" t="inlineStr">
        <is>
          <t>Black Belt</t>
        </is>
      </c>
      <c r="D117" s="12">
        <f>Counties!AT1003</f>
        <v/>
      </c>
      <c r="E117" s="9">
        <f>Counties!O1003</f>
        <v/>
      </c>
      <c r="F117" s="9">
        <f>Counties!R1003</f>
        <v/>
      </c>
      <c r="G117" s="9">
        <f>MAX(-1,MIN(1,Counties!O1003+-0.05+Dashboard!$F$18))</f>
        <v/>
      </c>
      <c r="H117" s="9">
        <f>MAX(-1,MIN(1,Counties!O1003+-0.01+Dashboard!$F$18))</f>
        <v/>
      </c>
      <c r="I117" s="36">
        <f>MAX(-1,MIN(1,Counties!O1003+0.0+Dashboard!$F$18))</f>
        <v/>
      </c>
      <c r="J117" s="9">
        <f>MAX(-1,MIN(1,Counties!O1003+0.01+Dashboard!$F$18))</f>
        <v/>
      </c>
      <c r="K117" s="9">
        <f>MAX(-1,MIN(1,Counties!O1003+0.05+Dashboard!$F$18))</f>
        <v/>
      </c>
      <c r="L117" s="37">
        <f>G117*D117</f>
        <v/>
      </c>
      <c r="M117" s="37">
        <f>H117*D117</f>
        <v/>
      </c>
      <c r="N117" s="37">
        <f>I117*D117</f>
        <v/>
      </c>
      <c r="O117" s="37">
        <f>J117*D117</f>
        <v/>
      </c>
      <c r="P117" s="37">
        <f>K117*D117</f>
        <v/>
      </c>
      <c r="Q117" s="12">
        <f>D117*(1+I117)/2</f>
        <v/>
      </c>
      <c r="R117" s="9">
        <f>Counties!AH1003</f>
        <v/>
      </c>
      <c r="S117" s="37">
        <f>IF(Counties!AH1003="","",Counties!AH1003*Counties!AF1003)</f>
        <v/>
      </c>
      <c r="T117" s="13">
        <f>Counties!AO1003</f>
        <v/>
      </c>
      <c r="U117" s="16">
        <f>Counties!AU1003</f>
        <v/>
      </c>
      <c r="V117" s="9">
        <f>Counties!AV1003</f>
        <v/>
      </c>
      <c r="W117" s="10">
        <f>Counties!AY1003</f>
        <v/>
      </c>
      <c r="X117" s="8">
        <f>IF(R117="","not in yet",IF(W117&lt;&gt;"",IF(W117&gt;=0.05,"Great for Andrews",IF(W117&gt;=0.01,"Andrews on track",IF(W117&gt;-0.01,"Toss-up",IF(W117&gt;-0.05,"Graham on track","Great for Graham"))))&amp;" (margin + turnout)",IF((R117-I117)&gt;=0.05,"Great for Andrews",IF((R117-I117)&gt;=0.01,"Andrews on track",IF((R117-I117)&gt;-0.01,"Toss-up",IF((R117-I117)&gt;-0.05,"Graham on track","Great for Graham"))))&amp;IF(Counties!AG1003=1,""," (partial count)")))</f>
        <v/>
      </c>
      <c r="Y117" s="17">
        <f>"Break-even "&amp;IF(I117&gt;=0,"D+","R+")&amp;TEXT(ABS(I117)*100,"0.0")&amp;" ("&amp;IF(N117&gt;=0,"D +","R +")&amp;TEXT(ABS(N117),"#,##0")&amp;" net, about "&amp;TEXT(Q117,"#,##0")&amp;" Andrews votes). Andrews at "&amp;IF(K117&gt;=0,"D+","R+")&amp;TEXT(ABS(K117)*100,"0.0")&amp;" or better = great night; "&amp;IF(J117&gt;=0,"D+","R+")&amp;TEXT(ABS(J117)*100,"0.0")&amp;" = on track to win. Graham holding it to "&amp;IF(H117&gt;=0,"D+","R+")&amp;TEXT(ABS(H117)*100,"0.0")&amp;" = Graham on track; "&amp;IF(G117&gt;=0,"D+","R+")&amp;TEXT(ABS(G117)*100,"0.0")&amp;" or worse for Andrews = great for Graham. Turnout: par is about "&amp;TEXT(D117,"#,##0")&amp;" two-party votes ("&amp;TEXT(Counties!AQ1003/SUMIFS(Counties!$AQ:$AQ,Counties!$A:$A,"SC"),"0.0%")&amp;" of the state). At 95% of par the break-even moves to "&amp;IF((I117/0.95)&gt;=0,"D+","R+")&amp;TEXT(ABS((I117/0.95))*100,"0.0")&amp;"; at 105%, to "&amp;IF((I117/1.05)&gt;=0,"D+","R+")&amp;TEXT(ABS((I117/1.05))*100,"0.0")&amp;"."</f>
        <v/>
      </c>
    </row>
    <row r="118" ht="58" customHeight="1">
      <c r="A118" s="8" t="inlineStr">
        <is>
          <t>SC</t>
        </is>
      </c>
      <c r="B118" s="8" t="inlineStr">
        <is>
          <t>Spartanburg</t>
        </is>
      </c>
      <c r="C118" s="8" t="inlineStr">
        <is>
          <t>Mid-size/working metro</t>
        </is>
      </c>
      <c r="D118" s="12">
        <f>Counties!AT1005</f>
        <v/>
      </c>
      <c r="E118" s="9">
        <f>Counties!O1005</f>
        <v/>
      </c>
      <c r="F118" s="9">
        <f>Counties!R1005</f>
        <v/>
      </c>
      <c r="G118" s="9">
        <f>MAX(-1,MIN(1,Counties!O1005+-0.05+Dashboard!$F$18))</f>
        <v/>
      </c>
      <c r="H118" s="9">
        <f>MAX(-1,MIN(1,Counties!O1005+-0.01+Dashboard!$F$18))</f>
        <v/>
      </c>
      <c r="I118" s="36">
        <f>MAX(-1,MIN(1,Counties!O1005+0.0+Dashboard!$F$18))</f>
        <v/>
      </c>
      <c r="J118" s="9">
        <f>MAX(-1,MIN(1,Counties!O1005+0.01+Dashboard!$F$18))</f>
        <v/>
      </c>
      <c r="K118" s="9">
        <f>MAX(-1,MIN(1,Counties!O1005+0.05+Dashboard!$F$18))</f>
        <v/>
      </c>
      <c r="L118" s="37">
        <f>G118*D118</f>
        <v/>
      </c>
      <c r="M118" s="37">
        <f>H118*D118</f>
        <v/>
      </c>
      <c r="N118" s="37">
        <f>I118*D118</f>
        <v/>
      </c>
      <c r="O118" s="37">
        <f>J118*D118</f>
        <v/>
      </c>
      <c r="P118" s="37">
        <f>K118*D118</f>
        <v/>
      </c>
      <c r="Q118" s="12">
        <f>D118*(1+I118)/2</f>
        <v/>
      </c>
      <c r="R118" s="9">
        <f>Counties!AH1005</f>
        <v/>
      </c>
      <c r="S118" s="37">
        <f>IF(Counties!AH1005="","",Counties!AH1005*Counties!AF1005)</f>
        <v/>
      </c>
      <c r="T118" s="13">
        <f>Counties!AO1005</f>
        <v/>
      </c>
      <c r="U118" s="16">
        <f>Counties!AU1005</f>
        <v/>
      </c>
      <c r="V118" s="9">
        <f>Counties!AV1005</f>
        <v/>
      </c>
      <c r="W118" s="10">
        <f>Counties!AY1005</f>
        <v/>
      </c>
      <c r="X118" s="8">
        <f>IF(R118="","not in yet",IF(W118&lt;&gt;"",IF(W118&gt;=0.05,"Great for Andrews",IF(W118&gt;=0.01,"Andrews on track",IF(W118&gt;-0.01,"Toss-up",IF(W118&gt;-0.05,"Graham on track","Great for Graham"))))&amp;" (margin + turnout)",IF((R118-I118)&gt;=0.05,"Great for Andrews",IF((R118-I118)&gt;=0.01,"Andrews on track",IF((R118-I118)&gt;-0.01,"Toss-up",IF((R118-I118)&gt;-0.05,"Graham on track","Great for Graham"))))&amp;IF(Counties!AG1005=1,""," (partial count)")))</f>
        <v/>
      </c>
      <c r="Y118" s="17">
        <f>"Break-even "&amp;IF(I118&gt;=0,"D+","R+")&amp;TEXT(ABS(I118)*100,"0.0")&amp;" ("&amp;IF(N118&gt;=0,"D +","R +")&amp;TEXT(ABS(N118),"#,##0")&amp;" net, about "&amp;TEXT(Q118,"#,##0")&amp;" Andrews votes). Andrews at "&amp;IF(K118&gt;=0,"D+","R+")&amp;TEXT(ABS(K118)*100,"0.0")&amp;" or better = great night; "&amp;IF(J118&gt;=0,"D+","R+")&amp;TEXT(ABS(J118)*100,"0.0")&amp;" = on track to win. Graham holding it to "&amp;IF(H118&gt;=0,"D+","R+")&amp;TEXT(ABS(H118)*100,"0.0")&amp;" = Graham on track; "&amp;IF(G118&gt;=0,"D+","R+")&amp;TEXT(ABS(G118)*100,"0.0")&amp;" or worse for Andrews = great for Graham. Turnout: par is about "&amp;TEXT(D118,"#,##0")&amp;" two-party votes ("&amp;TEXT(Counties!AQ1005/SUMIFS(Counties!$AQ:$AQ,Counties!$A:$A,"SC"),"0.0%")&amp;" of the state). At 95% of par the break-even moves to "&amp;IF((I118/0.95)&gt;=0,"D+","R+")&amp;TEXT(ABS((I118/0.95))*100,"0.0")&amp;"; at 105%, to "&amp;IF((I118/1.05)&gt;=0,"D+","R+")&amp;TEXT(ABS((I118/1.05))*100,"0.0")&amp;"."</f>
        <v/>
      </c>
    </row>
    <row r="119" ht="58" customHeight="1">
      <c r="A119" s="8" t="inlineStr">
        <is>
          <t>SC</t>
        </is>
      </c>
      <c r="B119" s="8" t="inlineStr">
        <is>
          <t>York</t>
        </is>
      </c>
      <c r="C119" s="8" t="inlineStr">
        <is>
          <t>Mid-size/working metro</t>
        </is>
      </c>
      <c r="D119" s="12">
        <f>Counties!AT1009</f>
        <v/>
      </c>
      <c r="E119" s="9">
        <f>Counties!O1009</f>
        <v/>
      </c>
      <c r="F119" s="9">
        <f>Counties!R1009</f>
        <v/>
      </c>
      <c r="G119" s="9">
        <f>MAX(-1,MIN(1,Counties!O1009+-0.05+Dashboard!$F$18))</f>
        <v/>
      </c>
      <c r="H119" s="9">
        <f>MAX(-1,MIN(1,Counties!O1009+-0.01+Dashboard!$F$18))</f>
        <v/>
      </c>
      <c r="I119" s="36">
        <f>MAX(-1,MIN(1,Counties!O1009+0.0+Dashboard!$F$18))</f>
        <v/>
      </c>
      <c r="J119" s="9">
        <f>MAX(-1,MIN(1,Counties!O1009+0.01+Dashboard!$F$18))</f>
        <v/>
      </c>
      <c r="K119" s="9">
        <f>MAX(-1,MIN(1,Counties!O1009+0.05+Dashboard!$F$18))</f>
        <v/>
      </c>
      <c r="L119" s="37">
        <f>G119*D119</f>
        <v/>
      </c>
      <c r="M119" s="37">
        <f>H119*D119</f>
        <v/>
      </c>
      <c r="N119" s="37">
        <f>I119*D119</f>
        <v/>
      </c>
      <c r="O119" s="37">
        <f>J119*D119</f>
        <v/>
      </c>
      <c r="P119" s="37">
        <f>K119*D119</f>
        <v/>
      </c>
      <c r="Q119" s="12">
        <f>D119*(1+I119)/2</f>
        <v/>
      </c>
      <c r="R119" s="9">
        <f>Counties!AH1009</f>
        <v/>
      </c>
      <c r="S119" s="37">
        <f>IF(Counties!AH1009="","",Counties!AH1009*Counties!AF1009)</f>
        <v/>
      </c>
      <c r="T119" s="13">
        <f>Counties!AO1009</f>
        <v/>
      </c>
      <c r="U119" s="16">
        <f>Counties!AU1009</f>
        <v/>
      </c>
      <c r="V119" s="9">
        <f>Counties!AV1009</f>
        <v/>
      </c>
      <c r="W119" s="10">
        <f>Counties!AY1009</f>
        <v/>
      </c>
      <c r="X119" s="8">
        <f>IF(R119="","not in yet",IF(W119&lt;&gt;"",IF(W119&gt;=0.05,"Great for Andrews",IF(W119&gt;=0.01,"Andrews on track",IF(W119&gt;-0.01,"Toss-up",IF(W119&gt;-0.05,"Graham on track","Great for Graham"))))&amp;" (margin + turnout)",IF((R119-I119)&gt;=0.05,"Great for Andrews",IF((R119-I119)&gt;=0.01,"Andrews on track",IF((R119-I119)&gt;-0.01,"Toss-up",IF((R119-I119)&gt;-0.05,"Graham on track","Great for Graham"))))&amp;IF(Counties!AG1009=1,""," (partial count)")))</f>
        <v/>
      </c>
      <c r="Y119" s="17">
        <f>"Break-even "&amp;IF(I119&gt;=0,"D+","R+")&amp;TEXT(ABS(I119)*100,"0.0")&amp;" ("&amp;IF(N119&gt;=0,"D +","R +")&amp;TEXT(ABS(N119),"#,##0")&amp;" net, about "&amp;TEXT(Q119,"#,##0")&amp;" Andrews votes). Andrews at "&amp;IF(K119&gt;=0,"D+","R+")&amp;TEXT(ABS(K119)*100,"0.0")&amp;" or better = great night; "&amp;IF(J119&gt;=0,"D+","R+")&amp;TEXT(ABS(J119)*100,"0.0")&amp;" = on track to win. Graham holding it to "&amp;IF(H119&gt;=0,"D+","R+")&amp;TEXT(ABS(H119)*100,"0.0")&amp;" = Graham on track; "&amp;IF(G119&gt;=0,"D+","R+")&amp;TEXT(ABS(G119)*100,"0.0")&amp;" or worse for Andrews = great for Graham. Turnout: par is about "&amp;TEXT(D119,"#,##0")&amp;" two-party votes ("&amp;TEXT(Counties!AQ1009/SUMIFS(Counties!$AQ:$AQ,Counties!$A:$A,"SC"),"0.0%")&amp;" of the state). At 95% of par the break-even moves to "&amp;IF((I119/0.95)&gt;=0,"D+","R+")&amp;TEXT(ABS((I119/0.95))*100,"0.0")&amp;"; at 105%, to "&amp;IF((I119/1.05)&gt;=0,"D+","R+")&amp;TEXT(ABS((I119/1.05))*100,"0.0")&amp;"."</f>
        <v/>
      </c>
    </row>
    <row r="120" ht="58" customHeight="1">
      <c r="A120" s="8" t="inlineStr">
        <is>
          <t>SC</t>
        </is>
      </c>
      <c r="B120" s="8" t="inlineStr">
        <is>
          <t>Lexington</t>
        </is>
      </c>
      <c r="C120" s="8" t="inlineStr">
        <is>
          <t>Mid-size/working metro</t>
        </is>
      </c>
      <c r="D120" s="12">
        <f>Counties!AT995</f>
        <v/>
      </c>
      <c r="E120" s="9">
        <f>Counties!O995</f>
        <v/>
      </c>
      <c r="F120" s="9">
        <f>Counties!R995</f>
        <v/>
      </c>
      <c r="G120" s="9">
        <f>MAX(-1,MIN(1,Counties!O995+-0.05+Dashboard!$F$18))</f>
        <v/>
      </c>
      <c r="H120" s="9">
        <f>MAX(-1,MIN(1,Counties!O995+-0.01+Dashboard!$F$18))</f>
        <v/>
      </c>
      <c r="I120" s="36">
        <f>MAX(-1,MIN(1,Counties!O995+0.0+Dashboard!$F$18))</f>
        <v/>
      </c>
      <c r="J120" s="9">
        <f>MAX(-1,MIN(1,Counties!O995+0.01+Dashboard!$F$18))</f>
        <v/>
      </c>
      <c r="K120" s="9">
        <f>MAX(-1,MIN(1,Counties!O995+0.05+Dashboard!$F$18))</f>
        <v/>
      </c>
      <c r="L120" s="37">
        <f>G120*D120</f>
        <v/>
      </c>
      <c r="M120" s="37">
        <f>H120*D120</f>
        <v/>
      </c>
      <c r="N120" s="37">
        <f>I120*D120</f>
        <v/>
      </c>
      <c r="O120" s="37">
        <f>J120*D120</f>
        <v/>
      </c>
      <c r="P120" s="37">
        <f>K120*D120</f>
        <v/>
      </c>
      <c r="Q120" s="12">
        <f>D120*(1+I120)/2</f>
        <v/>
      </c>
      <c r="R120" s="9">
        <f>Counties!AH995</f>
        <v/>
      </c>
      <c r="S120" s="37">
        <f>IF(Counties!AH995="","",Counties!AH995*Counties!AF995)</f>
        <v/>
      </c>
      <c r="T120" s="13">
        <f>Counties!AO995</f>
        <v/>
      </c>
      <c r="U120" s="16">
        <f>Counties!AU995</f>
        <v/>
      </c>
      <c r="V120" s="9">
        <f>Counties!AV995</f>
        <v/>
      </c>
      <c r="W120" s="10">
        <f>Counties!AY995</f>
        <v/>
      </c>
      <c r="X120" s="8">
        <f>IF(R120="","not in yet",IF(W120&lt;&gt;"",IF(W120&gt;=0.05,"Great for Andrews",IF(W120&gt;=0.01,"Andrews on track",IF(W120&gt;-0.01,"Toss-up",IF(W120&gt;-0.05,"Graham on track","Great for Graham"))))&amp;" (margin + turnout)",IF((R120-I120)&gt;=0.05,"Great for Andrews",IF((R120-I120)&gt;=0.01,"Andrews on track",IF((R120-I120)&gt;-0.01,"Toss-up",IF((R120-I120)&gt;-0.05,"Graham on track","Great for Graham"))))&amp;IF(Counties!AG995=1,""," (partial count)")))</f>
        <v/>
      </c>
      <c r="Y120" s="17">
        <f>"Break-even "&amp;IF(I120&gt;=0,"D+","R+")&amp;TEXT(ABS(I120)*100,"0.0")&amp;" ("&amp;IF(N120&gt;=0,"D +","R +")&amp;TEXT(ABS(N120),"#,##0")&amp;" net, about "&amp;TEXT(Q120,"#,##0")&amp;" Andrews votes). Andrews at "&amp;IF(K120&gt;=0,"D+","R+")&amp;TEXT(ABS(K120)*100,"0.0")&amp;" or better = great night; "&amp;IF(J120&gt;=0,"D+","R+")&amp;TEXT(ABS(J120)*100,"0.0")&amp;" = on track to win. Graham holding it to "&amp;IF(H120&gt;=0,"D+","R+")&amp;TEXT(ABS(H120)*100,"0.0")&amp;" = Graham on track; "&amp;IF(G120&gt;=0,"D+","R+")&amp;TEXT(ABS(G120)*100,"0.0")&amp;" or worse for Andrews = great for Graham. Turnout: par is about "&amp;TEXT(D120,"#,##0")&amp;" two-party votes ("&amp;TEXT(Counties!AQ995/SUMIFS(Counties!$AQ:$AQ,Counties!$A:$A,"SC"),"0.0%")&amp;" of the state). At 95% of par the break-even moves to "&amp;IF((I120/0.95)&gt;=0,"D+","R+")&amp;TEXT(ABS((I120/0.95))*100,"0.0")&amp;"; at 105%, to "&amp;IF((I120/1.05)&gt;=0,"D+","R+")&amp;TEXT(ABS((I120/1.05))*100,"0.0")&amp;"."</f>
        <v/>
      </c>
    </row>
    <row r="121" ht="58" customHeight="1">
      <c r="A121" s="8" t="inlineStr">
        <is>
          <t>SC</t>
        </is>
      </c>
      <c r="B121" s="8" t="inlineStr">
        <is>
          <t>Beaufort</t>
        </is>
      </c>
      <c r="C121" s="8" t="inlineStr">
        <is>
          <t>College suburb/metro</t>
        </is>
      </c>
      <c r="D121" s="12">
        <f>Counties!AT970</f>
        <v/>
      </c>
      <c r="E121" s="9">
        <f>Counties!O970</f>
        <v/>
      </c>
      <c r="F121" s="9">
        <f>Counties!R970</f>
        <v/>
      </c>
      <c r="G121" s="9">
        <f>MAX(-1,MIN(1,Counties!O970+-0.05+Dashboard!$F$18))</f>
        <v/>
      </c>
      <c r="H121" s="9">
        <f>MAX(-1,MIN(1,Counties!O970+-0.01+Dashboard!$F$18))</f>
        <v/>
      </c>
      <c r="I121" s="36">
        <f>MAX(-1,MIN(1,Counties!O970+0.0+Dashboard!$F$18))</f>
        <v/>
      </c>
      <c r="J121" s="9">
        <f>MAX(-1,MIN(1,Counties!O970+0.01+Dashboard!$F$18))</f>
        <v/>
      </c>
      <c r="K121" s="9">
        <f>MAX(-1,MIN(1,Counties!O970+0.05+Dashboard!$F$18))</f>
        <v/>
      </c>
      <c r="L121" s="37">
        <f>G121*D121</f>
        <v/>
      </c>
      <c r="M121" s="37">
        <f>H121*D121</f>
        <v/>
      </c>
      <c r="N121" s="37">
        <f>I121*D121</f>
        <v/>
      </c>
      <c r="O121" s="37">
        <f>J121*D121</f>
        <v/>
      </c>
      <c r="P121" s="37">
        <f>K121*D121</f>
        <v/>
      </c>
      <c r="Q121" s="12">
        <f>D121*(1+I121)/2</f>
        <v/>
      </c>
      <c r="R121" s="9">
        <f>Counties!AH970</f>
        <v/>
      </c>
      <c r="S121" s="37">
        <f>IF(Counties!AH970="","",Counties!AH970*Counties!AF970)</f>
        <v/>
      </c>
      <c r="T121" s="13">
        <f>Counties!AO970</f>
        <v/>
      </c>
      <c r="U121" s="16">
        <f>Counties!AU970</f>
        <v/>
      </c>
      <c r="V121" s="9">
        <f>Counties!AV970</f>
        <v/>
      </c>
      <c r="W121" s="10">
        <f>Counties!AY970</f>
        <v/>
      </c>
      <c r="X121" s="8">
        <f>IF(R121="","not in yet",IF(W121&lt;&gt;"",IF(W121&gt;=0.05,"Great for Andrews",IF(W121&gt;=0.01,"Andrews on track",IF(W121&gt;-0.01,"Toss-up",IF(W121&gt;-0.05,"Graham on track","Great for Graham"))))&amp;" (margin + turnout)",IF((R121-I121)&gt;=0.05,"Great for Andrews",IF((R121-I121)&gt;=0.01,"Andrews on track",IF((R121-I121)&gt;-0.01,"Toss-up",IF((R121-I121)&gt;-0.05,"Graham on track","Great for Graham"))))&amp;IF(Counties!AG970=1,""," (partial count)")))</f>
        <v/>
      </c>
      <c r="Y121" s="17">
        <f>"Break-even "&amp;IF(I121&gt;=0,"D+","R+")&amp;TEXT(ABS(I121)*100,"0.0")&amp;" ("&amp;IF(N121&gt;=0,"D +","R +")&amp;TEXT(ABS(N121),"#,##0")&amp;" net, about "&amp;TEXT(Q121,"#,##0")&amp;" Andrews votes). Andrews at "&amp;IF(K121&gt;=0,"D+","R+")&amp;TEXT(ABS(K121)*100,"0.0")&amp;" or better = great night; "&amp;IF(J121&gt;=0,"D+","R+")&amp;TEXT(ABS(J121)*100,"0.0")&amp;" = on track to win. Graham holding it to "&amp;IF(H121&gt;=0,"D+","R+")&amp;TEXT(ABS(H121)*100,"0.0")&amp;" = Graham on track; "&amp;IF(G121&gt;=0,"D+","R+")&amp;TEXT(ABS(G121)*100,"0.0")&amp;" or worse for Andrews = great for Graham. Turnout: par is about "&amp;TEXT(D121,"#,##0")&amp;" two-party votes ("&amp;TEXT(Counties!AQ970/SUMIFS(Counties!$AQ:$AQ,Counties!$A:$A,"SC"),"0.0%")&amp;" of the state). At 95% of par the break-even moves to "&amp;IF((I121/0.95)&gt;=0,"D+","R+")&amp;TEXT(ABS((I121/0.95))*100,"0.0")&amp;"; at 105%, to "&amp;IF((I121/1.05)&gt;=0,"D+","R+")&amp;TEXT(ABS((I121/1.05))*100,"0.0")&amp;"."</f>
        <v/>
      </c>
    </row>
    <row r="122">
      <c r="A122" s="22" t="inlineStr">
        <is>
          <t>Texas: James Talarico vs Ken Paxton · 2024 statewide R+13.9 (R+13.5 with 2022's turnout pattern)</t>
        </is>
      </c>
      <c r="B122" s="22" t="n"/>
      <c r="C122" s="22" t="n"/>
      <c r="D122" s="22" t="n"/>
      <c r="E122" s="22" t="n"/>
      <c r="F122" s="22" t="n"/>
      <c r="G122" s="22" t="n"/>
      <c r="H122" s="22" t="n"/>
      <c r="I122" s="22" t="n"/>
      <c r="J122" s="22" t="n"/>
      <c r="K122" s="22" t="n"/>
      <c r="L122" s="22" t="n"/>
      <c r="M122" s="22" t="n"/>
      <c r="N122" s="22" t="n"/>
      <c r="O122" s="22" t="n"/>
      <c r="P122" s="22" t="n"/>
      <c r="Q122" s="22" t="n"/>
      <c r="R122" s="22" t="n"/>
      <c r="S122" s="22" t="n"/>
      <c r="T122" s="22" t="n"/>
      <c r="U122" s="22" t="n"/>
      <c r="V122" s="22" t="n"/>
      <c r="W122" s="22" t="n"/>
      <c r="X122" s="22" t="n"/>
      <c r="Y122" s="22" t="n"/>
    </row>
    <row r="123" ht="58" customHeight="1">
      <c r="A123" s="8" t="inlineStr">
        <is>
          <t>TX</t>
        </is>
      </c>
      <c r="B123" s="8" t="inlineStr">
        <is>
          <t>Harris</t>
        </is>
      </c>
      <c r="C123" s="8" t="inlineStr">
        <is>
          <t>Big metro core</t>
        </is>
      </c>
      <c r="D123" s="12">
        <f>Counties!AT1110</f>
        <v/>
      </c>
      <c r="E123" s="9">
        <f>Counties!O1110</f>
        <v/>
      </c>
      <c r="F123" s="9">
        <f>Counties!R1110</f>
        <v/>
      </c>
      <c r="G123" s="9">
        <f>MAX(-1,MIN(1,Counties!O1110+-0.05+Dashboard!$F$19))</f>
        <v/>
      </c>
      <c r="H123" s="9">
        <f>MAX(-1,MIN(1,Counties!O1110+-0.01+Dashboard!$F$19))</f>
        <v/>
      </c>
      <c r="I123" s="36">
        <f>MAX(-1,MIN(1,Counties!O1110+0.0+Dashboard!$F$19))</f>
        <v/>
      </c>
      <c r="J123" s="9">
        <f>MAX(-1,MIN(1,Counties!O1110+0.01+Dashboard!$F$19))</f>
        <v/>
      </c>
      <c r="K123" s="9">
        <f>MAX(-1,MIN(1,Counties!O1110+0.05+Dashboard!$F$19))</f>
        <v/>
      </c>
      <c r="L123" s="37">
        <f>G123*D123</f>
        <v/>
      </c>
      <c r="M123" s="37">
        <f>H123*D123</f>
        <v/>
      </c>
      <c r="N123" s="37">
        <f>I123*D123</f>
        <v/>
      </c>
      <c r="O123" s="37">
        <f>J123*D123</f>
        <v/>
      </c>
      <c r="P123" s="37">
        <f>K123*D123</f>
        <v/>
      </c>
      <c r="Q123" s="12">
        <f>D123*(1+I123)/2</f>
        <v/>
      </c>
      <c r="R123" s="9">
        <f>Counties!AH1110</f>
        <v/>
      </c>
      <c r="S123" s="37">
        <f>IF(Counties!AH1110="","",Counties!AH1110*Counties!AF1110)</f>
        <v/>
      </c>
      <c r="T123" s="13">
        <f>Counties!AO1110</f>
        <v/>
      </c>
      <c r="U123" s="16">
        <f>Counties!AU1110</f>
        <v/>
      </c>
      <c r="V123" s="9">
        <f>Counties!AV1110</f>
        <v/>
      </c>
      <c r="W123" s="10">
        <f>Counties!AY1110</f>
        <v/>
      </c>
      <c r="X123" s="8">
        <f>IF(R123="","not in yet",IF(W123&lt;&gt;"",IF(W123&gt;=0.05,"Great for Talarico",IF(W123&gt;=0.01,"Talarico on track",IF(W123&gt;-0.01,"Toss-up",IF(W123&gt;-0.05,"Paxton on track","Great for Paxton"))))&amp;" (margin + turnout)",IF((R123-I123)&gt;=0.05,"Great for Talarico",IF((R123-I123)&gt;=0.01,"Talarico on track",IF((R123-I123)&gt;-0.01,"Toss-up",IF((R123-I123)&gt;-0.05,"Paxton on track","Great for Paxton"))))&amp;IF(Counties!AG1110=1,""," (partial count)")))</f>
        <v/>
      </c>
      <c r="Y123" s="17">
        <f>"Break-even "&amp;IF(I123&gt;=0,"D+","R+")&amp;TEXT(ABS(I123)*100,"0.0")&amp;" ("&amp;IF(N123&gt;=0,"D +","R +")&amp;TEXT(ABS(N123),"#,##0")&amp;" net, about "&amp;TEXT(Q123,"#,##0")&amp;" Talarico votes). Talarico at "&amp;IF(K123&gt;=0,"D+","R+")&amp;TEXT(ABS(K123)*100,"0.0")&amp;" or better = great night; "&amp;IF(J123&gt;=0,"D+","R+")&amp;TEXT(ABS(J123)*100,"0.0")&amp;" = on track to win. Paxton holding it to "&amp;IF(H123&gt;=0,"D+","R+")&amp;TEXT(ABS(H123)*100,"0.0")&amp;" = Paxton on track; "&amp;IF(G123&gt;=0,"D+","R+")&amp;TEXT(ABS(G123)*100,"0.0")&amp;" or worse for Talarico = great for Paxton. Turnout: par is about "&amp;TEXT(D123,"#,##0")&amp;" two-party votes ("&amp;TEXT(Counties!AQ1110/SUMIFS(Counties!$AQ:$AQ,Counties!$A:$A,"TX"),"0.0%")&amp;" of the state). At 95% of par the break-even moves to "&amp;IF((I123/0.95)&gt;=0,"D+","R+")&amp;TEXT(ABS((I123/0.95))*100,"0.0")&amp;"; at 105%, to "&amp;IF((I123/1.05)&gt;=0,"D+","R+")&amp;TEXT(ABS((I123/1.05))*100,"0.0")&amp;"."</f>
        <v/>
      </c>
    </row>
    <row r="124" ht="58" customHeight="1">
      <c r="A124" s="8" t="inlineStr">
        <is>
          <t>TX</t>
        </is>
      </c>
      <c r="B124" s="8" t="inlineStr">
        <is>
          <t>Dallas</t>
        </is>
      </c>
      <c r="C124" s="8" t="inlineStr">
        <is>
          <t>Big metro core</t>
        </is>
      </c>
      <c r="D124" s="12">
        <f>Counties!AT1066</f>
        <v/>
      </c>
      <c r="E124" s="9">
        <f>Counties!O1066</f>
        <v/>
      </c>
      <c r="F124" s="9">
        <f>Counties!R1066</f>
        <v/>
      </c>
      <c r="G124" s="9">
        <f>MAX(-1,MIN(1,Counties!O1066+-0.05+Dashboard!$F$19))</f>
        <v/>
      </c>
      <c r="H124" s="9">
        <f>MAX(-1,MIN(1,Counties!O1066+-0.01+Dashboard!$F$19))</f>
        <v/>
      </c>
      <c r="I124" s="36">
        <f>MAX(-1,MIN(1,Counties!O1066+0.0+Dashboard!$F$19))</f>
        <v/>
      </c>
      <c r="J124" s="9">
        <f>MAX(-1,MIN(1,Counties!O1066+0.01+Dashboard!$F$19))</f>
        <v/>
      </c>
      <c r="K124" s="9">
        <f>MAX(-1,MIN(1,Counties!O1066+0.05+Dashboard!$F$19))</f>
        <v/>
      </c>
      <c r="L124" s="37">
        <f>G124*D124</f>
        <v/>
      </c>
      <c r="M124" s="37">
        <f>H124*D124</f>
        <v/>
      </c>
      <c r="N124" s="37">
        <f>I124*D124</f>
        <v/>
      </c>
      <c r="O124" s="37">
        <f>J124*D124</f>
        <v/>
      </c>
      <c r="P124" s="37">
        <f>K124*D124</f>
        <v/>
      </c>
      <c r="Q124" s="12">
        <f>D124*(1+I124)/2</f>
        <v/>
      </c>
      <c r="R124" s="9">
        <f>Counties!AH1066</f>
        <v/>
      </c>
      <c r="S124" s="37">
        <f>IF(Counties!AH1066="","",Counties!AH1066*Counties!AF1066)</f>
        <v/>
      </c>
      <c r="T124" s="13">
        <f>Counties!AO1066</f>
        <v/>
      </c>
      <c r="U124" s="16">
        <f>Counties!AU1066</f>
        <v/>
      </c>
      <c r="V124" s="9">
        <f>Counties!AV1066</f>
        <v/>
      </c>
      <c r="W124" s="10">
        <f>Counties!AY1066</f>
        <v/>
      </c>
      <c r="X124" s="8">
        <f>IF(R124="","not in yet",IF(W124&lt;&gt;"",IF(W124&gt;=0.05,"Great for Talarico",IF(W124&gt;=0.01,"Talarico on track",IF(W124&gt;-0.01,"Toss-up",IF(W124&gt;-0.05,"Paxton on track","Great for Paxton"))))&amp;" (margin + turnout)",IF((R124-I124)&gt;=0.05,"Great for Talarico",IF((R124-I124)&gt;=0.01,"Talarico on track",IF((R124-I124)&gt;-0.01,"Toss-up",IF((R124-I124)&gt;-0.05,"Paxton on track","Great for Paxton"))))&amp;IF(Counties!AG1066=1,""," (partial count)")))</f>
        <v/>
      </c>
      <c r="Y124" s="17">
        <f>"Break-even "&amp;IF(I124&gt;=0,"D+","R+")&amp;TEXT(ABS(I124)*100,"0.0")&amp;" ("&amp;IF(N124&gt;=0,"D +","R +")&amp;TEXT(ABS(N124),"#,##0")&amp;" net, about "&amp;TEXT(Q124,"#,##0")&amp;" Talarico votes). Talarico at "&amp;IF(K124&gt;=0,"D+","R+")&amp;TEXT(ABS(K124)*100,"0.0")&amp;" or better = great night; "&amp;IF(J124&gt;=0,"D+","R+")&amp;TEXT(ABS(J124)*100,"0.0")&amp;" = on track to win. Paxton holding it to "&amp;IF(H124&gt;=0,"D+","R+")&amp;TEXT(ABS(H124)*100,"0.0")&amp;" = Paxton on track; "&amp;IF(G124&gt;=0,"D+","R+")&amp;TEXT(ABS(G124)*100,"0.0")&amp;" or worse for Talarico = great for Paxton. Turnout: par is about "&amp;TEXT(D124,"#,##0")&amp;" two-party votes ("&amp;TEXT(Counties!AQ1066/SUMIFS(Counties!$AQ:$AQ,Counties!$A:$A,"TX"),"0.0%")&amp;" of the state). At 95% of par the break-even moves to "&amp;IF((I124/0.95)&gt;=0,"D+","R+")&amp;TEXT(ABS((I124/0.95))*100,"0.0")&amp;"; at 105%, to "&amp;IF((I124/1.05)&gt;=0,"D+","R+")&amp;TEXT(ABS((I124/1.05))*100,"0.0")&amp;"."</f>
        <v/>
      </c>
    </row>
    <row r="125" ht="58" customHeight="1">
      <c r="A125" s="8" t="inlineStr">
        <is>
          <t>TX</t>
        </is>
      </c>
      <c r="B125" s="8" t="inlineStr">
        <is>
          <t>Tarrant</t>
        </is>
      </c>
      <c r="C125" s="8" t="inlineStr">
        <is>
          <t>Big metro core</t>
        </is>
      </c>
      <c r="D125" s="12">
        <f>Counties!AT1229</f>
        <v/>
      </c>
      <c r="E125" s="9">
        <f>Counties!O1229</f>
        <v/>
      </c>
      <c r="F125" s="9">
        <f>Counties!R1229</f>
        <v/>
      </c>
      <c r="G125" s="9">
        <f>MAX(-1,MIN(1,Counties!O1229+-0.05+Dashboard!$F$19))</f>
        <v/>
      </c>
      <c r="H125" s="9">
        <f>MAX(-1,MIN(1,Counties!O1229+-0.01+Dashboard!$F$19))</f>
        <v/>
      </c>
      <c r="I125" s="36">
        <f>MAX(-1,MIN(1,Counties!O1229+0.0+Dashboard!$F$19))</f>
        <v/>
      </c>
      <c r="J125" s="9">
        <f>MAX(-1,MIN(1,Counties!O1229+0.01+Dashboard!$F$19))</f>
        <v/>
      </c>
      <c r="K125" s="9">
        <f>MAX(-1,MIN(1,Counties!O1229+0.05+Dashboard!$F$19))</f>
        <v/>
      </c>
      <c r="L125" s="37">
        <f>G125*D125</f>
        <v/>
      </c>
      <c r="M125" s="37">
        <f>H125*D125</f>
        <v/>
      </c>
      <c r="N125" s="37">
        <f>I125*D125</f>
        <v/>
      </c>
      <c r="O125" s="37">
        <f>J125*D125</f>
        <v/>
      </c>
      <c r="P125" s="37">
        <f>K125*D125</f>
        <v/>
      </c>
      <c r="Q125" s="12">
        <f>D125*(1+I125)/2</f>
        <v/>
      </c>
      <c r="R125" s="9">
        <f>Counties!AH1229</f>
        <v/>
      </c>
      <c r="S125" s="37">
        <f>IF(Counties!AH1229="","",Counties!AH1229*Counties!AF1229)</f>
        <v/>
      </c>
      <c r="T125" s="13">
        <f>Counties!AO1229</f>
        <v/>
      </c>
      <c r="U125" s="16">
        <f>Counties!AU1229</f>
        <v/>
      </c>
      <c r="V125" s="9">
        <f>Counties!AV1229</f>
        <v/>
      </c>
      <c r="W125" s="10">
        <f>Counties!AY1229</f>
        <v/>
      </c>
      <c r="X125" s="8">
        <f>IF(R125="","not in yet",IF(W125&lt;&gt;"",IF(W125&gt;=0.05,"Great for Talarico",IF(W125&gt;=0.01,"Talarico on track",IF(W125&gt;-0.01,"Toss-up",IF(W125&gt;-0.05,"Paxton on track","Great for Paxton"))))&amp;" (margin + turnout)",IF((R125-I125)&gt;=0.05,"Great for Talarico",IF((R125-I125)&gt;=0.01,"Talarico on track",IF((R125-I125)&gt;-0.01,"Toss-up",IF((R125-I125)&gt;-0.05,"Paxton on track","Great for Paxton"))))&amp;IF(Counties!AG1229=1,""," (partial count)")))</f>
        <v/>
      </c>
      <c r="Y125" s="17">
        <f>"Break-even "&amp;IF(I125&gt;=0,"D+","R+")&amp;TEXT(ABS(I125)*100,"0.0")&amp;" ("&amp;IF(N125&gt;=0,"D +","R +")&amp;TEXT(ABS(N125),"#,##0")&amp;" net, about "&amp;TEXT(Q125,"#,##0")&amp;" Talarico votes). Talarico at "&amp;IF(K125&gt;=0,"D+","R+")&amp;TEXT(ABS(K125)*100,"0.0")&amp;" or better = great night; "&amp;IF(J125&gt;=0,"D+","R+")&amp;TEXT(ABS(J125)*100,"0.0")&amp;" = on track to win. Paxton holding it to "&amp;IF(H125&gt;=0,"D+","R+")&amp;TEXT(ABS(H125)*100,"0.0")&amp;" = Paxton on track; "&amp;IF(G125&gt;=0,"D+","R+")&amp;TEXT(ABS(G125)*100,"0.0")&amp;" or worse for Talarico = great for Paxton. Turnout: par is about "&amp;TEXT(D125,"#,##0")&amp;" two-party votes ("&amp;TEXT(Counties!AQ1229/SUMIFS(Counties!$AQ:$AQ,Counties!$A:$A,"TX"),"0.0%")&amp;" of the state). At 95% of par the break-even moves to "&amp;IF((I125/0.95)&gt;=0,"D+","R+")&amp;TEXT(ABS((I125/0.95))*100,"0.0")&amp;"; at 105%, to "&amp;IF((I125/1.05)&gt;=0,"D+","R+")&amp;TEXT(ABS((I125/1.05))*100,"0.0")&amp;"."</f>
        <v/>
      </c>
    </row>
    <row r="126" ht="58" customHeight="1">
      <c r="A126" s="8" t="inlineStr">
        <is>
          <t>TX</t>
        </is>
      </c>
      <c r="B126" s="8" t="inlineStr">
        <is>
          <t>Bexar</t>
        </is>
      </c>
      <c r="C126" s="8" t="inlineStr">
        <is>
          <t>Big metro core</t>
        </is>
      </c>
      <c r="D126" s="12">
        <f>Counties!AT1024</f>
        <v/>
      </c>
      <c r="E126" s="9">
        <f>Counties!O1024</f>
        <v/>
      </c>
      <c r="F126" s="9">
        <f>Counties!R1024</f>
        <v/>
      </c>
      <c r="G126" s="9">
        <f>MAX(-1,MIN(1,Counties!O1024+-0.05+Dashboard!$F$19))</f>
        <v/>
      </c>
      <c r="H126" s="9">
        <f>MAX(-1,MIN(1,Counties!O1024+-0.01+Dashboard!$F$19))</f>
        <v/>
      </c>
      <c r="I126" s="36">
        <f>MAX(-1,MIN(1,Counties!O1024+0.0+Dashboard!$F$19))</f>
        <v/>
      </c>
      <c r="J126" s="9">
        <f>MAX(-1,MIN(1,Counties!O1024+0.01+Dashboard!$F$19))</f>
        <v/>
      </c>
      <c r="K126" s="9">
        <f>MAX(-1,MIN(1,Counties!O1024+0.05+Dashboard!$F$19))</f>
        <v/>
      </c>
      <c r="L126" s="37">
        <f>G126*D126</f>
        <v/>
      </c>
      <c r="M126" s="37">
        <f>H126*D126</f>
        <v/>
      </c>
      <c r="N126" s="37">
        <f>I126*D126</f>
        <v/>
      </c>
      <c r="O126" s="37">
        <f>J126*D126</f>
        <v/>
      </c>
      <c r="P126" s="37">
        <f>K126*D126</f>
        <v/>
      </c>
      <c r="Q126" s="12">
        <f>D126*(1+I126)/2</f>
        <v/>
      </c>
      <c r="R126" s="9">
        <f>Counties!AH1024</f>
        <v/>
      </c>
      <c r="S126" s="37">
        <f>IF(Counties!AH1024="","",Counties!AH1024*Counties!AF1024)</f>
        <v/>
      </c>
      <c r="T126" s="13">
        <f>Counties!AO1024</f>
        <v/>
      </c>
      <c r="U126" s="16">
        <f>Counties!AU1024</f>
        <v/>
      </c>
      <c r="V126" s="9">
        <f>Counties!AV1024</f>
        <v/>
      </c>
      <c r="W126" s="10">
        <f>Counties!AY1024</f>
        <v/>
      </c>
      <c r="X126" s="8">
        <f>IF(R126="","not in yet",IF(W126&lt;&gt;"",IF(W126&gt;=0.05,"Great for Talarico",IF(W126&gt;=0.01,"Talarico on track",IF(W126&gt;-0.01,"Toss-up",IF(W126&gt;-0.05,"Paxton on track","Great for Paxton"))))&amp;" (margin + turnout)",IF((R126-I126)&gt;=0.05,"Great for Talarico",IF((R126-I126)&gt;=0.01,"Talarico on track",IF((R126-I126)&gt;-0.01,"Toss-up",IF((R126-I126)&gt;-0.05,"Paxton on track","Great for Paxton"))))&amp;IF(Counties!AG1024=1,""," (partial count)")))</f>
        <v/>
      </c>
      <c r="Y126" s="17">
        <f>"Break-even "&amp;IF(I126&gt;=0,"D+","R+")&amp;TEXT(ABS(I126)*100,"0.0")&amp;" ("&amp;IF(N126&gt;=0,"D +","R +")&amp;TEXT(ABS(N126),"#,##0")&amp;" net, about "&amp;TEXT(Q126,"#,##0")&amp;" Talarico votes). Talarico at "&amp;IF(K126&gt;=0,"D+","R+")&amp;TEXT(ABS(K126)*100,"0.0")&amp;" or better = great night; "&amp;IF(J126&gt;=0,"D+","R+")&amp;TEXT(ABS(J126)*100,"0.0")&amp;" = on track to win. Paxton holding it to "&amp;IF(H126&gt;=0,"D+","R+")&amp;TEXT(ABS(H126)*100,"0.0")&amp;" = Paxton on track; "&amp;IF(G126&gt;=0,"D+","R+")&amp;TEXT(ABS(G126)*100,"0.0")&amp;" or worse for Talarico = great for Paxton. Turnout: par is about "&amp;TEXT(D126,"#,##0")&amp;" two-party votes ("&amp;TEXT(Counties!AQ1024/SUMIFS(Counties!$AQ:$AQ,Counties!$A:$A,"TX"),"0.0%")&amp;" of the state). At 95% of par the break-even moves to "&amp;IF((I126/0.95)&gt;=0,"D+","R+")&amp;TEXT(ABS((I126/0.95))*100,"0.0")&amp;"; at 105%, to "&amp;IF((I126/1.05)&gt;=0,"D+","R+")&amp;TEXT(ABS((I126/1.05))*100,"0.0")&amp;"."</f>
        <v/>
      </c>
    </row>
    <row r="127" ht="58" customHeight="1">
      <c r="A127" s="8" t="inlineStr">
        <is>
          <t>TX</t>
        </is>
      </c>
      <c r="B127" s="8" t="inlineStr">
        <is>
          <t>Travis</t>
        </is>
      </c>
      <c r="C127" s="8" t="inlineStr">
        <is>
          <t>Big metro core</t>
        </is>
      </c>
      <c r="D127" s="12">
        <f>Counties!AT1236</f>
        <v/>
      </c>
      <c r="E127" s="9">
        <f>Counties!O1236</f>
        <v/>
      </c>
      <c r="F127" s="9">
        <f>Counties!R1236</f>
        <v/>
      </c>
      <c r="G127" s="9">
        <f>MAX(-1,MIN(1,Counties!O1236+-0.05+Dashboard!$F$19))</f>
        <v/>
      </c>
      <c r="H127" s="9">
        <f>MAX(-1,MIN(1,Counties!O1236+-0.01+Dashboard!$F$19))</f>
        <v/>
      </c>
      <c r="I127" s="36">
        <f>MAX(-1,MIN(1,Counties!O1236+0.0+Dashboard!$F$19))</f>
        <v/>
      </c>
      <c r="J127" s="9">
        <f>MAX(-1,MIN(1,Counties!O1236+0.01+Dashboard!$F$19))</f>
        <v/>
      </c>
      <c r="K127" s="9">
        <f>MAX(-1,MIN(1,Counties!O1236+0.05+Dashboard!$F$19))</f>
        <v/>
      </c>
      <c r="L127" s="37">
        <f>G127*D127</f>
        <v/>
      </c>
      <c r="M127" s="37">
        <f>H127*D127</f>
        <v/>
      </c>
      <c r="N127" s="37">
        <f>I127*D127</f>
        <v/>
      </c>
      <c r="O127" s="37">
        <f>J127*D127</f>
        <v/>
      </c>
      <c r="P127" s="37">
        <f>K127*D127</f>
        <v/>
      </c>
      <c r="Q127" s="12">
        <f>D127*(1+I127)/2</f>
        <v/>
      </c>
      <c r="R127" s="9">
        <f>Counties!AH1236</f>
        <v/>
      </c>
      <c r="S127" s="37">
        <f>IF(Counties!AH1236="","",Counties!AH1236*Counties!AF1236)</f>
        <v/>
      </c>
      <c r="T127" s="13">
        <f>Counties!AO1236</f>
        <v/>
      </c>
      <c r="U127" s="16">
        <f>Counties!AU1236</f>
        <v/>
      </c>
      <c r="V127" s="9">
        <f>Counties!AV1236</f>
        <v/>
      </c>
      <c r="W127" s="10">
        <f>Counties!AY1236</f>
        <v/>
      </c>
      <c r="X127" s="8">
        <f>IF(R127="","not in yet",IF(W127&lt;&gt;"",IF(W127&gt;=0.05,"Great for Talarico",IF(W127&gt;=0.01,"Talarico on track",IF(W127&gt;-0.01,"Toss-up",IF(W127&gt;-0.05,"Paxton on track","Great for Paxton"))))&amp;" (margin + turnout)",IF((R127-I127)&gt;=0.05,"Great for Talarico",IF((R127-I127)&gt;=0.01,"Talarico on track",IF((R127-I127)&gt;-0.01,"Toss-up",IF((R127-I127)&gt;-0.05,"Paxton on track","Great for Paxton"))))&amp;IF(Counties!AG1236=1,""," (partial count)")))</f>
        <v/>
      </c>
      <c r="Y127" s="17">
        <f>"Break-even "&amp;IF(I127&gt;=0,"D+","R+")&amp;TEXT(ABS(I127)*100,"0.0")&amp;" ("&amp;IF(N127&gt;=0,"D +","R +")&amp;TEXT(ABS(N127),"#,##0")&amp;" net, about "&amp;TEXT(Q127,"#,##0")&amp;" Talarico votes). Talarico at "&amp;IF(K127&gt;=0,"D+","R+")&amp;TEXT(ABS(K127)*100,"0.0")&amp;" or better = great night; "&amp;IF(J127&gt;=0,"D+","R+")&amp;TEXT(ABS(J127)*100,"0.0")&amp;" = on track to win. Paxton holding it to "&amp;IF(H127&gt;=0,"D+","R+")&amp;TEXT(ABS(H127)*100,"0.0")&amp;" = Paxton on track; "&amp;IF(G127&gt;=0,"D+","R+")&amp;TEXT(ABS(G127)*100,"0.0")&amp;" or worse for Talarico = great for Paxton. Turnout: par is about "&amp;TEXT(D127,"#,##0")&amp;" two-party votes ("&amp;TEXT(Counties!AQ1236/SUMIFS(Counties!$AQ:$AQ,Counties!$A:$A,"TX"),"0.0%")&amp;" of the state). At 95% of par the break-even moves to "&amp;IF((I127/0.95)&gt;=0,"D+","R+")&amp;TEXT(ABS((I127/0.95))*100,"0.0")&amp;"; at 105%, to "&amp;IF((I127/1.05)&gt;=0,"D+","R+")&amp;TEXT(ABS((I127/1.05))*100,"0.0")&amp;"."</f>
        <v/>
      </c>
    </row>
    <row r="128" ht="58" customHeight="1">
      <c r="A128" s="8" t="inlineStr">
        <is>
          <t>TX</t>
        </is>
      </c>
      <c r="B128" s="8" t="inlineStr">
        <is>
          <t>Collin</t>
        </is>
      </c>
      <c r="C128" s="8" t="inlineStr">
        <is>
          <t>Big metro core</t>
        </is>
      </c>
      <c r="D128" s="12">
        <f>Counties!AT1052</f>
        <v/>
      </c>
      <c r="E128" s="9">
        <f>Counties!O1052</f>
        <v/>
      </c>
      <c r="F128" s="9">
        <f>Counties!R1052</f>
        <v/>
      </c>
      <c r="G128" s="9">
        <f>MAX(-1,MIN(1,Counties!O1052+-0.05+Dashboard!$F$19))</f>
        <v/>
      </c>
      <c r="H128" s="9">
        <f>MAX(-1,MIN(1,Counties!O1052+-0.01+Dashboard!$F$19))</f>
        <v/>
      </c>
      <c r="I128" s="36">
        <f>MAX(-1,MIN(1,Counties!O1052+0.0+Dashboard!$F$19))</f>
        <v/>
      </c>
      <c r="J128" s="9">
        <f>MAX(-1,MIN(1,Counties!O1052+0.01+Dashboard!$F$19))</f>
        <v/>
      </c>
      <c r="K128" s="9">
        <f>MAX(-1,MIN(1,Counties!O1052+0.05+Dashboard!$F$19))</f>
        <v/>
      </c>
      <c r="L128" s="37">
        <f>G128*D128</f>
        <v/>
      </c>
      <c r="M128" s="37">
        <f>H128*D128</f>
        <v/>
      </c>
      <c r="N128" s="37">
        <f>I128*D128</f>
        <v/>
      </c>
      <c r="O128" s="37">
        <f>J128*D128</f>
        <v/>
      </c>
      <c r="P128" s="37">
        <f>K128*D128</f>
        <v/>
      </c>
      <c r="Q128" s="12">
        <f>D128*(1+I128)/2</f>
        <v/>
      </c>
      <c r="R128" s="9">
        <f>Counties!AH1052</f>
        <v/>
      </c>
      <c r="S128" s="37">
        <f>IF(Counties!AH1052="","",Counties!AH1052*Counties!AF1052)</f>
        <v/>
      </c>
      <c r="T128" s="13">
        <f>Counties!AO1052</f>
        <v/>
      </c>
      <c r="U128" s="16">
        <f>Counties!AU1052</f>
        <v/>
      </c>
      <c r="V128" s="9">
        <f>Counties!AV1052</f>
        <v/>
      </c>
      <c r="W128" s="10">
        <f>Counties!AY1052</f>
        <v/>
      </c>
      <c r="X128" s="8">
        <f>IF(R128="","not in yet",IF(W128&lt;&gt;"",IF(W128&gt;=0.05,"Great for Talarico",IF(W128&gt;=0.01,"Talarico on track",IF(W128&gt;-0.01,"Toss-up",IF(W128&gt;-0.05,"Paxton on track","Great for Paxton"))))&amp;" (margin + turnout)",IF((R128-I128)&gt;=0.05,"Great for Talarico",IF((R128-I128)&gt;=0.01,"Talarico on track",IF((R128-I128)&gt;-0.01,"Toss-up",IF((R128-I128)&gt;-0.05,"Paxton on track","Great for Paxton"))))&amp;IF(Counties!AG1052=1,""," (partial count)")))</f>
        <v/>
      </c>
      <c r="Y128" s="17">
        <f>"Break-even "&amp;IF(I128&gt;=0,"D+","R+")&amp;TEXT(ABS(I128)*100,"0.0")&amp;" ("&amp;IF(N128&gt;=0,"D +","R +")&amp;TEXT(ABS(N128),"#,##0")&amp;" net, about "&amp;TEXT(Q128,"#,##0")&amp;" Talarico votes). Talarico at "&amp;IF(K128&gt;=0,"D+","R+")&amp;TEXT(ABS(K128)*100,"0.0")&amp;" or better = great night; "&amp;IF(J128&gt;=0,"D+","R+")&amp;TEXT(ABS(J128)*100,"0.0")&amp;" = on track to win. Paxton holding it to "&amp;IF(H128&gt;=0,"D+","R+")&amp;TEXT(ABS(H128)*100,"0.0")&amp;" = Paxton on track; "&amp;IF(G128&gt;=0,"D+","R+")&amp;TEXT(ABS(G128)*100,"0.0")&amp;" or worse for Talarico = great for Paxton. Turnout: par is about "&amp;TEXT(D128,"#,##0")&amp;" two-party votes ("&amp;TEXT(Counties!AQ1052/SUMIFS(Counties!$AQ:$AQ,Counties!$A:$A,"TX"),"0.0%")&amp;" of the state). At 95% of par the break-even moves to "&amp;IF((I128/0.95)&gt;=0,"D+","R+")&amp;TEXT(ABS((I128/0.95))*100,"0.0")&amp;"; at 105%, to "&amp;IF((I128/1.05)&gt;=0,"D+","R+")&amp;TEXT(ABS((I128/1.05))*100,"0.0")&amp;"."</f>
        <v/>
      </c>
    </row>
    <row r="129" ht="58" customHeight="1">
      <c r="A129" s="8" t="inlineStr">
        <is>
          <t>TX</t>
        </is>
      </c>
      <c r="B129" s="8" t="inlineStr">
        <is>
          <t>Fort Bend</t>
        </is>
      </c>
      <c r="C129" s="8" t="inlineStr">
        <is>
          <t>Big metro core</t>
        </is>
      </c>
      <c r="D129" s="12">
        <f>Counties!AT1088</f>
        <v/>
      </c>
      <c r="E129" s="9">
        <f>Counties!O1088</f>
        <v/>
      </c>
      <c r="F129" s="9">
        <f>Counties!R1088</f>
        <v/>
      </c>
      <c r="G129" s="9">
        <f>MAX(-1,MIN(1,Counties!O1088+-0.05+Dashboard!$F$19))</f>
        <v/>
      </c>
      <c r="H129" s="9">
        <f>MAX(-1,MIN(1,Counties!O1088+-0.01+Dashboard!$F$19))</f>
        <v/>
      </c>
      <c r="I129" s="36">
        <f>MAX(-1,MIN(1,Counties!O1088+0.0+Dashboard!$F$19))</f>
        <v/>
      </c>
      <c r="J129" s="9">
        <f>MAX(-1,MIN(1,Counties!O1088+0.01+Dashboard!$F$19))</f>
        <v/>
      </c>
      <c r="K129" s="9">
        <f>MAX(-1,MIN(1,Counties!O1088+0.05+Dashboard!$F$19))</f>
        <v/>
      </c>
      <c r="L129" s="37">
        <f>G129*D129</f>
        <v/>
      </c>
      <c r="M129" s="37">
        <f>H129*D129</f>
        <v/>
      </c>
      <c r="N129" s="37">
        <f>I129*D129</f>
        <v/>
      </c>
      <c r="O129" s="37">
        <f>J129*D129</f>
        <v/>
      </c>
      <c r="P129" s="37">
        <f>K129*D129</f>
        <v/>
      </c>
      <c r="Q129" s="12">
        <f>D129*(1+I129)/2</f>
        <v/>
      </c>
      <c r="R129" s="9">
        <f>Counties!AH1088</f>
        <v/>
      </c>
      <c r="S129" s="37">
        <f>IF(Counties!AH1088="","",Counties!AH1088*Counties!AF1088)</f>
        <v/>
      </c>
      <c r="T129" s="13">
        <f>Counties!AO1088</f>
        <v/>
      </c>
      <c r="U129" s="16">
        <f>Counties!AU1088</f>
        <v/>
      </c>
      <c r="V129" s="9">
        <f>Counties!AV1088</f>
        <v/>
      </c>
      <c r="W129" s="10">
        <f>Counties!AY1088</f>
        <v/>
      </c>
      <c r="X129" s="8">
        <f>IF(R129="","not in yet",IF(W129&lt;&gt;"",IF(W129&gt;=0.05,"Great for Talarico",IF(W129&gt;=0.01,"Talarico on track",IF(W129&gt;-0.01,"Toss-up",IF(W129&gt;-0.05,"Paxton on track","Great for Paxton"))))&amp;" (margin + turnout)",IF((R129-I129)&gt;=0.05,"Great for Talarico",IF((R129-I129)&gt;=0.01,"Talarico on track",IF((R129-I129)&gt;-0.01,"Toss-up",IF((R129-I129)&gt;-0.05,"Paxton on track","Great for Paxton"))))&amp;IF(Counties!AG1088=1,""," (partial count)")))</f>
        <v/>
      </c>
      <c r="Y129" s="17">
        <f>"Break-even "&amp;IF(I129&gt;=0,"D+","R+")&amp;TEXT(ABS(I129)*100,"0.0")&amp;" ("&amp;IF(N129&gt;=0,"D +","R +")&amp;TEXT(ABS(N129),"#,##0")&amp;" net, about "&amp;TEXT(Q129,"#,##0")&amp;" Talarico votes). Talarico at "&amp;IF(K129&gt;=0,"D+","R+")&amp;TEXT(ABS(K129)*100,"0.0")&amp;" or better = great night; "&amp;IF(J129&gt;=0,"D+","R+")&amp;TEXT(ABS(J129)*100,"0.0")&amp;" = on track to win. Paxton holding it to "&amp;IF(H129&gt;=0,"D+","R+")&amp;TEXT(ABS(H129)*100,"0.0")&amp;" = Paxton on track; "&amp;IF(G129&gt;=0,"D+","R+")&amp;TEXT(ABS(G129)*100,"0.0")&amp;" or worse for Talarico = great for Paxton. Turnout: par is about "&amp;TEXT(D129,"#,##0")&amp;" two-party votes ("&amp;TEXT(Counties!AQ1088/SUMIFS(Counties!$AQ:$AQ,Counties!$A:$A,"TX"),"0.0%")&amp;" of the state). At 95% of par the break-even moves to "&amp;IF((I129/0.95)&gt;=0,"D+","R+")&amp;TEXT(ABS((I129/0.95))*100,"0.0")&amp;"; at 105%, to "&amp;IF((I129/1.05)&gt;=0,"D+","R+")&amp;TEXT(ABS((I129/1.05))*100,"0.0")&amp;"."</f>
        <v/>
      </c>
    </row>
    <row r="130" ht="58" customHeight="1">
      <c r="A130" s="8" t="inlineStr">
        <is>
          <t>TX</t>
        </is>
      </c>
      <c r="B130" s="8" t="inlineStr">
        <is>
          <t>Montgomery</t>
        </is>
      </c>
      <c r="C130" s="8" t="inlineStr">
        <is>
          <t>Mid-size/working metro</t>
        </is>
      </c>
      <c r="D130" s="12">
        <f>Counties!AT1179</f>
        <v/>
      </c>
      <c r="E130" s="9">
        <f>Counties!O1179</f>
        <v/>
      </c>
      <c r="F130" s="9">
        <f>Counties!R1179</f>
        <v/>
      </c>
      <c r="G130" s="9">
        <f>MAX(-1,MIN(1,Counties!O1179+-0.05+Dashboard!$F$19))</f>
        <v/>
      </c>
      <c r="H130" s="9">
        <f>MAX(-1,MIN(1,Counties!O1179+-0.01+Dashboard!$F$19))</f>
        <v/>
      </c>
      <c r="I130" s="36">
        <f>MAX(-1,MIN(1,Counties!O1179+0.0+Dashboard!$F$19))</f>
        <v/>
      </c>
      <c r="J130" s="9">
        <f>MAX(-1,MIN(1,Counties!O1179+0.01+Dashboard!$F$19))</f>
        <v/>
      </c>
      <c r="K130" s="9">
        <f>MAX(-1,MIN(1,Counties!O1179+0.05+Dashboard!$F$19))</f>
        <v/>
      </c>
      <c r="L130" s="37">
        <f>G130*D130</f>
        <v/>
      </c>
      <c r="M130" s="37">
        <f>H130*D130</f>
        <v/>
      </c>
      <c r="N130" s="37">
        <f>I130*D130</f>
        <v/>
      </c>
      <c r="O130" s="37">
        <f>J130*D130</f>
        <v/>
      </c>
      <c r="P130" s="37">
        <f>K130*D130</f>
        <v/>
      </c>
      <c r="Q130" s="12">
        <f>D130*(1+I130)/2</f>
        <v/>
      </c>
      <c r="R130" s="9">
        <f>Counties!AH1179</f>
        <v/>
      </c>
      <c r="S130" s="37">
        <f>IF(Counties!AH1179="","",Counties!AH1179*Counties!AF1179)</f>
        <v/>
      </c>
      <c r="T130" s="13">
        <f>Counties!AO1179</f>
        <v/>
      </c>
      <c r="U130" s="16">
        <f>Counties!AU1179</f>
        <v/>
      </c>
      <c r="V130" s="9">
        <f>Counties!AV1179</f>
        <v/>
      </c>
      <c r="W130" s="10">
        <f>Counties!AY1179</f>
        <v/>
      </c>
      <c r="X130" s="8">
        <f>IF(R130="","not in yet",IF(W130&lt;&gt;"",IF(W130&gt;=0.05,"Great for Talarico",IF(W130&gt;=0.01,"Talarico on track",IF(W130&gt;-0.01,"Toss-up",IF(W130&gt;-0.05,"Paxton on track","Great for Paxton"))))&amp;" (margin + turnout)",IF((R130-I130)&gt;=0.05,"Great for Talarico",IF((R130-I130)&gt;=0.01,"Talarico on track",IF((R130-I130)&gt;-0.01,"Toss-up",IF((R130-I130)&gt;-0.05,"Paxton on track","Great for Paxton"))))&amp;IF(Counties!AG1179=1,""," (partial count)")))</f>
        <v/>
      </c>
      <c r="Y130" s="17">
        <f>"Break-even "&amp;IF(I130&gt;=0,"D+","R+")&amp;TEXT(ABS(I130)*100,"0.0")&amp;" ("&amp;IF(N130&gt;=0,"D +","R +")&amp;TEXT(ABS(N130),"#,##0")&amp;" net, about "&amp;TEXT(Q130,"#,##0")&amp;" Talarico votes). Talarico at "&amp;IF(K130&gt;=0,"D+","R+")&amp;TEXT(ABS(K130)*100,"0.0")&amp;" or better = great night; "&amp;IF(J130&gt;=0,"D+","R+")&amp;TEXT(ABS(J130)*100,"0.0")&amp;" = on track to win. Paxton holding it to "&amp;IF(H130&gt;=0,"D+","R+")&amp;TEXT(ABS(H130)*100,"0.0")&amp;" = Paxton on track; "&amp;IF(G130&gt;=0,"D+","R+")&amp;TEXT(ABS(G130)*100,"0.0")&amp;" or worse for Talarico = great for Paxton. Turnout: par is about "&amp;TEXT(D130,"#,##0")&amp;" two-party votes ("&amp;TEXT(Counties!AQ1179/SUMIFS(Counties!$AQ:$AQ,Counties!$A:$A,"TX"),"0.0%")&amp;" of the state). At 95% of par the break-even moves to "&amp;IF((I130/0.95)&gt;=0,"D+","R+")&amp;TEXT(ABS((I130/0.95))*100,"0.0")&amp;"; at 105%, to "&amp;IF((I130/1.05)&gt;=0,"D+","R+")&amp;TEXT(ABS((I130/1.05))*100,"0.0")&amp;"."</f>
        <v/>
      </c>
    </row>
    <row r="131" ht="58" customHeight="1">
      <c r="A131" s="8" t="inlineStr">
        <is>
          <t>TX</t>
        </is>
      </c>
      <c r="B131" s="8" t="inlineStr">
        <is>
          <t>Hidalgo</t>
        </is>
      </c>
      <c r="C131" s="8" t="inlineStr">
        <is>
          <t>Hispanic</t>
        </is>
      </c>
      <c r="D131" s="12">
        <f>Counties!AT1117</f>
        <v/>
      </c>
      <c r="E131" s="9">
        <f>Counties!O1117</f>
        <v/>
      </c>
      <c r="F131" s="9">
        <f>Counties!R1117</f>
        <v/>
      </c>
      <c r="G131" s="9">
        <f>MAX(-1,MIN(1,Counties!O1117+-0.05+Dashboard!$F$19))</f>
        <v/>
      </c>
      <c r="H131" s="9">
        <f>MAX(-1,MIN(1,Counties!O1117+-0.01+Dashboard!$F$19))</f>
        <v/>
      </c>
      <c r="I131" s="36">
        <f>MAX(-1,MIN(1,Counties!O1117+0.0+Dashboard!$F$19))</f>
        <v/>
      </c>
      <c r="J131" s="9">
        <f>MAX(-1,MIN(1,Counties!O1117+0.01+Dashboard!$F$19))</f>
        <v/>
      </c>
      <c r="K131" s="9">
        <f>MAX(-1,MIN(1,Counties!O1117+0.05+Dashboard!$F$19))</f>
        <v/>
      </c>
      <c r="L131" s="37">
        <f>G131*D131</f>
        <v/>
      </c>
      <c r="M131" s="37">
        <f>H131*D131</f>
        <v/>
      </c>
      <c r="N131" s="37">
        <f>I131*D131</f>
        <v/>
      </c>
      <c r="O131" s="37">
        <f>J131*D131</f>
        <v/>
      </c>
      <c r="P131" s="37">
        <f>K131*D131</f>
        <v/>
      </c>
      <c r="Q131" s="12">
        <f>D131*(1+I131)/2</f>
        <v/>
      </c>
      <c r="R131" s="9">
        <f>Counties!AH1117</f>
        <v/>
      </c>
      <c r="S131" s="37">
        <f>IF(Counties!AH1117="","",Counties!AH1117*Counties!AF1117)</f>
        <v/>
      </c>
      <c r="T131" s="13">
        <f>Counties!AO1117</f>
        <v/>
      </c>
      <c r="U131" s="16">
        <f>Counties!AU1117</f>
        <v/>
      </c>
      <c r="V131" s="9">
        <f>Counties!AV1117</f>
        <v/>
      </c>
      <c r="W131" s="10">
        <f>Counties!AY1117</f>
        <v/>
      </c>
      <c r="X131" s="8">
        <f>IF(R131="","not in yet",IF(W131&lt;&gt;"",IF(W131&gt;=0.05,"Great for Talarico",IF(W131&gt;=0.01,"Talarico on track",IF(W131&gt;-0.01,"Toss-up",IF(W131&gt;-0.05,"Paxton on track","Great for Paxton"))))&amp;" (margin + turnout)",IF((R131-I131)&gt;=0.05,"Great for Talarico",IF((R131-I131)&gt;=0.01,"Talarico on track",IF((R131-I131)&gt;-0.01,"Toss-up",IF((R131-I131)&gt;-0.05,"Paxton on track","Great for Paxton"))))&amp;IF(Counties!AG1117=1,""," (partial count)")))</f>
        <v/>
      </c>
      <c r="Y131" s="17">
        <f>"Break-even "&amp;IF(I131&gt;=0,"D+","R+")&amp;TEXT(ABS(I131)*100,"0.0")&amp;" ("&amp;IF(N131&gt;=0,"D +","R +")&amp;TEXT(ABS(N131),"#,##0")&amp;" net, about "&amp;TEXT(Q131,"#,##0")&amp;" Talarico votes). Talarico at "&amp;IF(K131&gt;=0,"D+","R+")&amp;TEXT(ABS(K131)*100,"0.0")&amp;" or better = great night; "&amp;IF(J131&gt;=0,"D+","R+")&amp;TEXT(ABS(J131)*100,"0.0")&amp;" = on track to win. Paxton holding it to "&amp;IF(H131&gt;=0,"D+","R+")&amp;TEXT(ABS(H131)*100,"0.0")&amp;" = Paxton on track; "&amp;IF(G131&gt;=0,"D+","R+")&amp;TEXT(ABS(G131)*100,"0.0")&amp;" or worse for Talarico = great for Paxton. Turnout: par is about "&amp;TEXT(D131,"#,##0")&amp;" two-party votes ("&amp;TEXT(Counties!AQ1117/SUMIFS(Counties!$AQ:$AQ,Counties!$A:$A,"TX"),"0.0%")&amp;" of the state). At 95% of par the break-even moves to "&amp;IF((I131/0.95)&gt;=0,"D+","R+")&amp;TEXT(ABS((I131/0.95))*100,"0.0")&amp;"; at 105%, to "&amp;IF((I131/1.05)&gt;=0,"D+","R+")&amp;TEXT(ABS((I131/1.05))*100,"0.0")&amp;"."</f>
        <v/>
      </c>
    </row>
    <row r="132" ht="58" customHeight="1">
      <c r="A132" s="8" t="inlineStr">
        <is>
          <t>TX</t>
        </is>
      </c>
      <c r="B132" s="8" t="inlineStr">
        <is>
          <t>Lubbock</t>
        </is>
      </c>
      <c r="C132" s="8" t="inlineStr">
        <is>
          <t>Mid-size/working metro</t>
        </is>
      </c>
      <c r="D132" s="12">
        <f>Counties!AT1161</f>
        <v/>
      </c>
      <c r="E132" s="9">
        <f>Counties!O1161</f>
        <v/>
      </c>
      <c r="F132" s="9">
        <f>Counties!R1161</f>
        <v/>
      </c>
      <c r="G132" s="9">
        <f>MAX(-1,MIN(1,Counties!O1161+-0.05+Dashboard!$F$19))</f>
        <v/>
      </c>
      <c r="H132" s="9">
        <f>MAX(-1,MIN(1,Counties!O1161+-0.01+Dashboard!$F$19))</f>
        <v/>
      </c>
      <c r="I132" s="36">
        <f>MAX(-1,MIN(1,Counties!O1161+0.0+Dashboard!$F$19))</f>
        <v/>
      </c>
      <c r="J132" s="9">
        <f>MAX(-1,MIN(1,Counties!O1161+0.01+Dashboard!$F$19))</f>
        <v/>
      </c>
      <c r="K132" s="9">
        <f>MAX(-1,MIN(1,Counties!O1161+0.05+Dashboard!$F$19))</f>
        <v/>
      </c>
      <c r="L132" s="37">
        <f>G132*D132</f>
        <v/>
      </c>
      <c r="M132" s="37">
        <f>H132*D132</f>
        <v/>
      </c>
      <c r="N132" s="37">
        <f>I132*D132</f>
        <v/>
      </c>
      <c r="O132" s="37">
        <f>J132*D132</f>
        <v/>
      </c>
      <c r="P132" s="37">
        <f>K132*D132</f>
        <v/>
      </c>
      <c r="Q132" s="12">
        <f>D132*(1+I132)/2</f>
        <v/>
      </c>
      <c r="R132" s="9">
        <f>Counties!AH1161</f>
        <v/>
      </c>
      <c r="S132" s="37">
        <f>IF(Counties!AH1161="","",Counties!AH1161*Counties!AF1161)</f>
        <v/>
      </c>
      <c r="T132" s="13">
        <f>Counties!AO1161</f>
        <v/>
      </c>
      <c r="U132" s="16">
        <f>Counties!AU1161</f>
        <v/>
      </c>
      <c r="V132" s="9">
        <f>Counties!AV1161</f>
        <v/>
      </c>
      <c r="W132" s="10">
        <f>Counties!AY1161</f>
        <v/>
      </c>
      <c r="X132" s="8">
        <f>IF(R132="","not in yet",IF(W132&lt;&gt;"",IF(W132&gt;=0.05,"Great for Talarico",IF(W132&gt;=0.01,"Talarico on track",IF(W132&gt;-0.01,"Toss-up",IF(W132&gt;-0.05,"Paxton on track","Great for Paxton"))))&amp;" (margin + turnout)",IF((R132-I132)&gt;=0.05,"Great for Talarico",IF((R132-I132)&gt;=0.01,"Talarico on track",IF((R132-I132)&gt;-0.01,"Toss-up",IF((R132-I132)&gt;-0.05,"Paxton on track","Great for Paxton"))))&amp;IF(Counties!AG1161=1,""," (partial count)")))</f>
        <v/>
      </c>
      <c r="Y132" s="17">
        <f>"Break-even "&amp;IF(I132&gt;=0,"D+","R+")&amp;TEXT(ABS(I132)*100,"0.0")&amp;" ("&amp;IF(N132&gt;=0,"D +","R +")&amp;TEXT(ABS(N132),"#,##0")&amp;" net, about "&amp;TEXT(Q132,"#,##0")&amp;" Talarico votes). Talarico at "&amp;IF(K132&gt;=0,"D+","R+")&amp;TEXT(ABS(K132)*100,"0.0")&amp;" or better = great night; "&amp;IF(J132&gt;=0,"D+","R+")&amp;TEXT(ABS(J132)*100,"0.0")&amp;" = on track to win. Paxton holding it to "&amp;IF(H132&gt;=0,"D+","R+")&amp;TEXT(ABS(H132)*100,"0.0")&amp;" = Paxton on track; "&amp;IF(G132&gt;=0,"D+","R+")&amp;TEXT(ABS(G132)*100,"0.0")&amp;" or worse for Talarico = great for Paxton. Turnout: par is about "&amp;TEXT(D132,"#,##0")&amp;" two-party votes ("&amp;TEXT(Counties!AQ1161/SUMIFS(Counties!$AQ:$AQ,Counties!$A:$A,"TX"),"0.0%")&amp;" of the state). At 95% of par the break-even moves to "&amp;IF((I132/0.95)&gt;=0,"D+","R+")&amp;TEXT(ABS((I132/0.95))*100,"0.0")&amp;"; at 105%, to "&amp;IF((I132/1.05)&gt;=0,"D+","R+")&amp;TEXT(ABS((I132/1.05))*100,"0.0")&amp;"."</f>
        <v/>
      </c>
    </row>
    <row r="133" ht="58" customHeight="1">
      <c r="A133" s="8" t="inlineStr">
        <is>
          <t>TX</t>
        </is>
      </c>
      <c r="B133" s="8" t="inlineStr">
        <is>
          <t>Comal</t>
        </is>
      </c>
      <c r="C133" s="8" t="inlineStr">
        <is>
          <t>College suburb/metro</t>
        </is>
      </c>
      <c r="D133" s="12">
        <f>Counties!AT1055</f>
        <v/>
      </c>
      <c r="E133" s="9">
        <f>Counties!O1055</f>
        <v/>
      </c>
      <c r="F133" s="9">
        <f>Counties!R1055</f>
        <v/>
      </c>
      <c r="G133" s="9">
        <f>MAX(-1,MIN(1,Counties!O1055+-0.05+Dashboard!$F$19))</f>
        <v/>
      </c>
      <c r="H133" s="9">
        <f>MAX(-1,MIN(1,Counties!O1055+-0.01+Dashboard!$F$19))</f>
        <v/>
      </c>
      <c r="I133" s="36">
        <f>MAX(-1,MIN(1,Counties!O1055+0.0+Dashboard!$F$19))</f>
        <v/>
      </c>
      <c r="J133" s="9">
        <f>MAX(-1,MIN(1,Counties!O1055+0.01+Dashboard!$F$19))</f>
        <v/>
      </c>
      <c r="K133" s="9">
        <f>MAX(-1,MIN(1,Counties!O1055+0.05+Dashboard!$F$19))</f>
        <v/>
      </c>
      <c r="L133" s="37">
        <f>G133*D133</f>
        <v/>
      </c>
      <c r="M133" s="37">
        <f>H133*D133</f>
        <v/>
      </c>
      <c r="N133" s="37">
        <f>I133*D133</f>
        <v/>
      </c>
      <c r="O133" s="37">
        <f>J133*D133</f>
        <v/>
      </c>
      <c r="P133" s="37">
        <f>K133*D133</f>
        <v/>
      </c>
      <c r="Q133" s="12">
        <f>D133*(1+I133)/2</f>
        <v/>
      </c>
      <c r="R133" s="9">
        <f>Counties!AH1055</f>
        <v/>
      </c>
      <c r="S133" s="37">
        <f>IF(Counties!AH1055="","",Counties!AH1055*Counties!AF1055)</f>
        <v/>
      </c>
      <c r="T133" s="13">
        <f>Counties!AO1055</f>
        <v/>
      </c>
      <c r="U133" s="16">
        <f>Counties!AU1055</f>
        <v/>
      </c>
      <c r="V133" s="9">
        <f>Counties!AV1055</f>
        <v/>
      </c>
      <c r="W133" s="10">
        <f>Counties!AY1055</f>
        <v/>
      </c>
      <c r="X133" s="8">
        <f>IF(R133="","not in yet",IF(W133&lt;&gt;"",IF(W133&gt;=0.05,"Great for Talarico",IF(W133&gt;=0.01,"Talarico on track",IF(W133&gt;-0.01,"Toss-up",IF(W133&gt;-0.05,"Paxton on track","Great for Paxton"))))&amp;" (margin + turnout)",IF((R133-I133)&gt;=0.05,"Great for Talarico",IF((R133-I133)&gt;=0.01,"Talarico on track",IF((R133-I133)&gt;-0.01,"Toss-up",IF((R133-I133)&gt;-0.05,"Paxton on track","Great for Paxton"))))&amp;IF(Counties!AG1055=1,""," (partial count)")))</f>
        <v/>
      </c>
      <c r="Y133" s="17">
        <f>"Break-even "&amp;IF(I133&gt;=0,"D+","R+")&amp;TEXT(ABS(I133)*100,"0.0")&amp;" ("&amp;IF(N133&gt;=0,"D +","R +")&amp;TEXT(ABS(N133),"#,##0")&amp;" net, about "&amp;TEXT(Q133,"#,##0")&amp;" Talarico votes). Talarico at "&amp;IF(K133&gt;=0,"D+","R+")&amp;TEXT(ABS(K133)*100,"0.0")&amp;" or better = great night; "&amp;IF(J133&gt;=0,"D+","R+")&amp;TEXT(ABS(J133)*100,"0.0")&amp;" = on track to win. Paxton holding it to "&amp;IF(H133&gt;=0,"D+","R+")&amp;TEXT(ABS(H133)*100,"0.0")&amp;" = Paxton on track; "&amp;IF(G133&gt;=0,"D+","R+")&amp;TEXT(ABS(G133)*100,"0.0")&amp;" or worse for Talarico = great for Paxton. Turnout: par is about "&amp;TEXT(D133,"#,##0")&amp;" two-party votes ("&amp;TEXT(Counties!AQ1055/SUMIFS(Counties!$AQ:$AQ,Counties!$A:$A,"TX"),"0.0%")&amp;" of the state). At 95% of par the break-even moves to "&amp;IF((I133/0.95)&gt;=0,"D+","R+")&amp;TEXT(ABS((I133/0.95))*100,"0.0")&amp;"; at 105%, to "&amp;IF((I133/1.05)&gt;=0,"D+","R+")&amp;TEXT(ABS((I133/1.05))*100,"0.0")&amp;"."</f>
        <v/>
      </c>
    </row>
    <row r="134">
      <c r="A134" s="22" t="inlineStr">
        <is>
          <t>Florida: Angie Nixon vs Ashley Moody · 2024 statewide R+13.2 (R+13.5 with 2022's turnout pattern)</t>
        </is>
      </c>
      <c r="B134" s="22" t="n"/>
      <c r="C134" s="22" t="n"/>
      <c r="D134" s="22" t="n"/>
      <c r="E134" s="22" t="n"/>
      <c r="F134" s="22" t="n"/>
      <c r="G134" s="22" t="n"/>
      <c r="H134" s="22" t="n"/>
      <c r="I134" s="22" t="n"/>
      <c r="J134" s="22" t="n"/>
      <c r="K134" s="22" t="n"/>
      <c r="L134" s="22" t="n"/>
      <c r="M134" s="22" t="n"/>
      <c r="N134" s="22" t="n"/>
      <c r="O134" s="22" t="n"/>
      <c r="P134" s="22" t="n"/>
      <c r="Q134" s="22" t="n"/>
      <c r="R134" s="22" t="n"/>
      <c r="S134" s="22" t="n"/>
      <c r="T134" s="22" t="n"/>
      <c r="U134" s="22" t="n"/>
      <c r="V134" s="22" t="n"/>
      <c r="W134" s="22" t="n"/>
      <c r="X134" s="22" t="n"/>
      <c r="Y134" s="22" t="n"/>
    </row>
    <row r="135" ht="58" customHeight="1">
      <c r="A135" s="8" t="inlineStr">
        <is>
          <t>FL</t>
        </is>
      </c>
      <c r="B135" s="8" t="inlineStr">
        <is>
          <t>Miami-Dade</t>
        </is>
      </c>
      <c r="C135" s="8" t="inlineStr">
        <is>
          <t>Hispanic</t>
        </is>
      </c>
      <c r="D135" s="12">
        <f>Counties!AT1306</f>
        <v/>
      </c>
      <c r="E135" s="9">
        <f>Counties!O1306</f>
        <v/>
      </c>
      <c r="F135" s="9">
        <f>Counties!R1306</f>
        <v/>
      </c>
      <c r="G135" s="9">
        <f>MAX(-1,MIN(1,Counties!O1306+-0.05+Dashboard!$F$20))</f>
        <v/>
      </c>
      <c r="H135" s="9">
        <f>MAX(-1,MIN(1,Counties!O1306+-0.01+Dashboard!$F$20))</f>
        <v/>
      </c>
      <c r="I135" s="36">
        <f>MAX(-1,MIN(1,Counties!O1306+0.0+Dashboard!$F$20))</f>
        <v/>
      </c>
      <c r="J135" s="9">
        <f>MAX(-1,MIN(1,Counties!O1306+0.01+Dashboard!$F$20))</f>
        <v/>
      </c>
      <c r="K135" s="9">
        <f>MAX(-1,MIN(1,Counties!O1306+0.05+Dashboard!$F$20))</f>
        <v/>
      </c>
      <c r="L135" s="37">
        <f>G135*D135</f>
        <v/>
      </c>
      <c r="M135" s="37">
        <f>H135*D135</f>
        <v/>
      </c>
      <c r="N135" s="37">
        <f>I135*D135</f>
        <v/>
      </c>
      <c r="O135" s="37">
        <f>J135*D135</f>
        <v/>
      </c>
      <c r="P135" s="37">
        <f>K135*D135</f>
        <v/>
      </c>
      <c r="Q135" s="12">
        <f>D135*(1+I135)/2</f>
        <v/>
      </c>
      <c r="R135" s="9">
        <f>Counties!AH1306</f>
        <v/>
      </c>
      <c r="S135" s="37">
        <f>IF(Counties!AH1306="","",Counties!AH1306*Counties!AF1306)</f>
        <v/>
      </c>
      <c r="T135" s="13">
        <f>Counties!AO1306</f>
        <v/>
      </c>
      <c r="U135" s="16">
        <f>Counties!AU1306</f>
        <v/>
      </c>
      <c r="V135" s="9">
        <f>Counties!AV1306</f>
        <v/>
      </c>
      <c r="W135" s="10">
        <f>Counties!AY1306</f>
        <v/>
      </c>
      <c r="X135" s="8">
        <f>IF(R135="","not in yet",IF(W135&lt;&gt;"",IF(W135&gt;=0.05,"Great for Nixon",IF(W135&gt;=0.01,"Nixon on track",IF(W135&gt;-0.01,"Toss-up",IF(W135&gt;-0.05,"Moody on track","Great for Moody"))))&amp;" (margin + turnout)",IF((R135-I135)&gt;=0.05,"Great for Nixon",IF((R135-I135)&gt;=0.01,"Nixon on track",IF((R135-I135)&gt;-0.01,"Toss-up",IF((R135-I135)&gt;-0.05,"Moody on track","Great for Moody"))))&amp;IF(Counties!AG1306=1,""," (partial count)")))</f>
        <v/>
      </c>
      <c r="Y135" s="17">
        <f>"Break-even "&amp;IF(I135&gt;=0,"D+","R+")&amp;TEXT(ABS(I135)*100,"0.0")&amp;" ("&amp;IF(N135&gt;=0,"D +","R +")&amp;TEXT(ABS(N135),"#,##0")&amp;" net, about "&amp;TEXT(Q135,"#,##0")&amp;" Nixon votes). Nixon at "&amp;IF(K135&gt;=0,"D+","R+")&amp;TEXT(ABS(K135)*100,"0.0")&amp;" or better = great night; "&amp;IF(J135&gt;=0,"D+","R+")&amp;TEXT(ABS(J135)*100,"0.0")&amp;" = on track to win. Moody holding it to "&amp;IF(H135&gt;=0,"D+","R+")&amp;TEXT(ABS(H135)*100,"0.0")&amp;" = Moody on track; "&amp;IF(G135&gt;=0,"D+","R+")&amp;TEXT(ABS(G135)*100,"0.0")&amp;" or worse for Nixon = great for Moody. Turnout: par is about "&amp;TEXT(D135,"#,##0")&amp;" two-party votes ("&amp;TEXT(Counties!AQ1306/SUMIFS(Counties!$AQ:$AQ,Counties!$A:$A,"FL"),"0.0%")&amp;" of the state). At 95% of par the break-even moves to "&amp;IF((I135/0.95)&gt;=0,"D+","R+")&amp;TEXT(ABS((I135/0.95))*100,"0.0")&amp;"; at 105%, to "&amp;IF((I135/1.05)&gt;=0,"D+","R+")&amp;TEXT(ABS((I135/1.05))*100,"0.0")&amp;"."</f>
        <v/>
      </c>
    </row>
    <row r="136" ht="58" customHeight="1">
      <c r="A136" s="8" t="inlineStr">
        <is>
          <t>FL</t>
        </is>
      </c>
      <c r="B136" s="8" t="inlineStr">
        <is>
          <t>Broward</t>
        </is>
      </c>
      <c r="C136" s="8" t="inlineStr">
        <is>
          <t>Big metro core</t>
        </is>
      </c>
      <c r="D136" s="12">
        <f>Counties!AT1269</f>
        <v/>
      </c>
      <c r="E136" s="9">
        <f>Counties!O1269</f>
        <v/>
      </c>
      <c r="F136" s="9">
        <f>Counties!R1269</f>
        <v/>
      </c>
      <c r="G136" s="9">
        <f>MAX(-1,MIN(1,Counties!O1269+-0.05+Dashboard!$F$20))</f>
        <v/>
      </c>
      <c r="H136" s="9">
        <f>MAX(-1,MIN(1,Counties!O1269+-0.01+Dashboard!$F$20))</f>
        <v/>
      </c>
      <c r="I136" s="36">
        <f>MAX(-1,MIN(1,Counties!O1269+0.0+Dashboard!$F$20))</f>
        <v/>
      </c>
      <c r="J136" s="9">
        <f>MAX(-1,MIN(1,Counties!O1269+0.01+Dashboard!$F$20))</f>
        <v/>
      </c>
      <c r="K136" s="9">
        <f>MAX(-1,MIN(1,Counties!O1269+0.05+Dashboard!$F$20))</f>
        <v/>
      </c>
      <c r="L136" s="37">
        <f>G136*D136</f>
        <v/>
      </c>
      <c r="M136" s="37">
        <f>H136*D136</f>
        <v/>
      </c>
      <c r="N136" s="37">
        <f>I136*D136</f>
        <v/>
      </c>
      <c r="O136" s="37">
        <f>J136*D136</f>
        <v/>
      </c>
      <c r="P136" s="37">
        <f>K136*D136</f>
        <v/>
      </c>
      <c r="Q136" s="12">
        <f>D136*(1+I136)/2</f>
        <v/>
      </c>
      <c r="R136" s="9">
        <f>Counties!AH1269</f>
        <v/>
      </c>
      <c r="S136" s="37">
        <f>IF(Counties!AH1269="","",Counties!AH1269*Counties!AF1269)</f>
        <v/>
      </c>
      <c r="T136" s="13">
        <f>Counties!AO1269</f>
        <v/>
      </c>
      <c r="U136" s="16">
        <f>Counties!AU1269</f>
        <v/>
      </c>
      <c r="V136" s="9">
        <f>Counties!AV1269</f>
        <v/>
      </c>
      <c r="W136" s="10">
        <f>Counties!AY1269</f>
        <v/>
      </c>
      <c r="X136" s="8">
        <f>IF(R136="","not in yet",IF(W136&lt;&gt;"",IF(W136&gt;=0.05,"Great for Nixon",IF(W136&gt;=0.01,"Nixon on track",IF(W136&gt;-0.01,"Toss-up",IF(W136&gt;-0.05,"Moody on track","Great for Moody"))))&amp;" (margin + turnout)",IF((R136-I136)&gt;=0.05,"Great for Nixon",IF((R136-I136)&gt;=0.01,"Nixon on track",IF((R136-I136)&gt;-0.01,"Toss-up",IF((R136-I136)&gt;-0.05,"Moody on track","Great for Moody"))))&amp;IF(Counties!AG1269=1,""," (partial count)")))</f>
        <v/>
      </c>
      <c r="Y136" s="17">
        <f>"Break-even "&amp;IF(I136&gt;=0,"D+","R+")&amp;TEXT(ABS(I136)*100,"0.0")&amp;" ("&amp;IF(N136&gt;=0,"D +","R +")&amp;TEXT(ABS(N136),"#,##0")&amp;" net, about "&amp;TEXT(Q136,"#,##0")&amp;" Nixon votes). Nixon at "&amp;IF(K136&gt;=0,"D+","R+")&amp;TEXT(ABS(K136)*100,"0.0")&amp;" or better = great night; "&amp;IF(J136&gt;=0,"D+","R+")&amp;TEXT(ABS(J136)*100,"0.0")&amp;" = on track to win. Moody holding it to "&amp;IF(H136&gt;=0,"D+","R+")&amp;TEXT(ABS(H136)*100,"0.0")&amp;" = Moody on track; "&amp;IF(G136&gt;=0,"D+","R+")&amp;TEXT(ABS(G136)*100,"0.0")&amp;" or worse for Nixon = great for Moody. Turnout: par is about "&amp;TEXT(D136,"#,##0")&amp;" two-party votes ("&amp;TEXT(Counties!AQ1269/SUMIFS(Counties!$AQ:$AQ,Counties!$A:$A,"FL"),"0.0%")&amp;" of the state). At 95% of par the break-even moves to "&amp;IF((I136/0.95)&gt;=0,"D+","R+")&amp;TEXT(ABS((I136/0.95))*100,"0.0")&amp;"; at 105%, to "&amp;IF((I136/1.05)&gt;=0,"D+","R+")&amp;TEXT(ABS((I136/1.05))*100,"0.0")&amp;"."</f>
        <v/>
      </c>
    </row>
    <row r="137" ht="58" customHeight="1">
      <c r="A137" s="8" t="inlineStr">
        <is>
          <t>FL</t>
        </is>
      </c>
      <c r="B137" s="8" t="inlineStr">
        <is>
          <t>Palm Beach</t>
        </is>
      </c>
      <c r="C137" s="8" t="inlineStr">
        <is>
          <t>Big metro core</t>
        </is>
      </c>
      <c r="D137" s="12">
        <f>Counties!AT1313</f>
        <v/>
      </c>
      <c r="E137" s="9">
        <f>Counties!O1313</f>
        <v/>
      </c>
      <c r="F137" s="9">
        <f>Counties!R1313</f>
        <v/>
      </c>
      <c r="G137" s="9">
        <f>MAX(-1,MIN(1,Counties!O1313+-0.05+Dashboard!$F$20))</f>
        <v/>
      </c>
      <c r="H137" s="9">
        <f>MAX(-1,MIN(1,Counties!O1313+-0.01+Dashboard!$F$20))</f>
        <v/>
      </c>
      <c r="I137" s="36">
        <f>MAX(-1,MIN(1,Counties!O1313+0.0+Dashboard!$F$20))</f>
        <v/>
      </c>
      <c r="J137" s="9">
        <f>MAX(-1,MIN(1,Counties!O1313+0.01+Dashboard!$F$20))</f>
        <v/>
      </c>
      <c r="K137" s="9">
        <f>MAX(-1,MIN(1,Counties!O1313+0.05+Dashboard!$F$20))</f>
        <v/>
      </c>
      <c r="L137" s="37">
        <f>G137*D137</f>
        <v/>
      </c>
      <c r="M137" s="37">
        <f>H137*D137</f>
        <v/>
      </c>
      <c r="N137" s="37">
        <f>I137*D137</f>
        <v/>
      </c>
      <c r="O137" s="37">
        <f>J137*D137</f>
        <v/>
      </c>
      <c r="P137" s="37">
        <f>K137*D137</f>
        <v/>
      </c>
      <c r="Q137" s="12">
        <f>D137*(1+I137)/2</f>
        <v/>
      </c>
      <c r="R137" s="9">
        <f>Counties!AH1313</f>
        <v/>
      </c>
      <c r="S137" s="37">
        <f>IF(Counties!AH1313="","",Counties!AH1313*Counties!AF1313)</f>
        <v/>
      </c>
      <c r="T137" s="13">
        <f>Counties!AO1313</f>
        <v/>
      </c>
      <c r="U137" s="16">
        <f>Counties!AU1313</f>
        <v/>
      </c>
      <c r="V137" s="9">
        <f>Counties!AV1313</f>
        <v/>
      </c>
      <c r="W137" s="10">
        <f>Counties!AY1313</f>
        <v/>
      </c>
      <c r="X137" s="8">
        <f>IF(R137="","not in yet",IF(W137&lt;&gt;"",IF(W137&gt;=0.05,"Great for Nixon",IF(W137&gt;=0.01,"Nixon on track",IF(W137&gt;-0.01,"Toss-up",IF(W137&gt;-0.05,"Moody on track","Great for Moody"))))&amp;" (margin + turnout)",IF((R137-I137)&gt;=0.05,"Great for Nixon",IF((R137-I137)&gt;=0.01,"Nixon on track",IF((R137-I137)&gt;-0.01,"Toss-up",IF((R137-I137)&gt;-0.05,"Moody on track","Great for Moody"))))&amp;IF(Counties!AG1313=1,""," (partial count)")))</f>
        <v/>
      </c>
      <c r="Y137" s="17">
        <f>"Break-even "&amp;IF(I137&gt;=0,"D+","R+")&amp;TEXT(ABS(I137)*100,"0.0")&amp;" ("&amp;IF(N137&gt;=0,"D +","R +")&amp;TEXT(ABS(N137),"#,##0")&amp;" net, about "&amp;TEXT(Q137,"#,##0")&amp;" Nixon votes). Nixon at "&amp;IF(K137&gt;=0,"D+","R+")&amp;TEXT(ABS(K137)*100,"0.0")&amp;" or better = great night; "&amp;IF(J137&gt;=0,"D+","R+")&amp;TEXT(ABS(J137)*100,"0.0")&amp;" = on track to win. Moody holding it to "&amp;IF(H137&gt;=0,"D+","R+")&amp;TEXT(ABS(H137)*100,"0.0")&amp;" = Moody on track; "&amp;IF(G137&gt;=0,"D+","R+")&amp;TEXT(ABS(G137)*100,"0.0")&amp;" or worse for Nixon = great for Moody. Turnout: par is about "&amp;TEXT(D137,"#,##0")&amp;" two-party votes ("&amp;TEXT(Counties!AQ1313/SUMIFS(Counties!$AQ:$AQ,Counties!$A:$A,"FL"),"0.0%")&amp;" of the state). At 95% of par the break-even moves to "&amp;IF((I137/0.95)&gt;=0,"D+","R+")&amp;TEXT(ABS((I137/0.95))*100,"0.0")&amp;"; at 105%, to "&amp;IF((I137/1.05)&gt;=0,"D+","R+")&amp;TEXT(ABS((I137/1.05))*100,"0.0")&amp;"."</f>
        <v/>
      </c>
    </row>
    <row r="138" ht="58" customHeight="1">
      <c r="A138" s="8" t="inlineStr">
        <is>
          <t>FL</t>
        </is>
      </c>
      <c r="B138" s="8" t="inlineStr">
        <is>
          <t>Hillsborough</t>
        </is>
      </c>
      <c r="C138" s="8" t="inlineStr">
        <is>
          <t>Big metro core</t>
        </is>
      </c>
      <c r="D138" s="12">
        <f>Counties!AT1291</f>
        <v/>
      </c>
      <c r="E138" s="9">
        <f>Counties!O1291</f>
        <v/>
      </c>
      <c r="F138" s="9">
        <f>Counties!R1291</f>
        <v/>
      </c>
      <c r="G138" s="9">
        <f>MAX(-1,MIN(1,Counties!O1291+-0.05+Dashboard!$F$20))</f>
        <v/>
      </c>
      <c r="H138" s="9">
        <f>MAX(-1,MIN(1,Counties!O1291+-0.01+Dashboard!$F$20))</f>
        <v/>
      </c>
      <c r="I138" s="36">
        <f>MAX(-1,MIN(1,Counties!O1291+0.0+Dashboard!$F$20))</f>
        <v/>
      </c>
      <c r="J138" s="9">
        <f>MAX(-1,MIN(1,Counties!O1291+0.01+Dashboard!$F$20))</f>
        <v/>
      </c>
      <c r="K138" s="9">
        <f>MAX(-1,MIN(1,Counties!O1291+0.05+Dashboard!$F$20))</f>
        <v/>
      </c>
      <c r="L138" s="37">
        <f>G138*D138</f>
        <v/>
      </c>
      <c r="M138" s="37">
        <f>H138*D138</f>
        <v/>
      </c>
      <c r="N138" s="37">
        <f>I138*D138</f>
        <v/>
      </c>
      <c r="O138" s="37">
        <f>J138*D138</f>
        <v/>
      </c>
      <c r="P138" s="37">
        <f>K138*D138</f>
        <v/>
      </c>
      <c r="Q138" s="12">
        <f>D138*(1+I138)/2</f>
        <v/>
      </c>
      <c r="R138" s="9">
        <f>Counties!AH1291</f>
        <v/>
      </c>
      <c r="S138" s="37">
        <f>IF(Counties!AH1291="","",Counties!AH1291*Counties!AF1291)</f>
        <v/>
      </c>
      <c r="T138" s="13">
        <f>Counties!AO1291</f>
        <v/>
      </c>
      <c r="U138" s="16">
        <f>Counties!AU1291</f>
        <v/>
      </c>
      <c r="V138" s="9">
        <f>Counties!AV1291</f>
        <v/>
      </c>
      <c r="W138" s="10">
        <f>Counties!AY1291</f>
        <v/>
      </c>
      <c r="X138" s="8">
        <f>IF(R138="","not in yet",IF(W138&lt;&gt;"",IF(W138&gt;=0.05,"Great for Nixon",IF(W138&gt;=0.01,"Nixon on track",IF(W138&gt;-0.01,"Toss-up",IF(W138&gt;-0.05,"Moody on track","Great for Moody"))))&amp;" (margin + turnout)",IF((R138-I138)&gt;=0.05,"Great for Nixon",IF((R138-I138)&gt;=0.01,"Nixon on track",IF((R138-I138)&gt;-0.01,"Toss-up",IF((R138-I138)&gt;-0.05,"Moody on track","Great for Moody"))))&amp;IF(Counties!AG1291=1,""," (partial count)")))</f>
        <v/>
      </c>
      <c r="Y138" s="17">
        <f>"Break-even "&amp;IF(I138&gt;=0,"D+","R+")&amp;TEXT(ABS(I138)*100,"0.0")&amp;" ("&amp;IF(N138&gt;=0,"D +","R +")&amp;TEXT(ABS(N138),"#,##0")&amp;" net, about "&amp;TEXT(Q138,"#,##0")&amp;" Nixon votes). Nixon at "&amp;IF(K138&gt;=0,"D+","R+")&amp;TEXT(ABS(K138)*100,"0.0")&amp;" or better = great night; "&amp;IF(J138&gt;=0,"D+","R+")&amp;TEXT(ABS(J138)*100,"0.0")&amp;" = on track to win. Moody holding it to "&amp;IF(H138&gt;=0,"D+","R+")&amp;TEXT(ABS(H138)*100,"0.0")&amp;" = Moody on track; "&amp;IF(G138&gt;=0,"D+","R+")&amp;TEXT(ABS(G138)*100,"0.0")&amp;" or worse for Nixon = great for Moody. Turnout: par is about "&amp;TEXT(D138,"#,##0")&amp;" two-party votes ("&amp;TEXT(Counties!AQ1291/SUMIFS(Counties!$AQ:$AQ,Counties!$A:$A,"FL"),"0.0%")&amp;" of the state). At 95% of par the break-even moves to "&amp;IF((I138/0.95)&gt;=0,"D+","R+")&amp;TEXT(ABS((I138/0.95))*100,"0.0")&amp;"; at 105%, to "&amp;IF((I138/1.05)&gt;=0,"D+","R+")&amp;TEXT(ABS((I138/1.05))*100,"0.0")&amp;"."</f>
        <v/>
      </c>
    </row>
    <row r="139" ht="58" customHeight="1">
      <c r="A139" s="8" t="inlineStr">
        <is>
          <t>FL</t>
        </is>
      </c>
      <c r="B139" s="8" t="inlineStr">
        <is>
          <t>Orange</t>
        </is>
      </c>
      <c r="C139" s="8" t="inlineStr">
        <is>
          <t>Big metro core</t>
        </is>
      </c>
      <c r="D139" s="12">
        <f>Counties!AT1311</f>
        <v/>
      </c>
      <c r="E139" s="9">
        <f>Counties!O1311</f>
        <v/>
      </c>
      <c r="F139" s="9">
        <f>Counties!R1311</f>
        <v/>
      </c>
      <c r="G139" s="9">
        <f>MAX(-1,MIN(1,Counties!O1311+-0.05+Dashboard!$F$20))</f>
        <v/>
      </c>
      <c r="H139" s="9">
        <f>MAX(-1,MIN(1,Counties!O1311+-0.01+Dashboard!$F$20))</f>
        <v/>
      </c>
      <c r="I139" s="36">
        <f>MAX(-1,MIN(1,Counties!O1311+0.0+Dashboard!$F$20))</f>
        <v/>
      </c>
      <c r="J139" s="9">
        <f>MAX(-1,MIN(1,Counties!O1311+0.01+Dashboard!$F$20))</f>
        <v/>
      </c>
      <c r="K139" s="9">
        <f>MAX(-1,MIN(1,Counties!O1311+0.05+Dashboard!$F$20))</f>
        <v/>
      </c>
      <c r="L139" s="37">
        <f>G139*D139</f>
        <v/>
      </c>
      <c r="M139" s="37">
        <f>H139*D139</f>
        <v/>
      </c>
      <c r="N139" s="37">
        <f>I139*D139</f>
        <v/>
      </c>
      <c r="O139" s="37">
        <f>J139*D139</f>
        <v/>
      </c>
      <c r="P139" s="37">
        <f>K139*D139</f>
        <v/>
      </c>
      <c r="Q139" s="12">
        <f>D139*(1+I139)/2</f>
        <v/>
      </c>
      <c r="R139" s="9">
        <f>Counties!AH1311</f>
        <v/>
      </c>
      <c r="S139" s="37">
        <f>IF(Counties!AH1311="","",Counties!AH1311*Counties!AF1311)</f>
        <v/>
      </c>
      <c r="T139" s="13">
        <f>Counties!AO1311</f>
        <v/>
      </c>
      <c r="U139" s="16">
        <f>Counties!AU1311</f>
        <v/>
      </c>
      <c r="V139" s="9">
        <f>Counties!AV1311</f>
        <v/>
      </c>
      <c r="W139" s="10">
        <f>Counties!AY1311</f>
        <v/>
      </c>
      <c r="X139" s="8">
        <f>IF(R139="","not in yet",IF(W139&lt;&gt;"",IF(W139&gt;=0.05,"Great for Nixon",IF(W139&gt;=0.01,"Nixon on track",IF(W139&gt;-0.01,"Toss-up",IF(W139&gt;-0.05,"Moody on track","Great for Moody"))))&amp;" (margin + turnout)",IF((R139-I139)&gt;=0.05,"Great for Nixon",IF((R139-I139)&gt;=0.01,"Nixon on track",IF((R139-I139)&gt;-0.01,"Toss-up",IF((R139-I139)&gt;-0.05,"Moody on track","Great for Moody"))))&amp;IF(Counties!AG1311=1,""," (partial count)")))</f>
        <v/>
      </c>
      <c r="Y139" s="17">
        <f>"Break-even "&amp;IF(I139&gt;=0,"D+","R+")&amp;TEXT(ABS(I139)*100,"0.0")&amp;" ("&amp;IF(N139&gt;=0,"D +","R +")&amp;TEXT(ABS(N139),"#,##0")&amp;" net, about "&amp;TEXT(Q139,"#,##0")&amp;" Nixon votes). Nixon at "&amp;IF(K139&gt;=0,"D+","R+")&amp;TEXT(ABS(K139)*100,"0.0")&amp;" or better = great night; "&amp;IF(J139&gt;=0,"D+","R+")&amp;TEXT(ABS(J139)*100,"0.0")&amp;" = on track to win. Moody holding it to "&amp;IF(H139&gt;=0,"D+","R+")&amp;TEXT(ABS(H139)*100,"0.0")&amp;" = Moody on track; "&amp;IF(G139&gt;=0,"D+","R+")&amp;TEXT(ABS(G139)*100,"0.0")&amp;" or worse for Nixon = great for Moody. Turnout: par is about "&amp;TEXT(D139,"#,##0")&amp;" two-party votes ("&amp;TEXT(Counties!AQ1311/SUMIFS(Counties!$AQ:$AQ,Counties!$A:$A,"FL"),"0.0%")&amp;" of the state). At 95% of par the break-even moves to "&amp;IF((I139/0.95)&gt;=0,"D+","R+")&amp;TEXT(ABS((I139/0.95))*100,"0.0")&amp;"; at 105%, to "&amp;IF((I139/1.05)&gt;=0,"D+","R+")&amp;TEXT(ABS((I139/1.05))*100,"0.0")&amp;"."</f>
        <v/>
      </c>
    </row>
    <row r="140" ht="58" customHeight="1">
      <c r="A140" s="8" t="inlineStr">
        <is>
          <t>FL</t>
        </is>
      </c>
      <c r="B140" s="8" t="inlineStr">
        <is>
          <t>Pinellas</t>
        </is>
      </c>
      <c r="C140" s="8" t="inlineStr">
        <is>
          <t>Big metro core</t>
        </is>
      </c>
      <c r="D140" s="12">
        <f>Counties!AT1315</f>
        <v/>
      </c>
      <c r="E140" s="9">
        <f>Counties!O1315</f>
        <v/>
      </c>
      <c r="F140" s="9">
        <f>Counties!R1315</f>
        <v/>
      </c>
      <c r="G140" s="9">
        <f>MAX(-1,MIN(1,Counties!O1315+-0.05+Dashboard!$F$20))</f>
        <v/>
      </c>
      <c r="H140" s="9">
        <f>MAX(-1,MIN(1,Counties!O1315+-0.01+Dashboard!$F$20))</f>
        <v/>
      </c>
      <c r="I140" s="36">
        <f>MAX(-1,MIN(1,Counties!O1315+0.0+Dashboard!$F$20))</f>
        <v/>
      </c>
      <c r="J140" s="9">
        <f>MAX(-1,MIN(1,Counties!O1315+0.01+Dashboard!$F$20))</f>
        <v/>
      </c>
      <c r="K140" s="9">
        <f>MAX(-1,MIN(1,Counties!O1315+0.05+Dashboard!$F$20))</f>
        <v/>
      </c>
      <c r="L140" s="37">
        <f>G140*D140</f>
        <v/>
      </c>
      <c r="M140" s="37">
        <f>H140*D140</f>
        <v/>
      </c>
      <c r="N140" s="37">
        <f>I140*D140</f>
        <v/>
      </c>
      <c r="O140" s="37">
        <f>J140*D140</f>
        <v/>
      </c>
      <c r="P140" s="37">
        <f>K140*D140</f>
        <v/>
      </c>
      <c r="Q140" s="12">
        <f>D140*(1+I140)/2</f>
        <v/>
      </c>
      <c r="R140" s="9">
        <f>Counties!AH1315</f>
        <v/>
      </c>
      <c r="S140" s="37">
        <f>IF(Counties!AH1315="","",Counties!AH1315*Counties!AF1315)</f>
        <v/>
      </c>
      <c r="T140" s="13">
        <f>Counties!AO1315</f>
        <v/>
      </c>
      <c r="U140" s="16">
        <f>Counties!AU1315</f>
        <v/>
      </c>
      <c r="V140" s="9">
        <f>Counties!AV1315</f>
        <v/>
      </c>
      <c r="W140" s="10">
        <f>Counties!AY1315</f>
        <v/>
      </c>
      <c r="X140" s="8">
        <f>IF(R140="","not in yet",IF(W140&lt;&gt;"",IF(W140&gt;=0.05,"Great for Nixon",IF(W140&gt;=0.01,"Nixon on track",IF(W140&gt;-0.01,"Toss-up",IF(W140&gt;-0.05,"Moody on track","Great for Moody"))))&amp;" (margin + turnout)",IF((R140-I140)&gt;=0.05,"Great for Nixon",IF((R140-I140)&gt;=0.01,"Nixon on track",IF((R140-I140)&gt;-0.01,"Toss-up",IF((R140-I140)&gt;-0.05,"Moody on track","Great for Moody"))))&amp;IF(Counties!AG1315=1,""," (partial count)")))</f>
        <v/>
      </c>
      <c r="Y140" s="17">
        <f>"Break-even "&amp;IF(I140&gt;=0,"D+","R+")&amp;TEXT(ABS(I140)*100,"0.0")&amp;" ("&amp;IF(N140&gt;=0,"D +","R +")&amp;TEXT(ABS(N140),"#,##0")&amp;" net, about "&amp;TEXT(Q140,"#,##0")&amp;" Nixon votes). Nixon at "&amp;IF(K140&gt;=0,"D+","R+")&amp;TEXT(ABS(K140)*100,"0.0")&amp;" or better = great night; "&amp;IF(J140&gt;=0,"D+","R+")&amp;TEXT(ABS(J140)*100,"0.0")&amp;" = on track to win. Moody holding it to "&amp;IF(H140&gt;=0,"D+","R+")&amp;TEXT(ABS(H140)*100,"0.0")&amp;" = Moody on track; "&amp;IF(G140&gt;=0,"D+","R+")&amp;TEXT(ABS(G140)*100,"0.0")&amp;" or worse for Nixon = great for Moody. Turnout: par is about "&amp;TEXT(D140,"#,##0")&amp;" two-party votes ("&amp;TEXT(Counties!AQ1315/SUMIFS(Counties!$AQ:$AQ,Counties!$A:$A,"FL"),"0.0%")&amp;" of the state). At 95% of par the break-even moves to "&amp;IF((I140/0.95)&gt;=0,"D+","R+")&amp;TEXT(ABS((I140/0.95))*100,"0.0")&amp;"; at 105%, to "&amp;IF((I140/1.05)&gt;=0,"D+","R+")&amp;TEXT(ABS((I140/1.05))*100,"0.0")&amp;"."</f>
        <v/>
      </c>
    </row>
    <row r="141" ht="58" customHeight="1">
      <c r="A141" s="8" t="inlineStr">
        <is>
          <t>FL</t>
        </is>
      </c>
      <c r="B141" s="8" t="inlineStr">
        <is>
          <t>Duval</t>
        </is>
      </c>
      <c r="C141" s="8" t="inlineStr">
        <is>
          <t>Big metro core</t>
        </is>
      </c>
      <c r="D141" s="12">
        <f>Counties!AT1278</f>
        <v/>
      </c>
      <c r="E141" s="9">
        <f>Counties!O1278</f>
        <v/>
      </c>
      <c r="F141" s="9">
        <f>Counties!R1278</f>
        <v/>
      </c>
      <c r="G141" s="9">
        <f>MAX(-1,MIN(1,Counties!O1278+-0.05+Dashboard!$F$20))</f>
        <v/>
      </c>
      <c r="H141" s="9">
        <f>MAX(-1,MIN(1,Counties!O1278+-0.01+Dashboard!$F$20))</f>
        <v/>
      </c>
      <c r="I141" s="36">
        <f>MAX(-1,MIN(1,Counties!O1278+0.0+Dashboard!$F$20))</f>
        <v/>
      </c>
      <c r="J141" s="9">
        <f>MAX(-1,MIN(1,Counties!O1278+0.01+Dashboard!$F$20))</f>
        <v/>
      </c>
      <c r="K141" s="9">
        <f>MAX(-1,MIN(1,Counties!O1278+0.05+Dashboard!$F$20))</f>
        <v/>
      </c>
      <c r="L141" s="37">
        <f>G141*D141</f>
        <v/>
      </c>
      <c r="M141" s="37">
        <f>H141*D141</f>
        <v/>
      </c>
      <c r="N141" s="37">
        <f>I141*D141</f>
        <v/>
      </c>
      <c r="O141" s="37">
        <f>J141*D141</f>
        <v/>
      </c>
      <c r="P141" s="37">
        <f>K141*D141</f>
        <v/>
      </c>
      <c r="Q141" s="12">
        <f>D141*(1+I141)/2</f>
        <v/>
      </c>
      <c r="R141" s="9">
        <f>Counties!AH1278</f>
        <v/>
      </c>
      <c r="S141" s="37">
        <f>IF(Counties!AH1278="","",Counties!AH1278*Counties!AF1278)</f>
        <v/>
      </c>
      <c r="T141" s="13">
        <f>Counties!AO1278</f>
        <v/>
      </c>
      <c r="U141" s="16">
        <f>Counties!AU1278</f>
        <v/>
      </c>
      <c r="V141" s="9">
        <f>Counties!AV1278</f>
        <v/>
      </c>
      <c r="W141" s="10">
        <f>Counties!AY1278</f>
        <v/>
      </c>
      <c r="X141" s="8">
        <f>IF(R141="","not in yet",IF(W141&lt;&gt;"",IF(W141&gt;=0.05,"Great for Nixon",IF(W141&gt;=0.01,"Nixon on track",IF(W141&gt;-0.01,"Toss-up",IF(W141&gt;-0.05,"Moody on track","Great for Moody"))))&amp;" (margin + turnout)",IF((R141-I141)&gt;=0.05,"Great for Nixon",IF((R141-I141)&gt;=0.01,"Nixon on track",IF((R141-I141)&gt;-0.01,"Toss-up",IF((R141-I141)&gt;-0.05,"Moody on track","Great for Moody"))))&amp;IF(Counties!AG1278=1,""," (partial count)")))</f>
        <v/>
      </c>
      <c r="Y141" s="17">
        <f>"Break-even "&amp;IF(I141&gt;=0,"D+","R+")&amp;TEXT(ABS(I141)*100,"0.0")&amp;" ("&amp;IF(N141&gt;=0,"D +","R +")&amp;TEXT(ABS(N141),"#,##0")&amp;" net, about "&amp;TEXT(Q141,"#,##0")&amp;" Nixon votes). Nixon at "&amp;IF(K141&gt;=0,"D+","R+")&amp;TEXT(ABS(K141)*100,"0.0")&amp;" or better = great night; "&amp;IF(J141&gt;=0,"D+","R+")&amp;TEXT(ABS(J141)*100,"0.0")&amp;" = on track to win. Moody holding it to "&amp;IF(H141&gt;=0,"D+","R+")&amp;TEXT(ABS(H141)*100,"0.0")&amp;" = Moody on track; "&amp;IF(G141&gt;=0,"D+","R+")&amp;TEXT(ABS(G141)*100,"0.0")&amp;" or worse for Nixon = great for Moody. Turnout: par is about "&amp;TEXT(D141,"#,##0")&amp;" two-party votes ("&amp;TEXT(Counties!AQ1278/SUMIFS(Counties!$AQ:$AQ,Counties!$A:$A,"FL"),"0.0%")&amp;" of the state). At 95% of par the break-even moves to "&amp;IF((I141/0.95)&gt;=0,"D+","R+")&amp;TEXT(ABS((I141/0.95))*100,"0.0")&amp;"; at 105%, to "&amp;IF((I141/1.05)&gt;=0,"D+","R+")&amp;TEXT(ABS((I141/1.05))*100,"0.0")&amp;"."</f>
        <v/>
      </c>
    </row>
    <row r="142" ht="58" customHeight="1">
      <c r="A142" s="8" t="inlineStr">
        <is>
          <t>FL</t>
        </is>
      </c>
      <c r="B142" s="8" t="inlineStr">
        <is>
          <t>Lee</t>
        </is>
      </c>
      <c r="C142" s="8" t="inlineStr">
        <is>
          <t>Big metro core</t>
        </is>
      </c>
      <c r="D142" s="12">
        <f>Counties!AT1298</f>
        <v/>
      </c>
      <c r="E142" s="9">
        <f>Counties!O1298</f>
        <v/>
      </c>
      <c r="F142" s="9">
        <f>Counties!R1298</f>
        <v/>
      </c>
      <c r="G142" s="9">
        <f>MAX(-1,MIN(1,Counties!O1298+-0.05+Dashboard!$F$20))</f>
        <v/>
      </c>
      <c r="H142" s="9">
        <f>MAX(-1,MIN(1,Counties!O1298+-0.01+Dashboard!$F$20))</f>
        <v/>
      </c>
      <c r="I142" s="36">
        <f>MAX(-1,MIN(1,Counties!O1298+0.0+Dashboard!$F$20))</f>
        <v/>
      </c>
      <c r="J142" s="9">
        <f>MAX(-1,MIN(1,Counties!O1298+0.01+Dashboard!$F$20))</f>
        <v/>
      </c>
      <c r="K142" s="9">
        <f>MAX(-1,MIN(1,Counties!O1298+0.05+Dashboard!$F$20))</f>
        <v/>
      </c>
      <c r="L142" s="37">
        <f>G142*D142</f>
        <v/>
      </c>
      <c r="M142" s="37">
        <f>H142*D142</f>
        <v/>
      </c>
      <c r="N142" s="37">
        <f>I142*D142</f>
        <v/>
      </c>
      <c r="O142" s="37">
        <f>J142*D142</f>
        <v/>
      </c>
      <c r="P142" s="37">
        <f>K142*D142</f>
        <v/>
      </c>
      <c r="Q142" s="12">
        <f>D142*(1+I142)/2</f>
        <v/>
      </c>
      <c r="R142" s="9">
        <f>Counties!AH1298</f>
        <v/>
      </c>
      <c r="S142" s="37">
        <f>IF(Counties!AH1298="","",Counties!AH1298*Counties!AF1298)</f>
        <v/>
      </c>
      <c r="T142" s="13">
        <f>Counties!AO1298</f>
        <v/>
      </c>
      <c r="U142" s="16">
        <f>Counties!AU1298</f>
        <v/>
      </c>
      <c r="V142" s="9">
        <f>Counties!AV1298</f>
        <v/>
      </c>
      <c r="W142" s="10">
        <f>Counties!AY1298</f>
        <v/>
      </c>
      <c r="X142" s="8">
        <f>IF(R142="","not in yet",IF(W142&lt;&gt;"",IF(W142&gt;=0.05,"Great for Nixon",IF(W142&gt;=0.01,"Nixon on track",IF(W142&gt;-0.01,"Toss-up",IF(W142&gt;-0.05,"Moody on track","Great for Moody"))))&amp;" (margin + turnout)",IF((R142-I142)&gt;=0.05,"Great for Nixon",IF((R142-I142)&gt;=0.01,"Nixon on track",IF((R142-I142)&gt;-0.01,"Toss-up",IF((R142-I142)&gt;-0.05,"Moody on track","Great for Moody"))))&amp;IF(Counties!AG1298=1,""," (partial count)")))</f>
        <v/>
      </c>
      <c r="Y142" s="17">
        <f>"Break-even "&amp;IF(I142&gt;=0,"D+","R+")&amp;TEXT(ABS(I142)*100,"0.0")&amp;" ("&amp;IF(N142&gt;=0,"D +","R +")&amp;TEXT(ABS(N142),"#,##0")&amp;" net, about "&amp;TEXT(Q142,"#,##0")&amp;" Nixon votes). Nixon at "&amp;IF(K142&gt;=0,"D+","R+")&amp;TEXT(ABS(K142)*100,"0.0")&amp;" or better = great night; "&amp;IF(J142&gt;=0,"D+","R+")&amp;TEXT(ABS(J142)*100,"0.0")&amp;" = on track to win. Moody holding it to "&amp;IF(H142&gt;=0,"D+","R+")&amp;TEXT(ABS(H142)*100,"0.0")&amp;" = Moody on track; "&amp;IF(G142&gt;=0,"D+","R+")&amp;TEXT(ABS(G142)*100,"0.0")&amp;" or worse for Nixon = great for Moody. Turnout: par is about "&amp;TEXT(D142,"#,##0")&amp;" two-party votes ("&amp;TEXT(Counties!AQ1298/SUMIFS(Counties!$AQ:$AQ,Counties!$A:$A,"FL"),"0.0%")&amp;" of the state). At 95% of par the break-even moves to "&amp;IF((I142/0.95)&gt;=0,"D+","R+")&amp;TEXT(ABS((I142/0.95))*100,"0.0")&amp;"; at 105%, to "&amp;IF((I142/1.05)&gt;=0,"D+","R+")&amp;TEXT(ABS((I142/1.05))*100,"0.0")&amp;"."</f>
        <v/>
      </c>
    </row>
    <row r="143" ht="58" customHeight="1">
      <c r="A143" s="8" t="inlineStr">
        <is>
          <t>FL</t>
        </is>
      </c>
      <c r="B143" s="8" t="inlineStr">
        <is>
          <t>Polk</t>
        </is>
      </c>
      <c r="C143" s="8" t="inlineStr">
        <is>
          <t>Big metro core</t>
        </is>
      </c>
      <c r="D143" s="12">
        <f>Counties!AT1316</f>
        <v/>
      </c>
      <c r="E143" s="9">
        <f>Counties!O1316</f>
        <v/>
      </c>
      <c r="F143" s="9">
        <f>Counties!R1316</f>
        <v/>
      </c>
      <c r="G143" s="9">
        <f>MAX(-1,MIN(1,Counties!O1316+-0.05+Dashboard!$F$20))</f>
        <v/>
      </c>
      <c r="H143" s="9">
        <f>MAX(-1,MIN(1,Counties!O1316+-0.01+Dashboard!$F$20))</f>
        <v/>
      </c>
      <c r="I143" s="36">
        <f>MAX(-1,MIN(1,Counties!O1316+0.0+Dashboard!$F$20))</f>
        <v/>
      </c>
      <c r="J143" s="9">
        <f>MAX(-1,MIN(1,Counties!O1316+0.01+Dashboard!$F$20))</f>
        <v/>
      </c>
      <c r="K143" s="9">
        <f>MAX(-1,MIN(1,Counties!O1316+0.05+Dashboard!$F$20))</f>
        <v/>
      </c>
      <c r="L143" s="37">
        <f>G143*D143</f>
        <v/>
      </c>
      <c r="M143" s="37">
        <f>H143*D143</f>
        <v/>
      </c>
      <c r="N143" s="37">
        <f>I143*D143</f>
        <v/>
      </c>
      <c r="O143" s="37">
        <f>J143*D143</f>
        <v/>
      </c>
      <c r="P143" s="37">
        <f>K143*D143</f>
        <v/>
      </c>
      <c r="Q143" s="12">
        <f>D143*(1+I143)/2</f>
        <v/>
      </c>
      <c r="R143" s="9">
        <f>Counties!AH1316</f>
        <v/>
      </c>
      <c r="S143" s="37">
        <f>IF(Counties!AH1316="","",Counties!AH1316*Counties!AF1316)</f>
        <v/>
      </c>
      <c r="T143" s="13">
        <f>Counties!AO1316</f>
        <v/>
      </c>
      <c r="U143" s="16">
        <f>Counties!AU1316</f>
        <v/>
      </c>
      <c r="V143" s="9">
        <f>Counties!AV1316</f>
        <v/>
      </c>
      <c r="W143" s="10">
        <f>Counties!AY1316</f>
        <v/>
      </c>
      <c r="X143" s="8">
        <f>IF(R143="","not in yet",IF(W143&lt;&gt;"",IF(W143&gt;=0.05,"Great for Nixon",IF(W143&gt;=0.01,"Nixon on track",IF(W143&gt;-0.01,"Toss-up",IF(W143&gt;-0.05,"Moody on track","Great for Moody"))))&amp;" (margin + turnout)",IF((R143-I143)&gt;=0.05,"Great for Nixon",IF((R143-I143)&gt;=0.01,"Nixon on track",IF((R143-I143)&gt;-0.01,"Toss-up",IF((R143-I143)&gt;-0.05,"Moody on track","Great for Moody"))))&amp;IF(Counties!AG1316=1,""," (partial count)")))</f>
        <v/>
      </c>
      <c r="Y143" s="17">
        <f>"Break-even "&amp;IF(I143&gt;=0,"D+","R+")&amp;TEXT(ABS(I143)*100,"0.0")&amp;" ("&amp;IF(N143&gt;=0,"D +","R +")&amp;TEXT(ABS(N143),"#,##0")&amp;" net, about "&amp;TEXT(Q143,"#,##0")&amp;" Nixon votes). Nixon at "&amp;IF(K143&gt;=0,"D+","R+")&amp;TEXT(ABS(K143)*100,"0.0")&amp;" or better = great night; "&amp;IF(J143&gt;=0,"D+","R+")&amp;TEXT(ABS(J143)*100,"0.0")&amp;" = on track to win. Moody holding it to "&amp;IF(H143&gt;=0,"D+","R+")&amp;TEXT(ABS(H143)*100,"0.0")&amp;" = Moody on track; "&amp;IF(G143&gt;=0,"D+","R+")&amp;TEXT(ABS(G143)*100,"0.0")&amp;" or worse for Nixon = great for Moody. Turnout: par is about "&amp;TEXT(D143,"#,##0")&amp;" two-party votes ("&amp;TEXT(Counties!AQ1316/SUMIFS(Counties!$AQ:$AQ,Counties!$A:$A,"FL"),"0.0%")&amp;" of the state). At 95% of par the break-even moves to "&amp;IF((I143/0.95)&gt;=0,"D+","R+")&amp;TEXT(ABS((I143/0.95))*100,"0.0")&amp;"; at 105%, to "&amp;IF((I143/1.05)&gt;=0,"D+","R+")&amp;TEXT(ABS((I143/1.05))*100,"0.0")&amp;"."</f>
        <v/>
      </c>
    </row>
    <row r="144" ht="58" customHeight="1">
      <c r="A144" s="8" t="inlineStr">
        <is>
          <t>FL</t>
        </is>
      </c>
      <c r="B144" s="8" t="inlineStr">
        <is>
          <t>Pasco</t>
        </is>
      </c>
      <c r="C144" s="8" t="inlineStr">
        <is>
          <t>Mid-size/working metro</t>
        </is>
      </c>
      <c r="D144" s="12">
        <f>Counties!AT1314</f>
        <v/>
      </c>
      <c r="E144" s="9">
        <f>Counties!O1314</f>
        <v/>
      </c>
      <c r="F144" s="9">
        <f>Counties!R1314</f>
        <v/>
      </c>
      <c r="G144" s="9">
        <f>MAX(-1,MIN(1,Counties!O1314+-0.05+Dashboard!$F$20))</f>
        <v/>
      </c>
      <c r="H144" s="9">
        <f>MAX(-1,MIN(1,Counties!O1314+-0.01+Dashboard!$F$20))</f>
        <v/>
      </c>
      <c r="I144" s="36">
        <f>MAX(-1,MIN(1,Counties!O1314+0.0+Dashboard!$F$20))</f>
        <v/>
      </c>
      <c r="J144" s="9">
        <f>MAX(-1,MIN(1,Counties!O1314+0.01+Dashboard!$F$20))</f>
        <v/>
      </c>
      <c r="K144" s="9">
        <f>MAX(-1,MIN(1,Counties!O1314+0.05+Dashboard!$F$20))</f>
        <v/>
      </c>
      <c r="L144" s="37">
        <f>G144*D144</f>
        <v/>
      </c>
      <c r="M144" s="37">
        <f>H144*D144</f>
        <v/>
      </c>
      <c r="N144" s="37">
        <f>I144*D144</f>
        <v/>
      </c>
      <c r="O144" s="37">
        <f>J144*D144</f>
        <v/>
      </c>
      <c r="P144" s="37">
        <f>K144*D144</f>
        <v/>
      </c>
      <c r="Q144" s="12">
        <f>D144*(1+I144)/2</f>
        <v/>
      </c>
      <c r="R144" s="9">
        <f>Counties!AH1314</f>
        <v/>
      </c>
      <c r="S144" s="37">
        <f>IF(Counties!AH1314="","",Counties!AH1314*Counties!AF1314)</f>
        <v/>
      </c>
      <c r="T144" s="13">
        <f>Counties!AO1314</f>
        <v/>
      </c>
      <c r="U144" s="16">
        <f>Counties!AU1314</f>
        <v/>
      </c>
      <c r="V144" s="9">
        <f>Counties!AV1314</f>
        <v/>
      </c>
      <c r="W144" s="10">
        <f>Counties!AY1314</f>
        <v/>
      </c>
      <c r="X144" s="8">
        <f>IF(R144="","not in yet",IF(W144&lt;&gt;"",IF(W144&gt;=0.05,"Great for Nixon",IF(W144&gt;=0.01,"Nixon on track",IF(W144&gt;-0.01,"Toss-up",IF(W144&gt;-0.05,"Moody on track","Great for Moody"))))&amp;" (margin + turnout)",IF((R144-I144)&gt;=0.05,"Great for Nixon",IF((R144-I144)&gt;=0.01,"Nixon on track",IF((R144-I144)&gt;-0.01,"Toss-up",IF((R144-I144)&gt;-0.05,"Moody on track","Great for Moody"))))&amp;IF(Counties!AG1314=1,""," (partial count)")))</f>
        <v/>
      </c>
      <c r="Y144" s="17">
        <f>"Break-even "&amp;IF(I144&gt;=0,"D+","R+")&amp;TEXT(ABS(I144)*100,"0.0")&amp;" ("&amp;IF(N144&gt;=0,"D +","R +")&amp;TEXT(ABS(N144),"#,##0")&amp;" net, about "&amp;TEXT(Q144,"#,##0")&amp;" Nixon votes). Nixon at "&amp;IF(K144&gt;=0,"D+","R+")&amp;TEXT(ABS(K144)*100,"0.0")&amp;" or better = great night; "&amp;IF(J144&gt;=0,"D+","R+")&amp;TEXT(ABS(J144)*100,"0.0")&amp;" = on track to win. Moody holding it to "&amp;IF(H144&gt;=0,"D+","R+")&amp;TEXT(ABS(H144)*100,"0.0")&amp;" = Moody on track; "&amp;IF(G144&gt;=0,"D+","R+")&amp;TEXT(ABS(G144)*100,"0.0")&amp;" or worse for Nixon = great for Moody. Turnout: par is about "&amp;TEXT(D144,"#,##0")&amp;" two-party votes ("&amp;TEXT(Counties!AQ1314/SUMIFS(Counties!$AQ:$AQ,Counties!$A:$A,"FL"),"0.0%")&amp;" of the state). At 95% of par the break-even moves to "&amp;IF((I144/0.95)&gt;=0,"D+","R+")&amp;TEXT(ABS((I144/0.95))*100,"0.0")&amp;"; at 105%, to "&amp;IF((I144/1.05)&gt;=0,"D+","R+")&amp;TEXT(ABS((I144/1.05))*100,"0.0")&amp;"."</f>
        <v/>
      </c>
    </row>
    <row r="145" ht="58" customHeight="1">
      <c r="A145" s="8" t="inlineStr">
        <is>
          <t>FL</t>
        </is>
      </c>
      <c r="B145" s="8" t="inlineStr">
        <is>
          <t>Osceola</t>
        </is>
      </c>
      <c r="C145" s="8" t="inlineStr">
        <is>
          <t>Hispanic</t>
        </is>
      </c>
      <c r="D145" s="12">
        <f>Counties!AT1312</f>
        <v/>
      </c>
      <c r="E145" s="9">
        <f>Counties!O1312</f>
        <v/>
      </c>
      <c r="F145" s="9">
        <f>Counties!R1312</f>
        <v/>
      </c>
      <c r="G145" s="9">
        <f>MAX(-1,MIN(1,Counties!O1312+-0.05+Dashboard!$F$20))</f>
        <v/>
      </c>
      <c r="H145" s="9">
        <f>MAX(-1,MIN(1,Counties!O1312+-0.01+Dashboard!$F$20))</f>
        <v/>
      </c>
      <c r="I145" s="36">
        <f>MAX(-1,MIN(1,Counties!O1312+0.0+Dashboard!$F$20))</f>
        <v/>
      </c>
      <c r="J145" s="9">
        <f>MAX(-1,MIN(1,Counties!O1312+0.01+Dashboard!$F$20))</f>
        <v/>
      </c>
      <c r="K145" s="9">
        <f>MAX(-1,MIN(1,Counties!O1312+0.05+Dashboard!$F$20))</f>
        <v/>
      </c>
      <c r="L145" s="37">
        <f>G145*D145</f>
        <v/>
      </c>
      <c r="M145" s="37">
        <f>H145*D145</f>
        <v/>
      </c>
      <c r="N145" s="37">
        <f>I145*D145</f>
        <v/>
      </c>
      <c r="O145" s="37">
        <f>J145*D145</f>
        <v/>
      </c>
      <c r="P145" s="37">
        <f>K145*D145</f>
        <v/>
      </c>
      <c r="Q145" s="12">
        <f>D145*(1+I145)/2</f>
        <v/>
      </c>
      <c r="R145" s="9">
        <f>Counties!AH1312</f>
        <v/>
      </c>
      <c r="S145" s="37">
        <f>IF(Counties!AH1312="","",Counties!AH1312*Counties!AF1312)</f>
        <v/>
      </c>
      <c r="T145" s="13">
        <f>Counties!AO1312</f>
        <v/>
      </c>
      <c r="U145" s="16">
        <f>Counties!AU1312</f>
        <v/>
      </c>
      <c r="V145" s="9">
        <f>Counties!AV1312</f>
        <v/>
      </c>
      <c r="W145" s="10">
        <f>Counties!AY1312</f>
        <v/>
      </c>
      <c r="X145" s="8">
        <f>IF(R145="","not in yet",IF(W145&lt;&gt;"",IF(W145&gt;=0.05,"Great for Nixon",IF(W145&gt;=0.01,"Nixon on track",IF(W145&gt;-0.01,"Toss-up",IF(W145&gt;-0.05,"Moody on track","Great for Moody"))))&amp;" (margin + turnout)",IF((R145-I145)&gt;=0.05,"Great for Nixon",IF((R145-I145)&gt;=0.01,"Nixon on track",IF((R145-I145)&gt;-0.01,"Toss-up",IF((R145-I145)&gt;-0.05,"Moody on track","Great for Moody"))))&amp;IF(Counties!AG1312=1,""," (partial count)")))</f>
        <v/>
      </c>
      <c r="Y145" s="17">
        <f>"Break-even "&amp;IF(I145&gt;=0,"D+","R+")&amp;TEXT(ABS(I145)*100,"0.0")&amp;" ("&amp;IF(N145&gt;=0,"D +","R +")&amp;TEXT(ABS(N145),"#,##0")&amp;" net, about "&amp;TEXT(Q145,"#,##0")&amp;" Nixon votes). Nixon at "&amp;IF(K145&gt;=0,"D+","R+")&amp;TEXT(ABS(K145)*100,"0.0")&amp;" or better = great night; "&amp;IF(J145&gt;=0,"D+","R+")&amp;TEXT(ABS(J145)*100,"0.0")&amp;" = on track to win. Moody holding it to "&amp;IF(H145&gt;=0,"D+","R+")&amp;TEXT(ABS(H145)*100,"0.0")&amp;" = Moody on track; "&amp;IF(G145&gt;=0,"D+","R+")&amp;TEXT(ABS(G145)*100,"0.0")&amp;" or worse for Nixon = great for Moody. Turnout: par is about "&amp;TEXT(D145,"#,##0")&amp;" two-party votes ("&amp;TEXT(Counties!AQ1312/SUMIFS(Counties!$AQ:$AQ,Counties!$A:$A,"FL"),"0.0%")&amp;" of the state). At 95% of par the break-even moves to "&amp;IF((I145/0.95)&gt;=0,"D+","R+")&amp;TEXT(ABS((I145/0.95))*100,"0.0")&amp;"; at 105%, to "&amp;IF((I145/1.05)&gt;=0,"D+","R+")&amp;TEXT(ABS((I145/1.05))*100,"0.0")&amp;"."</f>
        <v/>
      </c>
    </row>
    <row r="146">
      <c r="A146" s="22" t="inlineStr">
        <is>
          <t>Virginia: Mark Warner vs Bert Mizusawa · 2024 statewide D+5.9 (D+6.4 with 2022's turnout pattern)</t>
        </is>
      </c>
      <c r="B146" s="22" t="n"/>
      <c r="C146" s="22" t="n"/>
      <c r="D146" s="22" t="n"/>
      <c r="E146" s="22" t="n"/>
      <c r="F146" s="22" t="n"/>
      <c r="G146" s="22" t="n"/>
      <c r="H146" s="22" t="n"/>
      <c r="I146" s="22" t="n"/>
      <c r="J146" s="22" t="n"/>
      <c r="K146" s="22" t="n"/>
      <c r="L146" s="22" t="n"/>
      <c r="M146" s="22" t="n"/>
      <c r="N146" s="22" t="n"/>
      <c r="O146" s="22" t="n"/>
      <c r="P146" s="22" t="n"/>
      <c r="Q146" s="22" t="n"/>
      <c r="R146" s="22" t="n"/>
      <c r="S146" s="22" t="n"/>
      <c r="T146" s="22" t="n"/>
      <c r="U146" s="22" t="n"/>
      <c r="V146" s="22" t="n"/>
      <c r="W146" s="22" t="n"/>
      <c r="X146" s="22" t="n"/>
      <c r="Y146" s="22" t="n"/>
    </row>
    <row r="147" ht="58" customHeight="1">
      <c r="A147" s="8" t="inlineStr">
        <is>
          <t>VA</t>
        </is>
      </c>
      <c r="B147" s="8" t="inlineStr">
        <is>
          <t>Fairfax</t>
        </is>
      </c>
      <c r="C147" s="8" t="inlineStr">
        <is>
          <t>Big metro core</t>
        </is>
      </c>
      <c r="D147" s="12">
        <f>Counties!AT1368</f>
        <v/>
      </c>
      <c r="E147" s="9">
        <f>Counties!O1368</f>
        <v/>
      </c>
      <c r="F147" s="9">
        <f>Counties!R1368</f>
        <v/>
      </c>
      <c r="G147" s="9">
        <f>MAX(-1,MIN(1,Counties!O1368+-0.05+Dashboard!$F$21))</f>
        <v/>
      </c>
      <c r="H147" s="9">
        <f>MAX(-1,MIN(1,Counties!O1368+-0.01+Dashboard!$F$21))</f>
        <v/>
      </c>
      <c r="I147" s="36">
        <f>MAX(-1,MIN(1,Counties!O1368+0.0+Dashboard!$F$21))</f>
        <v/>
      </c>
      <c r="J147" s="9">
        <f>MAX(-1,MIN(1,Counties!O1368+0.01+Dashboard!$F$21))</f>
        <v/>
      </c>
      <c r="K147" s="9">
        <f>MAX(-1,MIN(1,Counties!O1368+0.05+Dashboard!$F$21))</f>
        <v/>
      </c>
      <c r="L147" s="37">
        <f>G147*D147</f>
        <v/>
      </c>
      <c r="M147" s="37">
        <f>H147*D147</f>
        <v/>
      </c>
      <c r="N147" s="37">
        <f>I147*D147</f>
        <v/>
      </c>
      <c r="O147" s="37">
        <f>J147*D147</f>
        <v/>
      </c>
      <c r="P147" s="37">
        <f>K147*D147</f>
        <v/>
      </c>
      <c r="Q147" s="12">
        <f>D147*(1+I147)/2</f>
        <v/>
      </c>
      <c r="R147" s="9">
        <f>Counties!AH1368</f>
        <v/>
      </c>
      <c r="S147" s="37">
        <f>IF(Counties!AH1368="","",Counties!AH1368*Counties!AF1368)</f>
        <v/>
      </c>
      <c r="T147" s="13">
        <f>Counties!AO1368</f>
        <v/>
      </c>
      <c r="U147" s="16">
        <f>Counties!AU1368</f>
        <v/>
      </c>
      <c r="V147" s="9">
        <f>Counties!AV1368</f>
        <v/>
      </c>
      <c r="W147" s="10">
        <f>Counties!AY1368</f>
        <v/>
      </c>
      <c r="X147" s="8">
        <f>IF(R147="","not in yet",IF(W147&lt;&gt;"",IF(W147&gt;=0.05,"Great for Warner",IF(W147&gt;=0.01,"Warner on track",IF(W147&gt;-0.01,"Toss-up",IF(W147&gt;-0.05,"Mizusawa on track","Great for Mizusawa"))))&amp;" (margin + turnout)",IF((R147-I147)&gt;=0.05,"Great for Warner",IF((R147-I147)&gt;=0.01,"Warner on track",IF((R147-I147)&gt;-0.01,"Toss-up",IF((R147-I147)&gt;-0.05,"Mizusawa on track","Great for Mizusawa"))))&amp;IF(Counties!AG1368=1,""," (partial count)")))</f>
        <v/>
      </c>
      <c r="Y147" s="17">
        <f>"Break-even "&amp;IF(I147&gt;=0,"D+","R+")&amp;TEXT(ABS(I147)*100,"0.0")&amp;" ("&amp;IF(N147&gt;=0,"D +","R +")&amp;TEXT(ABS(N147),"#,##0")&amp;" net, about "&amp;TEXT(Q147,"#,##0")&amp;" Warner votes). Warner at "&amp;IF(K147&gt;=0,"D+","R+")&amp;TEXT(ABS(K147)*100,"0.0")&amp;" or better = great night; "&amp;IF(J147&gt;=0,"D+","R+")&amp;TEXT(ABS(J147)*100,"0.0")&amp;" = on track to win. Mizusawa holding it to "&amp;IF(H147&gt;=0,"D+","R+")&amp;TEXT(ABS(H147)*100,"0.0")&amp;" = Mizusawa on track; "&amp;IF(G147&gt;=0,"D+","R+")&amp;TEXT(ABS(G147)*100,"0.0")&amp;" or worse for Warner = great for Mizusawa. Turnout: par is about "&amp;TEXT(D147,"#,##0")&amp;" two-party votes ("&amp;TEXT(Counties!AQ1368/SUMIFS(Counties!$AQ:$AQ,Counties!$A:$A,"VA"),"0.0%")&amp;" of the state). At 95% of par the break-even moves to "&amp;IF((I147/0.95)&gt;=0,"D+","R+")&amp;TEXT(ABS((I147/0.95))*100,"0.0")&amp;"; at 105%, to "&amp;IF((I147/1.05)&gt;=0,"D+","R+")&amp;TEXT(ABS((I147/1.05))*100,"0.0")&amp;"."</f>
        <v/>
      </c>
    </row>
    <row r="148" ht="58" customHeight="1">
      <c r="A148" s="8" t="inlineStr">
        <is>
          <t>VA</t>
        </is>
      </c>
      <c r="B148" s="8" t="inlineStr">
        <is>
          <t>Loudoun</t>
        </is>
      </c>
      <c r="C148" s="8" t="inlineStr">
        <is>
          <t>College suburb/metro</t>
        </is>
      </c>
      <c r="D148" s="12">
        <f>Counties!AT1401</f>
        <v/>
      </c>
      <c r="E148" s="9">
        <f>Counties!O1401</f>
        <v/>
      </c>
      <c r="F148" s="9">
        <f>Counties!R1401</f>
        <v/>
      </c>
      <c r="G148" s="9">
        <f>MAX(-1,MIN(1,Counties!O1401+-0.05+Dashboard!$F$21))</f>
        <v/>
      </c>
      <c r="H148" s="9">
        <f>MAX(-1,MIN(1,Counties!O1401+-0.01+Dashboard!$F$21))</f>
        <v/>
      </c>
      <c r="I148" s="36">
        <f>MAX(-1,MIN(1,Counties!O1401+0.0+Dashboard!$F$21))</f>
        <v/>
      </c>
      <c r="J148" s="9">
        <f>MAX(-1,MIN(1,Counties!O1401+0.01+Dashboard!$F$21))</f>
        <v/>
      </c>
      <c r="K148" s="9">
        <f>MAX(-1,MIN(1,Counties!O1401+0.05+Dashboard!$F$21))</f>
        <v/>
      </c>
      <c r="L148" s="37">
        <f>G148*D148</f>
        <v/>
      </c>
      <c r="M148" s="37">
        <f>H148*D148</f>
        <v/>
      </c>
      <c r="N148" s="37">
        <f>I148*D148</f>
        <v/>
      </c>
      <c r="O148" s="37">
        <f>J148*D148</f>
        <v/>
      </c>
      <c r="P148" s="37">
        <f>K148*D148</f>
        <v/>
      </c>
      <c r="Q148" s="12">
        <f>D148*(1+I148)/2</f>
        <v/>
      </c>
      <c r="R148" s="9">
        <f>Counties!AH1401</f>
        <v/>
      </c>
      <c r="S148" s="37">
        <f>IF(Counties!AH1401="","",Counties!AH1401*Counties!AF1401)</f>
        <v/>
      </c>
      <c r="T148" s="13">
        <f>Counties!AO1401</f>
        <v/>
      </c>
      <c r="U148" s="16">
        <f>Counties!AU1401</f>
        <v/>
      </c>
      <c r="V148" s="9">
        <f>Counties!AV1401</f>
        <v/>
      </c>
      <c r="W148" s="10">
        <f>Counties!AY1401</f>
        <v/>
      </c>
      <c r="X148" s="8">
        <f>IF(R148="","not in yet",IF(W148&lt;&gt;"",IF(W148&gt;=0.05,"Great for Warner",IF(W148&gt;=0.01,"Warner on track",IF(W148&gt;-0.01,"Toss-up",IF(W148&gt;-0.05,"Mizusawa on track","Great for Mizusawa"))))&amp;" (margin + turnout)",IF((R148-I148)&gt;=0.05,"Great for Warner",IF((R148-I148)&gt;=0.01,"Warner on track",IF((R148-I148)&gt;-0.01,"Toss-up",IF((R148-I148)&gt;-0.05,"Mizusawa on track","Great for Mizusawa"))))&amp;IF(Counties!AG1401=1,""," (partial count)")))</f>
        <v/>
      </c>
      <c r="Y148" s="17">
        <f>"Break-even "&amp;IF(I148&gt;=0,"D+","R+")&amp;TEXT(ABS(I148)*100,"0.0")&amp;" ("&amp;IF(N148&gt;=0,"D +","R +")&amp;TEXT(ABS(N148),"#,##0")&amp;" net, about "&amp;TEXT(Q148,"#,##0")&amp;" Warner votes). Warner at "&amp;IF(K148&gt;=0,"D+","R+")&amp;TEXT(ABS(K148)*100,"0.0")&amp;" or better = great night; "&amp;IF(J148&gt;=0,"D+","R+")&amp;TEXT(ABS(J148)*100,"0.0")&amp;" = on track to win. Mizusawa holding it to "&amp;IF(H148&gt;=0,"D+","R+")&amp;TEXT(ABS(H148)*100,"0.0")&amp;" = Mizusawa on track; "&amp;IF(G148&gt;=0,"D+","R+")&amp;TEXT(ABS(G148)*100,"0.0")&amp;" or worse for Warner = great for Mizusawa. Turnout: par is about "&amp;TEXT(D148,"#,##0")&amp;" two-party votes ("&amp;TEXT(Counties!AQ1401/SUMIFS(Counties!$AQ:$AQ,Counties!$A:$A,"VA"),"0.0%")&amp;" of the state). At 95% of par the break-even moves to "&amp;IF((I148/0.95)&gt;=0,"D+","R+")&amp;TEXT(ABS((I148/0.95))*100,"0.0")&amp;"; at 105%, to "&amp;IF((I148/1.05)&gt;=0,"D+","R+")&amp;TEXT(ABS((I148/1.05))*100,"0.0")&amp;"."</f>
        <v/>
      </c>
    </row>
    <row r="149" ht="58" customHeight="1">
      <c r="A149" s="8" t="inlineStr">
        <is>
          <t>VA</t>
        </is>
      </c>
      <c r="B149" s="8" t="inlineStr">
        <is>
          <t>Prince William</t>
        </is>
      </c>
      <c r="C149" s="8" t="inlineStr">
        <is>
          <t>College suburb/metro</t>
        </is>
      </c>
      <c r="D149" s="12">
        <f>Counties!AT1431</f>
        <v/>
      </c>
      <c r="E149" s="9">
        <f>Counties!O1431</f>
        <v/>
      </c>
      <c r="F149" s="9">
        <f>Counties!R1431</f>
        <v/>
      </c>
      <c r="G149" s="9">
        <f>MAX(-1,MIN(1,Counties!O1431+-0.05+Dashboard!$F$21))</f>
        <v/>
      </c>
      <c r="H149" s="9">
        <f>MAX(-1,MIN(1,Counties!O1431+-0.01+Dashboard!$F$21))</f>
        <v/>
      </c>
      <c r="I149" s="36">
        <f>MAX(-1,MIN(1,Counties!O1431+0.0+Dashboard!$F$21))</f>
        <v/>
      </c>
      <c r="J149" s="9">
        <f>MAX(-1,MIN(1,Counties!O1431+0.01+Dashboard!$F$21))</f>
        <v/>
      </c>
      <c r="K149" s="9">
        <f>MAX(-1,MIN(1,Counties!O1431+0.05+Dashboard!$F$21))</f>
        <v/>
      </c>
      <c r="L149" s="37">
        <f>G149*D149</f>
        <v/>
      </c>
      <c r="M149" s="37">
        <f>H149*D149</f>
        <v/>
      </c>
      <c r="N149" s="37">
        <f>I149*D149</f>
        <v/>
      </c>
      <c r="O149" s="37">
        <f>J149*D149</f>
        <v/>
      </c>
      <c r="P149" s="37">
        <f>K149*D149</f>
        <v/>
      </c>
      <c r="Q149" s="12">
        <f>D149*(1+I149)/2</f>
        <v/>
      </c>
      <c r="R149" s="9">
        <f>Counties!AH1431</f>
        <v/>
      </c>
      <c r="S149" s="37">
        <f>IF(Counties!AH1431="","",Counties!AH1431*Counties!AF1431)</f>
        <v/>
      </c>
      <c r="T149" s="13">
        <f>Counties!AO1431</f>
        <v/>
      </c>
      <c r="U149" s="16">
        <f>Counties!AU1431</f>
        <v/>
      </c>
      <c r="V149" s="9">
        <f>Counties!AV1431</f>
        <v/>
      </c>
      <c r="W149" s="10">
        <f>Counties!AY1431</f>
        <v/>
      </c>
      <c r="X149" s="8">
        <f>IF(R149="","not in yet",IF(W149&lt;&gt;"",IF(W149&gt;=0.05,"Great for Warner",IF(W149&gt;=0.01,"Warner on track",IF(W149&gt;-0.01,"Toss-up",IF(W149&gt;-0.05,"Mizusawa on track","Great for Mizusawa"))))&amp;" (margin + turnout)",IF((R149-I149)&gt;=0.05,"Great for Warner",IF((R149-I149)&gt;=0.01,"Warner on track",IF((R149-I149)&gt;-0.01,"Toss-up",IF((R149-I149)&gt;-0.05,"Mizusawa on track","Great for Mizusawa"))))&amp;IF(Counties!AG1431=1,""," (partial count)")))</f>
        <v/>
      </c>
      <c r="Y149" s="17">
        <f>"Break-even "&amp;IF(I149&gt;=0,"D+","R+")&amp;TEXT(ABS(I149)*100,"0.0")&amp;" ("&amp;IF(N149&gt;=0,"D +","R +")&amp;TEXT(ABS(N149),"#,##0")&amp;" net, about "&amp;TEXT(Q149,"#,##0")&amp;" Warner votes). Warner at "&amp;IF(K149&gt;=0,"D+","R+")&amp;TEXT(ABS(K149)*100,"0.0")&amp;" or better = great night; "&amp;IF(J149&gt;=0,"D+","R+")&amp;TEXT(ABS(J149)*100,"0.0")&amp;" = on track to win. Mizusawa holding it to "&amp;IF(H149&gt;=0,"D+","R+")&amp;TEXT(ABS(H149)*100,"0.0")&amp;" = Mizusawa on track; "&amp;IF(G149&gt;=0,"D+","R+")&amp;TEXT(ABS(G149)*100,"0.0")&amp;" or worse for Warner = great for Mizusawa. Turnout: par is about "&amp;TEXT(D149,"#,##0")&amp;" two-party votes ("&amp;TEXT(Counties!AQ1431/SUMIFS(Counties!$AQ:$AQ,Counties!$A:$A,"VA"),"0.0%")&amp;" of the state). At 95% of par the break-even moves to "&amp;IF((I149/0.95)&gt;=0,"D+","R+")&amp;TEXT(ABS((I149/0.95))*100,"0.0")&amp;"; at 105%, to "&amp;IF((I149/1.05)&gt;=0,"D+","R+")&amp;TEXT(ABS((I149/1.05))*100,"0.0")&amp;"."</f>
        <v/>
      </c>
    </row>
    <row r="150" ht="58" customHeight="1">
      <c r="A150" s="8" t="inlineStr">
        <is>
          <t>VA</t>
        </is>
      </c>
      <c r="B150" s="8" t="inlineStr">
        <is>
          <t>Chesterfield</t>
        </is>
      </c>
      <c r="C150" s="8" t="inlineStr">
        <is>
          <t>College suburb/metro</t>
        </is>
      </c>
      <c r="D150" s="12">
        <f>Counties!AT1356</f>
        <v/>
      </c>
      <c r="E150" s="9">
        <f>Counties!O1356</f>
        <v/>
      </c>
      <c r="F150" s="9">
        <f>Counties!R1356</f>
        <v/>
      </c>
      <c r="G150" s="9">
        <f>MAX(-1,MIN(1,Counties!O1356+-0.05+Dashboard!$F$21))</f>
        <v/>
      </c>
      <c r="H150" s="9">
        <f>MAX(-1,MIN(1,Counties!O1356+-0.01+Dashboard!$F$21))</f>
        <v/>
      </c>
      <c r="I150" s="36">
        <f>MAX(-1,MIN(1,Counties!O1356+0.0+Dashboard!$F$21))</f>
        <v/>
      </c>
      <c r="J150" s="9">
        <f>MAX(-1,MIN(1,Counties!O1356+0.01+Dashboard!$F$21))</f>
        <v/>
      </c>
      <c r="K150" s="9">
        <f>MAX(-1,MIN(1,Counties!O1356+0.05+Dashboard!$F$21))</f>
        <v/>
      </c>
      <c r="L150" s="37">
        <f>G150*D150</f>
        <v/>
      </c>
      <c r="M150" s="37">
        <f>H150*D150</f>
        <v/>
      </c>
      <c r="N150" s="37">
        <f>I150*D150</f>
        <v/>
      </c>
      <c r="O150" s="37">
        <f>J150*D150</f>
        <v/>
      </c>
      <c r="P150" s="37">
        <f>K150*D150</f>
        <v/>
      </c>
      <c r="Q150" s="12">
        <f>D150*(1+I150)/2</f>
        <v/>
      </c>
      <c r="R150" s="9">
        <f>Counties!AH1356</f>
        <v/>
      </c>
      <c r="S150" s="37">
        <f>IF(Counties!AH1356="","",Counties!AH1356*Counties!AF1356)</f>
        <v/>
      </c>
      <c r="T150" s="13">
        <f>Counties!AO1356</f>
        <v/>
      </c>
      <c r="U150" s="16">
        <f>Counties!AU1356</f>
        <v/>
      </c>
      <c r="V150" s="9">
        <f>Counties!AV1356</f>
        <v/>
      </c>
      <c r="W150" s="10">
        <f>Counties!AY1356</f>
        <v/>
      </c>
      <c r="X150" s="8">
        <f>IF(R150="","not in yet",IF(W150&lt;&gt;"",IF(W150&gt;=0.05,"Great for Warner",IF(W150&gt;=0.01,"Warner on track",IF(W150&gt;-0.01,"Toss-up",IF(W150&gt;-0.05,"Mizusawa on track","Great for Mizusawa"))))&amp;" (margin + turnout)",IF((R150-I150)&gt;=0.05,"Great for Warner",IF((R150-I150)&gt;=0.01,"Warner on track",IF((R150-I150)&gt;-0.01,"Toss-up",IF((R150-I150)&gt;-0.05,"Mizusawa on track","Great for Mizusawa"))))&amp;IF(Counties!AG1356=1,""," (partial count)")))</f>
        <v/>
      </c>
      <c r="Y150" s="17">
        <f>"Break-even "&amp;IF(I150&gt;=0,"D+","R+")&amp;TEXT(ABS(I150)*100,"0.0")&amp;" ("&amp;IF(N150&gt;=0,"D +","R +")&amp;TEXT(ABS(N150),"#,##0")&amp;" net, about "&amp;TEXT(Q150,"#,##0")&amp;" Warner votes). Warner at "&amp;IF(K150&gt;=0,"D+","R+")&amp;TEXT(ABS(K150)*100,"0.0")&amp;" or better = great night; "&amp;IF(J150&gt;=0,"D+","R+")&amp;TEXT(ABS(J150)*100,"0.0")&amp;" = on track to win. Mizusawa holding it to "&amp;IF(H150&gt;=0,"D+","R+")&amp;TEXT(ABS(H150)*100,"0.0")&amp;" = Mizusawa on track; "&amp;IF(G150&gt;=0,"D+","R+")&amp;TEXT(ABS(G150)*100,"0.0")&amp;" or worse for Warner = great for Mizusawa. Turnout: par is about "&amp;TEXT(D150,"#,##0")&amp;" two-party votes ("&amp;TEXT(Counties!AQ1356/SUMIFS(Counties!$AQ:$AQ,Counties!$A:$A,"VA"),"0.0%")&amp;" of the state). At 95% of par the break-even moves to "&amp;IF((I150/0.95)&gt;=0,"D+","R+")&amp;TEXT(ABS((I150/0.95))*100,"0.0")&amp;"; at 105%, to "&amp;IF((I150/1.05)&gt;=0,"D+","R+")&amp;TEXT(ABS((I150/1.05))*100,"0.0")&amp;"."</f>
        <v/>
      </c>
    </row>
    <row r="151" ht="58" customHeight="1">
      <c r="A151" s="8" t="inlineStr">
        <is>
          <t>VA</t>
        </is>
      </c>
      <c r="B151" s="8" t="inlineStr">
        <is>
          <t>Henrico</t>
        </is>
      </c>
      <c r="C151" s="8" t="inlineStr">
        <is>
          <t>College suburb/metro</t>
        </is>
      </c>
      <c r="D151" s="12">
        <f>Counties!AT1389</f>
        <v/>
      </c>
      <c r="E151" s="9">
        <f>Counties!O1389</f>
        <v/>
      </c>
      <c r="F151" s="9">
        <f>Counties!R1389</f>
        <v/>
      </c>
      <c r="G151" s="9">
        <f>MAX(-1,MIN(1,Counties!O1389+-0.05+Dashboard!$F$21))</f>
        <v/>
      </c>
      <c r="H151" s="9">
        <f>MAX(-1,MIN(1,Counties!O1389+-0.01+Dashboard!$F$21))</f>
        <v/>
      </c>
      <c r="I151" s="36">
        <f>MAX(-1,MIN(1,Counties!O1389+0.0+Dashboard!$F$21))</f>
        <v/>
      </c>
      <c r="J151" s="9">
        <f>MAX(-1,MIN(1,Counties!O1389+0.01+Dashboard!$F$21))</f>
        <v/>
      </c>
      <c r="K151" s="9">
        <f>MAX(-1,MIN(1,Counties!O1389+0.05+Dashboard!$F$21))</f>
        <v/>
      </c>
      <c r="L151" s="37">
        <f>G151*D151</f>
        <v/>
      </c>
      <c r="M151" s="37">
        <f>H151*D151</f>
        <v/>
      </c>
      <c r="N151" s="37">
        <f>I151*D151</f>
        <v/>
      </c>
      <c r="O151" s="37">
        <f>J151*D151</f>
        <v/>
      </c>
      <c r="P151" s="37">
        <f>K151*D151</f>
        <v/>
      </c>
      <c r="Q151" s="12">
        <f>D151*(1+I151)/2</f>
        <v/>
      </c>
      <c r="R151" s="9">
        <f>Counties!AH1389</f>
        <v/>
      </c>
      <c r="S151" s="37">
        <f>IF(Counties!AH1389="","",Counties!AH1389*Counties!AF1389)</f>
        <v/>
      </c>
      <c r="T151" s="13">
        <f>Counties!AO1389</f>
        <v/>
      </c>
      <c r="U151" s="16">
        <f>Counties!AU1389</f>
        <v/>
      </c>
      <c r="V151" s="9">
        <f>Counties!AV1389</f>
        <v/>
      </c>
      <c r="W151" s="10">
        <f>Counties!AY1389</f>
        <v/>
      </c>
      <c r="X151" s="8">
        <f>IF(R151="","not in yet",IF(W151&lt;&gt;"",IF(W151&gt;=0.05,"Great for Warner",IF(W151&gt;=0.01,"Warner on track",IF(W151&gt;-0.01,"Toss-up",IF(W151&gt;-0.05,"Mizusawa on track","Great for Mizusawa"))))&amp;" (margin + turnout)",IF((R151-I151)&gt;=0.05,"Great for Warner",IF((R151-I151)&gt;=0.01,"Warner on track",IF((R151-I151)&gt;-0.01,"Toss-up",IF((R151-I151)&gt;-0.05,"Mizusawa on track","Great for Mizusawa"))))&amp;IF(Counties!AG1389=1,""," (partial count)")))</f>
        <v/>
      </c>
      <c r="Y151" s="17">
        <f>"Break-even "&amp;IF(I151&gt;=0,"D+","R+")&amp;TEXT(ABS(I151)*100,"0.0")&amp;" ("&amp;IF(N151&gt;=0,"D +","R +")&amp;TEXT(ABS(N151),"#,##0")&amp;" net, about "&amp;TEXT(Q151,"#,##0")&amp;" Warner votes). Warner at "&amp;IF(K151&gt;=0,"D+","R+")&amp;TEXT(ABS(K151)*100,"0.0")&amp;" or better = great night; "&amp;IF(J151&gt;=0,"D+","R+")&amp;TEXT(ABS(J151)*100,"0.0")&amp;" = on track to win. Mizusawa holding it to "&amp;IF(H151&gt;=0,"D+","R+")&amp;TEXT(ABS(H151)*100,"0.0")&amp;" = Mizusawa on track; "&amp;IF(G151&gt;=0,"D+","R+")&amp;TEXT(ABS(G151)*100,"0.0")&amp;" or worse for Warner = great for Mizusawa. Turnout: par is about "&amp;TEXT(D151,"#,##0")&amp;" two-party votes ("&amp;TEXT(Counties!AQ1389/SUMIFS(Counties!$AQ:$AQ,Counties!$A:$A,"VA"),"0.0%")&amp;" of the state). At 95% of par the break-even moves to "&amp;IF((I151/0.95)&gt;=0,"D+","R+")&amp;TEXT(ABS((I151/0.95))*100,"0.0")&amp;"; at 105%, to "&amp;IF((I151/1.05)&gt;=0,"D+","R+")&amp;TEXT(ABS((I151/1.05))*100,"0.0")&amp;"."</f>
        <v/>
      </c>
    </row>
    <row r="152" ht="58" customHeight="1">
      <c r="A152" s="8" t="inlineStr">
        <is>
          <t>VA</t>
        </is>
      </c>
      <c r="B152" s="8" t="inlineStr">
        <is>
          <t>Richmond city</t>
        </is>
      </c>
      <c r="C152" s="8" t="inlineStr">
        <is>
          <t>Black Belt</t>
        </is>
      </c>
      <c r="D152" s="12">
        <f>Counties!AT1436</f>
        <v/>
      </c>
      <c r="E152" s="9">
        <f>Counties!O1436</f>
        <v/>
      </c>
      <c r="F152" s="9">
        <f>Counties!R1436</f>
        <v/>
      </c>
      <c r="G152" s="9">
        <f>MAX(-1,MIN(1,Counties!O1436+-0.05+Dashboard!$F$21))</f>
        <v/>
      </c>
      <c r="H152" s="9">
        <f>MAX(-1,MIN(1,Counties!O1436+-0.01+Dashboard!$F$21))</f>
        <v/>
      </c>
      <c r="I152" s="36">
        <f>MAX(-1,MIN(1,Counties!O1436+0.0+Dashboard!$F$21))</f>
        <v/>
      </c>
      <c r="J152" s="9">
        <f>MAX(-1,MIN(1,Counties!O1436+0.01+Dashboard!$F$21))</f>
        <v/>
      </c>
      <c r="K152" s="9">
        <f>MAX(-1,MIN(1,Counties!O1436+0.05+Dashboard!$F$21))</f>
        <v/>
      </c>
      <c r="L152" s="37">
        <f>G152*D152</f>
        <v/>
      </c>
      <c r="M152" s="37">
        <f>H152*D152</f>
        <v/>
      </c>
      <c r="N152" s="37">
        <f>I152*D152</f>
        <v/>
      </c>
      <c r="O152" s="37">
        <f>J152*D152</f>
        <v/>
      </c>
      <c r="P152" s="37">
        <f>K152*D152</f>
        <v/>
      </c>
      <c r="Q152" s="12">
        <f>D152*(1+I152)/2</f>
        <v/>
      </c>
      <c r="R152" s="9">
        <f>Counties!AH1436</f>
        <v/>
      </c>
      <c r="S152" s="37">
        <f>IF(Counties!AH1436="","",Counties!AH1436*Counties!AF1436)</f>
        <v/>
      </c>
      <c r="T152" s="13">
        <f>Counties!AO1436</f>
        <v/>
      </c>
      <c r="U152" s="16">
        <f>Counties!AU1436</f>
        <v/>
      </c>
      <c r="V152" s="9">
        <f>Counties!AV1436</f>
        <v/>
      </c>
      <c r="W152" s="10">
        <f>Counties!AY1436</f>
        <v/>
      </c>
      <c r="X152" s="8">
        <f>IF(R152="","not in yet",IF(W152&lt;&gt;"",IF(W152&gt;=0.05,"Great for Warner",IF(W152&gt;=0.01,"Warner on track",IF(W152&gt;-0.01,"Toss-up",IF(W152&gt;-0.05,"Mizusawa on track","Great for Mizusawa"))))&amp;" (margin + turnout)",IF((R152-I152)&gt;=0.05,"Great for Warner",IF((R152-I152)&gt;=0.01,"Warner on track",IF((R152-I152)&gt;-0.01,"Toss-up",IF((R152-I152)&gt;-0.05,"Mizusawa on track","Great for Mizusawa"))))&amp;IF(Counties!AG1436=1,""," (partial count)")))</f>
        <v/>
      </c>
      <c r="Y152" s="17">
        <f>"Break-even "&amp;IF(I152&gt;=0,"D+","R+")&amp;TEXT(ABS(I152)*100,"0.0")&amp;" ("&amp;IF(N152&gt;=0,"D +","R +")&amp;TEXT(ABS(N152),"#,##0")&amp;" net, about "&amp;TEXT(Q152,"#,##0")&amp;" Warner votes). Warner at "&amp;IF(K152&gt;=0,"D+","R+")&amp;TEXT(ABS(K152)*100,"0.0")&amp;" or better = great night; "&amp;IF(J152&gt;=0,"D+","R+")&amp;TEXT(ABS(J152)*100,"0.0")&amp;" = on track to win. Mizusawa holding it to "&amp;IF(H152&gt;=0,"D+","R+")&amp;TEXT(ABS(H152)*100,"0.0")&amp;" = Mizusawa on track; "&amp;IF(G152&gt;=0,"D+","R+")&amp;TEXT(ABS(G152)*100,"0.0")&amp;" or worse for Warner = great for Mizusawa. Turnout: par is about "&amp;TEXT(D152,"#,##0")&amp;" two-party votes ("&amp;TEXT(Counties!AQ1436/SUMIFS(Counties!$AQ:$AQ,Counties!$A:$A,"VA"),"0.0%")&amp;" of the state). At 95% of par the break-even moves to "&amp;IF((I152/0.95)&gt;=0,"D+","R+")&amp;TEXT(ABS((I152/0.95))*100,"0.0")&amp;"; at 105%, to "&amp;IF((I152/1.05)&gt;=0,"D+","R+")&amp;TEXT(ABS((I152/1.05))*100,"0.0")&amp;"."</f>
        <v/>
      </c>
    </row>
    <row r="153" ht="58" customHeight="1">
      <c r="A153" s="8" t="inlineStr">
        <is>
          <t>VA</t>
        </is>
      </c>
      <c r="B153" s="8" t="inlineStr">
        <is>
          <t>Hanover</t>
        </is>
      </c>
      <c r="C153" s="8" t="inlineStr">
        <is>
          <t>College suburb/metro</t>
        </is>
      </c>
      <c r="D153" s="12">
        <f>Counties!AT1387</f>
        <v/>
      </c>
      <c r="E153" s="9">
        <f>Counties!O1387</f>
        <v/>
      </c>
      <c r="F153" s="9">
        <f>Counties!R1387</f>
        <v/>
      </c>
      <c r="G153" s="9">
        <f>MAX(-1,MIN(1,Counties!O1387+-0.05+Dashboard!$F$21))</f>
        <v/>
      </c>
      <c r="H153" s="9">
        <f>MAX(-1,MIN(1,Counties!O1387+-0.01+Dashboard!$F$21))</f>
        <v/>
      </c>
      <c r="I153" s="36">
        <f>MAX(-1,MIN(1,Counties!O1387+0.0+Dashboard!$F$21))</f>
        <v/>
      </c>
      <c r="J153" s="9">
        <f>MAX(-1,MIN(1,Counties!O1387+0.01+Dashboard!$F$21))</f>
        <v/>
      </c>
      <c r="K153" s="9">
        <f>MAX(-1,MIN(1,Counties!O1387+0.05+Dashboard!$F$21))</f>
        <v/>
      </c>
      <c r="L153" s="37">
        <f>G153*D153</f>
        <v/>
      </c>
      <c r="M153" s="37">
        <f>H153*D153</f>
        <v/>
      </c>
      <c r="N153" s="37">
        <f>I153*D153</f>
        <v/>
      </c>
      <c r="O153" s="37">
        <f>J153*D153</f>
        <v/>
      </c>
      <c r="P153" s="37">
        <f>K153*D153</f>
        <v/>
      </c>
      <c r="Q153" s="12">
        <f>D153*(1+I153)/2</f>
        <v/>
      </c>
      <c r="R153" s="9">
        <f>Counties!AH1387</f>
        <v/>
      </c>
      <c r="S153" s="37">
        <f>IF(Counties!AH1387="","",Counties!AH1387*Counties!AF1387)</f>
        <v/>
      </c>
      <c r="T153" s="13">
        <f>Counties!AO1387</f>
        <v/>
      </c>
      <c r="U153" s="16">
        <f>Counties!AU1387</f>
        <v/>
      </c>
      <c r="V153" s="9">
        <f>Counties!AV1387</f>
        <v/>
      </c>
      <c r="W153" s="10">
        <f>Counties!AY1387</f>
        <v/>
      </c>
      <c r="X153" s="8">
        <f>IF(R153="","not in yet",IF(W153&lt;&gt;"",IF(W153&gt;=0.05,"Great for Warner",IF(W153&gt;=0.01,"Warner on track",IF(W153&gt;-0.01,"Toss-up",IF(W153&gt;-0.05,"Mizusawa on track","Great for Mizusawa"))))&amp;" (margin + turnout)",IF((R153-I153)&gt;=0.05,"Great for Warner",IF((R153-I153)&gt;=0.01,"Warner on track",IF((R153-I153)&gt;-0.01,"Toss-up",IF((R153-I153)&gt;-0.05,"Mizusawa on track","Great for Mizusawa"))))&amp;IF(Counties!AG1387=1,""," (partial count)")))</f>
        <v/>
      </c>
      <c r="Y153" s="17">
        <f>"Break-even "&amp;IF(I153&gt;=0,"D+","R+")&amp;TEXT(ABS(I153)*100,"0.0")&amp;" ("&amp;IF(N153&gt;=0,"D +","R +")&amp;TEXT(ABS(N153),"#,##0")&amp;" net, about "&amp;TEXT(Q153,"#,##0")&amp;" Warner votes). Warner at "&amp;IF(K153&gt;=0,"D+","R+")&amp;TEXT(ABS(K153)*100,"0.0")&amp;" or better = great night; "&amp;IF(J153&gt;=0,"D+","R+")&amp;TEXT(ABS(J153)*100,"0.0")&amp;" = on track to win. Mizusawa holding it to "&amp;IF(H153&gt;=0,"D+","R+")&amp;TEXT(ABS(H153)*100,"0.0")&amp;" = Mizusawa on track; "&amp;IF(G153&gt;=0,"D+","R+")&amp;TEXT(ABS(G153)*100,"0.0")&amp;" or worse for Warner = great for Mizusawa. Turnout: par is about "&amp;TEXT(D153,"#,##0")&amp;" two-party votes ("&amp;TEXT(Counties!AQ1387/SUMIFS(Counties!$AQ:$AQ,Counties!$A:$A,"VA"),"0.0%")&amp;" of the state). At 95% of par the break-even moves to "&amp;IF((I153/0.95)&gt;=0,"D+","R+")&amp;TEXT(ABS((I153/0.95))*100,"0.0")&amp;"; at 105%, to "&amp;IF((I153/1.05)&gt;=0,"D+","R+")&amp;TEXT(ABS((I153/1.05))*100,"0.0")&amp;"."</f>
        <v/>
      </c>
    </row>
    <row r="154" ht="58" customHeight="1">
      <c r="A154" s="8" t="inlineStr">
        <is>
          <t>VA</t>
        </is>
      </c>
      <c r="B154" s="8" t="inlineStr">
        <is>
          <t>Bedford</t>
        </is>
      </c>
      <c r="C154" s="8" t="inlineStr">
        <is>
          <t>Small town &amp; rural</t>
        </is>
      </c>
      <c r="D154" s="12">
        <f>Counties!AT1341</f>
        <v/>
      </c>
      <c r="E154" s="9">
        <f>Counties!O1341</f>
        <v/>
      </c>
      <c r="F154" s="9">
        <f>Counties!R1341</f>
        <v/>
      </c>
      <c r="G154" s="9">
        <f>MAX(-1,MIN(1,Counties!O1341+-0.05+Dashboard!$F$21))</f>
        <v/>
      </c>
      <c r="H154" s="9">
        <f>MAX(-1,MIN(1,Counties!O1341+-0.01+Dashboard!$F$21))</f>
        <v/>
      </c>
      <c r="I154" s="36">
        <f>MAX(-1,MIN(1,Counties!O1341+0.0+Dashboard!$F$21))</f>
        <v/>
      </c>
      <c r="J154" s="9">
        <f>MAX(-1,MIN(1,Counties!O1341+0.01+Dashboard!$F$21))</f>
        <v/>
      </c>
      <c r="K154" s="9">
        <f>MAX(-1,MIN(1,Counties!O1341+0.05+Dashboard!$F$21))</f>
        <v/>
      </c>
      <c r="L154" s="37">
        <f>G154*D154</f>
        <v/>
      </c>
      <c r="M154" s="37">
        <f>H154*D154</f>
        <v/>
      </c>
      <c r="N154" s="37">
        <f>I154*D154</f>
        <v/>
      </c>
      <c r="O154" s="37">
        <f>J154*D154</f>
        <v/>
      </c>
      <c r="P154" s="37">
        <f>K154*D154</f>
        <v/>
      </c>
      <c r="Q154" s="12">
        <f>D154*(1+I154)/2</f>
        <v/>
      </c>
      <c r="R154" s="9">
        <f>Counties!AH1341</f>
        <v/>
      </c>
      <c r="S154" s="37">
        <f>IF(Counties!AH1341="","",Counties!AH1341*Counties!AF1341)</f>
        <v/>
      </c>
      <c r="T154" s="13">
        <f>Counties!AO1341</f>
        <v/>
      </c>
      <c r="U154" s="16">
        <f>Counties!AU1341</f>
        <v/>
      </c>
      <c r="V154" s="9">
        <f>Counties!AV1341</f>
        <v/>
      </c>
      <c r="W154" s="10">
        <f>Counties!AY1341</f>
        <v/>
      </c>
      <c r="X154" s="8">
        <f>IF(R154="","not in yet",IF(W154&lt;&gt;"",IF(W154&gt;=0.05,"Great for Warner",IF(W154&gt;=0.01,"Warner on track",IF(W154&gt;-0.01,"Toss-up",IF(W154&gt;-0.05,"Mizusawa on track","Great for Mizusawa"))))&amp;" (margin + turnout)",IF((R154-I154)&gt;=0.05,"Great for Warner",IF((R154-I154)&gt;=0.01,"Warner on track",IF((R154-I154)&gt;-0.01,"Toss-up",IF((R154-I154)&gt;-0.05,"Mizusawa on track","Great for Mizusawa"))))&amp;IF(Counties!AG1341=1,""," (partial count)")))</f>
        <v/>
      </c>
      <c r="Y154" s="17">
        <f>"Break-even "&amp;IF(I154&gt;=0,"D+","R+")&amp;TEXT(ABS(I154)*100,"0.0")&amp;" ("&amp;IF(N154&gt;=0,"D +","R +")&amp;TEXT(ABS(N154),"#,##0")&amp;" net, about "&amp;TEXT(Q154,"#,##0")&amp;" Warner votes). Warner at "&amp;IF(K154&gt;=0,"D+","R+")&amp;TEXT(ABS(K154)*100,"0.0")&amp;" or better = great night; "&amp;IF(J154&gt;=0,"D+","R+")&amp;TEXT(ABS(J154)*100,"0.0")&amp;" = on track to win. Mizusawa holding it to "&amp;IF(H154&gt;=0,"D+","R+")&amp;TEXT(ABS(H154)*100,"0.0")&amp;" = Mizusawa on track; "&amp;IF(G154&gt;=0,"D+","R+")&amp;TEXT(ABS(G154)*100,"0.0")&amp;" or worse for Warner = great for Mizusawa. Turnout: par is about "&amp;TEXT(D154,"#,##0")&amp;" two-party votes ("&amp;TEXT(Counties!AQ1341/SUMIFS(Counties!$AQ:$AQ,Counties!$A:$A,"VA"),"0.0%")&amp;" of the state). At 95% of par the break-even moves to "&amp;IF((I154/0.95)&gt;=0,"D+","R+")&amp;TEXT(ABS((I154/0.95))*100,"0.0")&amp;"; at 105%, to "&amp;IF((I154/1.05)&gt;=0,"D+","R+")&amp;TEXT(ABS((I154/1.05))*100,"0.0")&amp;"."</f>
        <v/>
      </c>
    </row>
    <row r="155">
      <c r="A155" s="22" t="inlineStr">
        <is>
          <t>Kentucky: Charles Booker vs Andy Barr · 2024 statewide R+31.0 (R+29.8 with 2022's turnout pattern)</t>
        </is>
      </c>
      <c r="B155" s="22" t="n"/>
      <c r="C155" s="22" t="n"/>
      <c r="D155" s="22" t="n"/>
      <c r="E155" s="22" t="n"/>
      <c r="F155" s="22" t="n"/>
      <c r="G155" s="22" t="n"/>
      <c r="H155" s="22" t="n"/>
      <c r="I155" s="22" t="n"/>
      <c r="J155" s="22" t="n"/>
      <c r="K155" s="22" t="n"/>
      <c r="L155" s="22" t="n"/>
      <c r="M155" s="22" t="n"/>
      <c r="N155" s="22" t="n"/>
      <c r="O155" s="22" t="n"/>
      <c r="P155" s="22" t="n"/>
      <c r="Q155" s="22" t="n"/>
      <c r="R155" s="22" t="n"/>
      <c r="S155" s="22" t="n"/>
      <c r="T155" s="22" t="n"/>
      <c r="U155" s="22" t="n"/>
      <c r="V155" s="22" t="n"/>
      <c r="W155" s="22" t="n"/>
      <c r="X155" s="22" t="n"/>
      <c r="Y155" s="22" t="n"/>
    </row>
    <row r="156" ht="58" customHeight="1">
      <c r="A156" s="8" t="inlineStr">
        <is>
          <t>KY</t>
        </is>
      </c>
      <c r="B156" s="8" t="inlineStr">
        <is>
          <t>Jefferson</t>
        </is>
      </c>
      <c r="C156" s="8" t="inlineStr">
        <is>
          <t>Big metro core</t>
        </is>
      </c>
      <c r="D156" s="12">
        <f>Counties!AT1519</f>
        <v/>
      </c>
      <c r="E156" s="9">
        <f>Counties!O1519</f>
        <v/>
      </c>
      <c r="F156" s="9">
        <f>Counties!R1519</f>
        <v/>
      </c>
      <c r="G156" s="9">
        <f>MAX(-1,MIN(1,Counties!O1519+-0.05+Dashboard!$F$22))</f>
        <v/>
      </c>
      <c r="H156" s="9">
        <f>MAX(-1,MIN(1,Counties!O1519+-0.01+Dashboard!$F$22))</f>
        <v/>
      </c>
      <c r="I156" s="36">
        <f>MAX(-1,MIN(1,Counties!O1519+0.0+Dashboard!$F$22))</f>
        <v/>
      </c>
      <c r="J156" s="9">
        <f>MAX(-1,MIN(1,Counties!O1519+0.01+Dashboard!$F$22))</f>
        <v/>
      </c>
      <c r="K156" s="9">
        <f>MAX(-1,MIN(1,Counties!O1519+0.05+Dashboard!$F$22))</f>
        <v/>
      </c>
      <c r="L156" s="37">
        <f>G156*D156</f>
        <v/>
      </c>
      <c r="M156" s="37">
        <f>H156*D156</f>
        <v/>
      </c>
      <c r="N156" s="37">
        <f>I156*D156</f>
        <v/>
      </c>
      <c r="O156" s="37">
        <f>J156*D156</f>
        <v/>
      </c>
      <c r="P156" s="37">
        <f>K156*D156</f>
        <v/>
      </c>
      <c r="Q156" s="12">
        <f>D156*(1+I156)/2</f>
        <v/>
      </c>
      <c r="R156" s="9">
        <f>Counties!AH1519</f>
        <v/>
      </c>
      <c r="S156" s="37">
        <f>IF(Counties!AH1519="","",Counties!AH1519*Counties!AF1519)</f>
        <v/>
      </c>
      <c r="T156" s="13">
        <f>Counties!AO1519</f>
        <v/>
      </c>
      <c r="U156" s="16">
        <f>Counties!AU1519</f>
        <v/>
      </c>
      <c r="V156" s="9">
        <f>Counties!AV1519</f>
        <v/>
      </c>
      <c r="W156" s="10">
        <f>Counties!AY1519</f>
        <v/>
      </c>
      <c r="X156" s="8">
        <f>IF(R156="","not in yet",IF(W156&lt;&gt;"",IF(W156&gt;=0.05,"Great for Booker",IF(W156&gt;=0.01,"Booker on track",IF(W156&gt;-0.01,"Toss-up",IF(W156&gt;-0.05,"Barr on track","Great for Barr"))))&amp;" (margin + turnout)",IF((R156-I156)&gt;=0.05,"Great for Booker",IF((R156-I156)&gt;=0.01,"Booker on track",IF((R156-I156)&gt;-0.01,"Toss-up",IF((R156-I156)&gt;-0.05,"Barr on track","Great for Barr"))))&amp;IF(Counties!AG1519=1,""," (partial count)")))</f>
        <v/>
      </c>
      <c r="Y156" s="17">
        <f>"Break-even "&amp;IF(I156&gt;=0,"D+","R+")&amp;TEXT(ABS(I156)*100,"0.0")&amp;" ("&amp;IF(N156&gt;=0,"D +","R +")&amp;TEXT(ABS(N156),"#,##0")&amp;" net, about "&amp;TEXT(Q156,"#,##0")&amp;" Booker votes). Booker at "&amp;IF(K156&gt;=0,"D+","R+")&amp;TEXT(ABS(K156)*100,"0.0")&amp;" or better = great night; "&amp;IF(J156&gt;=0,"D+","R+")&amp;TEXT(ABS(J156)*100,"0.0")&amp;" = on track to win. Barr holding it to "&amp;IF(H156&gt;=0,"D+","R+")&amp;TEXT(ABS(H156)*100,"0.0")&amp;" = Barr on track; "&amp;IF(G156&gt;=0,"D+","R+")&amp;TEXT(ABS(G156)*100,"0.0")&amp;" or worse for Booker = great for Barr. Turnout: par is about "&amp;TEXT(D156,"#,##0")&amp;" two-party votes ("&amp;TEXT(Counties!AQ1519/SUMIFS(Counties!$AQ:$AQ,Counties!$A:$A,"KY"),"0.0%")&amp;" of the state). At 95% of par the break-even moves to "&amp;IF((I156/0.95)&gt;=0,"D+","R+")&amp;TEXT(ABS((I156/0.95))*100,"0.0")&amp;"; at 105%, to "&amp;IF((I156/1.05)&gt;=0,"D+","R+")&amp;TEXT(ABS((I156/1.05))*100,"0.0")&amp;"."</f>
        <v/>
      </c>
    </row>
    <row r="157" ht="58" customHeight="1">
      <c r="A157" s="8" t="inlineStr">
        <is>
          <t>KY</t>
        </is>
      </c>
      <c r="B157" s="8" t="inlineStr">
        <is>
          <t>Fayette</t>
        </is>
      </c>
      <c r="C157" s="8" t="inlineStr">
        <is>
          <t>College suburb/metro</t>
        </is>
      </c>
      <c r="D157" s="12">
        <f>Counties!AT1497</f>
        <v/>
      </c>
      <c r="E157" s="9">
        <f>Counties!O1497</f>
        <v/>
      </c>
      <c r="F157" s="9">
        <f>Counties!R1497</f>
        <v/>
      </c>
      <c r="G157" s="9">
        <f>MAX(-1,MIN(1,Counties!O1497+-0.05+Dashboard!$F$22))</f>
        <v/>
      </c>
      <c r="H157" s="9">
        <f>MAX(-1,MIN(1,Counties!O1497+-0.01+Dashboard!$F$22))</f>
        <v/>
      </c>
      <c r="I157" s="36">
        <f>MAX(-1,MIN(1,Counties!O1497+0.0+Dashboard!$F$22))</f>
        <v/>
      </c>
      <c r="J157" s="9">
        <f>MAX(-1,MIN(1,Counties!O1497+0.01+Dashboard!$F$22))</f>
        <v/>
      </c>
      <c r="K157" s="9">
        <f>MAX(-1,MIN(1,Counties!O1497+0.05+Dashboard!$F$22))</f>
        <v/>
      </c>
      <c r="L157" s="37">
        <f>G157*D157</f>
        <v/>
      </c>
      <c r="M157" s="37">
        <f>H157*D157</f>
        <v/>
      </c>
      <c r="N157" s="37">
        <f>I157*D157</f>
        <v/>
      </c>
      <c r="O157" s="37">
        <f>J157*D157</f>
        <v/>
      </c>
      <c r="P157" s="37">
        <f>K157*D157</f>
        <v/>
      </c>
      <c r="Q157" s="12">
        <f>D157*(1+I157)/2</f>
        <v/>
      </c>
      <c r="R157" s="9">
        <f>Counties!AH1497</f>
        <v/>
      </c>
      <c r="S157" s="37">
        <f>IF(Counties!AH1497="","",Counties!AH1497*Counties!AF1497)</f>
        <v/>
      </c>
      <c r="T157" s="13">
        <f>Counties!AO1497</f>
        <v/>
      </c>
      <c r="U157" s="16">
        <f>Counties!AU1497</f>
        <v/>
      </c>
      <c r="V157" s="9">
        <f>Counties!AV1497</f>
        <v/>
      </c>
      <c r="W157" s="10">
        <f>Counties!AY1497</f>
        <v/>
      </c>
      <c r="X157" s="8">
        <f>IF(R157="","not in yet",IF(W157&lt;&gt;"",IF(W157&gt;=0.05,"Great for Booker",IF(W157&gt;=0.01,"Booker on track",IF(W157&gt;-0.01,"Toss-up",IF(W157&gt;-0.05,"Barr on track","Great for Barr"))))&amp;" (margin + turnout)",IF((R157-I157)&gt;=0.05,"Great for Booker",IF((R157-I157)&gt;=0.01,"Booker on track",IF((R157-I157)&gt;-0.01,"Toss-up",IF((R157-I157)&gt;-0.05,"Barr on track","Great for Barr"))))&amp;IF(Counties!AG1497=1,""," (partial count)")))</f>
        <v/>
      </c>
      <c r="Y157" s="17">
        <f>"Break-even "&amp;IF(I157&gt;=0,"D+","R+")&amp;TEXT(ABS(I157)*100,"0.0")&amp;" ("&amp;IF(N157&gt;=0,"D +","R +")&amp;TEXT(ABS(N157),"#,##0")&amp;" net, about "&amp;TEXT(Q157,"#,##0")&amp;" Booker votes). Booker at "&amp;IF(K157&gt;=0,"D+","R+")&amp;TEXT(ABS(K157)*100,"0.0")&amp;" or better = great night; "&amp;IF(J157&gt;=0,"D+","R+")&amp;TEXT(ABS(J157)*100,"0.0")&amp;" = on track to win. Barr holding it to "&amp;IF(H157&gt;=0,"D+","R+")&amp;TEXT(ABS(H157)*100,"0.0")&amp;" = Barr on track; "&amp;IF(G157&gt;=0,"D+","R+")&amp;TEXT(ABS(G157)*100,"0.0")&amp;" or worse for Booker = great for Barr. Turnout: par is about "&amp;TEXT(D157,"#,##0")&amp;" two-party votes ("&amp;TEXT(Counties!AQ1497/SUMIFS(Counties!$AQ:$AQ,Counties!$A:$A,"KY"),"0.0%")&amp;" of the state). At 95% of par the break-even moves to "&amp;IF((I157/0.95)&gt;=0,"D+","R+")&amp;TEXT(ABS((I157/0.95))*100,"0.0")&amp;"; at 105%, to "&amp;IF((I157/1.05)&gt;=0,"D+","R+")&amp;TEXT(ABS((I157/1.05))*100,"0.0")&amp;"."</f>
        <v/>
      </c>
    </row>
    <row r="158" ht="58" customHeight="1">
      <c r="A158" s="8" t="inlineStr">
        <is>
          <t>KY</t>
        </is>
      </c>
      <c r="B158" s="8" t="inlineStr">
        <is>
          <t>Kenton</t>
        </is>
      </c>
      <c r="C158" s="8" t="inlineStr">
        <is>
          <t>Mid-size/working metro</t>
        </is>
      </c>
      <c r="D158" s="12">
        <f>Counties!AT1522</f>
        <v/>
      </c>
      <c r="E158" s="9">
        <f>Counties!O1522</f>
        <v/>
      </c>
      <c r="F158" s="9">
        <f>Counties!R1522</f>
        <v/>
      </c>
      <c r="G158" s="9">
        <f>MAX(-1,MIN(1,Counties!O1522+-0.05+Dashboard!$F$22))</f>
        <v/>
      </c>
      <c r="H158" s="9">
        <f>MAX(-1,MIN(1,Counties!O1522+-0.01+Dashboard!$F$22))</f>
        <v/>
      </c>
      <c r="I158" s="36">
        <f>MAX(-1,MIN(1,Counties!O1522+0.0+Dashboard!$F$22))</f>
        <v/>
      </c>
      <c r="J158" s="9">
        <f>MAX(-1,MIN(1,Counties!O1522+0.01+Dashboard!$F$22))</f>
        <v/>
      </c>
      <c r="K158" s="9">
        <f>MAX(-1,MIN(1,Counties!O1522+0.05+Dashboard!$F$22))</f>
        <v/>
      </c>
      <c r="L158" s="37">
        <f>G158*D158</f>
        <v/>
      </c>
      <c r="M158" s="37">
        <f>H158*D158</f>
        <v/>
      </c>
      <c r="N158" s="37">
        <f>I158*D158</f>
        <v/>
      </c>
      <c r="O158" s="37">
        <f>J158*D158</f>
        <v/>
      </c>
      <c r="P158" s="37">
        <f>K158*D158</f>
        <v/>
      </c>
      <c r="Q158" s="12">
        <f>D158*(1+I158)/2</f>
        <v/>
      </c>
      <c r="R158" s="9">
        <f>Counties!AH1522</f>
        <v/>
      </c>
      <c r="S158" s="37">
        <f>IF(Counties!AH1522="","",Counties!AH1522*Counties!AF1522)</f>
        <v/>
      </c>
      <c r="T158" s="13">
        <f>Counties!AO1522</f>
        <v/>
      </c>
      <c r="U158" s="16">
        <f>Counties!AU1522</f>
        <v/>
      </c>
      <c r="V158" s="9">
        <f>Counties!AV1522</f>
        <v/>
      </c>
      <c r="W158" s="10">
        <f>Counties!AY1522</f>
        <v/>
      </c>
      <c r="X158" s="8">
        <f>IF(R158="","not in yet",IF(W158&lt;&gt;"",IF(W158&gt;=0.05,"Great for Booker",IF(W158&gt;=0.01,"Booker on track",IF(W158&gt;-0.01,"Toss-up",IF(W158&gt;-0.05,"Barr on track","Great for Barr"))))&amp;" (margin + turnout)",IF((R158-I158)&gt;=0.05,"Great for Booker",IF((R158-I158)&gt;=0.01,"Booker on track",IF((R158-I158)&gt;-0.01,"Toss-up",IF((R158-I158)&gt;-0.05,"Barr on track","Great for Barr"))))&amp;IF(Counties!AG1522=1,""," (partial count)")))</f>
        <v/>
      </c>
      <c r="Y158" s="17">
        <f>"Break-even "&amp;IF(I158&gt;=0,"D+","R+")&amp;TEXT(ABS(I158)*100,"0.0")&amp;" ("&amp;IF(N158&gt;=0,"D +","R +")&amp;TEXT(ABS(N158),"#,##0")&amp;" net, about "&amp;TEXT(Q158,"#,##0")&amp;" Booker votes). Booker at "&amp;IF(K158&gt;=0,"D+","R+")&amp;TEXT(ABS(K158)*100,"0.0")&amp;" or better = great night; "&amp;IF(J158&gt;=0,"D+","R+")&amp;TEXT(ABS(J158)*100,"0.0")&amp;" = on track to win. Barr holding it to "&amp;IF(H158&gt;=0,"D+","R+")&amp;TEXT(ABS(H158)*100,"0.0")&amp;" = Barr on track; "&amp;IF(G158&gt;=0,"D+","R+")&amp;TEXT(ABS(G158)*100,"0.0")&amp;" or worse for Booker = great for Barr. Turnout: par is about "&amp;TEXT(D158,"#,##0")&amp;" two-party votes ("&amp;TEXT(Counties!AQ1522/SUMIFS(Counties!$AQ:$AQ,Counties!$A:$A,"KY"),"0.0%")&amp;" of the state). At 95% of par the break-even moves to "&amp;IF((I158/0.95)&gt;=0,"D+","R+")&amp;TEXT(ABS((I158/0.95))*100,"0.0")&amp;"; at 105%, to "&amp;IF((I158/1.05)&gt;=0,"D+","R+")&amp;TEXT(ABS((I158/1.05))*100,"0.0")&amp;"."</f>
        <v/>
      </c>
    </row>
    <row r="159" ht="58" customHeight="1">
      <c r="A159" s="8" t="inlineStr">
        <is>
          <t>KY</t>
        </is>
      </c>
      <c r="B159" s="8" t="inlineStr">
        <is>
          <t>Boone</t>
        </is>
      </c>
      <c r="C159" s="8" t="inlineStr">
        <is>
          <t>Mid-size/working metro</t>
        </is>
      </c>
      <c r="D159" s="12">
        <f>Counties!AT1471</f>
        <v/>
      </c>
      <c r="E159" s="9">
        <f>Counties!O1471</f>
        <v/>
      </c>
      <c r="F159" s="9">
        <f>Counties!R1471</f>
        <v/>
      </c>
      <c r="G159" s="9">
        <f>MAX(-1,MIN(1,Counties!O1471+-0.05+Dashboard!$F$22))</f>
        <v/>
      </c>
      <c r="H159" s="9">
        <f>MAX(-1,MIN(1,Counties!O1471+-0.01+Dashboard!$F$22))</f>
        <v/>
      </c>
      <c r="I159" s="36">
        <f>MAX(-1,MIN(1,Counties!O1471+0.0+Dashboard!$F$22))</f>
        <v/>
      </c>
      <c r="J159" s="9">
        <f>MAX(-1,MIN(1,Counties!O1471+0.01+Dashboard!$F$22))</f>
        <v/>
      </c>
      <c r="K159" s="9">
        <f>MAX(-1,MIN(1,Counties!O1471+0.05+Dashboard!$F$22))</f>
        <v/>
      </c>
      <c r="L159" s="37">
        <f>G159*D159</f>
        <v/>
      </c>
      <c r="M159" s="37">
        <f>H159*D159</f>
        <v/>
      </c>
      <c r="N159" s="37">
        <f>I159*D159</f>
        <v/>
      </c>
      <c r="O159" s="37">
        <f>J159*D159</f>
        <v/>
      </c>
      <c r="P159" s="37">
        <f>K159*D159</f>
        <v/>
      </c>
      <c r="Q159" s="12">
        <f>D159*(1+I159)/2</f>
        <v/>
      </c>
      <c r="R159" s="9">
        <f>Counties!AH1471</f>
        <v/>
      </c>
      <c r="S159" s="37">
        <f>IF(Counties!AH1471="","",Counties!AH1471*Counties!AF1471)</f>
        <v/>
      </c>
      <c r="T159" s="13">
        <f>Counties!AO1471</f>
        <v/>
      </c>
      <c r="U159" s="16">
        <f>Counties!AU1471</f>
        <v/>
      </c>
      <c r="V159" s="9">
        <f>Counties!AV1471</f>
        <v/>
      </c>
      <c r="W159" s="10">
        <f>Counties!AY1471</f>
        <v/>
      </c>
      <c r="X159" s="8">
        <f>IF(R159="","not in yet",IF(W159&lt;&gt;"",IF(W159&gt;=0.05,"Great for Booker",IF(W159&gt;=0.01,"Booker on track",IF(W159&gt;-0.01,"Toss-up",IF(W159&gt;-0.05,"Barr on track","Great for Barr"))))&amp;" (margin + turnout)",IF((R159-I159)&gt;=0.05,"Great for Booker",IF((R159-I159)&gt;=0.01,"Booker on track",IF((R159-I159)&gt;-0.01,"Toss-up",IF((R159-I159)&gt;-0.05,"Barr on track","Great for Barr"))))&amp;IF(Counties!AG1471=1,""," (partial count)")))</f>
        <v/>
      </c>
      <c r="Y159" s="17">
        <f>"Break-even "&amp;IF(I159&gt;=0,"D+","R+")&amp;TEXT(ABS(I159)*100,"0.0")&amp;" ("&amp;IF(N159&gt;=0,"D +","R +")&amp;TEXT(ABS(N159),"#,##0")&amp;" net, about "&amp;TEXT(Q159,"#,##0")&amp;" Booker votes). Booker at "&amp;IF(K159&gt;=0,"D+","R+")&amp;TEXT(ABS(K159)*100,"0.0")&amp;" or better = great night; "&amp;IF(J159&gt;=0,"D+","R+")&amp;TEXT(ABS(J159)*100,"0.0")&amp;" = on track to win. Barr holding it to "&amp;IF(H159&gt;=0,"D+","R+")&amp;TEXT(ABS(H159)*100,"0.0")&amp;" = Barr on track; "&amp;IF(G159&gt;=0,"D+","R+")&amp;TEXT(ABS(G159)*100,"0.0")&amp;" or worse for Booker = great for Barr. Turnout: par is about "&amp;TEXT(D159,"#,##0")&amp;" two-party votes ("&amp;TEXT(Counties!AQ1471/SUMIFS(Counties!$AQ:$AQ,Counties!$A:$A,"KY"),"0.0%")&amp;" of the state). At 95% of par the break-even moves to "&amp;IF((I159/0.95)&gt;=0,"D+","R+")&amp;TEXT(ABS((I159/0.95))*100,"0.0")&amp;"; at 105%, to "&amp;IF((I159/1.05)&gt;=0,"D+","R+")&amp;TEXT(ABS((I159/1.05))*100,"0.0")&amp;"."</f>
        <v/>
      </c>
    </row>
    <row r="160" ht="58" customHeight="1">
      <c r="A160" s="8" t="inlineStr">
        <is>
          <t>KY</t>
        </is>
      </c>
      <c r="B160" s="8" t="inlineStr">
        <is>
          <t>Warren</t>
        </is>
      </c>
      <c r="C160" s="8" t="inlineStr">
        <is>
          <t>Mid-size/working metro</t>
        </is>
      </c>
      <c r="D160" s="12">
        <f>Counties!AT1577</f>
        <v/>
      </c>
      <c r="E160" s="9">
        <f>Counties!O1577</f>
        <v/>
      </c>
      <c r="F160" s="9">
        <f>Counties!R1577</f>
        <v/>
      </c>
      <c r="G160" s="9">
        <f>MAX(-1,MIN(1,Counties!O1577+-0.05+Dashboard!$F$22))</f>
        <v/>
      </c>
      <c r="H160" s="9">
        <f>MAX(-1,MIN(1,Counties!O1577+-0.01+Dashboard!$F$22))</f>
        <v/>
      </c>
      <c r="I160" s="36">
        <f>MAX(-1,MIN(1,Counties!O1577+0.0+Dashboard!$F$22))</f>
        <v/>
      </c>
      <c r="J160" s="9">
        <f>MAX(-1,MIN(1,Counties!O1577+0.01+Dashboard!$F$22))</f>
        <v/>
      </c>
      <c r="K160" s="9">
        <f>MAX(-1,MIN(1,Counties!O1577+0.05+Dashboard!$F$22))</f>
        <v/>
      </c>
      <c r="L160" s="37">
        <f>G160*D160</f>
        <v/>
      </c>
      <c r="M160" s="37">
        <f>H160*D160</f>
        <v/>
      </c>
      <c r="N160" s="37">
        <f>I160*D160</f>
        <v/>
      </c>
      <c r="O160" s="37">
        <f>J160*D160</f>
        <v/>
      </c>
      <c r="P160" s="37">
        <f>K160*D160</f>
        <v/>
      </c>
      <c r="Q160" s="12">
        <f>D160*(1+I160)/2</f>
        <v/>
      </c>
      <c r="R160" s="9">
        <f>Counties!AH1577</f>
        <v/>
      </c>
      <c r="S160" s="37">
        <f>IF(Counties!AH1577="","",Counties!AH1577*Counties!AF1577)</f>
        <v/>
      </c>
      <c r="T160" s="13">
        <f>Counties!AO1577</f>
        <v/>
      </c>
      <c r="U160" s="16">
        <f>Counties!AU1577</f>
        <v/>
      </c>
      <c r="V160" s="9">
        <f>Counties!AV1577</f>
        <v/>
      </c>
      <c r="W160" s="10">
        <f>Counties!AY1577</f>
        <v/>
      </c>
      <c r="X160" s="8">
        <f>IF(R160="","not in yet",IF(W160&lt;&gt;"",IF(W160&gt;=0.05,"Great for Booker",IF(W160&gt;=0.01,"Booker on track",IF(W160&gt;-0.01,"Toss-up",IF(W160&gt;-0.05,"Barr on track","Great for Barr"))))&amp;" (margin + turnout)",IF((R160-I160)&gt;=0.05,"Great for Booker",IF((R160-I160)&gt;=0.01,"Booker on track",IF((R160-I160)&gt;-0.01,"Toss-up",IF((R160-I160)&gt;-0.05,"Barr on track","Great for Barr"))))&amp;IF(Counties!AG1577=1,""," (partial count)")))</f>
        <v/>
      </c>
      <c r="Y160" s="17">
        <f>"Break-even "&amp;IF(I160&gt;=0,"D+","R+")&amp;TEXT(ABS(I160)*100,"0.0")&amp;" ("&amp;IF(N160&gt;=0,"D +","R +")&amp;TEXT(ABS(N160),"#,##0")&amp;" net, about "&amp;TEXT(Q160,"#,##0")&amp;" Booker votes). Booker at "&amp;IF(K160&gt;=0,"D+","R+")&amp;TEXT(ABS(K160)*100,"0.0")&amp;" or better = great night; "&amp;IF(J160&gt;=0,"D+","R+")&amp;TEXT(ABS(J160)*100,"0.0")&amp;" = on track to win. Barr holding it to "&amp;IF(H160&gt;=0,"D+","R+")&amp;TEXT(ABS(H160)*100,"0.0")&amp;" = Barr on track; "&amp;IF(G160&gt;=0,"D+","R+")&amp;TEXT(ABS(G160)*100,"0.0")&amp;" or worse for Booker = great for Barr. Turnout: par is about "&amp;TEXT(D160,"#,##0")&amp;" two-party votes ("&amp;TEXT(Counties!AQ1577/SUMIFS(Counties!$AQ:$AQ,Counties!$A:$A,"KY"),"0.0%")&amp;" of the state). At 95% of par the break-even moves to "&amp;IF((I160/0.95)&gt;=0,"D+","R+")&amp;TEXT(ABS((I160/0.95))*100,"0.0")&amp;"; at 105%, to "&amp;IF((I160/1.05)&gt;=0,"D+","R+")&amp;TEXT(ABS((I160/1.05))*100,"0.0")&amp;"."</f>
        <v/>
      </c>
    </row>
    <row r="161" ht="58" customHeight="1">
      <c r="A161" s="8" t="inlineStr">
        <is>
          <t>KY</t>
        </is>
      </c>
      <c r="B161" s="8" t="inlineStr">
        <is>
          <t>Pike</t>
        </is>
      </c>
      <c r="C161" s="8" t="inlineStr">
        <is>
          <t>Small town &amp; rural</t>
        </is>
      </c>
      <c r="D161" s="12">
        <f>Counties!AT1561</f>
        <v/>
      </c>
      <c r="E161" s="9">
        <f>Counties!O1561</f>
        <v/>
      </c>
      <c r="F161" s="9">
        <f>Counties!R1561</f>
        <v/>
      </c>
      <c r="G161" s="9">
        <f>MAX(-1,MIN(1,Counties!O1561+-0.05+Dashboard!$F$22))</f>
        <v/>
      </c>
      <c r="H161" s="9">
        <f>MAX(-1,MIN(1,Counties!O1561+-0.01+Dashboard!$F$22))</f>
        <v/>
      </c>
      <c r="I161" s="36">
        <f>MAX(-1,MIN(1,Counties!O1561+0.0+Dashboard!$F$22))</f>
        <v/>
      </c>
      <c r="J161" s="9">
        <f>MAX(-1,MIN(1,Counties!O1561+0.01+Dashboard!$F$22))</f>
        <v/>
      </c>
      <c r="K161" s="9">
        <f>MAX(-1,MIN(1,Counties!O1561+0.05+Dashboard!$F$22))</f>
        <v/>
      </c>
      <c r="L161" s="37">
        <f>G161*D161</f>
        <v/>
      </c>
      <c r="M161" s="37">
        <f>H161*D161</f>
        <v/>
      </c>
      <c r="N161" s="37">
        <f>I161*D161</f>
        <v/>
      </c>
      <c r="O161" s="37">
        <f>J161*D161</f>
        <v/>
      </c>
      <c r="P161" s="37">
        <f>K161*D161</f>
        <v/>
      </c>
      <c r="Q161" s="12">
        <f>D161*(1+I161)/2</f>
        <v/>
      </c>
      <c r="R161" s="9">
        <f>Counties!AH1561</f>
        <v/>
      </c>
      <c r="S161" s="37">
        <f>IF(Counties!AH1561="","",Counties!AH1561*Counties!AF1561)</f>
        <v/>
      </c>
      <c r="T161" s="13">
        <f>Counties!AO1561</f>
        <v/>
      </c>
      <c r="U161" s="16">
        <f>Counties!AU1561</f>
        <v/>
      </c>
      <c r="V161" s="9">
        <f>Counties!AV1561</f>
        <v/>
      </c>
      <c r="W161" s="10">
        <f>Counties!AY1561</f>
        <v/>
      </c>
      <c r="X161" s="8">
        <f>IF(R161="","not in yet",IF(W161&lt;&gt;"",IF(W161&gt;=0.05,"Great for Booker",IF(W161&gt;=0.01,"Booker on track",IF(W161&gt;-0.01,"Toss-up",IF(W161&gt;-0.05,"Barr on track","Great for Barr"))))&amp;" (margin + turnout)",IF((R161-I161)&gt;=0.05,"Great for Booker",IF((R161-I161)&gt;=0.01,"Booker on track",IF((R161-I161)&gt;-0.01,"Toss-up",IF((R161-I161)&gt;-0.05,"Barr on track","Great for Barr"))))&amp;IF(Counties!AG1561=1,""," (partial count)")))</f>
        <v/>
      </c>
      <c r="Y161" s="17">
        <f>"Break-even "&amp;IF(I161&gt;=0,"D+","R+")&amp;TEXT(ABS(I161)*100,"0.0")&amp;" ("&amp;IF(N161&gt;=0,"D +","R +")&amp;TEXT(ABS(N161),"#,##0")&amp;" net, about "&amp;TEXT(Q161,"#,##0")&amp;" Booker votes). Booker at "&amp;IF(K161&gt;=0,"D+","R+")&amp;TEXT(ABS(K161)*100,"0.0")&amp;" or better = great night; "&amp;IF(J161&gt;=0,"D+","R+")&amp;TEXT(ABS(J161)*100,"0.0")&amp;" = on track to win. Barr holding it to "&amp;IF(H161&gt;=0,"D+","R+")&amp;TEXT(ABS(H161)*100,"0.0")&amp;" = Barr on track; "&amp;IF(G161&gt;=0,"D+","R+")&amp;TEXT(ABS(G161)*100,"0.0")&amp;" or worse for Booker = great for Barr. Turnout: par is about "&amp;TEXT(D161,"#,##0")&amp;" two-party votes ("&amp;TEXT(Counties!AQ1561/SUMIFS(Counties!$AQ:$AQ,Counties!$A:$A,"KY"),"0.0%")&amp;" of the state). At 95% of par the break-even moves to "&amp;IF((I161/0.95)&gt;=0,"D+","R+")&amp;TEXT(ABS((I161/0.95))*100,"0.0")&amp;"; at 105%, to "&amp;IF((I161/1.05)&gt;=0,"D+","R+")&amp;TEXT(ABS((I161/1.05))*100,"0.0")&amp;"."</f>
        <v/>
      </c>
    </row>
    <row r="162" ht="58" customHeight="1">
      <c r="A162" s="8" t="inlineStr">
        <is>
          <t>KY</t>
        </is>
      </c>
      <c r="B162" s="8" t="inlineStr">
        <is>
          <t>Floyd</t>
        </is>
      </c>
      <c r="C162" s="8" t="inlineStr">
        <is>
          <t>Small town &amp; rural</t>
        </is>
      </c>
      <c r="D162" s="12">
        <f>Counties!AT1499</f>
        <v/>
      </c>
      <c r="E162" s="9">
        <f>Counties!O1499</f>
        <v/>
      </c>
      <c r="F162" s="9">
        <f>Counties!R1499</f>
        <v/>
      </c>
      <c r="G162" s="9">
        <f>MAX(-1,MIN(1,Counties!O1499+-0.05+Dashboard!$F$22))</f>
        <v/>
      </c>
      <c r="H162" s="9">
        <f>MAX(-1,MIN(1,Counties!O1499+-0.01+Dashboard!$F$22))</f>
        <v/>
      </c>
      <c r="I162" s="36">
        <f>MAX(-1,MIN(1,Counties!O1499+0.0+Dashboard!$F$22))</f>
        <v/>
      </c>
      <c r="J162" s="9">
        <f>MAX(-1,MIN(1,Counties!O1499+0.01+Dashboard!$F$22))</f>
        <v/>
      </c>
      <c r="K162" s="9">
        <f>MAX(-1,MIN(1,Counties!O1499+0.05+Dashboard!$F$22))</f>
        <v/>
      </c>
      <c r="L162" s="37">
        <f>G162*D162</f>
        <v/>
      </c>
      <c r="M162" s="37">
        <f>H162*D162</f>
        <v/>
      </c>
      <c r="N162" s="37">
        <f>I162*D162</f>
        <v/>
      </c>
      <c r="O162" s="37">
        <f>J162*D162</f>
        <v/>
      </c>
      <c r="P162" s="37">
        <f>K162*D162</f>
        <v/>
      </c>
      <c r="Q162" s="12">
        <f>D162*(1+I162)/2</f>
        <v/>
      </c>
      <c r="R162" s="9">
        <f>Counties!AH1499</f>
        <v/>
      </c>
      <c r="S162" s="37">
        <f>IF(Counties!AH1499="","",Counties!AH1499*Counties!AF1499)</f>
        <v/>
      </c>
      <c r="T162" s="13">
        <f>Counties!AO1499</f>
        <v/>
      </c>
      <c r="U162" s="16">
        <f>Counties!AU1499</f>
        <v/>
      </c>
      <c r="V162" s="9">
        <f>Counties!AV1499</f>
        <v/>
      </c>
      <c r="W162" s="10">
        <f>Counties!AY1499</f>
        <v/>
      </c>
      <c r="X162" s="8">
        <f>IF(R162="","not in yet",IF(W162&lt;&gt;"",IF(W162&gt;=0.05,"Great for Booker",IF(W162&gt;=0.01,"Booker on track",IF(W162&gt;-0.01,"Toss-up",IF(W162&gt;-0.05,"Barr on track","Great for Barr"))))&amp;" (margin + turnout)",IF((R162-I162)&gt;=0.05,"Great for Booker",IF((R162-I162)&gt;=0.01,"Booker on track",IF((R162-I162)&gt;-0.01,"Toss-up",IF((R162-I162)&gt;-0.05,"Barr on track","Great for Barr"))))&amp;IF(Counties!AG1499=1,""," (partial count)")))</f>
        <v/>
      </c>
      <c r="Y162" s="17">
        <f>"Break-even "&amp;IF(I162&gt;=0,"D+","R+")&amp;TEXT(ABS(I162)*100,"0.0")&amp;" ("&amp;IF(N162&gt;=0,"D +","R +")&amp;TEXT(ABS(N162),"#,##0")&amp;" net, about "&amp;TEXT(Q162,"#,##0")&amp;" Booker votes). Booker at "&amp;IF(K162&gt;=0,"D+","R+")&amp;TEXT(ABS(K162)*100,"0.0")&amp;" or better = great night; "&amp;IF(J162&gt;=0,"D+","R+")&amp;TEXT(ABS(J162)*100,"0.0")&amp;" = on track to win. Barr holding it to "&amp;IF(H162&gt;=0,"D+","R+")&amp;TEXT(ABS(H162)*100,"0.0")&amp;" = Barr on track; "&amp;IF(G162&gt;=0,"D+","R+")&amp;TEXT(ABS(G162)*100,"0.0")&amp;" or worse for Booker = great for Barr. Turnout: par is about "&amp;TEXT(D162,"#,##0")&amp;" two-party votes ("&amp;TEXT(Counties!AQ1499/SUMIFS(Counties!$AQ:$AQ,Counties!$A:$A,"KY"),"0.0%")&amp;" of the state). At 95% of par the break-even moves to "&amp;IF((I162/0.95)&gt;=0,"D+","R+")&amp;TEXT(ABS((I162/0.95))*100,"0.0")&amp;"; at 105%, to "&amp;IF((I162/1.05)&gt;=0,"D+","R+")&amp;TEXT(ABS((I162/1.05))*100,"0.0")&amp;"."</f>
        <v/>
      </c>
    </row>
  </sheetData>
  <mergeCells count="1">
    <mergeCell ref="A2:Y2"/>
  </mergeCells>
  <conditionalFormatting sqref="X5:X163">
    <cfRule type="expression" priority="1" dxfId="0" stopIfTrue="1">
      <formula>AND($R5&lt;&gt;"",IF($W5&lt;&gt;"",$W5,$R5-$I5)&gt;=0.05)</formula>
    </cfRule>
    <cfRule type="expression" priority="2" dxfId="1" stopIfTrue="1">
      <formula>AND($R5&lt;&gt;"",IF($W5&lt;&gt;"",$W5,$R5-$I5)&gt;=0.01)</formula>
    </cfRule>
    <cfRule type="expression" priority="3" dxfId="2" stopIfTrue="1">
      <formula>AND($R5&lt;&gt;"",IF($W5&lt;&gt;"",$W5,$R5-$I5)&gt;-0.01)</formula>
    </cfRule>
    <cfRule type="expression" priority="4" dxfId="3" stopIfTrue="1">
      <formula>AND($R5&lt;&gt;"",IF($W5&lt;&gt;"",$W5,$R5-$I5)&gt;-0.05)</formula>
    </cfRule>
    <cfRule type="expression" priority="5" dxfId="4" stopIfTrue="1">
      <formula>AND($R5&lt;&gt;"",TRUE)</formula>
    </cfRule>
  </conditionalFormatting>
  <conditionalFormatting sqref="R5:R163">
    <cfRule type="expression" priority="6" dxfId="0" stopIfTrue="1">
      <formula>AND($R5&lt;&gt;"",IF($W5&lt;&gt;"",$W5,$R5-$I5)&gt;=0.05)</formula>
    </cfRule>
    <cfRule type="expression" priority="7" dxfId="1" stopIfTrue="1">
      <formula>AND($R5&lt;&gt;"",IF($W5&lt;&gt;"",$W5,$R5-$I5)&gt;=0.01)</formula>
    </cfRule>
    <cfRule type="expression" priority="8" dxfId="2" stopIfTrue="1">
      <formula>AND($R5&lt;&gt;"",IF($W5&lt;&gt;"",$W5,$R5-$I5)&gt;-0.01)</formula>
    </cfRule>
    <cfRule type="expression" priority="9" dxfId="3" stopIfTrue="1">
      <formula>AND($R5&lt;&gt;"",IF($W5&lt;&gt;"",$W5,$R5-$I5)&gt;-0.05)</formula>
    </cfRule>
    <cfRule type="expression" priority="10" dxfId="4" stopIfTrue="1">
      <formula>AND($R5&lt;&gt;"",TRUE)</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08"/>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3" customWidth="1" min="2" max="2"/>
    <col width="16" customWidth="1" min="3" max="3"/>
    <col width="10" customWidth="1" min="4" max="4"/>
    <col width="11" customWidth="1" min="5" max="5"/>
    <col width="11" customWidth="1" min="6" max="6"/>
    <col width="11" customWidth="1" min="7" max="7"/>
    <col width="9" customWidth="1" min="8" max="8"/>
    <col width="8" customWidth="1" min="9" max="9"/>
    <col width="26" customWidth="1" min="10" max="10"/>
    <col width="90" customWidth="1" min="11" max="11"/>
    <col width="24" customWidth="1" min="12" max="12"/>
    <col hidden="1" width="13" customWidth="1" min="13" max="13"/>
  </cols>
  <sheetData>
    <row r="1">
      <c r="A1" s="20" t="inlineStr">
        <is>
          <t>First counties: how to read the first hour, state by state</t>
        </is>
      </c>
    </row>
    <row r="2" ht="54" customHeight="1">
      <c r="A2" s="21" t="inlineStr">
        <is>
          <t>The first numbers are usually one vote method (early or mail), which leans one way. 'First-batch benchmark' = the county's break-even plus how much more Democratic its early/mail vote was than its total in 2022. A first batch above that pace is a good sign for the Democratic side even if the raw number looks lopsided. In North Carolina it's also shifted by how the 2026 early electorate differs from 2022's (party and race mix; see Early Vote).</t>
        </is>
      </c>
    </row>
    <row r="4" ht="54" customHeight="1">
      <c r="A4" s="7" t="inlineStr">
        <is>
          <t>State</t>
        </is>
      </c>
      <c r="B4" s="7" t="inlineStr">
        <is>
          <t>County</t>
        </is>
      </c>
      <c r="C4" s="7" t="inlineStr">
        <is>
          <t>Polls close</t>
        </is>
      </c>
      <c r="D4" s="7" t="inlineStr">
        <is>
          <t>Break-even (final)</t>
        </is>
      </c>
      <c r="E4" s="7" t="inlineStr">
        <is>
          <t>2022 early/mail vs total</t>
        </is>
      </c>
      <c r="F4" s="7" t="inlineStr">
        <is>
          <t>2026 early electorate shift (NC)</t>
        </is>
      </c>
      <c r="G4" s="7" t="inlineStr">
        <is>
          <t>First-batch benchmark</t>
        </is>
      </c>
      <c r="H4" s="7" t="inlineStr">
        <is>
          <t>Live margin</t>
        </is>
      </c>
      <c r="I4" s="7" t="inlineStr">
        <is>
          <t>Est. % in</t>
        </is>
      </c>
      <c r="J4" s="7" t="inlineStr">
        <is>
          <t>First-batch read</t>
        </is>
      </c>
      <c r="K4" s="7" t="inlineStr">
        <is>
          <t>What to look for</t>
        </is>
      </c>
      <c r="L4" s="7" t="inlineStr">
        <is>
          <t>Source</t>
        </is>
      </c>
    </row>
    <row r="5" ht="44" customHeight="1">
      <c r="A5" s="38" t="inlineStr">
        <is>
          <t>Kentucky · polls close 6:00 PM ET / 5:00 PM CST · The first polls in the country close at 6 PM ET in eastern Kentucky; the western part closes at 7 PM ET. Small eastern counties can report within the hour.</t>
        </is>
      </c>
      <c r="B5" s="39" t="n"/>
      <c r="C5" s="39" t="n"/>
      <c r="D5" s="39" t="n"/>
      <c r="E5" s="39" t="n"/>
      <c r="F5" s="39" t="n"/>
      <c r="G5" s="39" t="n"/>
      <c r="H5" s="39" t="n"/>
      <c r="I5" s="39" t="n"/>
      <c r="J5" s="39" t="n"/>
      <c r="K5" s="39" t="n"/>
      <c r="L5" s="39" t="inlineStr"/>
    </row>
    <row r="6" ht="42" customHeight="1">
      <c r="A6" s="8" t="inlineStr">
        <is>
          <t>KY</t>
        </is>
      </c>
      <c r="B6" s="8" t="inlineStr">
        <is>
          <t>Pike</t>
        </is>
      </c>
      <c r="C6" s="8" t="inlineStr">
        <is>
          <t>6:00 PM ET / 5:00 PM CST</t>
        </is>
      </c>
      <c r="D6" s="9">
        <f>Counties!T1561</f>
        <v/>
      </c>
      <c r="E6" s="10" t="n"/>
      <c r="F6" s="10" t="n"/>
      <c r="G6" s="9">
        <f>D6+IF(E6="",0,E6)+IF(F6="",0,F6)</f>
        <v/>
      </c>
      <c r="H6" s="9">
        <f>Counties!AH1561</f>
        <v/>
      </c>
      <c r="I6" s="13">
        <f>Counties!AO1561</f>
        <v/>
      </c>
      <c r="J6" s="8">
        <f>IF(H6="","not in yet",IF((H6-M6)&gt;=0.05,"Great for Booker",IF((H6-M6)&gt;=0.01,"Booker on track",IF((H6-M6)&gt;-0.01,"Toss-up",IF((H6-M6)&gt;-0.05,"Barr on track","Great for Barr"))))&amp;IF(Counties!AG1561=1," (final)"," (early batch)"))</f>
        <v/>
      </c>
      <c r="K6" s="17">
        <f>"No 2022 vote-method split for this county. The final break-even is "&amp;IF(D6&gt;=0,"D+","R+")&amp;TEXT(ABS(D6)*100,"0.0")&amp;". If the first batch is early/mail votes, expect it to overstate the Democratic side."</f>
        <v/>
      </c>
      <c r="L6" s="8" t="inlineStr"/>
      <c r="M6" s="8">
        <f>IF(Counties!AG1561=1,D6,G6)</f>
        <v/>
      </c>
    </row>
    <row r="7" ht="42" customHeight="1">
      <c r="A7" s="8" t="inlineStr">
        <is>
          <t>KY</t>
        </is>
      </c>
      <c r="B7" s="8" t="inlineStr">
        <is>
          <t>Floyd</t>
        </is>
      </c>
      <c r="C7" s="8" t="inlineStr">
        <is>
          <t>6:00 PM ET / 5:00 PM CST</t>
        </is>
      </c>
      <c r="D7" s="9">
        <f>Counties!T1499</f>
        <v/>
      </c>
      <c r="E7" s="10" t="n"/>
      <c r="F7" s="10" t="n"/>
      <c r="G7" s="9">
        <f>D7+IF(E7="",0,E7)+IF(F7="",0,F7)</f>
        <v/>
      </c>
      <c r="H7" s="9">
        <f>Counties!AH1499</f>
        <v/>
      </c>
      <c r="I7" s="13">
        <f>Counties!AO1499</f>
        <v/>
      </c>
      <c r="J7" s="8">
        <f>IF(H7="","not in yet",IF((H7-M7)&gt;=0.05,"Great for Booker",IF((H7-M7)&gt;=0.01,"Booker on track",IF((H7-M7)&gt;-0.01,"Toss-up",IF((H7-M7)&gt;-0.05,"Barr on track","Great for Barr"))))&amp;IF(Counties!AG1499=1," (final)"," (early batch)"))</f>
        <v/>
      </c>
      <c r="K7" s="17">
        <f>"No 2022 vote-method split for this county. The final break-even is "&amp;IF(D7&gt;=0,"D+","R+")&amp;TEXT(ABS(D7)*100,"0.0")&amp;". If the first batch is early/mail votes, expect it to overstate the Democratic side."</f>
        <v/>
      </c>
      <c r="L7" s="8" t="inlineStr"/>
      <c r="M7" s="8">
        <f>IF(Counties!AG1499=1,D7,G7)</f>
        <v/>
      </c>
    </row>
    <row r="8" ht="42" customHeight="1">
      <c r="A8" s="8" t="inlineStr">
        <is>
          <t>KY</t>
        </is>
      </c>
      <c r="B8" s="8" t="inlineStr">
        <is>
          <t>Kenton</t>
        </is>
      </c>
      <c r="C8" s="8" t="inlineStr">
        <is>
          <t>6:00 PM ET / 5:00 PM CST</t>
        </is>
      </c>
      <c r="D8" s="9">
        <f>Counties!T1522</f>
        <v/>
      </c>
      <c r="E8" s="10" t="n"/>
      <c r="F8" s="10" t="n"/>
      <c r="G8" s="9">
        <f>D8+IF(E8="",0,E8)+IF(F8="",0,F8)</f>
        <v/>
      </c>
      <c r="H8" s="9">
        <f>Counties!AH1522</f>
        <v/>
      </c>
      <c r="I8" s="13">
        <f>Counties!AO1522</f>
        <v/>
      </c>
      <c r="J8" s="8">
        <f>IF(H8="","not in yet",IF((H8-M8)&gt;=0.05,"Great for Booker",IF((H8-M8)&gt;=0.01,"Booker on track",IF((H8-M8)&gt;-0.01,"Toss-up",IF((H8-M8)&gt;-0.05,"Barr on track","Great for Barr"))))&amp;IF(Counties!AG1522=1," (final)"," (early batch)"))</f>
        <v/>
      </c>
      <c r="K8" s="17">
        <f>"No 2022 vote-method split for this county. The final break-even is "&amp;IF(D8&gt;=0,"D+","R+")&amp;TEXT(ABS(D8)*100,"0.0")&amp;". If the first batch is early/mail votes, expect it to overstate the Democratic side."</f>
        <v/>
      </c>
      <c r="L8" s="8" t="inlineStr"/>
      <c r="M8" s="8">
        <f>IF(Counties!AG1522=1,D8,G8)</f>
        <v/>
      </c>
    </row>
    <row r="9" ht="42" customHeight="1">
      <c r="A9" s="8" t="inlineStr">
        <is>
          <t>KY</t>
        </is>
      </c>
      <c r="B9" s="8" t="inlineStr">
        <is>
          <t>Jefferson</t>
        </is>
      </c>
      <c r="C9" s="8" t="inlineStr">
        <is>
          <t>6:00 PM ET / 5:00 PM CST</t>
        </is>
      </c>
      <c r="D9" s="9">
        <f>Counties!T1519</f>
        <v/>
      </c>
      <c r="E9" s="10" t="n"/>
      <c r="F9" s="10" t="n"/>
      <c r="G9" s="9">
        <f>D9+IF(E9="",0,E9)+IF(F9="",0,F9)</f>
        <v/>
      </c>
      <c r="H9" s="9">
        <f>Counties!AH1519</f>
        <v/>
      </c>
      <c r="I9" s="13">
        <f>Counties!AO1519</f>
        <v/>
      </c>
      <c r="J9" s="8">
        <f>IF(H9="","not in yet",IF((H9-M9)&gt;=0.05,"Great for Booker",IF((H9-M9)&gt;=0.01,"Booker on track",IF((H9-M9)&gt;-0.01,"Toss-up",IF((H9-M9)&gt;-0.05,"Barr on track","Great for Barr"))))&amp;IF(Counties!AG1519=1," (final)"," (early batch)"))</f>
        <v/>
      </c>
      <c r="K9" s="17">
        <f>"No 2022 vote-method split for this county. The final break-even is "&amp;IF(D9&gt;=0,"D+","R+")&amp;TEXT(ABS(D9)*100,"0.0")&amp;". If the first batch is early/mail votes, expect it to overstate the Democratic side."</f>
        <v/>
      </c>
      <c r="L9" s="8" t="inlineStr"/>
      <c r="M9" s="8">
        <f>IF(Counties!AG1519=1,D9,G9)</f>
        <v/>
      </c>
    </row>
    <row r="11" ht="44" customHeight="1">
      <c r="A11" s="38" t="inlineStr">
        <is>
          <t>Georgia · polls close 7:00 PM ET / 6:00 PM CST · Advance (early in-person) and absentee votes. State law requires counties to report these by 8 PM ET; in 2024 the SOS expected 70-75% of all votes to be in by 8 PM. Election Day precincts follow.</t>
        </is>
      </c>
      <c r="B11" s="39" t="n"/>
      <c r="C11" s="39" t="n"/>
      <c r="D11" s="39" t="n"/>
      <c r="E11" s="39" t="n"/>
      <c r="F11" s="39" t="n"/>
      <c r="G11" s="39" t="n"/>
      <c r="H11" s="39" t="n"/>
      <c r="I11" s="39" t="n"/>
      <c r="J11" s="39" t="n"/>
      <c r="K11" s="39" t="n"/>
      <c r="L11" s="39" t="inlineStr">
        <is>
          <t>Atlanta News First, Nov 1 2024</t>
        </is>
      </c>
    </row>
    <row r="12">
      <c r="A12" s="5" t="inlineStr">
        <is>
          <t>In 2022 the advance vote was D+10.3 and the Election Day vote R+15.9, so counts that are mostly advance votes flatter Democrats.</t>
        </is>
      </c>
    </row>
    <row r="13" ht="42" customHeight="1">
      <c r="A13" s="8" t="inlineStr">
        <is>
          <t>GA</t>
        </is>
      </c>
      <c r="B13" s="8" t="inlineStr">
        <is>
          <t>Cobb</t>
        </is>
      </c>
      <c r="C13" s="8" t="inlineStr">
        <is>
          <t>7:00 PM ET / 6:00 PM CST</t>
        </is>
      </c>
      <c r="D13" s="9">
        <f>Counties!T74</f>
        <v/>
      </c>
      <c r="E13" s="10" t="n">
        <v>0.06791980409517967</v>
      </c>
      <c r="F13" s="10" t="n"/>
      <c r="G13" s="9">
        <f>D13+IF(E13="",0,E13)+IF(F13="",0,F13)</f>
        <v/>
      </c>
      <c r="H13" s="9">
        <f>Counties!AH74</f>
        <v/>
      </c>
      <c r="I13" s="13">
        <f>Counties!AO74</f>
        <v/>
      </c>
      <c r="J13" s="8">
        <f>IF(H13="","not in yet",IF((H13-M13)&gt;=0.05,"Great for Ossoff",IF((H13-M13)&gt;=0.01,"Ossoff on track",IF((H13-M13)&gt;-0.01,"Toss-up",IF((H13-M13)&gt;-0.05,"Collins on track","Great for Collins"))))&amp;IF(Counties!AG74=1," (final)"," (early batch)"))</f>
        <v/>
      </c>
      <c r="K13" s="17">
        <f>"Cobb's early/mail vote ran "&amp;IF(E13&gt;=0,"D+","R+")&amp;TEXT(ABS(E13)*100,"0.0")&amp;" vs its total in 2022. So a first batch around "&amp;IF(G13&gt;=0,"D+","R+")&amp;TEXT(ABS(G13)*100,"0.0")&amp;" is only break-even for Ossoff. Well above it is a good sign; below it is a warning, because Election Day votes will pull it toward Collins."</f>
        <v/>
      </c>
      <c r="L13" s="8" t="inlineStr"/>
      <c r="M13" s="8">
        <f>IF(Counties!AG74=1,D13,G13)</f>
        <v/>
      </c>
    </row>
    <row r="14" ht="42" customHeight="1">
      <c r="A14" s="8" t="inlineStr">
        <is>
          <t>GA</t>
        </is>
      </c>
      <c r="B14" s="8" t="inlineStr">
        <is>
          <t>Gwinnett</t>
        </is>
      </c>
      <c r="C14" s="8" t="inlineStr">
        <is>
          <t>7:00 PM ET / 6:00 PM CST</t>
        </is>
      </c>
      <c r="D14" s="9">
        <f>Counties!T108</f>
        <v/>
      </c>
      <c r="E14" s="10" t="n">
        <v>0.07429856963509068</v>
      </c>
      <c r="F14" s="10" t="n"/>
      <c r="G14" s="9">
        <f>D14+IF(E14="",0,E14)+IF(F14="",0,F14)</f>
        <v/>
      </c>
      <c r="H14" s="9">
        <f>Counties!AH108</f>
        <v/>
      </c>
      <c r="I14" s="13">
        <f>Counties!AO108</f>
        <v/>
      </c>
      <c r="J14" s="8">
        <f>IF(H14="","not in yet",IF((H14-M14)&gt;=0.05,"Great for Ossoff",IF((H14-M14)&gt;=0.01,"Ossoff on track",IF((H14-M14)&gt;-0.01,"Toss-up",IF((H14-M14)&gt;-0.05,"Collins on track","Great for Collins"))))&amp;IF(Counties!AG108=1," (final)"," (early batch)"))</f>
        <v/>
      </c>
      <c r="K14" s="17">
        <f>"Gwinnett's early/mail vote ran "&amp;IF(E14&gt;=0,"D+","R+")&amp;TEXT(ABS(E14)*100,"0.0")&amp;" vs its total in 2022. So a first batch around "&amp;IF(G14&gt;=0,"D+","R+")&amp;TEXT(ABS(G14)*100,"0.0")&amp;" is only break-even for Ossoff. Well above it is a good sign; below it is a warning, because Election Day votes will pull it toward Collins."</f>
        <v/>
      </c>
      <c r="L14" s="8" t="inlineStr"/>
      <c r="M14" s="8">
        <f>IF(Counties!AG108=1,D14,G14)</f>
        <v/>
      </c>
    </row>
    <row r="15" ht="42" customHeight="1">
      <c r="A15" s="8" t="inlineStr">
        <is>
          <t>GA</t>
        </is>
      </c>
      <c r="B15" s="8" t="inlineStr">
        <is>
          <t>Fulton</t>
        </is>
      </c>
      <c r="C15" s="8" t="inlineStr">
        <is>
          <t>7:00 PM ET / 6:00 PM CST</t>
        </is>
      </c>
      <c r="D15" s="9">
        <f>Counties!T101</f>
        <v/>
      </c>
      <c r="E15" s="10" t="n">
        <v>0.030627881496887</v>
      </c>
      <c r="F15" s="10" t="n"/>
      <c r="G15" s="9">
        <f>D15+IF(E15="",0,E15)+IF(F15="",0,F15)</f>
        <v/>
      </c>
      <c r="H15" s="9">
        <f>Counties!AH101</f>
        <v/>
      </c>
      <c r="I15" s="13">
        <f>Counties!AO101</f>
        <v/>
      </c>
      <c r="J15" s="8">
        <f>IF(H15="","not in yet",IF((H15-M15)&gt;=0.05,"Great for Ossoff",IF((H15-M15)&gt;=0.01,"Ossoff on track",IF((H15-M15)&gt;-0.01,"Toss-up",IF((H15-M15)&gt;-0.05,"Collins on track","Great for Collins"))))&amp;IF(Counties!AG101=1," (final)"," (early batch)"))</f>
        <v/>
      </c>
      <c r="K15" s="17">
        <f>"Fulton's early/mail vote ran "&amp;IF(E15&gt;=0,"D+","R+")&amp;TEXT(ABS(E15)*100,"0.0")&amp;" vs its total in 2022. So a first batch around "&amp;IF(G15&gt;=0,"D+","R+")&amp;TEXT(ABS(G15)*100,"0.0")&amp;" is only break-even for Ossoff. Well above it is a good sign; below it is a warning, because Election Day votes will pull it toward Collins."</f>
        <v/>
      </c>
      <c r="L15" s="8" t="inlineStr"/>
      <c r="M15" s="8">
        <f>IF(Counties!AG101=1,D15,G15)</f>
        <v/>
      </c>
    </row>
    <row r="16" ht="42" customHeight="1">
      <c r="A16" s="8" t="inlineStr">
        <is>
          <t>GA</t>
        </is>
      </c>
      <c r="B16" s="8" t="inlineStr">
        <is>
          <t>DeKalb</t>
        </is>
      </c>
      <c r="C16" s="8" t="inlineStr">
        <is>
          <t>7:00 PM ET / 6:00 PM CST</t>
        </is>
      </c>
      <c r="D16" s="9">
        <f>Counties!T84</f>
        <v/>
      </c>
      <c r="E16" s="10" t="n">
        <v>0.05055579504084073</v>
      </c>
      <c r="F16" s="10" t="n"/>
      <c r="G16" s="9">
        <f>D16+IF(E16="",0,E16)+IF(F16="",0,F16)</f>
        <v/>
      </c>
      <c r="H16" s="9">
        <f>Counties!AH84</f>
        <v/>
      </c>
      <c r="I16" s="13">
        <f>Counties!AO84</f>
        <v/>
      </c>
      <c r="J16" s="8">
        <f>IF(H16="","not in yet",IF((H16-M16)&gt;=0.05,"Great for Ossoff",IF((H16-M16)&gt;=0.01,"Ossoff on track",IF((H16-M16)&gt;-0.01,"Toss-up",IF((H16-M16)&gt;-0.05,"Collins on track","Great for Collins"))))&amp;IF(Counties!AG84=1," (final)"," (early batch)"))</f>
        <v/>
      </c>
      <c r="K16" s="17">
        <f>"DeKalb's early/mail vote ran "&amp;IF(E16&gt;=0,"D+","R+")&amp;TEXT(ABS(E16)*100,"0.0")&amp;" vs its total in 2022. So a first batch around "&amp;IF(G16&gt;=0,"D+","R+")&amp;TEXT(ABS(G16)*100,"0.0")&amp;" is only break-even for Ossoff. Well above it is a good sign; below it is a warning, because Election Day votes will pull it toward Collins."</f>
        <v/>
      </c>
      <c r="L16" s="8" t="inlineStr"/>
      <c r="M16" s="8">
        <f>IF(Counties!AG84=1,D16,G16)</f>
        <v/>
      </c>
    </row>
    <row r="17" ht="42" customHeight="1">
      <c r="A17" s="8" t="inlineStr">
        <is>
          <t>GA</t>
        </is>
      </c>
      <c r="B17" s="8" t="inlineStr">
        <is>
          <t>Henry</t>
        </is>
      </c>
      <c r="C17" s="8" t="inlineStr">
        <is>
          <t>7:00 PM ET / 6:00 PM CST</t>
        </is>
      </c>
      <c r="D17" s="9">
        <f>Counties!T116</f>
        <v/>
      </c>
      <c r="E17" s="10" t="n">
        <v>0.06848425215119469</v>
      </c>
      <c r="F17" s="10" t="n"/>
      <c r="G17" s="9">
        <f>D17+IF(E17="",0,E17)+IF(F17="",0,F17)</f>
        <v/>
      </c>
      <c r="H17" s="9">
        <f>Counties!AH116</f>
        <v/>
      </c>
      <c r="I17" s="13">
        <f>Counties!AO116</f>
        <v/>
      </c>
      <c r="J17" s="8">
        <f>IF(H17="","not in yet",IF((H17-M17)&gt;=0.05,"Great for Ossoff",IF((H17-M17)&gt;=0.01,"Ossoff on track",IF((H17-M17)&gt;-0.01,"Toss-up",IF((H17-M17)&gt;-0.05,"Collins on track","Great for Collins"))))&amp;IF(Counties!AG116=1," (final)"," (early batch)"))</f>
        <v/>
      </c>
      <c r="K17" s="17">
        <f>"Henry's early/mail vote ran "&amp;IF(E17&gt;=0,"D+","R+")&amp;TEXT(ABS(E17)*100,"0.0")&amp;" vs its total in 2022. So a first batch around "&amp;IF(G17&gt;=0,"D+","R+")&amp;TEXT(ABS(G17)*100,"0.0")&amp;" is only break-even for Ossoff. Well above it is a good sign; below it is a warning, because Election Day votes will pull it toward Collins."</f>
        <v/>
      </c>
      <c r="L17" s="8" t="inlineStr"/>
      <c r="M17" s="8">
        <f>IF(Counties!AG116=1,D17,G17)</f>
        <v/>
      </c>
    </row>
    <row r="18" ht="42" customHeight="1">
      <c r="A18" s="8" t="inlineStr">
        <is>
          <t>GA</t>
        </is>
      </c>
      <c r="B18" s="8" t="inlineStr">
        <is>
          <t>Forsyth</t>
        </is>
      </c>
      <c r="C18" s="8" t="inlineStr">
        <is>
          <t>7:00 PM ET / 6:00 PM CST</t>
        </is>
      </c>
      <c r="D18" s="9">
        <f>Counties!T99</f>
        <v/>
      </c>
      <c r="E18" s="10" t="n">
        <v>0.01655778060381852</v>
      </c>
      <c r="F18" s="10" t="n"/>
      <c r="G18" s="9">
        <f>D18+IF(E18="",0,E18)+IF(F18="",0,F18)</f>
        <v/>
      </c>
      <c r="H18" s="9">
        <f>Counties!AH99</f>
        <v/>
      </c>
      <c r="I18" s="13">
        <f>Counties!AO99</f>
        <v/>
      </c>
      <c r="J18" s="8">
        <f>IF(H18="","not in yet",IF((H18-M18)&gt;=0.05,"Great for Ossoff",IF((H18-M18)&gt;=0.01,"Ossoff on track",IF((H18-M18)&gt;-0.01,"Toss-up",IF((H18-M18)&gt;-0.05,"Collins on track","Great for Collins"))))&amp;IF(Counties!AG99=1," (final)"," (early batch)"))</f>
        <v/>
      </c>
      <c r="K18" s="17">
        <f>"Forsyth's early/mail vote ran "&amp;IF(E18&gt;=0,"D+","R+")&amp;TEXT(ABS(E18)*100,"0.0")&amp;" vs its total in 2022. So a first batch around "&amp;IF(G18&gt;=0,"D+","R+")&amp;TEXT(ABS(G18)*100,"0.0")&amp;" is only break-even for Ossoff. Well above it is a good sign; below it is a warning, because Election Day votes will pull it toward Collins."</f>
        <v/>
      </c>
      <c r="L18" s="8" t="inlineStr"/>
      <c r="M18" s="8">
        <f>IF(Counties!AG99=1,D18,G18)</f>
        <v/>
      </c>
    </row>
    <row r="20" ht="44" customHeight="1">
      <c r="A20" s="38" t="inlineStr">
        <is>
          <t>Florida · polls close 7:00 PM ET / 6:00 PM CST · Early and mail votes. Florida law requires counties to report them within 30 minutes of polls closing at 7 PM ET (the Panhandle closes at 8 PM ET). Election Day precincts follow quickly.</t>
        </is>
      </c>
      <c r="B20" s="39" t="n"/>
      <c r="C20" s="39" t="n"/>
      <c r="D20" s="39" t="n"/>
      <c r="E20" s="39" t="n"/>
      <c r="F20" s="39" t="n"/>
      <c r="G20" s="39" t="n"/>
      <c r="H20" s="39" t="n"/>
      <c r="I20" s="39" t="n"/>
      <c r="J20" s="39" t="n"/>
      <c r="K20" s="39" t="n"/>
      <c r="L20" s="39" t="inlineStr">
        <is>
          <t>FactCheck.org, Nov 2022</t>
        </is>
      </c>
    </row>
    <row r="21" ht="42" customHeight="1">
      <c r="A21" s="8" t="inlineStr">
        <is>
          <t>FL</t>
        </is>
      </c>
      <c r="B21" s="8" t="inlineStr">
        <is>
          <t>Miami-Dade</t>
        </is>
      </c>
      <c r="C21" s="8" t="inlineStr">
        <is>
          <t>7:00 PM ET / 6:00 PM CST</t>
        </is>
      </c>
      <c r="D21" s="9">
        <f>Counties!T1306</f>
        <v/>
      </c>
      <c r="E21" s="10" t="n"/>
      <c r="F21" s="10" t="n"/>
      <c r="G21" s="9">
        <f>D21+IF(E21="",0,E21)+IF(F21="",0,F21)</f>
        <v/>
      </c>
      <c r="H21" s="9">
        <f>Counties!AH1306</f>
        <v/>
      </c>
      <c r="I21" s="13">
        <f>Counties!AO1306</f>
        <v/>
      </c>
      <c r="J21" s="8">
        <f>IF(H21="","not in yet",IF((H21-M21)&gt;=0.05,"Great for Nixon",IF((H21-M21)&gt;=0.01,"Nixon on track",IF((H21-M21)&gt;-0.01,"Toss-up",IF((H21-M21)&gt;-0.05,"Moody on track","Great for Moody"))))&amp;IF(Counties!AG1306=1," (final)"," (early batch)"))</f>
        <v/>
      </c>
      <c r="K21" s="17">
        <f>"No 2022 vote-method split for this county. The final break-even is "&amp;IF(D21&gt;=0,"D+","R+")&amp;TEXT(ABS(D21)*100,"0.0")&amp;". If the first batch is early/mail votes, expect it to overstate the Democratic side."</f>
        <v/>
      </c>
      <c r="L21" s="8" t="inlineStr"/>
      <c r="M21" s="8">
        <f>IF(Counties!AG1306=1,D21,G21)</f>
        <v/>
      </c>
    </row>
    <row r="22" ht="42" customHeight="1">
      <c r="A22" s="8" t="inlineStr">
        <is>
          <t>FL</t>
        </is>
      </c>
      <c r="B22" s="8" t="inlineStr">
        <is>
          <t>Hillsborough</t>
        </is>
      </c>
      <c r="C22" s="8" t="inlineStr">
        <is>
          <t>7:00 PM ET / 6:00 PM CST</t>
        </is>
      </c>
      <c r="D22" s="9">
        <f>Counties!T1291</f>
        <v/>
      </c>
      <c r="E22" s="10" t="n"/>
      <c r="F22" s="10" t="n"/>
      <c r="G22" s="9">
        <f>D22+IF(E22="",0,E22)+IF(F22="",0,F22)</f>
        <v/>
      </c>
      <c r="H22" s="9">
        <f>Counties!AH1291</f>
        <v/>
      </c>
      <c r="I22" s="13">
        <f>Counties!AO1291</f>
        <v/>
      </c>
      <c r="J22" s="8">
        <f>IF(H22="","not in yet",IF((H22-M22)&gt;=0.05,"Great for Nixon",IF((H22-M22)&gt;=0.01,"Nixon on track",IF((H22-M22)&gt;-0.01,"Toss-up",IF((H22-M22)&gt;-0.05,"Moody on track","Great for Moody"))))&amp;IF(Counties!AG1291=1," (final)"," (early batch)"))</f>
        <v/>
      </c>
      <c r="K22" s="17">
        <f>"No 2022 vote-method split for this county. The final break-even is "&amp;IF(D22&gt;=0,"D+","R+")&amp;TEXT(ABS(D22)*100,"0.0")&amp;". If the first batch is early/mail votes, expect it to overstate the Democratic side."</f>
        <v/>
      </c>
      <c r="L22" s="8" t="inlineStr"/>
      <c r="M22" s="8">
        <f>IF(Counties!AG1291=1,D22,G22)</f>
        <v/>
      </c>
    </row>
    <row r="23" ht="42" customHeight="1">
      <c r="A23" s="8" t="inlineStr">
        <is>
          <t>FL</t>
        </is>
      </c>
      <c r="B23" s="8" t="inlineStr">
        <is>
          <t>Pinellas</t>
        </is>
      </c>
      <c r="C23" s="8" t="inlineStr">
        <is>
          <t>7:00 PM ET / 6:00 PM CST</t>
        </is>
      </c>
      <c r="D23" s="9">
        <f>Counties!T1315</f>
        <v/>
      </c>
      <c r="E23" s="10" t="n"/>
      <c r="F23" s="10" t="n"/>
      <c r="G23" s="9">
        <f>D23+IF(E23="",0,E23)+IF(F23="",0,F23)</f>
        <v/>
      </c>
      <c r="H23" s="9">
        <f>Counties!AH1315</f>
        <v/>
      </c>
      <c r="I23" s="13">
        <f>Counties!AO1315</f>
        <v/>
      </c>
      <c r="J23" s="8">
        <f>IF(H23="","not in yet",IF((H23-M23)&gt;=0.05,"Great for Nixon",IF((H23-M23)&gt;=0.01,"Nixon on track",IF((H23-M23)&gt;-0.01,"Toss-up",IF((H23-M23)&gt;-0.05,"Moody on track","Great for Moody"))))&amp;IF(Counties!AG1315=1," (final)"," (early batch)"))</f>
        <v/>
      </c>
      <c r="K23" s="17">
        <f>"No 2022 vote-method split for this county. The final break-even is "&amp;IF(D23&gt;=0,"D+","R+")&amp;TEXT(ABS(D23)*100,"0.0")&amp;". If the first batch is early/mail votes, expect it to overstate the Democratic side."</f>
        <v/>
      </c>
      <c r="L23" s="8" t="inlineStr"/>
      <c r="M23" s="8">
        <f>IF(Counties!AG1315=1,D23,G23)</f>
        <v/>
      </c>
    </row>
    <row r="24" ht="42" customHeight="1">
      <c r="A24" s="8" t="inlineStr">
        <is>
          <t>FL</t>
        </is>
      </c>
      <c r="B24" s="8" t="inlineStr">
        <is>
          <t>Osceola</t>
        </is>
      </c>
      <c r="C24" s="8" t="inlineStr">
        <is>
          <t>7:00 PM ET / 6:00 PM CST</t>
        </is>
      </c>
      <c r="D24" s="9">
        <f>Counties!T1312</f>
        <v/>
      </c>
      <c r="E24" s="10" t="n"/>
      <c r="F24" s="10" t="n"/>
      <c r="G24" s="9">
        <f>D24+IF(E24="",0,E24)+IF(F24="",0,F24)</f>
        <v/>
      </c>
      <c r="H24" s="9">
        <f>Counties!AH1312</f>
        <v/>
      </c>
      <c r="I24" s="13">
        <f>Counties!AO1312</f>
        <v/>
      </c>
      <c r="J24" s="8">
        <f>IF(H24="","not in yet",IF((H24-M24)&gt;=0.05,"Great for Nixon",IF((H24-M24)&gt;=0.01,"Nixon on track",IF((H24-M24)&gt;-0.01,"Toss-up",IF((H24-M24)&gt;-0.05,"Moody on track","Great for Moody"))))&amp;IF(Counties!AG1312=1," (final)"," (early batch)"))</f>
        <v/>
      </c>
      <c r="K24" s="17">
        <f>"No 2022 vote-method split for this county. The final break-even is "&amp;IF(D24&gt;=0,"D+","R+")&amp;TEXT(ABS(D24)*100,"0.0")&amp;". If the first batch is early/mail votes, expect it to overstate the Democratic side."</f>
        <v/>
      </c>
      <c r="L24" s="8" t="inlineStr"/>
      <c r="M24" s="8">
        <f>IF(Counties!AG1312=1,D24,G24)</f>
        <v/>
      </c>
    </row>
    <row r="25" ht="42" customHeight="1">
      <c r="A25" s="8" t="inlineStr">
        <is>
          <t>FL</t>
        </is>
      </c>
      <c r="B25" s="8" t="inlineStr">
        <is>
          <t>Duval</t>
        </is>
      </c>
      <c r="C25" s="8" t="inlineStr">
        <is>
          <t>7:00 PM ET / 6:00 PM CST</t>
        </is>
      </c>
      <c r="D25" s="9">
        <f>Counties!T1278</f>
        <v/>
      </c>
      <c r="E25" s="10" t="n"/>
      <c r="F25" s="10" t="n"/>
      <c r="G25" s="9">
        <f>D25+IF(E25="",0,E25)+IF(F25="",0,F25)</f>
        <v/>
      </c>
      <c r="H25" s="9">
        <f>Counties!AH1278</f>
        <v/>
      </c>
      <c r="I25" s="13">
        <f>Counties!AO1278</f>
        <v/>
      </c>
      <c r="J25" s="8">
        <f>IF(H25="","not in yet",IF((H25-M25)&gt;=0.05,"Great for Nixon",IF((H25-M25)&gt;=0.01,"Nixon on track",IF((H25-M25)&gt;-0.01,"Toss-up",IF((H25-M25)&gt;-0.05,"Moody on track","Great for Moody"))))&amp;IF(Counties!AG1278=1," (final)"," (early batch)"))</f>
        <v/>
      </c>
      <c r="K25" s="17">
        <f>"No 2022 vote-method split for this county. The final break-even is "&amp;IF(D25&gt;=0,"D+","R+")&amp;TEXT(ABS(D25)*100,"0.0")&amp;". If the first batch is early/mail votes, expect it to overstate the Democratic side."</f>
        <v/>
      </c>
      <c r="L25" s="8" t="inlineStr"/>
      <c r="M25" s="8">
        <f>IF(Counties!AG1278=1,D25,G25)</f>
        <v/>
      </c>
    </row>
    <row r="27" ht="44" customHeight="1">
      <c r="A27" s="38" t="inlineStr">
        <is>
          <t>Virginia · polls close 7:00 PM ET / 6:00 PM CST · Unverified for 2026. Virginia's early and mail votes have often come in as large batches from central absentee precincts. In 2022 they were much more Democratic than Election Day votes.</t>
        </is>
      </c>
      <c r="B27" s="39" t="n"/>
      <c r="C27" s="39" t="n"/>
      <c r="D27" s="39" t="n"/>
      <c r="E27" s="39" t="n"/>
      <c r="F27" s="39" t="n"/>
      <c r="G27" s="39" t="n"/>
      <c r="H27" s="39" t="n"/>
      <c r="I27" s="39" t="n"/>
      <c r="J27" s="39" t="n"/>
      <c r="K27" s="39" t="n"/>
      <c r="L27" s="39" t="inlineStr">
        <is>
          <t>MEDSL 2022 returns</t>
        </is>
      </c>
    </row>
    <row r="28" ht="42" customHeight="1">
      <c r="A28" s="8" t="inlineStr">
        <is>
          <t>VA</t>
        </is>
      </c>
      <c r="B28" s="8" t="inlineStr">
        <is>
          <t>Loudoun</t>
        </is>
      </c>
      <c r="C28" s="8" t="inlineStr">
        <is>
          <t>7:00 PM ET / 6:00 PM CST</t>
        </is>
      </c>
      <c r="D28" s="9">
        <f>Counties!T1401</f>
        <v/>
      </c>
      <c r="E28" s="10" t="n">
        <v>-0.001582137833267078</v>
      </c>
      <c r="F28" s="10" t="n"/>
      <c r="G28" s="9">
        <f>D28+IF(E28="",0,E28)+IF(F28="",0,F28)</f>
        <v/>
      </c>
      <c r="H28" s="9">
        <f>Counties!AH1401</f>
        <v/>
      </c>
      <c r="I28" s="13">
        <f>Counties!AO1401</f>
        <v/>
      </c>
      <c r="J28" s="8">
        <f>IF(H28="","not in yet",IF((H28-M28)&gt;=0.05,"Great for Warner",IF((H28-M28)&gt;=0.01,"Warner on track",IF((H28-M28)&gt;-0.01,"Toss-up",IF((H28-M28)&gt;-0.05,"Mizusawa on track","Great for Mizusawa"))))&amp;IF(Counties!AG1401=1," (final)"," (early batch)"))</f>
        <v/>
      </c>
      <c r="K28" s="17">
        <f>"Loudoun's early/mail vote ran "&amp;IF(E28&gt;=0,"D+","R+")&amp;TEXT(ABS(E28)*100,"0.0")&amp;" vs its total in 2022. So a first batch around "&amp;IF(G28&gt;=0,"D+","R+")&amp;TEXT(ABS(G28)*100,"0.0")&amp;" is only break-even for Warner. Well above it is a good sign; below it is a warning, because Election Day votes will pull it toward Mizusawa."</f>
        <v/>
      </c>
      <c r="L28" s="8" t="inlineStr"/>
      <c r="M28" s="8">
        <f>IF(Counties!AG1401=1,D28,G28)</f>
        <v/>
      </c>
    </row>
    <row r="29" ht="42" customHeight="1">
      <c r="A29" s="8" t="inlineStr">
        <is>
          <t>VA</t>
        </is>
      </c>
      <c r="B29" s="8" t="inlineStr">
        <is>
          <t>Prince William</t>
        </is>
      </c>
      <c r="C29" s="8" t="inlineStr">
        <is>
          <t>7:00 PM ET / 6:00 PM CST</t>
        </is>
      </c>
      <c r="D29" s="9">
        <f>Counties!T1431</f>
        <v/>
      </c>
      <c r="E29" s="10" t="n">
        <v>-0.002184688606715529</v>
      </c>
      <c r="F29" s="10" t="n"/>
      <c r="G29" s="9">
        <f>D29+IF(E29="",0,E29)+IF(F29="",0,F29)</f>
        <v/>
      </c>
      <c r="H29" s="9">
        <f>Counties!AH1431</f>
        <v/>
      </c>
      <c r="I29" s="13">
        <f>Counties!AO1431</f>
        <v/>
      </c>
      <c r="J29" s="8">
        <f>IF(H29="","not in yet",IF((H29-M29)&gt;=0.05,"Great for Warner",IF((H29-M29)&gt;=0.01,"Warner on track",IF((H29-M29)&gt;-0.01,"Toss-up",IF((H29-M29)&gt;-0.05,"Mizusawa on track","Great for Mizusawa"))))&amp;IF(Counties!AG1431=1," (final)"," (early batch)"))</f>
        <v/>
      </c>
      <c r="K29" s="17">
        <f>"Prince William's early/mail vote ran "&amp;IF(E29&gt;=0,"D+","R+")&amp;TEXT(ABS(E29)*100,"0.0")&amp;" vs its total in 2022. So a first batch around "&amp;IF(G29&gt;=0,"D+","R+")&amp;TEXT(ABS(G29)*100,"0.0")&amp;" is only break-even for Warner. Well above it is a good sign; below it is a warning, because Election Day votes will pull it toward Mizusawa."</f>
        <v/>
      </c>
      <c r="L29" s="8" t="inlineStr"/>
      <c r="M29" s="8">
        <f>IF(Counties!AG1431=1,D29,G29)</f>
        <v/>
      </c>
    </row>
    <row r="30" ht="42" customHeight="1">
      <c r="A30" s="8" t="inlineStr">
        <is>
          <t>VA</t>
        </is>
      </c>
      <c r="B30" s="8" t="inlineStr">
        <is>
          <t>Chesterfield</t>
        </is>
      </c>
      <c r="C30" s="8" t="inlineStr">
        <is>
          <t>7:00 PM ET / 6:00 PM CST</t>
        </is>
      </c>
      <c r="D30" s="9">
        <f>Counties!T1356</f>
        <v/>
      </c>
      <c r="E30" s="10" t="n">
        <v>-0.002057584701968044</v>
      </c>
      <c r="F30" s="10" t="n"/>
      <c r="G30" s="9">
        <f>D30+IF(E30="",0,E30)+IF(F30="",0,F30)</f>
        <v/>
      </c>
      <c r="H30" s="9">
        <f>Counties!AH1356</f>
        <v/>
      </c>
      <c r="I30" s="13">
        <f>Counties!AO1356</f>
        <v/>
      </c>
      <c r="J30" s="8">
        <f>IF(H30="","not in yet",IF((H30-M30)&gt;=0.05,"Great for Warner",IF((H30-M30)&gt;=0.01,"Warner on track",IF((H30-M30)&gt;-0.01,"Toss-up",IF((H30-M30)&gt;-0.05,"Mizusawa on track","Great for Mizusawa"))))&amp;IF(Counties!AG1356=1," (final)"," (early batch)"))</f>
        <v/>
      </c>
      <c r="K30" s="17">
        <f>"Chesterfield's early/mail vote ran "&amp;IF(E30&gt;=0,"D+","R+")&amp;TEXT(ABS(E30)*100,"0.0")&amp;" vs its total in 2022. So a first batch around "&amp;IF(G30&gt;=0,"D+","R+")&amp;TEXT(ABS(G30)*100,"0.0")&amp;" is only break-even for Warner. Well above it is a good sign; below it is a warning, because Election Day votes will pull it toward Mizusawa."</f>
        <v/>
      </c>
      <c r="L30" s="8" t="inlineStr"/>
      <c r="M30" s="8">
        <f>IF(Counties!AG1356=1,D30,G30)</f>
        <v/>
      </c>
    </row>
    <row r="32" ht="44" customHeight="1">
      <c r="A32" s="38" t="inlineStr">
        <is>
          <t>South Carolina · polls close 7:00 PM ET / 6:00 PM CST · Unverified: the order varies by county. Assume the first batches can be heavy on early votes.</t>
        </is>
      </c>
      <c r="B32" s="39" t="n"/>
      <c r="C32" s="39" t="n"/>
      <c r="D32" s="39" t="n"/>
      <c r="E32" s="39" t="n"/>
      <c r="F32" s="39" t="n"/>
      <c r="G32" s="39" t="n"/>
      <c r="H32" s="39" t="n"/>
      <c r="I32" s="39" t="n"/>
      <c r="J32" s="39" t="n"/>
      <c r="K32" s="39" t="n"/>
      <c r="L32" s="39" t="inlineStr"/>
    </row>
    <row r="33">
      <c r="A33" s="5" t="inlineStr">
        <is>
          <t>In 2022 the early vote was R+10.4 and the Election Day vote R+34.6, so counts that are mostly early votes flatter Democrats.</t>
        </is>
      </c>
    </row>
    <row r="34" ht="42" customHeight="1">
      <c r="A34" s="8" t="inlineStr">
        <is>
          <t>SC</t>
        </is>
      </c>
      <c r="B34" s="8" t="inlineStr">
        <is>
          <t>Charleston</t>
        </is>
      </c>
      <c r="C34" s="8" t="inlineStr">
        <is>
          <t>7:00 PM ET / 6:00 PM CST</t>
        </is>
      </c>
      <c r="D34" s="9">
        <f>Counties!T973</f>
        <v/>
      </c>
      <c r="E34" s="10" t="n">
        <v>0.07601358747192748</v>
      </c>
      <c r="F34" s="10" t="n"/>
      <c r="G34" s="9">
        <f>D34+IF(E34="",0,E34)+IF(F34="",0,F34)</f>
        <v/>
      </c>
      <c r="H34" s="9">
        <f>Counties!AH973</f>
        <v/>
      </c>
      <c r="I34" s="13">
        <f>Counties!AO973</f>
        <v/>
      </c>
      <c r="J34" s="8">
        <f>IF(H34="","not in yet",IF((H34-M34)&gt;=0.05,"Great for Andrews",IF((H34-M34)&gt;=0.01,"Andrews on track",IF((H34-M34)&gt;-0.01,"Toss-up",IF((H34-M34)&gt;-0.05,"Graham on track","Great for Graham"))))&amp;IF(Counties!AG973=1," (final)"," (early batch)"))</f>
        <v/>
      </c>
      <c r="K34" s="17">
        <f>"Charleston's early/mail vote ran "&amp;IF(E34&gt;=0,"D+","R+")&amp;TEXT(ABS(E34)*100,"0.0")&amp;" vs its total in 2022. So a first batch around "&amp;IF(G34&gt;=0,"D+","R+")&amp;TEXT(ABS(G34)*100,"0.0")&amp;" is only break-even for Andrews. Well above it is a good sign; below it is a warning, because Election Day votes will pull it toward Graham."</f>
        <v/>
      </c>
      <c r="L34" s="8" t="inlineStr"/>
      <c r="M34" s="8">
        <f>IF(Counties!AG973=1,D34,G34)</f>
        <v/>
      </c>
    </row>
    <row r="35" ht="42" customHeight="1">
      <c r="A35" s="8" t="inlineStr">
        <is>
          <t>SC</t>
        </is>
      </c>
      <c r="B35" s="8" t="inlineStr">
        <is>
          <t>Richland</t>
        </is>
      </c>
      <c r="C35" s="8" t="inlineStr">
        <is>
          <t>7:00 PM ET / 6:00 PM CST</t>
        </is>
      </c>
      <c r="D35" s="9">
        <f>Counties!T1003</f>
        <v/>
      </c>
      <c r="E35" s="10" t="n">
        <v>0.1025570054468578</v>
      </c>
      <c r="F35" s="10" t="n"/>
      <c r="G35" s="9">
        <f>D35+IF(E35="",0,E35)+IF(F35="",0,F35)</f>
        <v/>
      </c>
      <c r="H35" s="9">
        <f>Counties!AH1003</f>
        <v/>
      </c>
      <c r="I35" s="13">
        <f>Counties!AO1003</f>
        <v/>
      </c>
      <c r="J35" s="8">
        <f>IF(H35="","not in yet",IF((H35-M35)&gt;=0.05,"Great for Andrews",IF((H35-M35)&gt;=0.01,"Andrews on track",IF((H35-M35)&gt;-0.01,"Toss-up",IF((H35-M35)&gt;-0.05,"Graham on track","Great for Graham"))))&amp;IF(Counties!AG1003=1," (final)"," (early batch)"))</f>
        <v/>
      </c>
      <c r="K35" s="17">
        <f>"Richland's early/mail vote ran "&amp;IF(E35&gt;=0,"D+","R+")&amp;TEXT(ABS(E35)*100,"0.0")&amp;" vs its total in 2022. So a first batch around "&amp;IF(G35&gt;=0,"D+","R+")&amp;TEXT(ABS(G35)*100,"0.0")&amp;" is only break-even for Andrews. Well above it is a good sign; below it is a warning, because Election Day votes will pull it toward Graham."</f>
        <v/>
      </c>
      <c r="L35" s="8" t="inlineStr"/>
      <c r="M35" s="8">
        <f>IF(Counties!AG1003=1,D35,G35)</f>
        <v/>
      </c>
    </row>
    <row r="36" ht="42" customHeight="1">
      <c r="A36" s="8" t="inlineStr">
        <is>
          <t>SC</t>
        </is>
      </c>
      <c r="B36" s="8" t="inlineStr">
        <is>
          <t>Greenville</t>
        </is>
      </c>
      <c r="C36" s="8" t="inlineStr">
        <is>
          <t>7:00 PM ET / 6:00 PM CST</t>
        </is>
      </c>
      <c r="D36" s="9">
        <f>Counties!T986</f>
        <v/>
      </c>
      <c r="E36" s="10" t="n">
        <v>0.1851196174985484</v>
      </c>
      <c r="F36" s="10" t="n"/>
      <c r="G36" s="9">
        <f>D36+IF(E36="",0,E36)+IF(F36="",0,F36)</f>
        <v/>
      </c>
      <c r="H36" s="9">
        <f>Counties!AH986</f>
        <v/>
      </c>
      <c r="I36" s="13">
        <f>Counties!AO986</f>
        <v/>
      </c>
      <c r="J36" s="8">
        <f>IF(H36="","not in yet",IF((H36-M36)&gt;=0.05,"Great for Andrews",IF((H36-M36)&gt;=0.01,"Andrews on track",IF((H36-M36)&gt;-0.01,"Toss-up",IF((H36-M36)&gt;-0.05,"Graham on track","Great for Graham"))))&amp;IF(Counties!AG986=1," (final)"," (early batch)"))</f>
        <v/>
      </c>
      <c r="K36" s="17">
        <f>"Greenville's early/mail vote ran "&amp;IF(E36&gt;=0,"D+","R+")&amp;TEXT(ABS(E36)*100,"0.0")&amp;" vs its total in 2022. So a first batch around "&amp;IF(G36&gt;=0,"D+","R+")&amp;TEXT(ABS(G36)*100,"0.0")&amp;" is only break-even for Andrews. Well above it is a good sign; below it is a warning, because Election Day votes will pull it toward Graham."</f>
        <v/>
      </c>
      <c r="L36" s="8" t="inlineStr"/>
      <c r="M36" s="8">
        <f>IF(Counties!AG986=1,D36,G36)</f>
        <v/>
      </c>
    </row>
    <row r="37" ht="42" customHeight="1">
      <c r="A37" s="8" t="inlineStr">
        <is>
          <t>SC</t>
        </is>
      </c>
      <c r="B37" s="8" t="inlineStr">
        <is>
          <t>Horry</t>
        </is>
      </c>
      <c r="C37" s="8" t="inlineStr">
        <is>
          <t>7:00 PM ET / 6:00 PM CST</t>
        </is>
      </c>
      <c r="D37" s="9">
        <f>Counties!T989</f>
        <v/>
      </c>
      <c r="E37" s="10" t="n">
        <v>0.1137638461226428</v>
      </c>
      <c r="F37" s="10" t="n"/>
      <c r="G37" s="9">
        <f>D37+IF(E37="",0,E37)+IF(F37="",0,F37)</f>
        <v/>
      </c>
      <c r="H37" s="9">
        <f>Counties!AH989</f>
        <v/>
      </c>
      <c r="I37" s="13">
        <f>Counties!AO989</f>
        <v/>
      </c>
      <c r="J37" s="8">
        <f>IF(H37="","not in yet",IF((H37-M37)&gt;=0.05,"Great for Andrews",IF((H37-M37)&gt;=0.01,"Andrews on track",IF((H37-M37)&gt;-0.01,"Toss-up",IF((H37-M37)&gt;-0.05,"Graham on track","Great for Graham"))))&amp;IF(Counties!AG989=1," (final)"," (early batch)"))</f>
        <v/>
      </c>
      <c r="K37" s="17">
        <f>"Horry's early/mail vote ran "&amp;IF(E37&gt;=0,"D+","R+")&amp;TEXT(ABS(E37)*100,"0.0")&amp;" vs its total in 2022. So a first batch around "&amp;IF(G37&gt;=0,"D+","R+")&amp;TEXT(ABS(G37)*100,"0.0")&amp;" is only break-even for Andrews. Well above it is a good sign; below it is a warning, because Election Day votes will pull it toward Graham."</f>
        <v/>
      </c>
      <c r="L37" s="8" t="inlineStr"/>
      <c r="M37" s="8">
        <f>IF(Counties!AG989=1,D37,G37)</f>
        <v/>
      </c>
    </row>
    <row r="39" ht="44" customHeight="1">
      <c r="A39" s="38" t="inlineStr">
        <is>
          <t>New Hampshire · polls close 7:00 PM ET / 6:00 PM CST · Town by town, small towns first. New Hampshire has almost no early voting, so partial counts aren't skewed by vote method. They are skewed by geography: small rural towns report before Manchester and Nashua.</t>
        </is>
      </c>
      <c r="B39" s="39" t="n"/>
      <c r="C39" s="39" t="n"/>
      <c r="D39" s="39" t="n"/>
      <c r="E39" s="39" t="n"/>
      <c r="F39" s="39" t="n"/>
      <c r="G39" s="39" t="n"/>
      <c r="H39" s="39" t="n"/>
      <c r="I39" s="39" t="n"/>
      <c r="J39" s="39" t="n"/>
      <c r="K39" s="39" t="n"/>
      <c r="L39" s="39" t="inlineStr"/>
    </row>
    <row r="40" ht="42" customHeight="1">
      <c r="A40" s="8" t="inlineStr">
        <is>
          <t>NH</t>
        </is>
      </c>
      <c r="B40" s="8" t="inlineStr">
        <is>
          <t>Hillsborough</t>
        </is>
      </c>
      <c r="C40" s="8" t="inlineStr">
        <is>
          <t>7:00 PM ET / 6:00 PM CST</t>
        </is>
      </c>
      <c r="D40" s="9">
        <f>Counties!T871</f>
        <v/>
      </c>
      <c r="E40" s="10" t="n"/>
      <c r="F40" s="10" t="n"/>
      <c r="G40" s="9">
        <f>D40+IF(E40="",0,E40)+IF(F40="",0,F40)</f>
        <v/>
      </c>
      <c r="H40" s="9">
        <f>Counties!AH871</f>
        <v/>
      </c>
      <c r="I40" s="13">
        <f>Counties!AO871</f>
        <v/>
      </c>
      <c r="J40" s="8">
        <f>IF(H40="","not in yet",IF((H40-M40)&gt;=0.05,"Great for Pappas",IF((H40-M40)&gt;=0.01,"Pappas on track",IF((H40-M40)&gt;-0.01,"Toss-up",IF((H40-M40)&gt;-0.05,"Sununu on track","Great for Sununu"))))&amp;IF(Counties!AG871=1," (final)"," (early batch)"))</f>
        <v/>
      </c>
      <c r="K40" s="17">
        <f>"No 2022 vote-method split for this county. The final break-even is "&amp;IF(D40&gt;=0,"D+","R+")&amp;TEXT(ABS(D40)*100,"0.0")&amp;". New Hampshire has almost no early voting, so read partial counts by which towns are in, not vote method."</f>
        <v/>
      </c>
      <c r="L40" s="8" t="inlineStr"/>
      <c r="M40" s="8">
        <f>IF(Counties!AG871=1,D40,G40)</f>
        <v/>
      </c>
    </row>
    <row r="41" ht="42" customHeight="1">
      <c r="A41" s="8" t="inlineStr">
        <is>
          <t>NH</t>
        </is>
      </c>
      <c r="B41" s="8" t="inlineStr">
        <is>
          <t>Rockingham</t>
        </is>
      </c>
      <c r="C41" s="8" t="inlineStr">
        <is>
          <t>7:00 PM ET / 6:00 PM CST</t>
        </is>
      </c>
      <c r="D41" s="9">
        <f>Counties!T873</f>
        <v/>
      </c>
      <c r="E41" s="10" t="n"/>
      <c r="F41" s="10" t="n"/>
      <c r="G41" s="9">
        <f>D41+IF(E41="",0,E41)+IF(F41="",0,F41)</f>
        <v/>
      </c>
      <c r="H41" s="9">
        <f>Counties!AH873</f>
        <v/>
      </c>
      <c r="I41" s="13">
        <f>Counties!AO873</f>
        <v/>
      </c>
      <c r="J41" s="8">
        <f>IF(H41="","not in yet",IF((H41-M41)&gt;=0.05,"Great for Pappas",IF((H41-M41)&gt;=0.01,"Pappas on track",IF((H41-M41)&gt;-0.01,"Toss-up",IF((H41-M41)&gt;-0.05,"Sununu on track","Great for Sununu"))))&amp;IF(Counties!AG873=1," (final)"," (early batch)"))</f>
        <v/>
      </c>
      <c r="K41" s="17">
        <f>"No 2022 vote-method split for this county. The final break-even is "&amp;IF(D41&gt;=0,"D+","R+")&amp;TEXT(ABS(D41)*100,"0.0")&amp;". New Hampshire has almost no early voting, so read partial counts by which towns are in, not vote method."</f>
        <v/>
      </c>
      <c r="L41" s="8" t="inlineStr"/>
      <c r="M41" s="8">
        <f>IF(Counties!AG873=1,D41,G41)</f>
        <v/>
      </c>
    </row>
    <row r="42" ht="42" customHeight="1">
      <c r="A42" s="8" t="inlineStr">
        <is>
          <t>NH</t>
        </is>
      </c>
      <c r="B42" s="8" t="inlineStr">
        <is>
          <t>Merrimack</t>
        </is>
      </c>
      <c r="C42" s="8" t="inlineStr">
        <is>
          <t>7:00 PM ET / 6:00 PM CST</t>
        </is>
      </c>
      <c r="D42" s="9">
        <f>Counties!T872</f>
        <v/>
      </c>
      <c r="E42" s="10" t="n"/>
      <c r="F42" s="10" t="n"/>
      <c r="G42" s="9">
        <f>D42+IF(E42="",0,E42)+IF(F42="",0,F42)</f>
        <v/>
      </c>
      <c r="H42" s="9">
        <f>Counties!AH872</f>
        <v/>
      </c>
      <c r="I42" s="13">
        <f>Counties!AO872</f>
        <v/>
      </c>
      <c r="J42" s="8">
        <f>IF(H42="","not in yet",IF((H42-M42)&gt;=0.05,"Great for Pappas",IF((H42-M42)&gt;=0.01,"Pappas on track",IF((H42-M42)&gt;-0.01,"Toss-up",IF((H42-M42)&gt;-0.05,"Sununu on track","Great for Sununu"))))&amp;IF(Counties!AG872=1," (final)"," (early batch)"))</f>
        <v/>
      </c>
      <c r="K42" s="17">
        <f>"No 2022 vote-method split for this county. The final break-even is "&amp;IF(D42&gt;=0,"D+","R+")&amp;TEXT(ABS(D42)*100,"0.0")&amp;". New Hampshire has almost no early voting, so read partial counts by which towns are in, not vote method."</f>
        <v/>
      </c>
      <c r="L42" s="8" t="inlineStr"/>
      <c r="M42" s="8">
        <f>IF(Counties!AG872=1,D42,G42)</f>
        <v/>
      </c>
    </row>
    <row r="43" ht="42" customHeight="1">
      <c r="A43" s="8" t="inlineStr">
        <is>
          <t>NH</t>
        </is>
      </c>
      <c r="B43" s="8" t="inlineStr">
        <is>
          <t>Strafford</t>
        </is>
      </c>
      <c r="C43" s="8" t="inlineStr">
        <is>
          <t>7:00 PM ET / 6:00 PM CST</t>
        </is>
      </c>
      <c r="D43" s="9">
        <f>Counties!T874</f>
        <v/>
      </c>
      <c r="E43" s="10" t="n"/>
      <c r="F43" s="10" t="n"/>
      <c r="G43" s="9">
        <f>D43+IF(E43="",0,E43)+IF(F43="",0,F43)</f>
        <v/>
      </c>
      <c r="H43" s="9">
        <f>Counties!AH874</f>
        <v/>
      </c>
      <c r="I43" s="13">
        <f>Counties!AO874</f>
        <v/>
      </c>
      <c r="J43" s="8">
        <f>IF(H43="","not in yet",IF((H43-M43)&gt;=0.05,"Great for Pappas",IF((H43-M43)&gt;=0.01,"Pappas on track",IF((H43-M43)&gt;-0.01,"Toss-up",IF((H43-M43)&gt;-0.05,"Sununu on track","Great for Sununu"))))&amp;IF(Counties!AG874=1," (final)"," (early batch)"))</f>
        <v/>
      </c>
      <c r="K43" s="17">
        <f>"No 2022 vote-method split for this county. The final break-even is "&amp;IF(D43&gt;=0,"D+","R+")&amp;TEXT(ABS(D43)*100,"0.0")&amp;". New Hampshire has almost no early voting, so read partial counts by which towns are in, not vote method."</f>
        <v/>
      </c>
      <c r="L43" s="8" t="inlineStr"/>
      <c r="M43" s="8">
        <f>IF(Counties!AG874=1,D43,G43)</f>
        <v/>
      </c>
    </row>
    <row r="45" ht="44" customHeight="1">
      <c r="A45" s="38" t="inlineStr">
        <is>
          <t>North Carolina · polls close 7:30 PM ET / 6:30 PM CST · Mail ballots that arrived before Election Day come first, then early votes, which counties can't start tabulating until 7:30 PM. Both arrive between about 7:30 and 9:30 PM. Election Day precincts come in between about 8:30 PM and 1 AM.</t>
        </is>
      </c>
      <c r="B45" s="39" t="n"/>
      <c r="C45" s="39" t="n"/>
      <c r="D45" s="39" t="n"/>
      <c r="E45" s="39" t="n"/>
      <c r="F45" s="39" t="n"/>
      <c r="G45" s="39" t="n"/>
      <c r="H45" s="39" t="n"/>
      <c r="I45" s="39" t="n"/>
      <c r="J45" s="39" t="n"/>
      <c r="K45" s="39" t="n"/>
      <c r="L45" s="39" t="inlineStr">
        <is>
          <t>ABC11, 2024 counting guide</t>
        </is>
      </c>
    </row>
    <row r="46">
      <c r="A46" s="5" t="inlineStr">
        <is>
          <t>In 2022 the early vote was D+9.0 and the Election Day vote R+20.7, so counts that are mostly early votes flatter Democrats.</t>
        </is>
      </c>
    </row>
    <row r="47" ht="42" customHeight="1">
      <c r="A47" s="8" t="inlineStr">
        <is>
          <t>NC</t>
        </is>
      </c>
      <c r="B47" s="8" t="inlineStr">
        <is>
          <t>Wake</t>
        </is>
      </c>
      <c r="C47" s="8" t="inlineStr">
        <is>
          <t>7:30 PM ET / 6:30 PM CST</t>
        </is>
      </c>
      <c r="D47" s="9">
        <f>Counties!T764</f>
        <v/>
      </c>
      <c r="E47" s="10" t="n">
        <v>0.1216851719188241</v>
      </c>
      <c r="F47" s="10">
        <f>IFERROR(INDEX('Early Vote'!$Q:$Q,MATCH("Wake",'Early Vote'!$A:$A,0)),0)</f>
        <v/>
      </c>
      <c r="G47" s="9">
        <f>D47+IF(E47="",0,E47)+IF(F47="",0,F47)</f>
        <v/>
      </c>
      <c r="H47" s="9">
        <f>Counties!AH764</f>
        <v/>
      </c>
      <c r="I47" s="13">
        <f>Counties!AO764</f>
        <v/>
      </c>
      <c r="J47" s="8">
        <f>IF(H47="","not in yet",IF((H47-M47)&gt;=0.05,"Great for Cooper",IF((H47-M47)&gt;=0.01,"Cooper on track",IF((H47-M47)&gt;-0.01,"Toss-up",IF((H47-M47)&gt;-0.05,"Whatley on track","Great for Whatley"))))&amp;IF(Counties!AG764=1," (final)"," (early batch)"))</f>
        <v/>
      </c>
      <c r="K47" s="17">
        <f>"Wake's early/mail vote ran "&amp;IF(E47&gt;=0,"D+","R+")&amp;TEXT(ABS(E47)*100,"0.0")&amp;" vs its total in 2022. So a first batch around "&amp;IF(G47&gt;=0,"D+","R+")&amp;TEXT(ABS(G47)*100,"0.0")&amp;" is only break-even for Cooper. Well above it is a good sign; below it is a warning, because Election Day votes will pull it toward Whatley."</f>
        <v/>
      </c>
      <c r="L47" s="8" t="inlineStr"/>
      <c r="M47" s="8">
        <f>IF(Counties!AG764=1,D47,G47)</f>
        <v/>
      </c>
    </row>
    <row r="48" ht="42" customHeight="1">
      <c r="A48" s="8" t="inlineStr">
        <is>
          <t>NC</t>
        </is>
      </c>
      <c r="B48" s="8" t="inlineStr">
        <is>
          <t>Mecklenburg</t>
        </is>
      </c>
      <c r="C48" s="8" t="inlineStr">
        <is>
          <t>7:30 PM ET / 6:30 PM CST</t>
        </is>
      </c>
      <c r="D48" s="9">
        <f>Counties!T732</f>
        <v/>
      </c>
      <c r="E48" s="10" t="n">
        <v>0.08114753748375958</v>
      </c>
      <c r="F48" s="10">
        <f>IFERROR(INDEX('Early Vote'!$Q:$Q,MATCH("Mecklenburg",'Early Vote'!$A:$A,0)),0)</f>
        <v/>
      </c>
      <c r="G48" s="9">
        <f>D48+IF(E48="",0,E48)+IF(F48="",0,F48)</f>
        <v/>
      </c>
      <c r="H48" s="9">
        <f>Counties!AH732</f>
        <v/>
      </c>
      <c r="I48" s="13">
        <f>Counties!AO732</f>
        <v/>
      </c>
      <c r="J48" s="8">
        <f>IF(H48="","not in yet",IF((H48-M48)&gt;=0.05,"Great for Cooper",IF((H48-M48)&gt;=0.01,"Cooper on track",IF((H48-M48)&gt;-0.01,"Toss-up",IF((H48-M48)&gt;-0.05,"Whatley on track","Great for Whatley"))))&amp;IF(Counties!AG732=1," (final)"," (early batch)"))</f>
        <v/>
      </c>
      <c r="K48" s="17">
        <f>"Mecklenburg's early/mail vote ran "&amp;IF(E48&gt;=0,"D+","R+")&amp;TEXT(ABS(E48)*100,"0.0")&amp;" vs its total in 2022. So a first batch around "&amp;IF(G48&gt;=0,"D+","R+")&amp;TEXT(ABS(G48)*100,"0.0")&amp;" is only break-even for Cooper. Well above it is a good sign; below it is a warning, because Election Day votes will pull it toward Whatley."</f>
        <v/>
      </c>
      <c r="L48" s="8" t="inlineStr"/>
      <c r="M48" s="8">
        <f>IF(Counties!AG732=1,D48,G48)</f>
        <v/>
      </c>
    </row>
    <row r="49" ht="42" customHeight="1">
      <c r="A49" s="8" t="inlineStr">
        <is>
          <t>NC</t>
        </is>
      </c>
      <c r="B49" s="8" t="inlineStr">
        <is>
          <t>Guilford</t>
        </is>
      </c>
      <c r="C49" s="8" t="inlineStr">
        <is>
          <t>7:30 PM ET / 6:30 PM CST</t>
        </is>
      </c>
      <c r="D49" s="9">
        <f>Counties!T713</f>
        <v/>
      </c>
      <c r="E49" s="10" t="n">
        <v>0.08161899540123785</v>
      </c>
      <c r="F49" s="10">
        <f>IFERROR(INDEX('Early Vote'!$Q:$Q,MATCH("Guilford",'Early Vote'!$A:$A,0)),0)</f>
        <v/>
      </c>
      <c r="G49" s="9">
        <f>D49+IF(E49="",0,E49)+IF(F49="",0,F49)</f>
        <v/>
      </c>
      <c r="H49" s="9">
        <f>Counties!AH713</f>
        <v/>
      </c>
      <c r="I49" s="13">
        <f>Counties!AO713</f>
        <v/>
      </c>
      <c r="J49" s="8">
        <f>IF(H49="","not in yet",IF((H49-M49)&gt;=0.05,"Great for Cooper",IF((H49-M49)&gt;=0.01,"Cooper on track",IF((H49-M49)&gt;-0.01,"Toss-up",IF((H49-M49)&gt;-0.05,"Whatley on track","Great for Whatley"))))&amp;IF(Counties!AG713=1," (final)"," (early batch)"))</f>
        <v/>
      </c>
      <c r="K49" s="17">
        <f>"Guilford's early/mail vote ran "&amp;IF(E49&gt;=0,"D+","R+")&amp;TEXT(ABS(E49)*100,"0.0")&amp;" vs its total in 2022. So a first batch around "&amp;IF(G49&gt;=0,"D+","R+")&amp;TEXT(ABS(G49)*100,"0.0")&amp;" is only break-even for Cooper. Well above it is a good sign; below it is a warning, because Election Day votes will pull it toward Whatley."</f>
        <v/>
      </c>
      <c r="L49" s="8" t="inlineStr"/>
      <c r="M49" s="8">
        <f>IF(Counties!AG713=1,D49,G49)</f>
        <v/>
      </c>
    </row>
    <row r="50" ht="42" customHeight="1">
      <c r="A50" s="8" t="inlineStr">
        <is>
          <t>NC</t>
        </is>
      </c>
      <c r="B50" s="8" t="inlineStr">
        <is>
          <t>Durham</t>
        </is>
      </c>
      <c r="C50" s="8" t="inlineStr">
        <is>
          <t>7:30 PM ET / 6:30 PM CST</t>
        </is>
      </c>
      <c r="D50" s="9">
        <f>Counties!T704</f>
        <v/>
      </c>
      <c r="E50" s="10" t="n">
        <v>0.04556003466852232</v>
      </c>
      <c r="F50" s="10">
        <f>IFERROR(INDEX('Early Vote'!$Q:$Q,MATCH("Durham",'Early Vote'!$A:$A,0)),0)</f>
        <v/>
      </c>
      <c r="G50" s="9">
        <f>D50+IF(E50="",0,E50)+IF(F50="",0,F50)</f>
        <v/>
      </c>
      <c r="H50" s="9">
        <f>Counties!AH704</f>
        <v/>
      </c>
      <c r="I50" s="13">
        <f>Counties!AO704</f>
        <v/>
      </c>
      <c r="J50" s="8">
        <f>IF(H50="","not in yet",IF((H50-M50)&gt;=0.05,"Great for Cooper",IF((H50-M50)&gt;=0.01,"Cooper on track",IF((H50-M50)&gt;-0.01,"Toss-up",IF((H50-M50)&gt;-0.05,"Whatley on track","Great for Whatley"))))&amp;IF(Counties!AG704=1," (final)"," (early batch)"))</f>
        <v/>
      </c>
      <c r="K50" s="17">
        <f>"Durham's early/mail vote ran "&amp;IF(E50&gt;=0,"D+","R+")&amp;TEXT(ABS(E50)*100,"0.0")&amp;" vs its total in 2022. So a first batch around "&amp;IF(G50&gt;=0,"D+","R+")&amp;TEXT(ABS(G50)*100,"0.0")&amp;" is only break-even for Cooper. Well above it is a good sign; below it is a warning, because Election Day votes will pull it toward Whatley."</f>
        <v/>
      </c>
      <c r="L50" s="8" t="inlineStr"/>
      <c r="M50" s="8">
        <f>IF(Counties!AG704=1,D50,G50)</f>
        <v/>
      </c>
    </row>
    <row r="51" ht="42" customHeight="1">
      <c r="A51" s="8" t="inlineStr">
        <is>
          <t>NC</t>
        </is>
      </c>
      <c r="B51" s="8" t="inlineStr">
        <is>
          <t>New Hanover</t>
        </is>
      </c>
      <c r="C51" s="8" t="inlineStr">
        <is>
          <t>7:30 PM ET / 6:30 PM CST</t>
        </is>
      </c>
      <c r="D51" s="9">
        <f>Counties!T737</f>
        <v/>
      </c>
      <c r="E51" s="10" t="n">
        <v>0.09038380370746035</v>
      </c>
      <c r="F51" s="10">
        <f>IFERROR(INDEX('Early Vote'!$Q:$Q,MATCH("New Hanover",'Early Vote'!$A:$A,0)),0)</f>
        <v/>
      </c>
      <c r="G51" s="9">
        <f>D51+IF(E51="",0,E51)+IF(F51="",0,F51)</f>
        <v/>
      </c>
      <c r="H51" s="9">
        <f>Counties!AH737</f>
        <v/>
      </c>
      <c r="I51" s="13">
        <f>Counties!AO737</f>
        <v/>
      </c>
      <c r="J51" s="8">
        <f>IF(H51="","not in yet",IF((H51-M51)&gt;=0.05,"Great for Cooper",IF((H51-M51)&gt;=0.01,"Cooper on track",IF((H51-M51)&gt;-0.01,"Toss-up",IF((H51-M51)&gt;-0.05,"Whatley on track","Great for Whatley"))))&amp;IF(Counties!AG737=1," (final)"," (early batch)"))</f>
        <v/>
      </c>
      <c r="K51" s="17">
        <f>"New Hanover's early/mail vote ran "&amp;IF(E51&gt;=0,"D+","R+")&amp;TEXT(ABS(E51)*100,"0.0")&amp;" vs its total in 2022. So a first batch around "&amp;IF(G51&gt;=0,"D+","R+")&amp;TEXT(ABS(G51)*100,"0.0")&amp;" is only break-even for Cooper. Well above it is a good sign; below it is a warning, because Election Day votes will pull it toward Whatley."</f>
        <v/>
      </c>
      <c r="L51" s="8" t="inlineStr"/>
      <c r="M51" s="8">
        <f>IF(Counties!AG737=1,D51,G51)</f>
        <v/>
      </c>
    </row>
    <row r="52" ht="42" customHeight="1">
      <c r="A52" s="8" t="inlineStr">
        <is>
          <t>NC</t>
        </is>
      </c>
      <c r="B52" s="8" t="inlineStr">
        <is>
          <t>Johnston</t>
        </is>
      </c>
      <c r="C52" s="8" t="inlineStr">
        <is>
          <t>7:30 PM ET / 6:30 PM CST</t>
        </is>
      </c>
      <c r="D52" s="9">
        <f>Counties!T723</f>
        <v/>
      </c>
      <c r="E52" s="10" t="n">
        <v>0.1511577099304963</v>
      </c>
      <c r="F52" s="10">
        <f>IFERROR(INDEX('Early Vote'!$Q:$Q,MATCH("Johnston",'Early Vote'!$A:$A,0)),0)</f>
        <v/>
      </c>
      <c r="G52" s="9">
        <f>D52+IF(E52="",0,E52)+IF(F52="",0,F52)</f>
        <v/>
      </c>
      <c r="H52" s="9">
        <f>Counties!AH723</f>
        <v/>
      </c>
      <c r="I52" s="13">
        <f>Counties!AO723</f>
        <v/>
      </c>
      <c r="J52" s="8">
        <f>IF(H52="","not in yet",IF((H52-M52)&gt;=0.05,"Great for Cooper",IF((H52-M52)&gt;=0.01,"Cooper on track",IF((H52-M52)&gt;-0.01,"Toss-up",IF((H52-M52)&gt;-0.05,"Whatley on track","Great for Whatley"))))&amp;IF(Counties!AG723=1," (final)"," (early batch)"))</f>
        <v/>
      </c>
      <c r="K52" s="17">
        <f>"Johnston's early/mail vote ran "&amp;IF(E52&gt;=0,"D+","R+")&amp;TEXT(ABS(E52)*100,"0.0")&amp;" vs its total in 2022. So a first batch around "&amp;IF(G52&gt;=0,"D+","R+")&amp;TEXT(ABS(G52)*100,"0.0")&amp;" is only break-even for Cooper. Well above it is a good sign; below it is a warning, because Election Day votes will pull it toward Whatley."</f>
        <v/>
      </c>
      <c r="L52" s="8" t="inlineStr"/>
      <c r="M52" s="8">
        <f>IF(Counties!AG723=1,D52,G52)</f>
        <v/>
      </c>
    </row>
    <row r="54" ht="44" customHeight="1">
      <c r="A54" s="38" t="inlineStr">
        <is>
          <t>Ohio · polls close 7:30 PM ET / 6:30 PM CST · Early in-person and mail ballots come first, right after polls close at 7:30 PM. Counties can process them for two weeks beforehand. Election Day precincts follow.</t>
        </is>
      </c>
      <c r="B54" s="39" t="n"/>
      <c r="C54" s="39" t="n"/>
      <c r="D54" s="39" t="n"/>
      <c r="E54" s="39" t="n"/>
      <c r="F54" s="39" t="n"/>
      <c r="G54" s="39" t="n"/>
      <c r="H54" s="39" t="n"/>
      <c r="I54" s="39" t="n"/>
      <c r="J54" s="39" t="n"/>
      <c r="K54" s="39" t="n"/>
      <c r="L54" s="39" t="inlineStr">
        <is>
          <t>Mahoning Matters, 2024</t>
        </is>
      </c>
    </row>
    <row r="55" ht="42" customHeight="1">
      <c r="A55" s="8" t="inlineStr">
        <is>
          <t>OH</t>
        </is>
      </c>
      <c r="B55" s="8" t="inlineStr">
        <is>
          <t>Franklin</t>
        </is>
      </c>
      <c r="C55" s="8" t="inlineStr">
        <is>
          <t>7:30 PM ET / 6:30 PM CST</t>
        </is>
      </c>
      <c r="D55" s="9">
        <f>Counties!T900</f>
        <v/>
      </c>
      <c r="E55" s="10" t="n"/>
      <c r="F55" s="10" t="n"/>
      <c r="G55" s="9">
        <f>D55+IF(E55="",0,E55)+IF(F55="",0,F55)</f>
        <v/>
      </c>
      <c r="H55" s="9">
        <f>Counties!AH900</f>
        <v/>
      </c>
      <c r="I55" s="13">
        <f>Counties!AO900</f>
        <v/>
      </c>
      <c r="J55" s="8">
        <f>IF(H55="","not in yet",IF((H55-M55)&gt;=0.05,"Great for Brown",IF((H55-M55)&gt;=0.01,"Brown on track",IF((H55-M55)&gt;-0.01,"Toss-up",IF((H55-M55)&gt;-0.05,"Husted on track","Great for Husted"))))&amp;IF(Counties!AG900=1," (final)"," (early batch)"))</f>
        <v/>
      </c>
      <c r="K55" s="17">
        <f>"No 2022 vote-method split for this county. The final break-even is "&amp;IF(D55&gt;=0,"D+","R+")&amp;TEXT(ABS(D55)*100,"0.0")&amp;". If the first batch is early/mail votes, expect it to overstate the Democratic side."</f>
        <v/>
      </c>
      <c r="L55" s="8" t="inlineStr"/>
      <c r="M55" s="8">
        <f>IF(Counties!AG900=1,D55,G55)</f>
        <v/>
      </c>
    </row>
    <row r="56" ht="42" customHeight="1">
      <c r="A56" s="8" t="inlineStr">
        <is>
          <t>OH</t>
        </is>
      </c>
      <c r="B56" s="8" t="inlineStr">
        <is>
          <t>Cuyahoga</t>
        </is>
      </c>
      <c r="C56" s="8" t="inlineStr">
        <is>
          <t>7:30 PM ET / 6:30 PM CST</t>
        </is>
      </c>
      <c r="D56" s="9">
        <f>Counties!T893</f>
        <v/>
      </c>
      <c r="E56" s="10" t="n"/>
      <c r="F56" s="10" t="n"/>
      <c r="G56" s="9">
        <f>D56+IF(E56="",0,E56)+IF(F56="",0,F56)</f>
        <v/>
      </c>
      <c r="H56" s="9">
        <f>Counties!AH893</f>
        <v/>
      </c>
      <c r="I56" s="13">
        <f>Counties!AO893</f>
        <v/>
      </c>
      <c r="J56" s="8">
        <f>IF(H56="","not in yet",IF((H56-M56)&gt;=0.05,"Great for Brown",IF((H56-M56)&gt;=0.01,"Brown on track",IF((H56-M56)&gt;-0.01,"Toss-up",IF((H56-M56)&gt;-0.05,"Husted on track","Great for Husted"))))&amp;IF(Counties!AG893=1," (final)"," (early batch)"))</f>
        <v/>
      </c>
      <c r="K56" s="17">
        <f>"No 2022 vote-method split for this county. The final break-even is "&amp;IF(D56&gt;=0,"D+","R+")&amp;TEXT(ABS(D56)*100,"0.0")&amp;". If the first batch is early/mail votes, expect it to overstate the Democratic side."</f>
        <v/>
      </c>
      <c r="L56" s="8" t="inlineStr"/>
      <c r="M56" s="8">
        <f>IF(Counties!AG893=1,D56,G56)</f>
        <v/>
      </c>
    </row>
    <row r="57" ht="42" customHeight="1">
      <c r="A57" s="8" t="inlineStr">
        <is>
          <t>OH</t>
        </is>
      </c>
      <c r="B57" s="8" t="inlineStr">
        <is>
          <t>Hamilton</t>
        </is>
      </c>
      <c r="C57" s="8" t="inlineStr">
        <is>
          <t>7:30 PM ET / 6:30 PM CST</t>
        </is>
      </c>
      <c r="D57" s="9">
        <f>Counties!T906</f>
        <v/>
      </c>
      <c r="E57" s="10" t="n"/>
      <c r="F57" s="10" t="n"/>
      <c r="G57" s="9">
        <f>D57+IF(E57="",0,E57)+IF(F57="",0,F57)</f>
        <v/>
      </c>
      <c r="H57" s="9">
        <f>Counties!AH906</f>
        <v/>
      </c>
      <c r="I57" s="13">
        <f>Counties!AO906</f>
        <v/>
      </c>
      <c r="J57" s="8">
        <f>IF(H57="","not in yet",IF((H57-M57)&gt;=0.05,"Great for Brown",IF((H57-M57)&gt;=0.01,"Brown on track",IF((H57-M57)&gt;-0.01,"Toss-up",IF((H57-M57)&gt;-0.05,"Husted on track","Great for Husted"))))&amp;IF(Counties!AG906=1," (final)"," (early batch)"))</f>
        <v/>
      </c>
      <c r="K57" s="17">
        <f>"No 2022 vote-method split for this county. The final break-even is "&amp;IF(D57&gt;=0,"D+","R+")&amp;TEXT(ABS(D57)*100,"0.0")&amp;". If the first batch is early/mail votes, expect it to overstate the Democratic side."</f>
        <v/>
      </c>
      <c r="L57" s="8" t="inlineStr"/>
      <c r="M57" s="8">
        <f>IF(Counties!AG906=1,D57,G57)</f>
        <v/>
      </c>
    </row>
    <row r="58" ht="42" customHeight="1">
      <c r="A58" s="8" t="inlineStr">
        <is>
          <t>OH</t>
        </is>
      </c>
      <c r="B58" s="8" t="inlineStr">
        <is>
          <t>Montgomery</t>
        </is>
      </c>
      <c r="C58" s="8" t="inlineStr">
        <is>
          <t>7:30 PM ET / 6:30 PM CST</t>
        </is>
      </c>
      <c r="D58" s="9">
        <f>Counties!T932</f>
        <v/>
      </c>
      <c r="E58" s="10" t="n"/>
      <c r="F58" s="10" t="n"/>
      <c r="G58" s="9">
        <f>D58+IF(E58="",0,E58)+IF(F58="",0,F58)</f>
        <v/>
      </c>
      <c r="H58" s="9">
        <f>Counties!AH932</f>
        <v/>
      </c>
      <c r="I58" s="13">
        <f>Counties!AO932</f>
        <v/>
      </c>
      <c r="J58" s="8">
        <f>IF(H58="","not in yet",IF((H58-M58)&gt;=0.05,"Great for Brown",IF((H58-M58)&gt;=0.01,"Brown on track",IF((H58-M58)&gt;-0.01,"Toss-up",IF((H58-M58)&gt;-0.05,"Husted on track","Great for Husted"))))&amp;IF(Counties!AG932=1," (final)"," (early batch)"))</f>
        <v/>
      </c>
      <c r="K58" s="17">
        <f>"No 2022 vote-method split for this county. The final break-even is "&amp;IF(D58&gt;=0,"D+","R+")&amp;TEXT(ABS(D58)*100,"0.0")&amp;". If the first batch is early/mail votes, expect it to overstate the Democratic side."</f>
        <v/>
      </c>
      <c r="L58" s="8" t="inlineStr"/>
      <c r="M58" s="8">
        <f>IF(Counties!AG932=1,D58,G58)</f>
        <v/>
      </c>
    </row>
    <row r="60" ht="44" customHeight="1">
      <c r="A60" s="38" t="inlineStr">
        <is>
          <t>Michigan · polls close 8:00 PM ET / 7:00 PM CST · Absentees can be pre-processed but not tabulated until polls close. County and clerk sites update before the state's page, which is last. In the 2024 primary, Detroit had more than 80% of its absentees in by 10:30 PM. Four Upper Peninsula counties close at 9 PM ET.</t>
        </is>
      </c>
      <c r="B60" s="39" t="n"/>
      <c r="C60" s="39" t="n"/>
      <c r="D60" s="39" t="n"/>
      <c r="E60" s="39" t="n"/>
      <c r="F60" s="39" t="n"/>
      <c r="G60" s="39" t="n"/>
      <c r="H60" s="39" t="n"/>
      <c r="I60" s="39" t="n"/>
      <c r="J60" s="39" t="n"/>
      <c r="K60" s="39" t="n"/>
      <c r="L60" s="39" t="inlineStr">
        <is>
          <t>Votebeat Michigan, Aug 2026</t>
        </is>
      </c>
    </row>
    <row r="61" ht="42" customHeight="1">
      <c r="A61" s="8" t="inlineStr">
        <is>
          <t>MI</t>
        </is>
      </c>
      <c r="B61" s="8" t="inlineStr">
        <is>
          <t>Kent</t>
        </is>
      </c>
      <c r="C61" s="8" t="inlineStr">
        <is>
          <t>8:00 PM ET / 7:00 PM CST</t>
        </is>
      </c>
      <c r="D61" s="9">
        <f>Counties!T461</f>
        <v/>
      </c>
      <c r="E61" s="10" t="n"/>
      <c r="F61" s="10" t="n"/>
      <c r="G61" s="9">
        <f>D61+IF(E61="",0,E61)+IF(F61="",0,F61)</f>
        <v/>
      </c>
      <c r="H61" s="9">
        <f>Counties!AH461</f>
        <v/>
      </c>
      <c r="I61" s="13">
        <f>Counties!AO461</f>
        <v/>
      </c>
      <c r="J61" s="8">
        <f>IF(H61="","not in yet",IF((H61-M61)&gt;=0.05,"Great for El-Sayed",IF((H61-M61)&gt;=0.01,"El-Sayed on track",IF((H61-M61)&gt;-0.01,"Toss-up",IF((H61-M61)&gt;-0.05,"Rogers on track","Great for Rogers"))))&amp;IF(Counties!AG461=1," (final)"," (early batch)"))</f>
        <v/>
      </c>
      <c r="K61" s="17">
        <f>"No 2022 vote-method split for this county. The final break-even is "&amp;IF(D61&gt;=0,"D+","R+")&amp;TEXT(ABS(D61)*100,"0.0")&amp;". If the first batch is early/mail votes, expect it to overstate the Democratic side."</f>
        <v/>
      </c>
      <c r="L61" s="8" t="inlineStr"/>
      <c r="M61" s="8">
        <f>IF(Counties!AG461=1,D61,G61)</f>
        <v/>
      </c>
    </row>
    <row r="62" ht="42" customHeight="1">
      <c r="A62" s="8" t="inlineStr">
        <is>
          <t>MI</t>
        </is>
      </c>
      <c r="B62" s="8" t="inlineStr">
        <is>
          <t>Oakland</t>
        </is>
      </c>
      <c r="C62" s="8" t="inlineStr">
        <is>
          <t>8:00 PM ET / 7:00 PM CST</t>
        </is>
      </c>
      <c r="D62" s="9">
        <f>Counties!T483</f>
        <v/>
      </c>
      <c r="E62" s="10" t="n"/>
      <c r="F62" s="10" t="n"/>
      <c r="G62" s="9">
        <f>D62+IF(E62="",0,E62)+IF(F62="",0,F62)</f>
        <v/>
      </c>
      <c r="H62" s="9">
        <f>Counties!AH483</f>
        <v/>
      </c>
      <c r="I62" s="13">
        <f>Counties!AO483</f>
        <v/>
      </c>
      <c r="J62" s="8">
        <f>IF(H62="","not in yet",IF((H62-M62)&gt;=0.05,"Great for El-Sayed",IF((H62-M62)&gt;=0.01,"El-Sayed on track",IF((H62-M62)&gt;-0.01,"Toss-up",IF((H62-M62)&gt;-0.05,"Rogers on track","Great for Rogers"))))&amp;IF(Counties!AG483=1," (final)"," (early batch)"))</f>
        <v/>
      </c>
      <c r="K62" s="17">
        <f>"No 2022 vote-method split for this county. The final break-even is "&amp;IF(D62&gt;=0,"D+","R+")&amp;TEXT(ABS(D62)*100,"0.0")&amp;". If the first batch is early/mail votes, expect it to overstate the Democratic side."</f>
        <v/>
      </c>
      <c r="L62" s="8" t="inlineStr"/>
      <c r="M62" s="8">
        <f>IF(Counties!AG483=1,D62,G62)</f>
        <v/>
      </c>
    </row>
    <row r="63" ht="42" customHeight="1">
      <c r="A63" s="8" t="inlineStr">
        <is>
          <t>MI</t>
        </is>
      </c>
      <c r="B63" s="8" t="inlineStr">
        <is>
          <t>Macomb</t>
        </is>
      </c>
      <c r="C63" s="8" t="inlineStr">
        <is>
          <t>8:00 PM ET / 7:00 PM CST</t>
        </is>
      </c>
      <c r="D63" s="9">
        <f>Counties!T470</f>
        <v/>
      </c>
      <c r="E63" s="10" t="n">
        <v>0.2184167181440969</v>
      </c>
      <c r="F63" s="10" t="n"/>
      <c r="G63" s="9">
        <f>D63+IF(E63="",0,E63)+IF(F63="",0,F63)</f>
        <v/>
      </c>
      <c r="H63" s="9">
        <f>Counties!AH470</f>
        <v/>
      </c>
      <c r="I63" s="13">
        <f>Counties!AO470</f>
        <v/>
      </c>
      <c r="J63" s="8">
        <f>IF(H63="","not in yet",IF((H63-M63)&gt;=0.05,"Great for El-Sayed",IF((H63-M63)&gt;=0.01,"El-Sayed on track",IF((H63-M63)&gt;-0.01,"Toss-up",IF((H63-M63)&gt;-0.05,"Rogers on track","Great for Rogers"))))&amp;IF(Counties!AG470=1," (final)"," (early batch)"))</f>
        <v/>
      </c>
      <c r="K63" s="17">
        <f>"Macomb's early/mail vote ran "&amp;IF(E63&gt;=0,"D+","R+")&amp;TEXT(ABS(E63)*100,"0.0")&amp;" vs its total in 2022. So a first batch around "&amp;IF(G63&gt;=0,"D+","R+")&amp;TEXT(ABS(G63)*100,"0.0")&amp;" is only break-even for El-Sayed. Well above it is a good sign; below it is a warning, because Election Day votes will pull it toward Rogers."</f>
        <v/>
      </c>
      <c r="L63" s="8" t="inlineStr"/>
      <c r="M63" s="8">
        <f>IF(Counties!AG470=1,D63,G63)</f>
        <v/>
      </c>
    </row>
    <row r="64" ht="42" customHeight="1">
      <c r="A64" s="8" t="inlineStr">
        <is>
          <t>MI</t>
        </is>
      </c>
      <c r="B64" s="8" t="inlineStr">
        <is>
          <t>Wayne</t>
        </is>
      </c>
      <c r="C64" s="8" t="inlineStr">
        <is>
          <t>8:00 PM ET / 7:00 PM CST</t>
        </is>
      </c>
      <c r="D64" s="9">
        <f>Counties!T502</f>
        <v/>
      </c>
      <c r="E64" s="10" t="n">
        <v>0.01835867173086464</v>
      </c>
      <c r="F64" s="10" t="n"/>
      <c r="G64" s="9">
        <f>D64+IF(E64="",0,E64)+IF(F64="",0,F64)</f>
        <v/>
      </c>
      <c r="H64" s="9">
        <f>Counties!AH502</f>
        <v/>
      </c>
      <c r="I64" s="13">
        <f>Counties!AO502</f>
        <v/>
      </c>
      <c r="J64" s="8">
        <f>IF(H64="","not in yet",IF((H64-M64)&gt;=0.05,"Great for El-Sayed",IF((H64-M64)&gt;=0.01,"El-Sayed on track",IF((H64-M64)&gt;-0.01,"Toss-up",IF((H64-M64)&gt;-0.05,"Rogers on track","Great for Rogers"))))&amp;IF(Counties!AG502=1," (final)"," (early batch)"))</f>
        <v/>
      </c>
      <c r="K64" s="17">
        <f>"Wayne's early/mail vote ran "&amp;IF(E64&gt;=0,"D+","R+")&amp;TEXT(ABS(E64)*100,"0.0")&amp;" vs its total in 2022. So a first batch around "&amp;IF(G64&gt;=0,"D+","R+")&amp;TEXT(ABS(G64)*100,"0.0")&amp;" is only break-even for El-Sayed. Well above it is a good sign; below it is a warning, because Election Day votes will pull it toward Rogers."</f>
        <v/>
      </c>
      <c r="L64" s="8" t="inlineStr"/>
      <c r="M64" s="8">
        <f>IF(Counties!AG502=1,D64,G64)</f>
        <v/>
      </c>
    </row>
    <row r="66" ht="44" customHeight="1">
      <c r="A66" s="38" t="inlineStr">
        <is>
          <t>Texas · polls close 8:00 PM ET / 7:00 PM CST · Early vote and mail ballots received so far are released shortly after polls close (8 PM ET in most of the state). In 2020, 88% of Harris County's votes were in that first batch, so the first number is most of the vote. Election Day counts are slow in Harris, Dallas, Tarrant and Collin.</t>
        </is>
      </c>
      <c r="B66" s="39" t="n"/>
      <c r="C66" s="39" t="n"/>
      <c r="D66" s="39" t="n"/>
      <c r="E66" s="39" t="n"/>
      <c r="F66" s="39" t="n"/>
      <c r="G66" s="39" t="n"/>
      <c r="H66" s="39" t="n"/>
      <c r="I66" s="39" t="n"/>
      <c r="J66" s="39" t="n"/>
      <c r="K66" s="39" t="n"/>
      <c r="L66" s="39" t="inlineStr">
        <is>
          <t>Texas Tribune, Oct 31 2024</t>
        </is>
      </c>
    </row>
    <row r="67" ht="42" customHeight="1">
      <c r="A67" s="8" t="inlineStr">
        <is>
          <t>TX</t>
        </is>
      </c>
      <c r="B67" s="8" t="inlineStr">
        <is>
          <t>Harris</t>
        </is>
      </c>
      <c r="C67" s="8" t="inlineStr">
        <is>
          <t>8:00 PM ET / 7:00 PM CST</t>
        </is>
      </c>
      <c r="D67" s="9">
        <f>Counties!T1110</f>
        <v/>
      </c>
      <c r="E67" s="10" t="n"/>
      <c r="F67" s="10" t="n"/>
      <c r="G67" s="9">
        <f>D67+IF(E67="",0,E67)+IF(F67="",0,F67)</f>
        <v/>
      </c>
      <c r="H67" s="9">
        <f>Counties!AH1110</f>
        <v/>
      </c>
      <c r="I67" s="13">
        <f>Counties!AO1110</f>
        <v/>
      </c>
      <c r="J67" s="8">
        <f>IF(H67="","not in yet",IF((H67-M67)&gt;=0.05,"Great for Talarico",IF((H67-M67)&gt;=0.01,"Talarico on track",IF((H67-M67)&gt;-0.01,"Toss-up",IF((H67-M67)&gt;-0.05,"Paxton on track","Great for Paxton"))))&amp;IF(Counties!AG1110=1," (final)"," (early batch)"))</f>
        <v/>
      </c>
      <c r="K67" s="17">
        <f>"No 2022 vote-method split for this county. The final break-even is "&amp;IF(D67&gt;=0,"D+","R+")&amp;TEXT(ABS(D67)*100,"0.0")&amp;". The first Texas batch is most of the vote, so it should land within a few points of the final."</f>
        <v/>
      </c>
      <c r="L67" s="8" t="inlineStr"/>
      <c r="M67" s="8">
        <f>IF(Counties!AG1110=1,D67,G67)</f>
        <v/>
      </c>
    </row>
    <row r="68" ht="42" customHeight="1">
      <c r="A68" s="8" t="inlineStr">
        <is>
          <t>TX</t>
        </is>
      </c>
      <c r="B68" s="8" t="inlineStr">
        <is>
          <t>Dallas</t>
        </is>
      </c>
      <c r="C68" s="8" t="inlineStr">
        <is>
          <t>8:00 PM ET / 7:00 PM CST</t>
        </is>
      </c>
      <c r="D68" s="9">
        <f>Counties!T1066</f>
        <v/>
      </c>
      <c r="E68" s="10" t="n"/>
      <c r="F68" s="10" t="n"/>
      <c r="G68" s="9">
        <f>D68+IF(E68="",0,E68)+IF(F68="",0,F68)</f>
        <v/>
      </c>
      <c r="H68" s="9">
        <f>Counties!AH1066</f>
        <v/>
      </c>
      <c r="I68" s="13">
        <f>Counties!AO1066</f>
        <v/>
      </c>
      <c r="J68" s="8">
        <f>IF(H68="","not in yet",IF((H68-M68)&gt;=0.05,"Great for Talarico",IF((H68-M68)&gt;=0.01,"Talarico on track",IF((H68-M68)&gt;-0.01,"Toss-up",IF((H68-M68)&gt;-0.05,"Paxton on track","Great for Paxton"))))&amp;IF(Counties!AG1066=1," (final)"," (early batch)"))</f>
        <v/>
      </c>
      <c r="K68" s="17">
        <f>"No 2022 vote-method split for this county. The final break-even is "&amp;IF(D68&gt;=0,"D+","R+")&amp;TEXT(ABS(D68)*100,"0.0")&amp;". The first Texas batch is most of the vote, so it should land within a few points of the final."</f>
        <v/>
      </c>
      <c r="L68" s="8" t="inlineStr"/>
      <c r="M68" s="8">
        <f>IF(Counties!AG1066=1,D68,G68)</f>
        <v/>
      </c>
    </row>
    <row r="69" ht="42" customHeight="1">
      <c r="A69" s="8" t="inlineStr">
        <is>
          <t>TX</t>
        </is>
      </c>
      <c r="B69" s="8" t="inlineStr">
        <is>
          <t>Tarrant</t>
        </is>
      </c>
      <c r="C69" s="8" t="inlineStr">
        <is>
          <t>8:00 PM ET / 7:00 PM CST</t>
        </is>
      </c>
      <c r="D69" s="9">
        <f>Counties!T1229</f>
        <v/>
      </c>
      <c r="E69" s="10" t="n"/>
      <c r="F69" s="10" t="n"/>
      <c r="G69" s="9">
        <f>D69+IF(E69="",0,E69)+IF(F69="",0,F69)</f>
        <v/>
      </c>
      <c r="H69" s="9">
        <f>Counties!AH1229</f>
        <v/>
      </c>
      <c r="I69" s="13">
        <f>Counties!AO1229</f>
        <v/>
      </c>
      <c r="J69" s="8">
        <f>IF(H69="","not in yet",IF((H69-M69)&gt;=0.05,"Great for Talarico",IF((H69-M69)&gt;=0.01,"Talarico on track",IF((H69-M69)&gt;-0.01,"Toss-up",IF((H69-M69)&gt;-0.05,"Paxton on track","Great for Paxton"))))&amp;IF(Counties!AG1229=1," (final)"," (early batch)"))</f>
        <v/>
      </c>
      <c r="K69" s="17">
        <f>"No 2022 vote-method split for this county. The final break-even is "&amp;IF(D69&gt;=0,"D+","R+")&amp;TEXT(ABS(D69)*100,"0.0")&amp;". The first Texas batch is most of the vote, so it should land within a few points of the final."</f>
        <v/>
      </c>
      <c r="L69" s="8" t="inlineStr"/>
      <c r="M69" s="8">
        <f>IF(Counties!AG1229=1,D69,G69)</f>
        <v/>
      </c>
    </row>
    <row r="70" ht="42" customHeight="1">
      <c r="A70" s="8" t="inlineStr">
        <is>
          <t>TX</t>
        </is>
      </c>
      <c r="B70" s="8" t="inlineStr">
        <is>
          <t>Bexar</t>
        </is>
      </c>
      <c r="C70" s="8" t="inlineStr">
        <is>
          <t>8:00 PM ET / 7:00 PM CST</t>
        </is>
      </c>
      <c r="D70" s="9">
        <f>Counties!T1024</f>
        <v/>
      </c>
      <c r="E70" s="10" t="n"/>
      <c r="F70" s="10" t="n"/>
      <c r="G70" s="9">
        <f>D70+IF(E70="",0,E70)+IF(F70="",0,F70)</f>
        <v/>
      </c>
      <c r="H70" s="9">
        <f>Counties!AH1024</f>
        <v/>
      </c>
      <c r="I70" s="13">
        <f>Counties!AO1024</f>
        <v/>
      </c>
      <c r="J70" s="8">
        <f>IF(H70="","not in yet",IF((H70-M70)&gt;=0.05,"Great for Talarico",IF((H70-M70)&gt;=0.01,"Talarico on track",IF((H70-M70)&gt;-0.01,"Toss-up",IF((H70-M70)&gt;-0.05,"Paxton on track","Great for Paxton"))))&amp;IF(Counties!AG1024=1," (final)"," (early batch)"))</f>
        <v/>
      </c>
      <c r="K70" s="17">
        <f>"No 2022 vote-method split for this county. The final break-even is "&amp;IF(D70&gt;=0,"D+","R+")&amp;TEXT(ABS(D70)*100,"0.0")&amp;". The first Texas batch is most of the vote, so it should land within a few points of the final."</f>
        <v/>
      </c>
      <c r="L70" s="8" t="inlineStr"/>
      <c r="M70" s="8">
        <f>IF(Counties!AG1024=1,D70,G70)</f>
        <v/>
      </c>
    </row>
    <row r="71" ht="42" customHeight="1">
      <c r="A71" s="8" t="inlineStr">
        <is>
          <t>TX</t>
        </is>
      </c>
      <c r="B71" s="8" t="inlineStr">
        <is>
          <t>Travis</t>
        </is>
      </c>
      <c r="C71" s="8" t="inlineStr">
        <is>
          <t>8:00 PM ET / 7:00 PM CST</t>
        </is>
      </c>
      <c r="D71" s="9">
        <f>Counties!T1236</f>
        <v/>
      </c>
      <c r="E71" s="10" t="n"/>
      <c r="F71" s="10" t="n"/>
      <c r="G71" s="9">
        <f>D71+IF(E71="",0,E71)+IF(F71="",0,F71)</f>
        <v/>
      </c>
      <c r="H71" s="9">
        <f>Counties!AH1236</f>
        <v/>
      </c>
      <c r="I71" s="13">
        <f>Counties!AO1236</f>
        <v/>
      </c>
      <c r="J71" s="8">
        <f>IF(H71="","not in yet",IF((H71-M71)&gt;=0.05,"Great for Talarico",IF((H71-M71)&gt;=0.01,"Talarico on track",IF((H71-M71)&gt;-0.01,"Toss-up",IF((H71-M71)&gt;-0.05,"Paxton on track","Great for Paxton"))))&amp;IF(Counties!AG1236=1," (final)"," (early batch)"))</f>
        <v/>
      </c>
      <c r="K71" s="17">
        <f>"No 2022 vote-method split for this county. The final break-even is "&amp;IF(D71&gt;=0,"D+","R+")&amp;TEXT(ABS(D71)*100,"0.0")&amp;". The first Texas batch is most of the vote, so it should land within a few points of the final."</f>
        <v/>
      </c>
      <c r="L71" s="8" t="inlineStr"/>
      <c r="M71" s="8">
        <f>IF(Counties!AG1236=1,D71,G71)</f>
        <v/>
      </c>
    </row>
    <row r="72" ht="42" customHeight="1">
      <c r="A72" s="8" t="inlineStr">
        <is>
          <t>TX</t>
        </is>
      </c>
      <c r="B72" s="8" t="inlineStr">
        <is>
          <t>Collin</t>
        </is>
      </c>
      <c r="C72" s="8" t="inlineStr">
        <is>
          <t>8:00 PM ET / 7:00 PM CST</t>
        </is>
      </c>
      <c r="D72" s="9">
        <f>Counties!T1052</f>
        <v/>
      </c>
      <c r="E72" s="10" t="n"/>
      <c r="F72" s="10" t="n"/>
      <c r="G72" s="9">
        <f>D72+IF(E72="",0,E72)+IF(F72="",0,F72)</f>
        <v/>
      </c>
      <c r="H72" s="9">
        <f>Counties!AH1052</f>
        <v/>
      </c>
      <c r="I72" s="13">
        <f>Counties!AO1052</f>
        <v/>
      </c>
      <c r="J72" s="8">
        <f>IF(H72="","not in yet",IF((H72-M72)&gt;=0.05,"Great for Talarico",IF((H72-M72)&gt;=0.01,"Talarico on track",IF((H72-M72)&gt;-0.01,"Toss-up",IF((H72-M72)&gt;-0.05,"Paxton on track","Great for Paxton"))))&amp;IF(Counties!AG1052=1," (final)"," (early batch)"))</f>
        <v/>
      </c>
      <c r="K72" s="17">
        <f>"No 2022 vote-method split for this county. The final break-even is "&amp;IF(D72&gt;=0,"D+","R+")&amp;TEXT(ABS(D72)*100,"0.0")&amp;". The first Texas batch is most of the vote, so it should land within a few points of the final."</f>
        <v/>
      </c>
      <c r="L72" s="8" t="inlineStr"/>
      <c r="M72" s="8">
        <f>IF(Counties!AG1052=1,D72,G72)</f>
        <v/>
      </c>
    </row>
    <row r="74" ht="44" customHeight="1">
      <c r="A74" s="38" t="inlineStr">
        <is>
          <t>Maine · polls close 8:00 PM ET / 7:00 PM CST · Town by town, through the media. There's no state live feed, and Portland and other big towns take longer.</t>
        </is>
      </c>
      <c r="B74" s="39" t="n"/>
      <c r="C74" s="39" t="n"/>
      <c r="D74" s="39" t="n"/>
      <c r="E74" s="39" t="n"/>
      <c r="F74" s="39" t="n"/>
      <c r="G74" s="39" t="n"/>
      <c r="H74" s="39" t="n"/>
      <c r="I74" s="39" t="n"/>
      <c r="J74" s="39" t="n"/>
      <c r="K74" s="39" t="n"/>
      <c r="L74" s="39" t="inlineStr"/>
    </row>
    <row r="75" ht="42" customHeight="1">
      <c r="A75" s="8" t="inlineStr">
        <is>
          <t>ME</t>
        </is>
      </c>
      <c r="B75" s="8" t="inlineStr">
        <is>
          <t>Cumberland</t>
        </is>
      </c>
      <c r="C75" s="8" t="inlineStr">
        <is>
          <t>8:00 PM ET / 7:00 PM CST</t>
        </is>
      </c>
      <c r="D75" s="9">
        <f>Counties!T407</f>
        <v/>
      </c>
      <c r="E75" s="10" t="n"/>
      <c r="F75" s="10" t="n"/>
      <c r="G75" s="9">
        <f>D75+IF(E75="",0,E75)+IF(F75="",0,F75)</f>
        <v/>
      </c>
      <c r="H75" s="9">
        <f>Counties!AH407</f>
        <v/>
      </c>
      <c r="I75" s="13">
        <f>Counties!AO407</f>
        <v/>
      </c>
      <c r="J75" s="8">
        <f>IF(H75="","not in yet",IF((H75-M75)&gt;=0.05,"Great for Jackson",IF((H75-M75)&gt;=0.01,"Jackson on track",IF((H75-M75)&gt;-0.01,"Toss-up",IF((H75-M75)&gt;-0.05,"Collins on track","Great for Collins"))))&amp;IF(Counties!AG407=1," (final)"," (early batch)"))</f>
        <v/>
      </c>
      <c r="K75" s="17">
        <f>"No 2022 vote-method split for this county. The final break-even is "&amp;IF(D75&gt;=0,"D+","R+")&amp;TEXT(ABS(D75)*100,"0.0")&amp;". If the first batch is early/mail votes, expect it to overstate the Democratic side."</f>
        <v/>
      </c>
      <c r="L75" s="8" t="inlineStr"/>
      <c r="M75" s="8">
        <f>IF(Counties!AG407=1,D75,G75)</f>
        <v/>
      </c>
    </row>
    <row r="76" ht="42" customHeight="1">
      <c r="A76" s="8" t="inlineStr">
        <is>
          <t>ME</t>
        </is>
      </c>
      <c r="B76" s="8" t="inlineStr">
        <is>
          <t>York</t>
        </is>
      </c>
      <c r="C76" s="8" t="inlineStr">
        <is>
          <t>8:00 PM ET / 7:00 PM CST</t>
        </is>
      </c>
      <c r="D76" s="9">
        <f>Counties!T420</f>
        <v/>
      </c>
      <c r="E76" s="10" t="n"/>
      <c r="F76" s="10" t="n"/>
      <c r="G76" s="9">
        <f>D76+IF(E76="",0,E76)+IF(F76="",0,F76)</f>
        <v/>
      </c>
      <c r="H76" s="9">
        <f>Counties!AH420</f>
        <v/>
      </c>
      <c r="I76" s="13">
        <f>Counties!AO420</f>
        <v/>
      </c>
      <c r="J76" s="8">
        <f>IF(H76="","not in yet",IF((H76-M76)&gt;=0.05,"Great for Jackson",IF((H76-M76)&gt;=0.01,"Jackson on track",IF((H76-M76)&gt;-0.01,"Toss-up",IF((H76-M76)&gt;-0.05,"Collins on track","Great for Collins"))))&amp;IF(Counties!AG420=1," (final)"," (early batch)"))</f>
        <v/>
      </c>
      <c r="K76" s="17">
        <f>"No 2022 vote-method split for this county. The final break-even is "&amp;IF(D76&gt;=0,"D+","R+")&amp;TEXT(ABS(D76)*100,"0.0")&amp;". If the first batch is early/mail votes, expect it to overstate the Democratic side."</f>
        <v/>
      </c>
      <c r="L76" s="8" t="inlineStr"/>
      <c r="M76" s="8">
        <f>IF(Counties!AG420=1,D76,G76)</f>
        <v/>
      </c>
    </row>
    <row r="77" ht="42" customHeight="1">
      <c r="A77" s="8" t="inlineStr">
        <is>
          <t>ME</t>
        </is>
      </c>
      <c r="B77" s="8" t="inlineStr">
        <is>
          <t>Kennebec</t>
        </is>
      </c>
      <c r="C77" s="8" t="inlineStr">
        <is>
          <t>8:00 PM ET / 7:00 PM CST</t>
        </is>
      </c>
      <c r="D77" s="9">
        <f>Counties!T410</f>
        <v/>
      </c>
      <c r="E77" s="10" t="n"/>
      <c r="F77" s="10" t="n"/>
      <c r="G77" s="9">
        <f>D77+IF(E77="",0,E77)+IF(F77="",0,F77)</f>
        <v/>
      </c>
      <c r="H77" s="9">
        <f>Counties!AH410</f>
        <v/>
      </c>
      <c r="I77" s="13">
        <f>Counties!AO410</f>
        <v/>
      </c>
      <c r="J77" s="8">
        <f>IF(H77="","not in yet",IF((H77-M77)&gt;=0.05,"Great for Jackson",IF((H77-M77)&gt;=0.01,"Jackson on track",IF((H77-M77)&gt;-0.01,"Toss-up",IF((H77-M77)&gt;-0.05,"Collins on track","Great for Collins"))))&amp;IF(Counties!AG410=1," (final)"," (early batch)"))</f>
        <v/>
      </c>
      <c r="K77" s="17">
        <f>"No 2022 vote-method split for this county. The final break-even is "&amp;IF(D77&gt;=0,"D+","R+")&amp;TEXT(ABS(D77)*100,"0.0")&amp;". If the first batch is early/mail votes, expect it to overstate the Democratic side."</f>
        <v/>
      </c>
      <c r="L77" s="8" t="inlineStr"/>
      <c r="M77" s="8">
        <f>IF(Counties!AG410=1,D77,G77)</f>
        <v/>
      </c>
    </row>
    <row r="78" ht="42" customHeight="1">
      <c r="A78" s="8" t="inlineStr">
        <is>
          <t>ME</t>
        </is>
      </c>
      <c r="B78" s="8" t="inlineStr">
        <is>
          <t>Penobscot</t>
        </is>
      </c>
      <c r="C78" s="8" t="inlineStr">
        <is>
          <t>8:00 PM ET / 7:00 PM CST</t>
        </is>
      </c>
      <c r="D78" s="9">
        <f>Counties!T414</f>
        <v/>
      </c>
      <c r="E78" s="10" t="n"/>
      <c r="F78" s="10" t="n"/>
      <c r="G78" s="9">
        <f>D78+IF(E78="",0,E78)+IF(F78="",0,F78)</f>
        <v/>
      </c>
      <c r="H78" s="9">
        <f>Counties!AH414</f>
        <v/>
      </c>
      <c r="I78" s="13">
        <f>Counties!AO414</f>
        <v/>
      </c>
      <c r="J78" s="8">
        <f>IF(H78="","not in yet",IF((H78-M78)&gt;=0.05,"Great for Jackson",IF((H78-M78)&gt;=0.01,"Jackson on track",IF((H78-M78)&gt;-0.01,"Toss-up",IF((H78-M78)&gt;-0.05,"Collins on track","Great for Collins"))))&amp;IF(Counties!AG414=1," (final)"," (early batch)"))</f>
        <v/>
      </c>
      <c r="K78" s="17">
        <f>"No 2022 vote-method split for this county. The final break-even is "&amp;IF(D78&gt;=0,"D+","R+")&amp;TEXT(ABS(D78)*100,"0.0")&amp;". If the first batch is early/mail votes, expect it to overstate the Democratic side."</f>
        <v/>
      </c>
      <c r="L78" s="8" t="inlineStr"/>
      <c r="M78" s="8">
        <f>IF(Counties!AG414=1,D78,G78)</f>
        <v/>
      </c>
    </row>
    <row r="80" ht="44" customHeight="1">
      <c r="A80" s="38" t="inlineStr">
        <is>
          <t>Mississippi · polls close 8:00 PM ET / 7:00 PM CST · Unverified.</t>
        </is>
      </c>
      <c r="B80" s="39" t="n"/>
      <c r="C80" s="39" t="n"/>
      <c r="D80" s="39" t="n"/>
      <c r="E80" s="39" t="n"/>
      <c r="F80" s="39" t="n"/>
      <c r="G80" s="39" t="n"/>
      <c r="H80" s="39" t="n"/>
      <c r="I80" s="39" t="n"/>
      <c r="J80" s="39" t="n"/>
      <c r="K80" s="39" t="n"/>
      <c r="L80" s="39" t="inlineStr"/>
    </row>
    <row r="81" ht="42" customHeight="1">
      <c r="A81" s="8" t="inlineStr">
        <is>
          <t>MS</t>
        </is>
      </c>
      <c r="B81" s="8" t="inlineStr">
        <is>
          <t>Hinds</t>
        </is>
      </c>
      <c r="C81" s="8" t="inlineStr">
        <is>
          <t>8:00 PM ET / 7:00 PM CST</t>
        </is>
      </c>
      <c r="D81" s="9">
        <f>Counties!T615</f>
        <v/>
      </c>
      <c r="E81" s="10" t="n"/>
      <c r="F81" s="10" t="n"/>
      <c r="G81" s="9">
        <f>D81+IF(E81="",0,E81)+IF(F81="",0,F81)</f>
        <v/>
      </c>
      <c r="H81" s="9">
        <f>Counties!AH615</f>
        <v/>
      </c>
      <c r="I81" s="13">
        <f>Counties!AO615</f>
        <v/>
      </c>
      <c r="J81" s="8">
        <f>IF(H81="","not in yet",IF((H81-M81)&gt;=0.05,"Great for Colom",IF((H81-M81)&gt;=0.01,"Colom on track",IF((H81-M81)&gt;-0.01,"Toss-up",IF((H81-M81)&gt;-0.05,"Hyde-Smith on track","Great for Hyde-Smith"))))&amp;IF(Counties!AG615=1," (final)"," (early batch)"))</f>
        <v/>
      </c>
      <c r="K81" s="17">
        <f>"No 2022 vote-method split for this county. The final break-even is "&amp;IF(D81&gt;=0,"D+","R+")&amp;TEXT(ABS(D81)*100,"0.0")&amp;". If the first batch is early/mail votes, expect it to overstate the Democratic side."</f>
        <v/>
      </c>
      <c r="L81" s="8" t="inlineStr"/>
      <c r="M81" s="8">
        <f>IF(Counties!AG615=1,D81,G81)</f>
        <v/>
      </c>
    </row>
    <row r="82" ht="42" customHeight="1">
      <c r="A82" s="8" t="inlineStr">
        <is>
          <t>MS</t>
        </is>
      </c>
      <c r="B82" s="8" t="inlineStr">
        <is>
          <t>DeSoto</t>
        </is>
      </c>
      <c r="C82" s="8" t="inlineStr">
        <is>
          <t>8:00 PM ET / 7:00 PM CST</t>
        </is>
      </c>
      <c r="D82" s="9">
        <f>Counties!T607</f>
        <v/>
      </c>
      <c r="E82" s="10" t="n"/>
      <c r="F82" s="10" t="n"/>
      <c r="G82" s="9">
        <f>D82+IF(E82="",0,E82)+IF(F82="",0,F82)</f>
        <v/>
      </c>
      <c r="H82" s="9">
        <f>Counties!AH607</f>
        <v/>
      </c>
      <c r="I82" s="13">
        <f>Counties!AO607</f>
        <v/>
      </c>
      <c r="J82" s="8">
        <f>IF(H82="","not in yet",IF((H82-M82)&gt;=0.05,"Great for Colom",IF((H82-M82)&gt;=0.01,"Colom on track",IF((H82-M82)&gt;-0.01,"Toss-up",IF((H82-M82)&gt;-0.05,"Hyde-Smith on track","Great for Hyde-Smith"))))&amp;IF(Counties!AG607=1," (final)"," (early batch)"))</f>
        <v/>
      </c>
      <c r="K82" s="17">
        <f>"No 2022 vote-method split for this county. The final break-even is "&amp;IF(D82&gt;=0,"D+","R+")&amp;TEXT(ABS(D82)*100,"0.0")&amp;". If the first batch is early/mail votes, expect it to overstate the Democratic side."</f>
        <v/>
      </c>
      <c r="L82" s="8" t="inlineStr"/>
      <c r="M82" s="8">
        <f>IF(Counties!AG607=1,D82,G82)</f>
        <v/>
      </c>
    </row>
    <row r="83" ht="42" customHeight="1">
      <c r="A83" s="8" t="inlineStr">
        <is>
          <t>MS</t>
        </is>
      </c>
      <c r="B83" s="8" t="inlineStr">
        <is>
          <t>Madison</t>
        </is>
      </c>
      <c r="C83" s="8" t="inlineStr">
        <is>
          <t>8:00 PM ET / 7:00 PM CST</t>
        </is>
      </c>
      <c r="D83" s="9">
        <f>Counties!T635</f>
        <v/>
      </c>
      <c r="E83" s="10" t="n"/>
      <c r="F83" s="10" t="n"/>
      <c r="G83" s="9">
        <f>D83+IF(E83="",0,E83)+IF(F83="",0,F83)</f>
        <v/>
      </c>
      <c r="H83" s="9">
        <f>Counties!AH635</f>
        <v/>
      </c>
      <c r="I83" s="13">
        <f>Counties!AO635</f>
        <v/>
      </c>
      <c r="J83" s="8">
        <f>IF(H83="","not in yet",IF((H83-M83)&gt;=0.05,"Great for Colom",IF((H83-M83)&gt;=0.01,"Colom on track",IF((H83-M83)&gt;-0.01,"Toss-up",IF((H83-M83)&gt;-0.05,"Hyde-Smith on track","Great for Hyde-Smith"))))&amp;IF(Counties!AG635=1," (final)"," (early batch)"))</f>
        <v/>
      </c>
      <c r="K83" s="17">
        <f>"No 2022 vote-method split for this county. The final break-even is "&amp;IF(D83&gt;=0,"D+","R+")&amp;TEXT(ABS(D83)*100,"0.0")&amp;". If the first batch is early/mail votes, expect it to overstate the Democratic side."</f>
        <v/>
      </c>
      <c r="L83" s="8" t="inlineStr"/>
      <c r="M83" s="8">
        <f>IF(Counties!AG635=1,D83,G83)</f>
        <v/>
      </c>
    </row>
    <row r="85" ht="44" customHeight="1">
      <c r="A85" s="38" t="inlineStr">
        <is>
          <t>Kansas · polls close 8:00 PM ET / 7:00 PM CST · Unverified. Johnson County's advance votes have usually been an early, large batch.</t>
        </is>
      </c>
      <c r="B85" s="39" t="n"/>
      <c r="C85" s="39" t="n"/>
      <c r="D85" s="39" t="n"/>
      <c r="E85" s="39" t="n"/>
      <c r="F85" s="39" t="n"/>
      <c r="G85" s="39" t="n"/>
      <c r="H85" s="39" t="n"/>
      <c r="I85" s="39" t="n"/>
      <c r="J85" s="39" t="n"/>
      <c r="K85" s="39" t="n"/>
      <c r="L85" s="39" t="inlineStr"/>
    </row>
    <row r="86" ht="42" customHeight="1">
      <c r="A86" s="8" t="inlineStr">
        <is>
          <t>KS</t>
        </is>
      </c>
      <c r="B86" s="8" t="inlineStr">
        <is>
          <t>Johnson</t>
        </is>
      </c>
      <c r="C86" s="8" t="inlineStr">
        <is>
          <t>8:00 PM ET / 7:00 PM CST</t>
        </is>
      </c>
      <c r="D86" s="9">
        <f>Counties!T345</f>
        <v/>
      </c>
      <c r="E86" s="10" t="n"/>
      <c r="F86" s="10" t="n"/>
      <c r="G86" s="9">
        <f>D86+IF(E86="",0,E86)+IF(F86="",0,F86)</f>
        <v/>
      </c>
      <c r="H86" s="9">
        <f>Counties!AH345</f>
        <v/>
      </c>
      <c r="I86" s="13">
        <f>Counties!AO345</f>
        <v/>
      </c>
      <c r="J86" s="8">
        <f>IF(H86="","not in yet",IF((H86-M86)&gt;=0.05,"Great for Hamilton",IF((H86-M86)&gt;=0.01,"Hamilton on track",IF((H86-M86)&gt;-0.01,"Toss-up",IF((H86-M86)&gt;-0.05,"Marshall on track","Great for Marshall"))))&amp;IF(Counties!AG345=1," (final)"," (early batch)"))</f>
        <v/>
      </c>
      <c r="K86" s="17">
        <f>"No 2022 vote-method split for this county. The final break-even is "&amp;IF(D86&gt;=0,"D+","R+")&amp;TEXT(ABS(D86)*100,"0.0")&amp;". If the first batch is early/mail votes, expect it to overstate the Democratic side."</f>
        <v/>
      </c>
      <c r="L86" s="8" t="inlineStr"/>
      <c r="M86" s="8">
        <f>IF(Counties!AG345=1,D86,G86)</f>
        <v/>
      </c>
    </row>
    <row r="87" ht="42" customHeight="1">
      <c r="A87" s="8" t="inlineStr">
        <is>
          <t>KS</t>
        </is>
      </c>
      <c r="B87" s="8" t="inlineStr">
        <is>
          <t>Sedgwick</t>
        </is>
      </c>
      <c r="C87" s="8" t="inlineStr">
        <is>
          <t>8:00 PM ET / 7:00 PM CST</t>
        </is>
      </c>
      <c r="D87" s="9">
        <f>Counties!T386</f>
        <v/>
      </c>
      <c r="E87" s="10" t="n"/>
      <c r="F87" s="10" t="n"/>
      <c r="G87" s="9">
        <f>D87+IF(E87="",0,E87)+IF(F87="",0,F87)</f>
        <v/>
      </c>
      <c r="H87" s="9">
        <f>Counties!AH386</f>
        <v/>
      </c>
      <c r="I87" s="13">
        <f>Counties!AO386</f>
        <v/>
      </c>
      <c r="J87" s="8">
        <f>IF(H87="","not in yet",IF((H87-M87)&gt;=0.05,"Great for Hamilton",IF((H87-M87)&gt;=0.01,"Hamilton on track",IF((H87-M87)&gt;-0.01,"Toss-up",IF((H87-M87)&gt;-0.05,"Marshall on track","Great for Marshall"))))&amp;IF(Counties!AG386=1," (final)"," (early batch)"))</f>
        <v/>
      </c>
      <c r="K87" s="17">
        <f>"No 2022 vote-method split for this county. The final break-even is "&amp;IF(D87&gt;=0,"D+","R+")&amp;TEXT(ABS(D87)*100,"0.0")&amp;". If the first batch is early/mail votes, expect it to overstate the Democratic side."</f>
        <v/>
      </c>
      <c r="L87" s="8" t="inlineStr"/>
      <c r="M87" s="8">
        <f>IF(Counties!AG386=1,D87,G87)</f>
        <v/>
      </c>
    </row>
    <row r="88" ht="42" customHeight="1">
      <c r="A88" s="8" t="inlineStr">
        <is>
          <t>KS</t>
        </is>
      </c>
      <c r="B88" s="8" t="inlineStr">
        <is>
          <t>Shawnee</t>
        </is>
      </c>
      <c r="C88" s="8" t="inlineStr">
        <is>
          <t>8:00 PM ET / 7:00 PM CST</t>
        </is>
      </c>
      <c r="D88" s="9">
        <f>Counties!T388</f>
        <v/>
      </c>
      <c r="E88" s="10" t="n"/>
      <c r="F88" s="10" t="n"/>
      <c r="G88" s="9">
        <f>D88+IF(E88="",0,E88)+IF(F88="",0,F88)</f>
        <v/>
      </c>
      <c r="H88" s="9">
        <f>Counties!AH388</f>
        <v/>
      </c>
      <c r="I88" s="13">
        <f>Counties!AO388</f>
        <v/>
      </c>
      <c r="J88" s="8">
        <f>IF(H88="","not in yet",IF((H88-M88)&gt;=0.05,"Great for Hamilton",IF((H88-M88)&gt;=0.01,"Hamilton on track",IF((H88-M88)&gt;-0.01,"Toss-up",IF((H88-M88)&gt;-0.05,"Marshall on track","Great for Marshall"))))&amp;IF(Counties!AG388=1," (final)"," (early batch)"))</f>
        <v/>
      </c>
      <c r="K88" s="17">
        <f>"No 2022 vote-method split for this county. The final break-even is "&amp;IF(D88&gt;=0,"D+","R+")&amp;TEXT(ABS(D88)*100,"0.0")&amp;". If the first batch is early/mail votes, expect it to overstate the Democratic side."</f>
        <v/>
      </c>
      <c r="L88" s="8" t="inlineStr"/>
      <c r="M88" s="8">
        <f>IF(Counties!AG388=1,D88,G88)</f>
        <v/>
      </c>
    </row>
    <row r="90" ht="44" customHeight="1">
      <c r="A90" s="38" t="inlineStr">
        <is>
          <t>Iowa · polls close 9:00 PM ET / 8:00 PM CST · Unverified for 2026. In 2022, Iowa's early and absentee vote was about D+20 and its Election Day vote about R+26, so whichever comes first will mislead.</t>
        </is>
      </c>
      <c r="B90" s="39" t="n"/>
      <c r="C90" s="39" t="n"/>
      <c r="D90" s="39" t="n"/>
      <c r="E90" s="39" t="n"/>
      <c r="F90" s="39" t="n"/>
      <c r="G90" s="39" t="n"/>
      <c r="H90" s="39" t="n"/>
      <c r="I90" s="39" t="n"/>
      <c r="J90" s="39" t="n"/>
      <c r="K90" s="39" t="n"/>
      <c r="L90" s="39" t="inlineStr">
        <is>
          <t>MEDSL 2022 returns</t>
        </is>
      </c>
    </row>
    <row r="91">
      <c r="A91" s="5" t="inlineStr">
        <is>
          <t>In 2022 the early/absentee vote was D+19.7 and the Election Day vote R+25.9, so counts that are mostly early/absentee votes flatter Democrats.</t>
        </is>
      </c>
    </row>
    <row r="92" ht="42" customHeight="1">
      <c r="A92" s="8" t="inlineStr">
        <is>
          <t>IA</t>
        </is>
      </c>
      <c r="B92" s="8" t="inlineStr">
        <is>
          <t>Polk</t>
        </is>
      </c>
      <c r="C92" s="8" t="inlineStr">
        <is>
          <t>9:00 PM ET / 8:00 PM CST</t>
        </is>
      </c>
      <c r="D92" s="9">
        <f>Counties!T277</f>
        <v/>
      </c>
      <c r="E92" s="10" t="n">
        <v>0.3570349501991478</v>
      </c>
      <c r="F92" s="10" t="n"/>
      <c r="G92" s="9">
        <f>D92+IF(E92="",0,E92)+IF(F92="",0,F92)</f>
        <v/>
      </c>
      <c r="H92" s="9">
        <f>Counties!AH277</f>
        <v/>
      </c>
      <c r="I92" s="13">
        <f>Counties!AO277</f>
        <v/>
      </c>
      <c r="J92" s="8">
        <f>IF(H92="","not in yet",IF((H92-M92)&gt;=0.05,"Great for Turek",IF((H92-M92)&gt;=0.01,"Turek on track",IF((H92-M92)&gt;-0.01,"Toss-up",IF((H92-M92)&gt;-0.05,"Hinson on track","Great for Hinson"))))&amp;IF(Counties!AG277=1," (final)"," (early batch)"))</f>
        <v/>
      </c>
      <c r="K92" s="17">
        <f>"Polk's early/mail vote ran "&amp;IF(E92&gt;=0,"D+","R+")&amp;TEXT(ABS(E92)*100,"0.0")&amp;" vs its total in 2022. So a first batch around "&amp;IF(G92&gt;=0,"D+","R+")&amp;TEXT(ABS(G92)*100,"0.0")&amp;" is only break-even for Turek. Well above it is a good sign; below it is a warning, because Election Day votes will pull it toward Hinson."</f>
        <v/>
      </c>
      <c r="L92" s="8" t="inlineStr"/>
      <c r="M92" s="8">
        <f>IF(Counties!AG277=1,D92,G92)</f>
        <v/>
      </c>
    </row>
    <row r="93" ht="42" customHeight="1">
      <c r="A93" s="8" t="inlineStr">
        <is>
          <t>IA</t>
        </is>
      </c>
      <c r="B93" s="8" t="inlineStr">
        <is>
          <t>Linn</t>
        </is>
      </c>
      <c r="C93" s="8" t="inlineStr">
        <is>
          <t>9:00 PM ET / 8:00 PM CST</t>
        </is>
      </c>
      <c r="D93" s="9">
        <f>Counties!T257</f>
        <v/>
      </c>
      <c r="E93" s="10" t="n">
        <v>0.3124936013552733</v>
      </c>
      <c r="F93" s="10" t="n"/>
      <c r="G93" s="9">
        <f>D93+IF(E93="",0,E93)+IF(F93="",0,F93)</f>
        <v/>
      </c>
      <c r="H93" s="9">
        <f>Counties!AH257</f>
        <v/>
      </c>
      <c r="I93" s="13">
        <f>Counties!AO257</f>
        <v/>
      </c>
      <c r="J93" s="8">
        <f>IF(H93="","not in yet",IF((H93-M93)&gt;=0.05,"Great for Turek",IF((H93-M93)&gt;=0.01,"Turek on track",IF((H93-M93)&gt;-0.01,"Toss-up",IF((H93-M93)&gt;-0.05,"Hinson on track","Great for Hinson"))))&amp;IF(Counties!AG257=1," (final)"," (early batch)"))</f>
        <v/>
      </c>
      <c r="K93" s="17">
        <f>"Linn's early/mail vote ran "&amp;IF(E93&gt;=0,"D+","R+")&amp;TEXT(ABS(E93)*100,"0.0")&amp;" vs its total in 2022. So a first batch around "&amp;IF(G93&gt;=0,"D+","R+")&amp;TEXT(ABS(G93)*100,"0.0")&amp;" is only break-even for Turek. Well above it is a good sign; below it is a warning, because Election Day votes will pull it toward Hinson."</f>
        <v/>
      </c>
      <c r="L93" s="8" t="inlineStr"/>
      <c r="M93" s="8">
        <f>IF(Counties!AG257=1,D93,G93)</f>
        <v/>
      </c>
    </row>
    <row r="94" ht="42" customHeight="1">
      <c r="A94" s="8" t="inlineStr">
        <is>
          <t>IA</t>
        </is>
      </c>
      <c r="B94" s="8" t="inlineStr">
        <is>
          <t>Johnson</t>
        </is>
      </c>
      <c r="C94" s="8" t="inlineStr">
        <is>
          <t>9:00 PM ET / 8:00 PM CST</t>
        </is>
      </c>
      <c r="D94" s="9">
        <f>Counties!T252</f>
        <v/>
      </c>
      <c r="E94" s="10" t="n">
        <v>0.2349334515576071</v>
      </c>
      <c r="F94" s="10" t="n"/>
      <c r="G94" s="9">
        <f>D94+IF(E94="",0,E94)+IF(F94="",0,F94)</f>
        <v/>
      </c>
      <c r="H94" s="9">
        <f>Counties!AH252</f>
        <v/>
      </c>
      <c r="I94" s="13">
        <f>Counties!AO252</f>
        <v/>
      </c>
      <c r="J94" s="8">
        <f>IF(H94="","not in yet",IF((H94-M94)&gt;=0.05,"Great for Turek",IF((H94-M94)&gt;=0.01,"Turek on track",IF((H94-M94)&gt;-0.01,"Toss-up",IF((H94-M94)&gt;-0.05,"Hinson on track","Great for Hinson"))))&amp;IF(Counties!AG252=1," (final)"," (early batch)"))</f>
        <v/>
      </c>
      <c r="K94" s="17">
        <f>"Johnson's early/mail vote ran "&amp;IF(E94&gt;=0,"D+","R+")&amp;TEXT(ABS(E94)*100,"0.0")&amp;" vs its total in 2022. So a first batch around "&amp;IF(G94&gt;=0,"D+","R+")&amp;TEXT(ABS(G94)*100,"0.0")&amp;" is only break-even for Turek. Well above it is a good sign; below it is a warning, because Election Day votes will pull it toward Hinson."</f>
        <v/>
      </c>
      <c r="L94" s="8" t="inlineStr"/>
      <c r="M94" s="8">
        <f>IF(Counties!AG252=1,D94,G94)</f>
        <v/>
      </c>
    </row>
    <row r="95" ht="42" customHeight="1">
      <c r="A95" s="8" t="inlineStr">
        <is>
          <t>IA</t>
        </is>
      </c>
      <c r="B95" s="8" t="inlineStr">
        <is>
          <t>Scott</t>
        </is>
      </c>
      <c r="C95" s="8" t="inlineStr">
        <is>
          <t>9:00 PM ET / 8:00 PM CST</t>
        </is>
      </c>
      <c r="D95" s="9">
        <f>Counties!T282</f>
        <v/>
      </c>
      <c r="E95" s="10" t="n">
        <v>0.284370738376977</v>
      </c>
      <c r="F95" s="10" t="n"/>
      <c r="G95" s="9">
        <f>D95+IF(E95="",0,E95)+IF(F95="",0,F95)</f>
        <v/>
      </c>
      <c r="H95" s="9">
        <f>Counties!AH282</f>
        <v/>
      </c>
      <c r="I95" s="13">
        <f>Counties!AO282</f>
        <v/>
      </c>
      <c r="J95" s="8">
        <f>IF(H95="","not in yet",IF((H95-M95)&gt;=0.05,"Great for Turek",IF((H95-M95)&gt;=0.01,"Turek on track",IF((H95-M95)&gt;-0.01,"Toss-up",IF((H95-M95)&gt;-0.05,"Hinson on track","Great for Hinson"))))&amp;IF(Counties!AG282=1," (final)"," (early batch)"))</f>
        <v/>
      </c>
      <c r="K95" s="17">
        <f>"Scott's early/mail vote ran "&amp;IF(E95&gt;=0,"D+","R+")&amp;TEXT(ABS(E95)*100,"0.0")&amp;" vs its total in 2022. So a first batch around "&amp;IF(G95&gt;=0,"D+","R+")&amp;TEXT(ABS(G95)*100,"0.0")&amp;" is only break-even for Turek. Well above it is a good sign; below it is a warning, because Election Day votes will pull it toward Hinson."</f>
        <v/>
      </c>
      <c r="L95" s="8" t="inlineStr"/>
      <c r="M95" s="8">
        <f>IF(Counties!AG282=1,D95,G95)</f>
        <v/>
      </c>
    </row>
    <row r="97" ht="44" customHeight="1">
      <c r="A97" s="38" t="inlineStr">
        <is>
          <t>Minnesota · polls close 9:00 PM ET / 8:00 PM CST · Unverified. Rural precincts usually finish before Hennepin and Ramsey.</t>
        </is>
      </c>
      <c r="B97" s="39" t="n"/>
      <c r="C97" s="39" t="n"/>
      <c r="D97" s="39" t="n"/>
      <c r="E97" s="39" t="n"/>
      <c r="F97" s="39" t="n"/>
      <c r="G97" s="39" t="n"/>
      <c r="H97" s="39" t="n"/>
      <c r="I97" s="39" t="n"/>
      <c r="J97" s="39" t="n"/>
      <c r="K97" s="39" t="n"/>
      <c r="L97" s="39" t="inlineStr"/>
    </row>
    <row r="98" ht="42" customHeight="1">
      <c r="A98" s="8" t="inlineStr">
        <is>
          <t>MN</t>
        </is>
      </c>
      <c r="B98" s="8" t="inlineStr">
        <is>
          <t>Hennepin</t>
        </is>
      </c>
      <c r="C98" s="8" t="inlineStr">
        <is>
          <t>9:00 PM ET / 8:00 PM CST</t>
        </is>
      </c>
      <c r="D98" s="9">
        <f>Counties!T530</f>
        <v/>
      </c>
      <c r="E98" s="10" t="n"/>
      <c r="F98" s="10" t="n"/>
      <c r="G98" s="9">
        <f>D98+IF(E98="",0,E98)+IF(F98="",0,F98)</f>
        <v/>
      </c>
      <c r="H98" s="9">
        <f>Counties!AH530</f>
        <v/>
      </c>
      <c r="I98" s="13">
        <f>Counties!AO530</f>
        <v/>
      </c>
      <c r="J98" s="8">
        <f>IF(H98="","not in yet",IF((H98-M98)&gt;=0.05,"Great for Flanagan",IF((H98-M98)&gt;=0.01,"Flanagan on track",IF((H98-M98)&gt;-0.01,"Toss-up",IF((H98-M98)&gt;-0.05,"Tafoya on track","Great for Tafoya"))))&amp;IF(Counties!AG530=1," (final)"," (early batch)"))</f>
        <v/>
      </c>
      <c r="K98" s="17">
        <f>"No 2022 vote-method split for this county. The final break-even is "&amp;IF(D98&gt;=0,"D+","R+")&amp;TEXT(ABS(D98)*100,"0.0")&amp;". If the first batch is early/mail votes, expect it to overstate the Democratic side."</f>
        <v/>
      </c>
      <c r="L98" s="8" t="inlineStr"/>
      <c r="M98" s="8">
        <f>IF(Counties!AG530=1,D98,G98)</f>
        <v/>
      </c>
    </row>
    <row r="99" ht="42" customHeight="1">
      <c r="A99" s="8" t="inlineStr">
        <is>
          <t>MN</t>
        </is>
      </c>
      <c r="B99" s="8" t="inlineStr">
        <is>
          <t>Ramsey</t>
        </is>
      </c>
      <c r="C99" s="8" t="inlineStr">
        <is>
          <t>9:00 PM ET / 8:00 PM CST</t>
        </is>
      </c>
      <c r="D99" s="9">
        <f>Counties!T565</f>
        <v/>
      </c>
      <c r="E99" s="10" t="n"/>
      <c r="F99" s="10" t="n"/>
      <c r="G99" s="9">
        <f>D99+IF(E99="",0,E99)+IF(F99="",0,F99)</f>
        <v/>
      </c>
      <c r="H99" s="9">
        <f>Counties!AH565</f>
        <v/>
      </c>
      <c r="I99" s="13">
        <f>Counties!AO565</f>
        <v/>
      </c>
      <c r="J99" s="8">
        <f>IF(H99="","not in yet",IF((H99-M99)&gt;=0.05,"Great for Flanagan",IF((H99-M99)&gt;=0.01,"Flanagan on track",IF((H99-M99)&gt;-0.01,"Toss-up",IF((H99-M99)&gt;-0.05,"Tafoya on track","Great for Tafoya"))))&amp;IF(Counties!AG565=1," (final)"," (early batch)"))</f>
        <v/>
      </c>
      <c r="K99" s="17">
        <f>"No 2022 vote-method split for this county. The final break-even is "&amp;IF(D99&gt;=0,"D+","R+")&amp;TEXT(ABS(D99)*100,"0.0")&amp;". If the first batch is early/mail votes, expect it to overstate the Democratic side."</f>
        <v/>
      </c>
      <c r="L99" s="8" t="inlineStr"/>
      <c r="M99" s="8">
        <f>IF(Counties!AG565=1,D99,G99)</f>
        <v/>
      </c>
    </row>
    <row r="100" ht="42" customHeight="1">
      <c r="A100" s="8" t="inlineStr">
        <is>
          <t>MN</t>
        </is>
      </c>
      <c r="B100" s="8" t="inlineStr">
        <is>
          <t>Dakota</t>
        </is>
      </c>
      <c r="C100" s="8" t="inlineStr">
        <is>
          <t>9:00 PM ET / 8:00 PM CST</t>
        </is>
      </c>
      <c r="D100" s="9">
        <f>Counties!T522</f>
        <v/>
      </c>
      <c r="E100" s="10" t="n"/>
      <c r="F100" s="10" t="n"/>
      <c r="G100" s="9">
        <f>D100+IF(E100="",0,E100)+IF(F100="",0,F100)</f>
        <v/>
      </c>
      <c r="H100" s="9">
        <f>Counties!AH522</f>
        <v/>
      </c>
      <c r="I100" s="13">
        <f>Counties!AO522</f>
        <v/>
      </c>
      <c r="J100" s="8">
        <f>IF(H100="","not in yet",IF((H100-M100)&gt;=0.05,"Great for Flanagan",IF((H100-M100)&gt;=0.01,"Flanagan on track",IF((H100-M100)&gt;-0.01,"Toss-up",IF((H100-M100)&gt;-0.05,"Tafoya on track","Great for Tafoya"))))&amp;IF(Counties!AG522=1," (final)"," (early batch)"))</f>
        <v/>
      </c>
      <c r="K100" s="17">
        <f>"No 2022 vote-method split for this county. The final break-even is "&amp;IF(D100&gt;=0,"D+","R+")&amp;TEXT(ABS(D100)*100,"0.0")&amp;". If the first batch is early/mail votes, expect it to overstate the Democratic side."</f>
        <v/>
      </c>
      <c r="L100" s="8" t="inlineStr"/>
      <c r="M100" s="8">
        <f>IF(Counties!AG522=1,D100,G100)</f>
        <v/>
      </c>
    </row>
    <row r="101" ht="42" customHeight="1">
      <c r="A101" s="8" t="inlineStr">
        <is>
          <t>MN</t>
        </is>
      </c>
      <c r="B101" s="8" t="inlineStr">
        <is>
          <t>Anoka</t>
        </is>
      </c>
      <c r="C101" s="8" t="inlineStr">
        <is>
          <t>9:00 PM ET / 8:00 PM CST</t>
        </is>
      </c>
      <c r="D101" s="9">
        <f>Counties!T505</f>
        <v/>
      </c>
      <c r="E101" s="10" t="n"/>
      <c r="F101" s="10" t="n"/>
      <c r="G101" s="9">
        <f>D101+IF(E101="",0,E101)+IF(F101="",0,F101)</f>
        <v/>
      </c>
      <c r="H101" s="9">
        <f>Counties!AH505</f>
        <v/>
      </c>
      <c r="I101" s="13">
        <f>Counties!AO505</f>
        <v/>
      </c>
      <c r="J101" s="8">
        <f>IF(H101="","not in yet",IF((H101-M101)&gt;=0.05,"Great for Flanagan",IF((H101-M101)&gt;=0.01,"Flanagan on track",IF((H101-M101)&gt;-0.01,"Toss-up",IF((H101-M101)&gt;-0.05,"Tafoya on track","Great for Tafoya"))))&amp;IF(Counties!AG505=1," (final)"," (early batch)"))</f>
        <v/>
      </c>
      <c r="K101" s="17">
        <f>"No 2022 vote-method split for this county. The final break-even is "&amp;IF(D101&gt;=0,"D+","R+")&amp;TEXT(ABS(D101)*100,"0.0")&amp;". If the first batch is early/mail votes, expect it to overstate the Democratic side."</f>
        <v/>
      </c>
      <c r="L101" s="8" t="inlineStr"/>
      <c r="M101" s="8">
        <f>IF(Counties!AG505=1,D101,G101)</f>
        <v/>
      </c>
    </row>
    <row r="103" ht="44" customHeight="1">
      <c r="A103" s="38" t="inlineStr">
        <is>
          <t>Nebraska · polls close 9:00 PM ET / 8:00 PM CST · Unverified.</t>
        </is>
      </c>
      <c r="B103" s="39" t="n"/>
      <c r="C103" s="39" t="n"/>
      <c r="D103" s="39" t="n"/>
      <c r="E103" s="39" t="n"/>
      <c r="F103" s="39" t="n"/>
      <c r="G103" s="39" t="n"/>
      <c r="H103" s="39" t="n"/>
      <c r="I103" s="39" t="n"/>
      <c r="J103" s="39" t="n"/>
      <c r="K103" s="39" t="n"/>
      <c r="L103" s="39" t="inlineStr"/>
    </row>
    <row r="104" ht="42" customHeight="1">
      <c r="A104" s="8" t="inlineStr">
        <is>
          <t>NE</t>
        </is>
      </c>
      <c r="B104" s="8" t="inlineStr">
        <is>
          <t>Douglas</t>
        </is>
      </c>
      <c r="C104" s="8" t="inlineStr">
        <is>
          <t>9:00 PM ET / 8:00 PM CST</t>
        </is>
      </c>
      <c r="D104" s="9">
        <f>Counties!T800</f>
        <v/>
      </c>
      <c r="E104" s="10" t="n"/>
      <c r="F104" s="10" t="n"/>
      <c r="G104" s="9">
        <f>D104+IF(E104="",0,E104)+IF(F104="",0,F104)</f>
        <v/>
      </c>
      <c r="H104" s="9">
        <f>Counties!AH800</f>
        <v/>
      </c>
      <c r="I104" s="13">
        <f>Counties!AO800</f>
        <v/>
      </c>
      <c r="J104" s="8">
        <f>IF(H104="","not in yet",IF((H104-M104)&gt;=0.05,"Great for Osborn",IF((H104-M104)&gt;=0.01,"Osborn on track",IF((H104-M104)&gt;-0.01,"Toss-up",IF((H104-M104)&gt;-0.05,"Ricketts on track","Great for Ricketts"))))&amp;IF(Counties!AG800=1," (final)"," (early batch)"))</f>
        <v/>
      </c>
      <c r="K104" s="17">
        <f>"No 2022 vote-method split for this county. The final break-even is "&amp;IF(D104&gt;=0,"D+","R+")&amp;TEXT(ABS(D104)*100,"0.0")&amp;". If the first batch is early/mail votes, expect it to overstate the Democratic side."</f>
        <v/>
      </c>
      <c r="L104" s="8" t="inlineStr"/>
      <c r="M104" s="8">
        <f>IF(Counties!AG800=1,D104,G104)</f>
        <v/>
      </c>
    </row>
    <row r="105" ht="42" customHeight="1">
      <c r="A105" s="8" t="inlineStr">
        <is>
          <t>NE</t>
        </is>
      </c>
      <c r="B105" s="8" t="inlineStr">
        <is>
          <t>Lancaster</t>
        </is>
      </c>
      <c r="C105" s="8" t="inlineStr">
        <is>
          <t>9:00 PM ET / 8:00 PM CST</t>
        </is>
      </c>
      <c r="D105" s="9">
        <f>Counties!T827</f>
        <v/>
      </c>
      <c r="E105" s="10" t="n"/>
      <c r="F105" s="10" t="n"/>
      <c r="G105" s="9">
        <f>D105+IF(E105="",0,E105)+IF(F105="",0,F105)</f>
        <v/>
      </c>
      <c r="H105" s="9">
        <f>Counties!AH827</f>
        <v/>
      </c>
      <c r="I105" s="13">
        <f>Counties!AO827</f>
        <v/>
      </c>
      <c r="J105" s="8">
        <f>IF(H105="","not in yet",IF((H105-M105)&gt;=0.05,"Great for Osborn",IF((H105-M105)&gt;=0.01,"Osborn on track",IF((H105-M105)&gt;-0.01,"Toss-up",IF((H105-M105)&gt;-0.05,"Ricketts on track","Great for Ricketts"))))&amp;IF(Counties!AG827=1," (final)"," (early batch)"))</f>
        <v/>
      </c>
      <c r="K105" s="17">
        <f>"No 2022 vote-method split for this county. The final break-even is "&amp;IF(D105&gt;=0,"D+","R+")&amp;TEXT(ABS(D105)*100,"0.0")&amp;". If the first batch is early/mail votes, expect it to overstate the Democratic side."</f>
        <v/>
      </c>
      <c r="L105" s="8" t="inlineStr"/>
      <c r="M105" s="8">
        <f>IF(Counties!AG827=1,D105,G105)</f>
        <v/>
      </c>
    </row>
    <row r="106" ht="42" customHeight="1">
      <c r="A106" s="8" t="inlineStr">
        <is>
          <t>NE</t>
        </is>
      </c>
      <c r="B106" s="8" t="inlineStr">
        <is>
          <t>Sarpy</t>
        </is>
      </c>
      <c r="C106" s="8" t="inlineStr">
        <is>
          <t>9:00 PM ET / 8:00 PM CST</t>
        </is>
      </c>
      <c r="D106" s="9">
        <f>Counties!T849</f>
        <v/>
      </c>
      <c r="E106" s="10" t="n"/>
      <c r="F106" s="10" t="n"/>
      <c r="G106" s="9">
        <f>D106+IF(E106="",0,E106)+IF(F106="",0,F106)</f>
        <v/>
      </c>
      <c r="H106" s="9">
        <f>Counties!AH849</f>
        <v/>
      </c>
      <c r="I106" s="13">
        <f>Counties!AO849</f>
        <v/>
      </c>
      <c r="J106" s="8">
        <f>IF(H106="","not in yet",IF((H106-M106)&gt;=0.05,"Great for Osborn",IF((H106-M106)&gt;=0.01,"Osborn on track",IF((H106-M106)&gt;-0.01,"Toss-up",IF((H106-M106)&gt;-0.05,"Ricketts on track","Great for Ricketts"))))&amp;IF(Counties!AG849=1," (final)"," (early batch)"))</f>
        <v/>
      </c>
      <c r="K106" s="17">
        <f>"No 2022 vote-method split for this county. The final break-even is "&amp;IF(D106&gt;=0,"D+","R+")&amp;TEXT(ABS(D106)*100,"0.0")&amp;". If the first batch is early/mail votes, expect it to overstate the Democratic side."</f>
        <v/>
      </c>
      <c r="L106" s="8" t="inlineStr"/>
      <c r="M106" s="8">
        <f>IF(Counties!AG849=1,D106,G106)</f>
        <v/>
      </c>
    </row>
    <row r="108" ht="44" customHeight="1">
      <c r="A108" s="38" t="inlineStr">
        <is>
          <t>Alaska · polls close 12:00 AM ET / 11:00 PM CST · Most results arrive after 1 AM ET and keep coming for days. Not useful on election night.</t>
        </is>
      </c>
      <c r="B108" s="39" t="n"/>
      <c r="C108" s="39" t="n"/>
      <c r="D108" s="39" t="n"/>
      <c r="E108" s="39" t="n"/>
      <c r="F108" s="39" t="n"/>
      <c r="G108" s="39" t="n"/>
      <c r="H108" s="39" t="n"/>
      <c r="I108" s="39" t="n"/>
      <c r="J108" s="39" t="n"/>
      <c r="K108" s="39" t="n"/>
      <c r="L108" s="39" t="inlineStr"/>
    </row>
  </sheetData>
  <mergeCells count="22">
    <mergeCell ref="A39:K39"/>
    <mergeCell ref="A11:K11"/>
    <mergeCell ref="A60:K60"/>
    <mergeCell ref="A45:K45"/>
    <mergeCell ref="A103:K103"/>
    <mergeCell ref="A2:L2"/>
    <mergeCell ref="A54:K54"/>
    <mergeCell ref="A46:K46"/>
    <mergeCell ref="A90:K90"/>
    <mergeCell ref="A108:K108"/>
    <mergeCell ref="A66:K66"/>
    <mergeCell ref="A80:K80"/>
    <mergeCell ref="A27:K27"/>
    <mergeCell ref="A74:K74"/>
    <mergeCell ref="A12:K12"/>
    <mergeCell ref="A33:K33"/>
    <mergeCell ref="A85:K85"/>
    <mergeCell ref="A32:K32"/>
    <mergeCell ref="A5:K5"/>
    <mergeCell ref="A91:K91"/>
    <mergeCell ref="A97:K97"/>
    <mergeCell ref="A20:K20"/>
  </mergeCells>
  <conditionalFormatting sqref="J5:J110">
    <cfRule type="expression" priority="1" dxfId="0" stopIfTrue="1">
      <formula>AND($H5&lt;&gt;"",($H5-$M5)&gt;=0.05)</formula>
    </cfRule>
    <cfRule type="expression" priority="2" dxfId="1" stopIfTrue="1">
      <formula>AND($H5&lt;&gt;"",($H5-$M5)&gt;=0.01)</formula>
    </cfRule>
    <cfRule type="expression" priority="3" dxfId="2" stopIfTrue="1">
      <formula>AND($H5&lt;&gt;"",($H5-$M5)&gt;-0.01)</formula>
    </cfRule>
    <cfRule type="expression" priority="4" dxfId="3" stopIfTrue="1">
      <formula>AND($H5&lt;&gt;"",($H5-$M5)&gt;-0.05)</formula>
    </cfRule>
    <cfRule type="expression" priority="5" dxfId="4" stopIfTrue="1">
      <formula>AND($H5&lt;&gt;"",TRUE)</formula>
    </cfRule>
  </conditionalFormatting>
  <conditionalFormatting sqref="H5:H110">
    <cfRule type="expression" priority="6" dxfId="0" stopIfTrue="1">
      <formula>AND($H5&lt;&gt;"",($H5-$M5)&gt;=0.05)</formula>
    </cfRule>
    <cfRule type="expression" priority="7" dxfId="1" stopIfTrue="1">
      <formula>AND($H5&lt;&gt;"",($H5-$M5)&gt;=0.01)</formula>
    </cfRule>
    <cfRule type="expression" priority="8" dxfId="2" stopIfTrue="1">
      <formula>AND($H5&lt;&gt;"",($H5-$M5)&gt;-0.01)</formula>
    </cfRule>
    <cfRule type="expression" priority="9" dxfId="3" stopIfTrue="1">
      <formula>AND($H5&lt;&gt;"",($H5-$M5)&gt;-0.05)</formula>
    </cfRule>
    <cfRule type="expression" priority="10" dxfId="4" stopIfTrue="1">
      <formula>AND($H5&lt;&gt;"",TRUE)</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F158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7" customWidth="1" min="2" max="2"/>
    <col width="18" customWidth="1" min="3" max="3"/>
    <col width="20" customWidth="1" min="4" max="4"/>
    <col width="5" customWidth="1" min="5" max="5"/>
    <col width="11" customWidth="1" min="6" max="6"/>
    <col width="11" customWidth="1" min="7" max="7"/>
    <col width="11" customWidth="1" min="8" max="8"/>
    <col width="11" customWidth="1" min="9" max="9"/>
    <col width="11" customWidth="1" min="10" max="10"/>
    <col width="10" customWidth="1" min="11" max="11"/>
    <col width="11" customWidth="1" min="12" max="12"/>
    <col width="11" customWidth="1" min="13" max="13"/>
    <col width="11" customWidth="1" min="14" max="14"/>
    <col width="10" customWidth="1" min="15" max="15"/>
    <col width="10" customWidth="1" min="16" max="16"/>
    <col width="10" customWidth="1" min="17" max="17"/>
    <col width="10" customWidth="1" min="18" max="18"/>
    <col width="9" customWidth="1" min="19" max="19"/>
    <col width="10" customWidth="1" min="20" max="20"/>
    <col width="12" customWidth="1" min="21" max="21"/>
    <col width="10" customWidth="1" min="22" max="22"/>
    <col width="10" customWidth="1" min="23" max="23"/>
    <col width="9" customWidth="1" min="24" max="24"/>
    <col width="9" customWidth="1" min="25" max="25"/>
    <col width="10" customWidth="1" min="26" max="26"/>
    <col width="10" customWidth="1" min="27" max="27"/>
    <col width="9" customWidth="1" min="28" max="28"/>
    <col width="9" customWidth="1" min="29" max="29"/>
    <col width="10" customWidth="1" min="30" max="30"/>
    <col width="10" customWidth="1" min="31" max="31"/>
    <col width="11" customWidth="1" min="32" max="32"/>
    <col width="8" customWidth="1" min="33" max="33"/>
    <col width="10" customWidth="1" min="34" max="34"/>
    <col width="10" customWidth="1" min="35" max="35"/>
    <col width="10" customWidth="1" min="36" max="36"/>
    <col width="12" customWidth="1" min="37" max="37"/>
    <col width="11" customWidth="1" min="38" max="38"/>
    <col width="11" customWidth="1" min="39" max="39"/>
    <col width="10" customWidth="1" min="40" max="40"/>
    <col width="8" customWidth="1" min="41" max="41"/>
    <col hidden="1" width="10" customWidth="1" min="42" max="42"/>
    <col width="12" customWidth="1" min="43" max="43"/>
    <col hidden="1" width="10" customWidth="1" min="44" max="44"/>
    <col width="9" customWidth="1" min="45" max="45"/>
    <col width="11" customWidth="1" min="46" max="46"/>
    <col width="8" customWidth="1" min="47" max="47"/>
    <col width="10" customWidth="1" min="48" max="48"/>
    <col width="9" customWidth="1" min="49" max="49"/>
    <col width="9" customWidth="1" min="50" max="50"/>
    <col width="10" customWidth="1" min="51" max="51"/>
    <col width="11" customWidth="1" min="52" max="52"/>
    <col hidden="1" width="10" customWidth="1" min="53" max="53"/>
    <col hidden="1" width="10" customWidth="1" min="54" max="54"/>
    <col width="8" customWidth="1" min="55" max="55"/>
    <col width="8" customWidth="1" min="56" max="56"/>
    <col width="8" customWidth="1" min="57" max="57"/>
    <col width="11" customWidth="1" min="58" max="58"/>
  </cols>
  <sheetData>
    <row r="1" ht="42" customHeight="1">
      <c r="A1" s="7" t="inlineStr">
        <is>
          <t>State</t>
        </is>
      </c>
      <c r="B1" s="7" t="inlineStr">
        <is>
          <t>FIPS</t>
        </is>
      </c>
      <c r="C1" s="7" t="inlineStr">
        <is>
          <t>County</t>
        </is>
      </c>
      <c r="D1" s="7" t="inlineStr">
        <is>
          <t>Type</t>
        </is>
      </c>
      <c r="E1" s="7" t="inlineStr">
        <is>
          <t>Key</t>
        </is>
      </c>
      <c r="F1" s="7" t="inlineStr">
        <is>
          <t>D votes 2024</t>
        </is>
      </c>
      <c r="G1" s="7" t="inlineStr">
        <is>
          <t>R votes 2024</t>
        </is>
      </c>
      <c r="H1" s="7" t="inlineStr">
        <is>
          <t>Total 2024</t>
        </is>
      </c>
      <c r="I1" s="7" t="inlineStr">
        <is>
          <t>D votes 2020</t>
        </is>
      </c>
      <c r="J1" s="7" t="inlineStr">
        <is>
          <t>R votes 2020</t>
        </is>
      </c>
      <c r="K1" s="7" t="inlineStr">
        <is>
          <t>2022 race</t>
        </is>
      </c>
      <c r="L1" s="7" t="inlineStr">
        <is>
          <t>D votes 2022</t>
        </is>
      </c>
      <c r="M1" s="7" t="inlineStr">
        <is>
          <t>R votes 2022</t>
        </is>
      </c>
      <c r="N1" s="7" t="inlineStr">
        <is>
          <t>Total 2022</t>
        </is>
      </c>
      <c r="O1" s="7" t="inlineStr">
        <is>
          <t>Margin 2024</t>
        </is>
      </c>
      <c r="P1" s="7" t="inlineStr">
        <is>
          <t>Margin 2020</t>
        </is>
      </c>
      <c r="Q1" s="7" t="inlineStr">
        <is>
          <t>Swing 20→24</t>
        </is>
      </c>
      <c r="R1" s="7" t="inlineStr">
        <is>
          <t>Margin 2022</t>
        </is>
      </c>
      <c r="S1" s="7" t="inlineStr">
        <is>
          <t>Share of state 2024</t>
        </is>
      </c>
      <c r="T1" s="7" t="inlineStr">
        <is>
          <t>D break-even</t>
        </is>
      </c>
      <c r="U1" s="7" t="inlineStr">
        <is>
          <t>Expected 2-party votes</t>
        </is>
      </c>
      <c r="V1" s="40" t="inlineStr">
        <is>
          <t>Feed D</t>
        </is>
      </c>
      <c r="W1" s="40" t="inlineStr">
        <is>
          <t>Feed R</t>
        </is>
      </c>
      <c r="X1" s="40" t="inlineStr">
        <is>
          <t>Feed other</t>
        </is>
      </c>
      <c r="Y1" s="40" t="inlineStr">
        <is>
          <t>Feed % precincts</t>
        </is>
      </c>
      <c r="Z1" s="41" t="inlineStr">
        <is>
          <t>Manual D</t>
        </is>
      </c>
      <c r="AA1" s="41" t="inlineStr">
        <is>
          <t>Manual R</t>
        </is>
      </c>
      <c r="AB1" s="41" t="inlineStr">
        <is>
          <t>Manual other</t>
        </is>
      </c>
      <c r="AC1" s="41" t="inlineStr">
        <is>
          <t>Manual complete (Y)</t>
        </is>
      </c>
      <c r="AD1" s="7" t="inlineStr">
        <is>
          <t>D counted</t>
        </is>
      </c>
      <c r="AE1" s="7" t="inlineStr">
        <is>
          <t>R counted</t>
        </is>
      </c>
      <c r="AF1" s="7" t="inlineStr">
        <is>
          <t>2-party counted</t>
        </is>
      </c>
      <c r="AG1" s="7" t="inlineStr">
        <is>
          <t>Complete (1/0)</t>
        </is>
      </c>
      <c r="AH1" s="7" t="inlineStr">
        <is>
          <t>Live margin</t>
        </is>
      </c>
      <c r="AI1" s="7" t="inlineStr">
        <is>
          <t>Swing vs 2024</t>
        </is>
      </c>
      <c r="AJ1" s="7" t="inlineStr">
        <is>
          <t>Projected margin</t>
        </is>
      </c>
      <c r="AK1" s="7" t="inlineStr">
        <is>
          <t>Projected 2-party votes</t>
        </is>
      </c>
      <c r="AL1" s="7" t="inlineStr">
        <is>
          <t>Projected D</t>
        </is>
      </c>
      <c r="AM1" s="7" t="inlineStr">
        <is>
          <t>Projected R</t>
        </is>
      </c>
      <c r="AN1" s="7" t="inlineStr">
        <is>
          <t>Live vs break-even</t>
        </is>
      </c>
      <c r="AO1" s="7" t="inlineStr">
        <is>
          <t>Est. % in</t>
        </is>
      </c>
      <c r="AP1" s="7" t="inlineStr">
        <is>
          <t>Swing x votes (helper)</t>
        </is>
      </c>
      <c r="AQ1" s="7" t="inlineStr">
        <is>
          <t>2-party votes at 2022 turnout</t>
        </is>
      </c>
      <c r="AR1" s="7" t="inlineStr">
        <is>
          <t>Margin x votes (helper)</t>
        </is>
      </c>
      <c r="AS1" s="7" t="inlineStr">
        <is>
          <t>Turnout pace used (vs 2022)</t>
        </is>
      </c>
      <c r="AT1" s="7" t="inlineStr">
        <is>
          <t>Par votes (tie pace)</t>
        </is>
      </c>
      <c r="AU1" s="7" t="inlineStr">
        <is>
          <t>Turnout index (100 = state pace)</t>
        </is>
      </c>
      <c r="AV1" s="7" t="inlineStr">
        <is>
          <t>Break-even at actual turnout</t>
        </is>
      </c>
      <c r="AW1" s="7" t="inlineStr">
        <is>
          <t>Turnout index needed at live margin</t>
        </is>
      </c>
      <c r="AX1" s="7" t="inlineStr">
        <is>
          <t>Turnout effect (pts)</t>
        </is>
      </c>
      <c r="AY1" s="7" t="inlineStr">
        <is>
          <t>Margin + turnout vs tie pace (pts)</t>
        </is>
      </c>
      <c r="AZ1" s="7" t="inlineStr">
        <is>
          <t>Net votes vs tie pace</t>
        </is>
      </c>
      <c r="BA1" s="7" t="inlineStr">
        <is>
          <t>Margin net votes (helper)</t>
        </is>
      </c>
      <c r="BB1" s="7" t="inlineStr">
        <is>
          <t>Turnout net votes (helper)</t>
        </is>
      </c>
      <c r="BC1" s="7" t="inlineStr">
        <is>
          <t>Black %</t>
        </is>
      </c>
      <c r="BD1" s="7" t="inlineStr">
        <is>
          <t>Hispanic %</t>
        </is>
      </c>
      <c r="BE1" s="7" t="inlineStr">
        <is>
          <t>College %</t>
        </is>
      </c>
      <c r="BF1" s="7" t="inlineStr">
        <is>
          <t>Population 2023</t>
        </is>
      </c>
    </row>
    <row r="2">
      <c r="A2" s="42" t="inlineStr">
        <is>
          <t>AK</t>
        </is>
      </c>
      <c r="B2" s="42" t="inlineStr">
        <is>
          <t>02001</t>
        </is>
      </c>
      <c r="C2" s="42" t="inlineStr">
        <is>
          <t>HD District 1</t>
        </is>
      </c>
      <c r="D2" s="42" t="inlineStr">
        <is>
          <t>Alaska district</t>
        </is>
      </c>
      <c r="E2" s="42" t="inlineStr"/>
      <c r="F2" s="43" t="n">
        <v>3367</v>
      </c>
      <c r="G2" s="43" t="n">
        <v>4861</v>
      </c>
      <c r="H2" s="43" t="n">
        <v>8228</v>
      </c>
      <c r="I2" s="43" t="n"/>
      <c r="J2" s="43" t="n"/>
      <c r="K2" s="42" t="inlineStr">
        <is>
          <t>US Senate</t>
        </is>
      </c>
      <c r="L2" s="43" t="n">
        <v>347</v>
      </c>
      <c r="M2" s="43" t="n">
        <v>4247</v>
      </c>
      <c r="N2" s="43" t="n">
        <v>4603</v>
      </c>
      <c r="O2" s="44">
        <f>IFERROR((F2-G2)/(F2+G2),"")</f>
        <v/>
      </c>
      <c r="P2" s="44">
        <f>IFERROR((I2-J2)/(I2+J2),"")</f>
        <v/>
      </c>
      <c r="Q2" s="45">
        <f>IFERROR(O2-P2,"")</f>
        <v/>
      </c>
      <c r="R2" s="44">
        <f>IFERROR((L2-M2)/(L2+M2),"")</f>
        <v/>
      </c>
      <c r="S2" s="46">
        <f>H2/SUMIFS(Counties!$H$2:$H$1583,Counties!$A$2:$A$1583,$A2)</f>
        <v/>
      </c>
      <c r="T2" s="44">
        <f>O2+INDEX(Dashboard!$F$6:$F$22,MATCH($A2,Dashboard!$A$6:$A$22,0))</f>
        <v/>
      </c>
      <c r="U2" s="43">
        <f>AQ2*INDEX(Dashboard!$G$6:$G$22,MATCH($A2,Dashboard!$A$6:$A$22,0))</f>
        <v/>
      </c>
      <c r="V2" s="47" t="n"/>
      <c r="W2" s="47" t="n"/>
      <c r="X2" s="47" t="n"/>
      <c r="Y2" s="48" t="n"/>
      <c r="Z2" s="49" t="n"/>
      <c r="AA2" s="49" t="n"/>
      <c r="AB2" s="49" t="n"/>
      <c r="AC2" s="50" t="n"/>
      <c r="AD2" s="43">
        <f>IF(Z2&lt;&gt;"",Z2,N(V2))</f>
        <v/>
      </c>
      <c r="AE2" s="43">
        <f>IF(AA2&lt;&gt;"",AA2,N(W2))</f>
        <v/>
      </c>
      <c r="AF2" s="43">
        <f>AD2+AE2</f>
        <v/>
      </c>
      <c r="AG2" s="42">
        <f>IF(UPPER(AC2)="Y",1,IF(AF2=0,0,IF(AND(Z2="",Y2&lt;&gt;""),IF(Y2&gt;=0.999,1,0),IF(AF2&gt;=U2,1,0))))</f>
        <v/>
      </c>
      <c r="AH2" s="44">
        <f>IF(AF2&gt;0,(AD2-AE2)/AF2,"")</f>
        <v/>
      </c>
      <c r="AI2" s="45">
        <f>IF(AG2=1,AH2-O2,"")</f>
        <v/>
      </c>
      <c r="AJ2" s="44">
        <f>IF(AG2=1,AH2,MAX(-1,MIN(1,O2+INDEX(Types!$H:$H,MATCH($A2&amp;"|"&amp;$D2,Types!$A:$A,0)))))</f>
        <v/>
      </c>
      <c r="AK2" s="43">
        <f>IF(AG2=1,AF2,MAX(AQ2*AS2,AF2))</f>
        <v/>
      </c>
      <c r="AL2" s="43">
        <f>IF(AG2=1,AD2,AK2*(1+AJ2)/2)</f>
        <v/>
      </c>
      <c r="AM2" s="43">
        <f>IF(AG2=1,AE2,AK2*(1-AJ2)/2)</f>
        <v/>
      </c>
      <c r="AN2" s="45">
        <f>IF(AH2="","",AH2-T2)</f>
        <v/>
      </c>
      <c r="AO2" s="51">
        <f>IF(AG2=1,1,IF(U2&gt;0,MIN(AF2/U2,0.99),0))</f>
        <v/>
      </c>
      <c r="AP2" s="43">
        <f>IF(AG2=1,AI2*AF2,0)</f>
        <v/>
      </c>
      <c r="AQ2" s="43">
        <f>N2*(F2+G2)/H2</f>
        <v/>
      </c>
      <c r="AR2" s="43">
        <f>O2*AQ2</f>
        <v/>
      </c>
      <c r="AS2" s="52">
        <f>IF(AG2=1,IF(AQ2&gt;0,AF2/AQ2,1),IFERROR(INDEX(Types!$K:$K,MATCH($A2&amp;"|"&amp;$D2,Types!$A:$A,0)),INDEX(Dashboard!$X$6:$X$22,MATCH($A2,Dashboard!$A$6:$A$22,0))))</f>
        <v/>
      </c>
      <c r="AT2" s="43">
        <f>AQ2*INDEX(Dashboard!$Y$6:$Y$22,MATCH($A2,Dashboard!$A$6:$A$22,0))</f>
        <v/>
      </c>
      <c r="AU2" s="53">
        <f>IF(AND(AG2=1,AT2&gt;0,AF2&gt;0),100*AF2/AT2,"")</f>
        <v/>
      </c>
      <c r="AV2" s="44">
        <f>IF(AU2="","",T2/(AU2/100))</f>
        <v/>
      </c>
      <c r="AW2" s="53">
        <f>IF(AU2="","",IF(AND(ABS(AH2)&gt;=0.1,ABS(T2)&gt;=0.05,SIGN(AH2)=SIGN(T2)),100*T2/AH2,""))</f>
        <v/>
      </c>
      <c r="AX2" s="45">
        <f>IF(AU2="","",T2-AV2)</f>
        <v/>
      </c>
      <c r="AY2" s="45">
        <f>IF(AU2="","",AH2-AV2)</f>
        <v/>
      </c>
      <c r="AZ2" s="54">
        <f>(AL2-AM2)-T2*AT2</f>
        <v/>
      </c>
      <c r="BA2" s="43">
        <f>IF(AU2="",0,(AH2-T2)*AF2)</f>
        <v/>
      </c>
      <c r="BB2" s="43">
        <f>IF(AU2="",0,T2*(AF2-AT2))</f>
        <v/>
      </c>
      <c r="BC2" s="51" t="n"/>
      <c r="BD2" s="51" t="n"/>
      <c r="BE2" s="51" t="n"/>
      <c r="BF2" s="43" t="n"/>
    </row>
    <row r="3">
      <c r="A3" s="42" t="inlineStr">
        <is>
          <t>AK</t>
        </is>
      </c>
      <c r="B3" s="42" t="inlineStr">
        <is>
          <t>02010</t>
        </is>
      </c>
      <c r="C3" s="42" t="inlineStr">
        <is>
          <t>HD District 10</t>
        </is>
      </c>
      <c r="D3" s="42" t="inlineStr">
        <is>
          <t>Alaska district</t>
        </is>
      </c>
      <c r="E3" s="42" t="inlineStr"/>
      <c r="F3" s="43" t="n">
        <v>4070</v>
      </c>
      <c r="G3" s="43" t="n">
        <v>4357</v>
      </c>
      <c r="H3" s="43" t="n">
        <v>8427</v>
      </c>
      <c r="I3" s="43" t="n"/>
      <c r="J3" s="43" t="n"/>
      <c r="K3" s="42" t="inlineStr">
        <is>
          <t>US Senate</t>
        </is>
      </c>
      <c r="L3" s="43" t="n">
        <v>375</v>
      </c>
      <c r="M3" s="43" t="n">
        <v>4163</v>
      </c>
      <c r="N3" s="43" t="n">
        <v>4544</v>
      </c>
      <c r="O3" s="44">
        <f>IFERROR((F3-G3)/(F3+G3),"")</f>
        <v/>
      </c>
      <c r="P3" s="44">
        <f>IFERROR((I3-J3)/(I3+J3),"")</f>
        <v/>
      </c>
      <c r="Q3" s="45">
        <f>IFERROR(O3-P3,"")</f>
        <v/>
      </c>
      <c r="R3" s="44">
        <f>IFERROR((L3-M3)/(L3+M3),"")</f>
        <v/>
      </c>
      <c r="S3" s="46">
        <f>H3/SUMIFS(Counties!$H$2:$H$1583,Counties!$A$2:$A$1583,$A3)</f>
        <v/>
      </c>
      <c r="T3" s="44">
        <f>O3+INDEX(Dashboard!$F$6:$F$22,MATCH($A3,Dashboard!$A$6:$A$22,0))</f>
        <v/>
      </c>
      <c r="U3" s="43">
        <f>AQ3*INDEX(Dashboard!$G$6:$G$22,MATCH($A3,Dashboard!$A$6:$A$22,0))</f>
        <v/>
      </c>
      <c r="V3" s="47" t="n"/>
      <c r="W3" s="47" t="n"/>
      <c r="X3" s="47" t="n"/>
      <c r="Y3" s="48" t="n"/>
      <c r="Z3" s="49" t="n"/>
      <c r="AA3" s="49" t="n"/>
      <c r="AB3" s="49" t="n"/>
      <c r="AC3" s="50" t="n"/>
      <c r="AD3" s="43">
        <f>IF(Z3&lt;&gt;"",Z3,N(V3))</f>
        <v/>
      </c>
      <c r="AE3" s="43">
        <f>IF(AA3&lt;&gt;"",AA3,N(W3))</f>
        <v/>
      </c>
      <c r="AF3" s="43">
        <f>AD3+AE3</f>
        <v/>
      </c>
      <c r="AG3" s="42">
        <f>IF(UPPER(AC3)="Y",1,IF(AF3=0,0,IF(AND(Z3="",Y3&lt;&gt;""),IF(Y3&gt;=0.999,1,0),IF(AF3&gt;=U3,1,0))))</f>
        <v/>
      </c>
      <c r="AH3" s="44">
        <f>IF(AF3&gt;0,(AD3-AE3)/AF3,"")</f>
        <v/>
      </c>
      <c r="AI3" s="45">
        <f>IF(AG3=1,AH3-O3,"")</f>
        <v/>
      </c>
      <c r="AJ3" s="44">
        <f>IF(AG3=1,AH3,MAX(-1,MIN(1,O3+INDEX(Types!$H:$H,MATCH($A3&amp;"|"&amp;$D3,Types!$A:$A,0)))))</f>
        <v/>
      </c>
      <c r="AK3" s="43">
        <f>IF(AG3=1,AF3,MAX(AQ3*AS3,AF3))</f>
        <v/>
      </c>
      <c r="AL3" s="43">
        <f>IF(AG3=1,AD3,AK3*(1+AJ3)/2)</f>
        <v/>
      </c>
      <c r="AM3" s="43">
        <f>IF(AG3=1,AE3,AK3*(1-AJ3)/2)</f>
        <v/>
      </c>
      <c r="AN3" s="45">
        <f>IF(AH3="","",AH3-T3)</f>
        <v/>
      </c>
      <c r="AO3" s="51">
        <f>IF(AG3=1,1,IF(U3&gt;0,MIN(AF3/U3,0.99),0))</f>
        <v/>
      </c>
      <c r="AP3" s="43">
        <f>IF(AG3=1,AI3*AF3,0)</f>
        <v/>
      </c>
      <c r="AQ3" s="43">
        <f>N3*(F3+G3)/H3</f>
        <v/>
      </c>
      <c r="AR3" s="43">
        <f>O3*AQ3</f>
        <v/>
      </c>
      <c r="AS3" s="52">
        <f>IF(AG3=1,IF(AQ3&gt;0,AF3/AQ3,1),IFERROR(INDEX(Types!$K:$K,MATCH($A3&amp;"|"&amp;$D3,Types!$A:$A,0)),INDEX(Dashboard!$X$6:$X$22,MATCH($A3,Dashboard!$A$6:$A$22,0))))</f>
        <v/>
      </c>
      <c r="AT3" s="43">
        <f>AQ3*INDEX(Dashboard!$Y$6:$Y$22,MATCH($A3,Dashboard!$A$6:$A$22,0))</f>
        <v/>
      </c>
      <c r="AU3" s="53">
        <f>IF(AND(AG3=1,AT3&gt;0,AF3&gt;0),100*AF3/AT3,"")</f>
        <v/>
      </c>
      <c r="AV3" s="44">
        <f>IF(AU3="","",T3/(AU3/100))</f>
        <v/>
      </c>
      <c r="AW3" s="53">
        <f>IF(AU3="","",IF(AND(ABS(AH3)&gt;=0.1,ABS(T3)&gt;=0.05,SIGN(AH3)=SIGN(T3)),100*T3/AH3,""))</f>
        <v/>
      </c>
      <c r="AX3" s="45">
        <f>IF(AU3="","",T3-AV3)</f>
        <v/>
      </c>
      <c r="AY3" s="45">
        <f>IF(AU3="","",AH3-AV3)</f>
        <v/>
      </c>
      <c r="AZ3" s="54">
        <f>(AL3-AM3)-T3*AT3</f>
        <v/>
      </c>
      <c r="BA3" s="43">
        <f>IF(AU3="",0,(AH3-T3)*AF3)</f>
        <v/>
      </c>
      <c r="BB3" s="43">
        <f>IF(AU3="",0,T3*(AF3-AT3))</f>
        <v/>
      </c>
      <c r="BC3" s="51" t="n"/>
      <c r="BD3" s="51" t="n"/>
      <c r="BE3" s="51" t="n"/>
      <c r="BF3" s="43" t="n"/>
    </row>
    <row r="4">
      <c r="A4" s="42" t="inlineStr">
        <is>
          <t>AK</t>
        </is>
      </c>
      <c r="B4" s="42" t="inlineStr">
        <is>
          <t>02011</t>
        </is>
      </c>
      <c r="C4" s="42" t="inlineStr">
        <is>
          <t>HD District 11</t>
        </is>
      </c>
      <c r="D4" s="42" t="inlineStr">
        <is>
          <t>Alaska district</t>
        </is>
      </c>
      <c r="E4" s="42" t="inlineStr"/>
      <c r="F4" s="43" t="n">
        <v>4633</v>
      </c>
      <c r="G4" s="43" t="n">
        <v>4864</v>
      </c>
      <c r="H4" s="43" t="n">
        <v>9497</v>
      </c>
      <c r="I4" s="43" t="n"/>
      <c r="J4" s="43" t="n"/>
      <c r="K4" s="42" t="inlineStr">
        <is>
          <t>US Senate</t>
        </is>
      </c>
      <c r="L4" s="43" t="n">
        <v>350</v>
      </c>
      <c r="M4" s="43" t="n">
        <v>4582</v>
      </c>
      <c r="N4" s="43" t="n">
        <v>4938</v>
      </c>
      <c r="O4" s="44">
        <f>IFERROR((F4-G4)/(F4+G4),"")</f>
        <v/>
      </c>
      <c r="P4" s="44">
        <f>IFERROR((I4-J4)/(I4+J4),"")</f>
        <v/>
      </c>
      <c r="Q4" s="45">
        <f>IFERROR(O4-P4,"")</f>
        <v/>
      </c>
      <c r="R4" s="44">
        <f>IFERROR((L4-M4)/(L4+M4),"")</f>
        <v/>
      </c>
      <c r="S4" s="46">
        <f>H4/SUMIFS(Counties!$H$2:$H$1583,Counties!$A$2:$A$1583,$A4)</f>
        <v/>
      </c>
      <c r="T4" s="44">
        <f>O4+INDEX(Dashboard!$F$6:$F$22,MATCH($A4,Dashboard!$A$6:$A$22,0))</f>
        <v/>
      </c>
      <c r="U4" s="43">
        <f>AQ4*INDEX(Dashboard!$G$6:$G$22,MATCH($A4,Dashboard!$A$6:$A$22,0))</f>
        <v/>
      </c>
      <c r="V4" s="47" t="n"/>
      <c r="W4" s="47" t="n"/>
      <c r="X4" s="47" t="n"/>
      <c r="Y4" s="48" t="n"/>
      <c r="Z4" s="49" t="n"/>
      <c r="AA4" s="49" t="n"/>
      <c r="AB4" s="49" t="n"/>
      <c r="AC4" s="50" t="n"/>
      <c r="AD4" s="43">
        <f>IF(Z4&lt;&gt;"",Z4,N(V4))</f>
        <v/>
      </c>
      <c r="AE4" s="43">
        <f>IF(AA4&lt;&gt;"",AA4,N(W4))</f>
        <v/>
      </c>
      <c r="AF4" s="43">
        <f>AD4+AE4</f>
        <v/>
      </c>
      <c r="AG4" s="42">
        <f>IF(UPPER(AC4)="Y",1,IF(AF4=0,0,IF(AND(Z4="",Y4&lt;&gt;""),IF(Y4&gt;=0.999,1,0),IF(AF4&gt;=U4,1,0))))</f>
        <v/>
      </c>
      <c r="AH4" s="44">
        <f>IF(AF4&gt;0,(AD4-AE4)/AF4,"")</f>
        <v/>
      </c>
      <c r="AI4" s="45">
        <f>IF(AG4=1,AH4-O4,"")</f>
        <v/>
      </c>
      <c r="AJ4" s="44">
        <f>IF(AG4=1,AH4,MAX(-1,MIN(1,O4+INDEX(Types!$H:$H,MATCH($A4&amp;"|"&amp;$D4,Types!$A:$A,0)))))</f>
        <v/>
      </c>
      <c r="AK4" s="43">
        <f>IF(AG4=1,AF4,MAX(AQ4*AS4,AF4))</f>
        <v/>
      </c>
      <c r="AL4" s="43">
        <f>IF(AG4=1,AD4,AK4*(1+AJ4)/2)</f>
        <v/>
      </c>
      <c r="AM4" s="43">
        <f>IF(AG4=1,AE4,AK4*(1-AJ4)/2)</f>
        <v/>
      </c>
      <c r="AN4" s="45">
        <f>IF(AH4="","",AH4-T4)</f>
        <v/>
      </c>
      <c r="AO4" s="51">
        <f>IF(AG4=1,1,IF(U4&gt;0,MIN(AF4/U4,0.99),0))</f>
        <v/>
      </c>
      <c r="AP4" s="43">
        <f>IF(AG4=1,AI4*AF4,0)</f>
        <v/>
      </c>
      <c r="AQ4" s="43">
        <f>N4*(F4+G4)/H4</f>
        <v/>
      </c>
      <c r="AR4" s="43">
        <f>O4*AQ4</f>
        <v/>
      </c>
      <c r="AS4" s="52">
        <f>IF(AG4=1,IF(AQ4&gt;0,AF4/AQ4,1),IFERROR(INDEX(Types!$K:$K,MATCH($A4&amp;"|"&amp;$D4,Types!$A:$A,0)),INDEX(Dashboard!$X$6:$X$22,MATCH($A4,Dashboard!$A$6:$A$22,0))))</f>
        <v/>
      </c>
      <c r="AT4" s="43">
        <f>AQ4*INDEX(Dashboard!$Y$6:$Y$22,MATCH($A4,Dashboard!$A$6:$A$22,0))</f>
        <v/>
      </c>
      <c r="AU4" s="53">
        <f>IF(AND(AG4=1,AT4&gt;0,AF4&gt;0),100*AF4/AT4,"")</f>
        <v/>
      </c>
      <c r="AV4" s="44">
        <f>IF(AU4="","",T4/(AU4/100))</f>
        <v/>
      </c>
      <c r="AW4" s="53">
        <f>IF(AU4="","",IF(AND(ABS(AH4)&gt;=0.1,ABS(T4)&gt;=0.05,SIGN(AH4)=SIGN(T4)),100*T4/AH4,""))</f>
        <v/>
      </c>
      <c r="AX4" s="45">
        <f>IF(AU4="","",T4-AV4)</f>
        <v/>
      </c>
      <c r="AY4" s="45">
        <f>IF(AU4="","",AH4-AV4)</f>
        <v/>
      </c>
      <c r="AZ4" s="54">
        <f>(AL4-AM4)-T4*AT4</f>
        <v/>
      </c>
      <c r="BA4" s="43">
        <f>IF(AU4="",0,(AH4-T4)*AF4)</f>
        <v/>
      </c>
      <c r="BB4" s="43">
        <f>IF(AU4="",0,T4*(AF4-AT4))</f>
        <v/>
      </c>
      <c r="BC4" s="51" t="n"/>
      <c r="BD4" s="51" t="n"/>
      <c r="BE4" s="51" t="n"/>
      <c r="BF4" s="43" t="n"/>
    </row>
    <row r="5">
      <c r="A5" s="42" t="inlineStr">
        <is>
          <t>AK</t>
        </is>
      </c>
      <c r="B5" s="42" t="inlineStr">
        <is>
          <t>02012</t>
        </is>
      </c>
      <c r="C5" s="42" t="inlineStr">
        <is>
          <t>HD District 12</t>
        </is>
      </c>
      <c r="D5" s="42" t="inlineStr">
        <is>
          <t>Alaska district</t>
        </is>
      </c>
      <c r="E5" s="42" t="inlineStr"/>
      <c r="F5" s="43" t="n">
        <v>4169</v>
      </c>
      <c r="G5" s="43" t="n">
        <v>4059</v>
      </c>
      <c r="H5" s="43" t="n">
        <v>8228</v>
      </c>
      <c r="I5" s="43" t="n"/>
      <c r="J5" s="43" t="n"/>
      <c r="K5" s="42" t="inlineStr">
        <is>
          <t>US Senate</t>
        </is>
      </c>
      <c r="L5" s="43" t="n">
        <v>424</v>
      </c>
      <c r="M5" s="43" t="n">
        <v>3733</v>
      </c>
      <c r="N5" s="43" t="n">
        <v>4177</v>
      </c>
      <c r="O5" s="44">
        <f>IFERROR((F5-G5)/(F5+G5),"")</f>
        <v/>
      </c>
      <c r="P5" s="44">
        <f>IFERROR((I5-J5)/(I5+J5),"")</f>
        <v/>
      </c>
      <c r="Q5" s="45">
        <f>IFERROR(O5-P5,"")</f>
        <v/>
      </c>
      <c r="R5" s="44">
        <f>IFERROR((L5-M5)/(L5+M5),"")</f>
        <v/>
      </c>
      <c r="S5" s="46">
        <f>H5/SUMIFS(Counties!$H$2:$H$1583,Counties!$A$2:$A$1583,$A5)</f>
        <v/>
      </c>
      <c r="T5" s="44">
        <f>O5+INDEX(Dashboard!$F$6:$F$22,MATCH($A5,Dashboard!$A$6:$A$22,0))</f>
        <v/>
      </c>
      <c r="U5" s="43">
        <f>AQ5*INDEX(Dashboard!$G$6:$G$22,MATCH($A5,Dashboard!$A$6:$A$22,0))</f>
        <v/>
      </c>
      <c r="V5" s="47" t="n"/>
      <c r="W5" s="47" t="n"/>
      <c r="X5" s="47" t="n"/>
      <c r="Y5" s="48" t="n"/>
      <c r="Z5" s="49" t="n"/>
      <c r="AA5" s="49" t="n"/>
      <c r="AB5" s="49" t="n"/>
      <c r="AC5" s="50" t="n"/>
      <c r="AD5" s="43">
        <f>IF(Z5&lt;&gt;"",Z5,N(V5))</f>
        <v/>
      </c>
      <c r="AE5" s="43">
        <f>IF(AA5&lt;&gt;"",AA5,N(W5))</f>
        <v/>
      </c>
      <c r="AF5" s="43">
        <f>AD5+AE5</f>
        <v/>
      </c>
      <c r="AG5" s="42">
        <f>IF(UPPER(AC5)="Y",1,IF(AF5=0,0,IF(AND(Z5="",Y5&lt;&gt;""),IF(Y5&gt;=0.999,1,0),IF(AF5&gt;=U5,1,0))))</f>
        <v/>
      </c>
      <c r="AH5" s="44">
        <f>IF(AF5&gt;0,(AD5-AE5)/AF5,"")</f>
        <v/>
      </c>
      <c r="AI5" s="45">
        <f>IF(AG5=1,AH5-O5,"")</f>
        <v/>
      </c>
      <c r="AJ5" s="44">
        <f>IF(AG5=1,AH5,MAX(-1,MIN(1,O5+INDEX(Types!$H:$H,MATCH($A5&amp;"|"&amp;$D5,Types!$A:$A,0)))))</f>
        <v/>
      </c>
      <c r="AK5" s="43">
        <f>IF(AG5=1,AF5,MAX(AQ5*AS5,AF5))</f>
        <v/>
      </c>
      <c r="AL5" s="43">
        <f>IF(AG5=1,AD5,AK5*(1+AJ5)/2)</f>
        <v/>
      </c>
      <c r="AM5" s="43">
        <f>IF(AG5=1,AE5,AK5*(1-AJ5)/2)</f>
        <v/>
      </c>
      <c r="AN5" s="45">
        <f>IF(AH5="","",AH5-T5)</f>
        <v/>
      </c>
      <c r="AO5" s="51">
        <f>IF(AG5=1,1,IF(U5&gt;0,MIN(AF5/U5,0.99),0))</f>
        <v/>
      </c>
      <c r="AP5" s="43">
        <f>IF(AG5=1,AI5*AF5,0)</f>
        <v/>
      </c>
      <c r="AQ5" s="43">
        <f>N5*(F5+G5)/H5</f>
        <v/>
      </c>
      <c r="AR5" s="43">
        <f>O5*AQ5</f>
        <v/>
      </c>
      <c r="AS5" s="52">
        <f>IF(AG5=1,IF(AQ5&gt;0,AF5/AQ5,1),IFERROR(INDEX(Types!$K:$K,MATCH($A5&amp;"|"&amp;$D5,Types!$A:$A,0)),INDEX(Dashboard!$X$6:$X$22,MATCH($A5,Dashboard!$A$6:$A$22,0))))</f>
        <v/>
      </c>
      <c r="AT5" s="43">
        <f>AQ5*INDEX(Dashboard!$Y$6:$Y$22,MATCH($A5,Dashboard!$A$6:$A$22,0))</f>
        <v/>
      </c>
      <c r="AU5" s="53">
        <f>IF(AND(AG5=1,AT5&gt;0,AF5&gt;0),100*AF5/AT5,"")</f>
        <v/>
      </c>
      <c r="AV5" s="44">
        <f>IF(AU5="","",T5/(AU5/100))</f>
        <v/>
      </c>
      <c r="AW5" s="53">
        <f>IF(AU5="","",IF(AND(ABS(AH5)&gt;=0.1,ABS(T5)&gt;=0.05,SIGN(AH5)=SIGN(T5)),100*T5/AH5,""))</f>
        <v/>
      </c>
      <c r="AX5" s="45">
        <f>IF(AU5="","",T5-AV5)</f>
        <v/>
      </c>
      <c r="AY5" s="45">
        <f>IF(AU5="","",AH5-AV5)</f>
        <v/>
      </c>
      <c r="AZ5" s="54">
        <f>(AL5-AM5)-T5*AT5</f>
        <v/>
      </c>
      <c r="BA5" s="43">
        <f>IF(AU5="",0,(AH5-T5)*AF5)</f>
        <v/>
      </c>
      <c r="BB5" s="43">
        <f>IF(AU5="",0,T5*(AF5-AT5))</f>
        <v/>
      </c>
      <c r="BC5" s="51" t="n"/>
      <c r="BD5" s="51" t="n"/>
      <c r="BE5" s="51" t="n"/>
      <c r="BF5" s="43" t="n"/>
    </row>
    <row r="6">
      <c r="A6" s="42" t="inlineStr">
        <is>
          <t>AK</t>
        </is>
      </c>
      <c r="B6" s="42" t="inlineStr">
        <is>
          <t>02013</t>
        </is>
      </c>
      <c r="C6" s="42" t="inlineStr">
        <is>
          <t>HD District 13</t>
        </is>
      </c>
      <c r="D6" s="42" t="inlineStr">
        <is>
          <t>Alaska district</t>
        </is>
      </c>
      <c r="E6" s="42" t="inlineStr"/>
      <c r="F6" s="43" t="n">
        <v>3682</v>
      </c>
      <c r="G6" s="43" t="n">
        <v>3589</v>
      </c>
      <c r="H6" s="43" t="n">
        <v>7271</v>
      </c>
      <c r="I6" s="43" t="n"/>
      <c r="J6" s="43" t="n"/>
      <c r="K6" s="42" t="inlineStr">
        <is>
          <t>US Senate</t>
        </is>
      </c>
      <c r="L6" s="43" t="n">
        <v>484</v>
      </c>
      <c r="M6" s="43" t="n">
        <v>3081</v>
      </c>
      <c r="N6" s="43" t="n">
        <v>3575</v>
      </c>
      <c r="O6" s="44">
        <f>IFERROR((F6-G6)/(F6+G6),"")</f>
        <v/>
      </c>
      <c r="P6" s="44">
        <f>IFERROR((I6-J6)/(I6+J6),"")</f>
        <v/>
      </c>
      <c r="Q6" s="45">
        <f>IFERROR(O6-P6,"")</f>
        <v/>
      </c>
      <c r="R6" s="44">
        <f>IFERROR((L6-M6)/(L6+M6),"")</f>
        <v/>
      </c>
      <c r="S6" s="46">
        <f>H6/SUMIFS(Counties!$H$2:$H$1583,Counties!$A$2:$A$1583,$A6)</f>
        <v/>
      </c>
      <c r="T6" s="44">
        <f>O6+INDEX(Dashboard!$F$6:$F$22,MATCH($A6,Dashboard!$A$6:$A$22,0))</f>
        <v/>
      </c>
      <c r="U6" s="43">
        <f>AQ6*INDEX(Dashboard!$G$6:$G$22,MATCH($A6,Dashboard!$A$6:$A$22,0))</f>
        <v/>
      </c>
      <c r="V6" s="47" t="n"/>
      <c r="W6" s="47" t="n"/>
      <c r="X6" s="47" t="n"/>
      <c r="Y6" s="48" t="n"/>
      <c r="Z6" s="49" t="n"/>
      <c r="AA6" s="49" t="n"/>
      <c r="AB6" s="49" t="n"/>
      <c r="AC6" s="50" t="n"/>
      <c r="AD6" s="43">
        <f>IF(Z6&lt;&gt;"",Z6,N(V6))</f>
        <v/>
      </c>
      <c r="AE6" s="43">
        <f>IF(AA6&lt;&gt;"",AA6,N(W6))</f>
        <v/>
      </c>
      <c r="AF6" s="43">
        <f>AD6+AE6</f>
        <v/>
      </c>
      <c r="AG6" s="42">
        <f>IF(UPPER(AC6)="Y",1,IF(AF6=0,0,IF(AND(Z6="",Y6&lt;&gt;""),IF(Y6&gt;=0.999,1,0),IF(AF6&gt;=U6,1,0))))</f>
        <v/>
      </c>
      <c r="AH6" s="44">
        <f>IF(AF6&gt;0,(AD6-AE6)/AF6,"")</f>
        <v/>
      </c>
      <c r="AI6" s="45">
        <f>IF(AG6=1,AH6-O6,"")</f>
        <v/>
      </c>
      <c r="AJ6" s="44">
        <f>IF(AG6=1,AH6,MAX(-1,MIN(1,O6+INDEX(Types!$H:$H,MATCH($A6&amp;"|"&amp;$D6,Types!$A:$A,0)))))</f>
        <v/>
      </c>
      <c r="AK6" s="43">
        <f>IF(AG6=1,AF6,MAX(AQ6*AS6,AF6))</f>
        <v/>
      </c>
      <c r="AL6" s="43">
        <f>IF(AG6=1,AD6,AK6*(1+AJ6)/2)</f>
        <v/>
      </c>
      <c r="AM6" s="43">
        <f>IF(AG6=1,AE6,AK6*(1-AJ6)/2)</f>
        <v/>
      </c>
      <c r="AN6" s="45">
        <f>IF(AH6="","",AH6-T6)</f>
        <v/>
      </c>
      <c r="AO6" s="51">
        <f>IF(AG6=1,1,IF(U6&gt;0,MIN(AF6/U6,0.99),0))</f>
        <v/>
      </c>
      <c r="AP6" s="43">
        <f>IF(AG6=1,AI6*AF6,0)</f>
        <v/>
      </c>
      <c r="AQ6" s="43">
        <f>N6*(F6+G6)/H6</f>
        <v/>
      </c>
      <c r="AR6" s="43">
        <f>O6*AQ6</f>
        <v/>
      </c>
      <c r="AS6" s="52">
        <f>IF(AG6=1,IF(AQ6&gt;0,AF6/AQ6,1),IFERROR(INDEX(Types!$K:$K,MATCH($A6&amp;"|"&amp;$D6,Types!$A:$A,0)),INDEX(Dashboard!$X$6:$X$22,MATCH($A6,Dashboard!$A$6:$A$22,0))))</f>
        <v/>
      </c>
      <c r="AT6" s="43">
        <f>AQ6*INDEX(Dashboard!$Y$6:$Y$22,MATCH($A6,Dashboard!$A$6:$A$22,0))</f>
        <v/>
      </c>
      <c r="AU6" s="53">
        <f>IF(AND(AG6=1,AT6&gt;0,AF6&gt;0),100*AF6/AT6,"")</f>
        <v/>
      </c>
      <c r="AV6" s="44">
        <f>IF(AU6="","",T6/(AU6/100))</f>
        <v/>
      </c>
      <c r="AW6" s="53">
        <f>IF(AU6="","",IF(AND(ABS(AH6)&gt;=0.1,ABS(T6)&gt;=0.05,SIGN(AH6)=SIGN(T6)),100*T6/AH6,""))</f>
        <v/>
      </c>
      <c r="AX6" s="45">
        <f>IF(AU6="","",T6-AV6)</f>
        <v/>
      </c>
      <c r="AY6" s="45">
        <f>IF(AU6="","",AH6-AV6)</f>
        <v/>
      </c>
      <c r="AZ6" s="54">
        <f>(AL6-AM6)-T6*AT6</f>
        <v/>
      </c>
      <c r="BA6" s="43">
        <f>IF(AU6="",0,(AH6-T6)*AF6)</f>
        <v/>
      </c>
      <c r="BB6" s="43">
        <f>IF(AU6="",0,T6*(AF6-AT6))</f>
        <v/>
      </c>
      <c r="BC6" s="51" t="n">
        <v>0.09043629008956949</v>
      </c>
      <c r="BD6" s="51" t="n">
        <v>0.2074544929211211</v>
      </c>
      <c r="BE6" s="51" t="n">
        <v>0.1814345991561181</v>
      </c>
      <c r="BF6" s="43" t="n">
        <v>3461</v>
      </c>
    </row>
    <row r="7">
      <c r="A7" s="42" t="inlineStr">
        <is>
          <t>AK</t>
        </is>
      </c>
      <c r="B7" s="42" t="inlineStr">
        <is>
          <t>02014</t>
        </is>
      </c>
      <c r="C7" s="42" t="inlineStr">
        <is>
          <t>HD District 14</t>
        </is>
      </c>
      <c r="D7" s="42" t="inlineStr">
        <is>
          <t>Alaska district</t>
        </is>
      </c>
      <c r="E7" s="42" t="inlineStr"/>
      <c r="F7" s="43" t="n">
        <v>4346</v>
      </c>
      <c r="G7" s="43" t="n">
        <v>2768</v>
      </c>
      <c r="H7" s="43" t="n">
        <v>7114</v>
      </c>
      <c r="I7" s="43" t="n"/>
      <c r="J7" s="43" t="n"/>
      <c r="K7" s="42" t="inlineStr">
        <is>
          <t>US Senate</t>
        </is>
      </c>
      <c r="L7" s="43" t="n">
        <v>460</v>
      </c>
      <c r="M7" s="43" t="n">
        <v>2909</v>
      </c>
      <c r="N7" s="43" t="n">
        <v>3379</v>
      </c>
      <c r="O7" s="44">
        <f>IFERROR((F7-G7)/(F7+G7),"")</f>
        <v/>
      </c>
      <c r="P7" s="44">
        <f>IFERROR((I7-J7)/(I7+J7),"")</f>
        <v/>
      </c>
      <c r="Q7" s="45">
        <f>IFERROR(O7-P7,"")</f>
        <v/>
      </c>
      <c r="R7" s="44">
        <f>IFERROR((L7-M7)/(L7+M7),"")</f>
        <v/>
      </c>
      <c r="S7" s="46">
        <f>H7/SUMIFS(Counties!$H$2:$H$1583,Counties!$A$2:$A$1583,$A7)</f>
        <v/>
      </c>
      <c r="T7" s="44">
        <f>O7+INDEX(Dashboard!$F$6:$F$22,MATCH($A7,Dashboard!$A$6:$A$22,0))</f>
        <v/>
      </c>
      <c r="U7" s="43">
        <f>AQ7*INDEX(Dashboard!$G$6:$G$22,MATCH($A7,Dashboard!$A$6:$A$22,0))</f>
        <v/>
      </c>
      <c r="V7" s="47" t="n"/>
      <c r="W7" s="47" t="n"/>
      <c r="X7" s="47" t="n"/>
      <c r="Y7" s="48" t="n"/>
      <c r="Z7" s="49" t="n"/>
      <c r="AA7" s="49" t="n"/>
      <c r="AB7" s="49" t="n"/>
      <c r="AC7" s="50" t="n"/>
      <c r="AD7" s="43">
        <f>IF(Z7&lt;&gt;"",Z7,N(V7))</f>
        <v/>
      </c>
      <c r="AE7" s="43">
        <f>IF(AA7&lt;&gt;"",AA7,N(W7))</f>
        <v/>
      </c>
      <c r="AF7" s="43">
        <f>AD7+AE7</f>
        <v/>
      </c>
      <c r="AG7" s="42">
        <f>IF(UPPER(AC7)="Y",1,IF(AF7=0,0,IF(AND(Z7="",Y7&lt;&gt;""),IF(Y7&gt;=0.999,1,0),IF(AF7&gt;=U7,1,0))))</f>
        <v/>
      </c>
      <c r="AH7" s="44">
        <f>IF(AF7&gt;0,(AD7-AE7)/AF7,"")</f>
        <v/>
      </c>
      <c r="AI7" s="45">
        <f>IF(AG7=1,AH7-O7,"")</f>
        <v/>
      </c>
      <c r="AJ7" s="44">
        <f>IF(AG7=1,AH7,MAX(-1,MIN(1,O7+INDEX(Types!$H:$H,MATCH($A7&amp;"|"&amp;$D7,Types!$A:$A,0)))))</f>
        <v/>
      </c>
      <c r="AK7" s="43">
        <f>IF(AG7=1,AF7,MAX(AQ7*AS7,AF7))</f>
        <v/>
      </c>
      <c r="AL7" s="43">
        <f>IF(AG7=1,AD7,AK7*(1+AJ7)/2)</f>
        <v/>
      </c>
      <c r="AM7" s="43">
        <f>IF(AG7=1,AE7,AK7*(1-AJ7)/2)</f>
        <v/>
      </c>
      <c r="AN7" s="45">
        <f>IF(AH7="","",AH7-T7)</f>
        <v/>
      </c>
      <c r="AO7" s="51">
        <f>IF(AG7=1,1,IF(U7&gt;0,MIN(AF7/U7,0.99),0))</f>
        <v/>
      </c>
      <c r="AP7" s="43">
        <f>IF(AG7=1,AI7*AF7,0)</f>
        <v/>
      </c>
      <c r="AQ7" s="43">
        <f>N7*(F7+G7)/H7</f>
        <v/>
      </c>
      <c r="AR7" s="43">
        <f>O7*AQ7</f>
        <v/>
      </c>
      <c r="AS7" s="52">
        <f>IF(AG7=1,IF(AQ7&gt;0,AF7/AQ7,1),IFERROR(INDEX(Types!$K:$K,MATCH($A7&amp;"|"&amp;$D7,Types!$A:$A,0)),INDEX(Dashboard!$X$6:$X$22,MATCH($A7,Dashboard!$A$6:$A$22,0))))</f>
        <v/>
      </c>
      <c r="AT7" s="43">
        <f>AQ7*INDEX(Dashboard!$Y$6:$Y$22,MATCH($A7,Dashboard!$A$6:$A$22,0))</f>
        <v/>
      </c>
      <c r="AU7" s="53">
        <f>IF(AND(AG7=1,AT7&gt;0,AF7&gt;0),100*AF7/AT7,"")</f>
        <v/>
      </c>
      <c r="AV7" s="44">
        <f>IF(AU7="","",T7/(AU7/100))</f>
        <v/>
      </c>
      <c r="AW7" s="53">
        <f>IF(AU7="","",IF(AND(ABS(AH7)&gt;=0.1,ABS(T7)&gt;=0.05,SIGN(AH7)=SIGN(T7)),100*T7/AH7,""))</f>
        <v/>
      </c>
      <c r="AX7" s="45">
        <f>IF(AU7="","",T7-AV7)</f>
        <v/>
      </c>
      <c r="AY7" s="45">
        <f>IF(AU7="","",AH7-AV7)</f>
        <v/>
      </c>
      <c r="AZ7" s="54">
        <f>(AL7-AM7)-T7*AT7</f>
        <v/>
      </c>
      <c r="BA7" s="43">
        <f>IF(AU7="",0,(AH7-T7)*AF7)</f>
        <v/>
      </c>
      <c r="BB7" s="43">
        <f>IF(AU7="",0,T7*(AF7-AT7))</f>
        <v/>
      </c>
      <c r="BC7" s="51" t="n"/>
      <c r="BD7" s="51" t="n"/>
      <c r="BE7" s="51" t="n"/>
      <c r="BF7" s="43" t="n"/>
    </row>
    <row r="8">
      <c r="A8" s="42" t="inlineStr">
        <is>
          <t>AK</t>
        </is>
      </c>
      <c r="B8" s="42" t="inlineStr">
        <is>
          <t>02015</t>
        </is>
      </c>
      <c r="C8" s="42" t="inlineStr">
        <is>
          <t>HD District 15</t>
        </is>
      </c>
      <c r="D8" s="42" t="inlineStr">
        <is>
          <t>Alaska district</t>
        </is>
      </c>
      <c r="E8" s="42" t="inlineStr"/>
      <c r="F8" s="43" t="n">
        <v>4364</v>
      </c>
      <c r="G8" s="43" t="n">
        <v>4594</v>
      </c>
      <c r="H8" s="43" t="n">
        <v>8958</v>
      </c>
      <c r="I8" s="43" t="n"/>
      <c r="J8" s="43" t="n"/>
      <c r="K8" s="42" t="inlineStr">
        <is>
          <t>US Senate</t>
        </is>
      </c>
      <c r="L8" s="43" t="n">
        <v>392</v>
      </c>
      <c r="M8" s="43" t="n">
        <v>4374</v>
      </c>
      <c r="N8" s="43" t="n">
        <v>4771</v>
      </c>
      <c r="O8" s="44">
        <f>IFERROR((F8-G8)/(F8+G8),"")</f>
        <v/>
      </c>
      <c r="P8" s="44">
        <f>IFERROR((I8-J8)/(I8+J8),"")</f>
        <v/>
      </c>
      <c r="Q8" s="45">
        <f>IFERROR(O8-P8,"")</f>
        <v/>
      </c>
      <c r="R8" s="44">
        <f>IFERROR((L8-M8)/(L8+M8),"")</f>
        <v/>
      </c>
      <c r="S8" s="46">
        <f>H8/SUMIFS(Counties!$H$2:$H$1583,Counties!$A$2:$A$1583,$A8)</f>
        <v/>
      </c>
      <c r="T8" s="44">
        <f>O8+INDEX(Dashboard!$F$6:$F$22,MATCH($A8,Dashboard!$A$6:$A$22,0))</f>
        <v/>
      </c>
      <c r="U8" s="43">
        <f>AQ8*INDEX(Dashboard!$G$6:$G$22,MATCH($A8,Dashboard!$A$6:$A$22,0))</f>
        <v/>
      </c>
      <c r="V8" s="47" t="n"/>
      <c r="W8" s="47" t="n"/>
      <c r="X8" s="47" t="n"/>
      <c r="Y8" s="48" t="n"/>
      <c r="Z8" s="49" t="n"/>
      <c r="AA8" s="49" t="n"/>
      <c r="AB8" s="49" t="n"/>
      <c r="AC8" s="50" t="n"/>
      <c r="AD8" s="43">
        <f>IF(Z8&lt;&gt;"",Z8,N(V8))</f>
        <v/>
      </c>
      <c r="AE8" s="43">
        <f>IF(AA8&lt;&gt;"",AA8,N(W8))</f>
        <v/>
      </c>
      <c r="AF8" s="43">
        <f>AD8+AE8</f>
        <v/>
      </c>
      <c r="AG8" s="42">
        <f>IF(UPPER(AC8)="Y",1,IF(AF8=0,0,IF(AND(Z8="",Y8&lt;&gt;""),IF(Y8&gt;=0.999,1,0),IF(AF8&gt;=U8,1,0))))</f>
        <v/>
      </c>
      <c r="AH8" s="44">
        <f>IF(AF8&gt;0,(AD8-AE8)/AF8,"")</f>
        <v/>
      </c>
      <c r="AI8" s="45">
        <f>IF(AG8=1,AH8-O8,"")</f>
        <v/>
      </c>
      <c r="AJ8" s="44">
        <f>IF(AG8=1,AH8,MAX(-1,MIN(1,O8+INDEX(Types!$H:$H,MATCH($A8&amp;"|"&amp;$D8,Types!$A:$A,0)))))</f>
        <v/>
      </c>
      <c r="AK8" s="43">
        <f>IF(AG8=1,AF8,MAX(AQ8*AS8,AF8))</f>
        <v/>
      </c>
      <c r="AL8" s="43">
        <f>IF(AG8=1,AD8,AK8*(1+AJ8)/2)</f>
        <v/>
      </c>
      <c r="AM8" s="43">
        <f>IF(AG8=1,AE8,AK8*(1-AJ8)/2)</f>
        <v/>
      </c>
      <c r="AN8" s="45">
        <f>IF(AH8="","",AH8-T8)</f>
        <v/>
      </c>
      <c r="AO8" s="51">
        <f>IF(AG8=1,1,IF(U8&gt;0,MIN(AF8/U8,0.99),0))</f>
        <v/>
      </c>
      <c r="AP8" s="43">
        <f>IF(AG8=1,AI8*AF8,0)</f>
        <v/>
      </c>
      <c r="AQ8" s="43">
        <f>N8*(F8+G8)/H8</f>
        <v/>
      </c>
      <c r="AR8" s="43">
        <f>O8*AQ8</f>
        <v/>
      </c>
      <c r="AS8" s="52">
        <f>IF(AG8=1,IF(AQ8&gt;0,AF8/AQ8,1),IFERROR(INDEX(Types!$K:$K,MATCH($A8&amp;"|"&amp;$D8,Types!$A:$A,0)),INDEX(Dashboard!$X$6:$X$22,MATCH($A8,Dashboard!$A$6:$A$22,0))))</f>
        <v/>
      </c>
      <c r="AT8" s="43">
        <f>AQ8*INDEX(Dashboard!$Y$6:$Y$22,MATCH($A8,Dashboard!$A$6:$A$22,0))</f>
        <v/>
      </c>
      <c r="AU8" s="53">
        <f>IF(AND(AG8=1,AT8&gt;0,AF8&gt;0),100*AF8/AT8,"")</f>
        <v/>
      </c>
      <c r="AV8" s="44">
        <f>IF(AU8="","",T8/(AU8/100))</f>
        <v/>
      </c>
      <c r="AW8" s="53">
        <f>IF(AU8="","",IF(AND(ABS(AH8)&gt;=0.1,ABS(T8)&gt;=0.05,SIGN(AH8)=SIGN(T8)),100*T8/AH8,""))</f>
        <v/>
      </c>
      <c r="AX8" s="45">
        <f>IF(AU8="","",T8-AV8)</f>
        <v/>
      </c>
      <c r="AY8" s="45">
        <f>IF(AU8="","",AH8-AV8)</f>
        <v/>
      </c>
      <c r="AZ8" s="54">
        <f>(AL8-AM8)-T8*AT8</f>
        <v/>
      </c>
      <c r="BA8" s="43">
        <f>IF(AU8="",0,(AH8-T8)*AF8)</f>
        <v/>
      </c>
      <c r="BB8" s="43">
        <f>IF(AU8="",0,T8*(AF8-AT8))</f>
        <v/>
      </c>
      <c r="BC8" s="51" t="n"/>
      <c r="BD8" s="51" t="n"/>
      <c r="BE8" s="51" t="n"/>
      <c r="BF8" s="43" t="n"/>
    </row>
    <row r="9">
      <c r="A9" s="42" t="inlineStr">
        <is>
          <t>AK</t>
        </is>
      </c>
      <c r="B9" s="42" t="inlineStr">
        <is>
          <t>02016</t>
        </is>
      </c>
      <c r="C9" s="42" t="inlineStr">
        <is>
          <t>HD District 16</t>
        </is>
      </c>
      <c r="D9" s="42" t="inlineStr">
        <is>
          <t>Alaska district</t>
        </is>
      </c>
      <c r="E9" s="42" t="inlineStr"/>
      <c r="F9" s="43" t="n">
        <v>5344</v>
      </c>
      <c r="G9" s="43" t="n">
        <v>3929</v>
      </c>
      <c r="H9" s="43" t="n">
        <v>9273</v>
      </c>
      <c r="I9" s="43" t="n"/>
      <c r="J9" s="43" t="n"/>
      <c r="K9" s="42" t="inlineStr">
        <is>
          <t>US Senate</t>
        </is>
      </c>
      <c r="L9" s="43" t="n">
        <v>477</v>
      </c>
      <c r="M9" s="43" t="n">
        <v>4248</v>
      </c>
      <c r="N9" s="43" t="n">
        <v>4736</v>
      </c>
      <c r="O9" s="44">
        <f>IFERROR((F9-G9)/(F9+G9),"")</f>
        <v/>
      </c>
      <c r="P9" s="44">
        <f>IFERROR((I9-J9)/(I9+J9),"")</f>
        <v/>
      </c>
      <c r="Q9" s="45">
        <f>IFERROR(O9-P9,"")</f>
        <v/>
      </c>
      <c r="R9" s="44">
        <f>IFERROR((L9-M9)/(L9+M9),"")</f>
        <v/>
      </c>
      <c r="S9" s="46">
        <f>H9/SUMIFS(Counties!$H$2:$H$1583,Counties!$A$2:$A$1583,$A9)</f>
        <v/>
      </c>
      <c r="T9" s="44">
        <f>O9+INDEX(Dashboard!$F$6:$F$22,MATCH($A9,Dashboard!$A$6:$A$22,0))</f>
        <v/>
      </c>
      <c r="U9" s="43">
        <f>AQ9*INDEX(Dashboard!$G$6:$G$22,MATCH($A9,Dashboard!$A$6:$A$22,0))</f>
        <v/>
      </c>
      <c r="V9" s="47" t="n"/>
      <c r="W9" s="47" t="n"/>
      <c r="X9" s="47" t="n"/>
      <c r="Y9" s="48" t="n"/>
      <c r="Z9" s="49" t="n"/>
      <c r="AA9" s="49" t="n"/>
      <c r="AB9" s="49" t="n"/>
      <c r="AC9" s="50" t="n"/>
      <c r="AD9" s="43">
        <f>IF(Z9&lt;&gt;"",Z9,N(V9))</f>
        <v/>
      </c>
      <c r="AE9" s="43">
        <f>IF(AA9&lt;&gt;"",AA9,N(W9))</f>
        <v/>
      </c>
      <c r="AF9" s="43">
        <f>AD9+AE9</f>
        <v/>
      </c>
      <c r="AG9" s="42">
        <f>IF(UPPER(AC9)="Y",1,IF(AF9=0,0,IF(AND(Z9="",Y9&lt;&gt;""),IF(Y9&gt;=0.999,1,0),IF(AF9&gt;=U9,1,0))))</f>
        <v/>
      </c>
      <c r="AH9" s="44">
        <f>IF(AF9&gt;0,(AD9-AE9)/AF9,"")</f>
        <v/>
      </c>
      <c r="AI9" s="45">
        <f>IF(AG9=1,AH9-O9,"")</f>
        <v/>
      </c>
      <c r="AJ9" s="44">
        <f>IF(AG9=1,AH9,MAX(-1,MIN(1,O9+INDEX(Types!$H:$H,MATCH($A9&amp;"|"&amp;$D9,Types!$A:$A,0)))))</f>
        <v/>
      </c>
      <c r="AK9" s="43">
        <f>IF(AG9=1,AF9,MAX(AQ9*AS9,AF9))</f>
        <v/>
      </c>
      <c r="AL9" s="43">
        <f>IF(AG9=1,AD9,AK9*(1+AJ9)/2)</f>
        <v/>
      </c>
      <c r="AM9" s="43">
        <f>IF(AG9=1,AE9,AK9*(1-AJ9)/2)</f>
        <v/>
      </c>
      <c r="AN9" s="45">
        <f>IF(AH9="","",AH9-T9)</f>
        <v/>
      </c>
      <c r="AO9" s="51">
        <f>IF(AG9=1,1,IF(U9&gt;0,MIN(AF9/U9,0.99),0))</f>
        <v/>
      </c>
      <c r="AP9" s="43">
        <f>IF(AG9=1,AI9*AF9,0)</f>
        <v/>
      </c>
      <c r="AQ9" s="43">
        <f>N9*(F9+G9)/H9</f>
        <v/>
      </c>
      <c r="AR9" s="43">
        <f>O9*AQ9</f>
        <v/>
      </c>
      <c r="AS9" s="52">
        <f>IF(AG9=1,IF(AQ9&gt;0,AF9/AQ9,1),IFERROR(INDEX(Types!$K:$K,MATCH($A9&amp;"|"&amp;$D9,Types!$A:$A,0)),INDEX(Dashboard!$X$6:$X$22,MATCH($A9,Dashboard!$A$6:$A$22,0))))</f>
        <v/>
      </c>
      <c r="AT9" s="43">
        <f>AQ9*INDEX(Dashboard!$Y$6:$Y$22,MATCH($A9,Dashboard!$A$6:$A$22,0))</f>
        <v/>
      </c>
      <c r="AU9" s="53">
        <f>IF(AND(AG9=1,AT9&gt;0,AF9&gt;0),100*AF9/AT9,"")</f>
        <v/>
      </c>
      <c r="AV9" s="44">
        <f>IF(AU9="","",T9/(AU9/100))</f>
        <v/>
      </c>
      <c r="AW9" s="53">
        <f>IF(AU9="","",IF(AND(ABS(AH9)&gt;=0.1,ABS(T9)&gt;=0.05,SIGN(AH9)=SIGN(T9)),100*T9/AH9,""))</f>
        <v/>
      </c>
      <c r="AX9" s="45">
        <f>IF(AU9="","",T9-AV9)</f>
        <v/>
      </c>
      <c r="AY9" s="45">
        <f>IF(AU9="","",AH9-AV9)</f>
        <v/>
      </c>
      <c r="AZ9" s="54">
        <f>(AL9-AM9)-T9*AT9</f>
        <v/>
      </c>
      <c r="BA9" s="43">
        <f>IF(AU9="",0,(AH9-T9)*AF9)</f>
        <v/>
      </c>
      <c r="BB9" s="43">
        <f>IF(AU9="",0,T9*(AF9-AT9))</f>
        <v/>
      </c>
      <c r="BC9" s="51" t="n">
        <v>0.08585271317829457</v>
      </c>
      <c r="BD9" s="51" t="n">
        <v>0.1426356589147287</v>
      </c>
      <c r="BE9" s="51" t="n">
        <v>0.1752104055087988</v>
      </c>
      <c r="BF9" s="43" t="n">
        <v>5160</v>
      </c>
    </row>
    <row r="10">
      <c r="A10" s="42" t="inlineStr">
        <is>
          <t>AK</t>
        </is>
      </c>
      <c r="B10" s="42" t="inlineStr">
        <is>
          <t>02017</t>
        </is>
      </c>
      <c r="C10" s="42" t="inlineStr">
        <is>
          <t>HD District 17</t>
        </is>
      </c>
      <c r="D10" s="42" t="inlineStr">
        <is>
          <t>Alaska district</t>
        </is>
      </c>
      <c r="E10" s="42" t="inlineStr"/>
      <c r="F10" s="43" t="n">
        <v>4990</v>
      </c>
      <c r="G10" s="43" t="n">
        <v>2407</v>
      </c>
      <c r="H10" s="43" t="n">
        <v>7397</v>
      </c>
      <c r="I10" s="43" t="n"/>
      <c r="J10" s="43" t="n"/>
      <c r="K10" s="42" t="inlineStr">
        <is>
          <t>US Senate</t>
        </is>
      </c>
      <c r="L10" s="43" t="n">
        <v>468</v>
      </c>
      <c r="M10" s="43" t="n">
        <v>2443</v>
      </c>
      <c r="N10" s="43" t="n">
        <v>2918</v>
      </c>
      <c r="O10" s="44">
        <f>IFERROR((F10-G10)/(F10+G10),"")</f>
        <v/>
      </c>
      <c r="P10" s="44">
        <f>IFERROR((I10-J10)/(I10+J10),"")</f>
        <v/>
      </c>
      <c r="Q10" s="45">
        <f>IFERROR(O10-P10,"")</f>
        <v/>
      </c>
      <c r="R10" s="44">
        <f>IFERROR((L10-M10)/(L10+M10),"")</f>
        <v/>
      </c>
      <c r="S10" s="46">
        <f>H10/SUMIFS(Counties!$H$2:$H$1583,Counties!$A$2:$A$1583,$A10)</f>
        <v/>
      </c>
      <c r="T10" s="44">
        <f>O10+INDEX(Dashboard!$F$6:$F$22,MATCH($A10,Dashboard!$A$6:$A$22,0))</f>
        <v/>
      </c>
      <c r="U10" s="43">
        <f>AQ10*INDEX(Dashboard!$G$6:$G$22,MATCH($A10,Dashboard!$A$6:$A$22,0))</f>
        <v/>
      </c>
      <c r="V10" s="47" t="n"/>
      <c r="W10" s="47" t="n"/>
      <c r="X10" s="47" t="n"/>
      <c r="Y10" s="48" t="n"/>
      <c r="Z10" s="49" t="n"/>
      <c r="AA10" s="49" t="n"/>
      <c r="AB10" s="49" t="n"/>
      <c r="AC10" s="50" t="n"/>
      <c r="AD10" s="43">
        <f>IF(Z10&lt;&gt;"",Z10,N(V10))</f>
        <v/>
      </c>
      <c r="AE10" s="43">
        <f>IF(AA10&lt;&gt;"",AA10,N(W10))</f>
        <v/>
      </c>
      <c r="AF10" s="43">
        <f>AD10+AE10</f>
        <v/>
      </c>
      <c r="AG10" s="42">
        <f>IF(UPPER(AC10)="Y",1,IF(AF10=0,0,IF(AND(Z10="",Y10&lt;&gt;""),IF(Y10&gt;=0.999,1,0),IF(AF10&gt;=U10,1,0))))</f>
        <v/>
      </c>
      <c r="AH10" s="44">
        <f>IF(AF10&gt;0,(AD10-AE10)/AF10,"")</f>
        <v/>
      </c>
      <c r="AI10" s="45">
        <f>IF(AG10=1,AH10-O10,"")</f>
        <v/>
      </c>
      <c r="AJ10" s="44">
        <f>IF(AG10=1,AH10,MAX(-1,MIN(1,O10+INDEX(Types!$H:$H,MATCH($A10&amp;"|"&amp;$D10,Types!$A:$A,0)))))</f>
        <v/>
      </c>
      <c r="AK10" s="43">
        <f>IF(AG10=1,AF10,MAX(AQ10*AS10,AF10))</f>
        <v/>
      </c>
      <c r="AL10" s="43">
        <f>IF(AG10=1,AD10,AK10*(1+AJ10)/2)</f>
        <v/>
      </c>
      <c r="AM10" s="43">
        <f>IF(AG10=1,AE10,AK10*(1-AJ10)/2)</f>
        <v/>
      </c>
      <c r="AN10" s="45">
        <f>IF(AH10="","",AH10-T10)</f>
        <v/>
      </c>
      <c r="AO10" s="51">
        <f>IF(AG10=1,1,IF(U10&gt;0,MIN(AF10/U10,0.99),0))</f>
        <v/>
      </c>
      <c r="AP10" s="43">
        <f>IF(AG10=1,AI10*AF10,0)</f>
        <v/>
      </c>
      <c r="AQ10" s="43">
        <f>N10*(F10+G10)/H10</f>
        <v/>
      </c>
      <c r="AR10" s="43">
        <f>O10*AQ10</f>
        <v/>
      </c>
      <c r="AS10" s="52">
        <f>IF(AG10=1,IF(AQ10&gt;0,AF10/AQ10,1),IFERROR(INDEX(Types!$K:$K,MATCH($A10&amp;"|"&amp;$D10,Types!$A:$A,0)),INDEX(Dashboard!$X$6:$X$22,MATCH($A10,Dashboard!$A$6:$A$22,0))))</f>
        <v/>
      </c>
      <c r="AT10" s="43">
        <f>AQ10*INDEX(Dashboard!$Y$6:$Y$22,MATCH($A10,Dashboard!$A$6:$A$22,0))</f>
        <v/>
      </c>
      <c r="AU10" s="53">
        <f>IF(AND(AG10=1,AT10&gt;0,AF10&gt;0),100*AF10/AT10,"")</f>
        <v/>
      </c>
      <c r="AV10" s="44">
        <f>IF(AU10="","",T10/(AU10/100))</f>
        <v/>
      </c>
      <c r="AW10" s="53">
        <f>IF(AU10="","",IF(AND(ABS(AH10)&gt;=0.1,ABS(T10)&gt;=0.05,SIGN(AH10)=SIGN(T10)),100*T10/AH10,""))</f>
        <v/>
      </c>
      <c r="AX10" s="45">
        <f>IF(AU10="","",T10-AV10)</f>
        <v/>
      </c>
      <c r="AY10" s="45">
        <f>IF(AU10="","",AH10-AV10)</f>
        <v/>
      </c>
      <c r="AZ10" s="54">
        <f>(AL10-AM10)-T10*AT10</f>
        <v/>
      </c>
      <c r="BA10" s="43">
        <f>IF(AU10="",0,(AH10-T10)*AF10)</f>
        <v/>
      </c>
      <c r="BB10" s="43">
        <f>IF(AU10="",0,T10*(AF10-AT10))</f>
        <v/>
      </c>
      <c r="BC10" s="51" t="n"/>
      <c r="BD10" s="51" t="n"/>
      <c r="BE10" s="51" t="n"/>
      <c r="BF10" s="43" t="n"/>
    </row>
    <row r="11">
      <c r="A11" s="42" t="inlineStr">
        <is>
          <t>AK</t>
        </is>
      </c>
      <c r="B11" s="42" t="inlineStr">
        <is>
          <t>02018</t>
        </is>
      </c>
      <c r="C11" s="42" t="inlineStr">
        <is>
          <t>HD District 18</t>
        </is>
      </c>
      <c r="D11" s="42" t="inlineStr">
        <is>
          <t>Alaska district</t>
        </is>
      </c>
      <c r="E11" s="42" t="inlineStr"/>
      <c r="F11" s="43" t="n">
        <v>1928</v>
      </c>
      <c r="G11" s="43" t="n">
        <v>2686</v>
      </c>
      <c r="H11" s="43" t="n">
        <v>4614</v>
      </c>
      <c r="I11" s="43" t="n"/>
      <c r="J11" s="43" t="n"/>
      <c r="K11" s="42" t="inlineStr">
        <is>
          <t>US Senate</t>
        </is>
      </c>
      <c r="L11" s="43" t="n">
        <v>207</v>
      </c>
      <c r="M11" s="43" t="n">
        <v>980</v>
      </c>
      <c r="N11" s="43" t="n">
        <v>1190</v>
      </c>
      <c r="O11" s="44">
        <f>IFERROR((F11-G11)/(F11+G11),"")</f>
        <v/>
      </c>
      <c r="P11" s="44">
        <f>IFERROR((I11-J11)/(I11+J11),"")</f>
        <v/>
      </c>
      <c r="Q11" s="45">
        <f>IFERROR(O11-P11,"")</f>
        <v/>
      </c>
      <c r="R11" s="44">
        <f>IFERROR((L11-M11)/(L11+M11),"")</f>
        <v/>
      </c>
      <c r="S11" s="46">
        <f>H11/SUMIFS(Counties!$H$2:$H$1583,Counties!$A$2:$A$1583,$A11)</f>
        <v/>
      </c>
      <c r="T11" s="44">
        <f>O11+INDEX(Dashboard!$F$6:$F$22,MATCH($A11,Dashboard!$A$6:$A$22,0))</f>
        <v/>
      </c>
      <c r="U11" s="43">
        <f>AQ11*INDEX(Dashboard!$G$6:$G$22,MATCH($A11,Dashboard!$A$6:$A$22,0))</f>
        <v/>
      </c>
      <c r="V11" s="47" t="n"/>
      <c r="W11" s="47" t="n"/>
      <c r="X11" s="47" t="n"/>
      <c r="Y11" s="48" t="n"/>
      <c r="Z11" s="49" t="n"/>
      <c r="AA11" s="49" t="n"/>
      <c r="AB11" s="49" t="n"/>
      <c r="AC11" s="50" t="n"/>
      <c r="AD11" s="43">
        <f>IF(Z11&lt;&gt;"",Z11,N(V11))</f>
        <v/>
      </c>
      <c r="AE11" s="43">
        <f>IF(AA11&lt;&gt;"",AA11,N(W11))</f>
        <v/>
      </c>
      <c r="AF11" s="43">
        <f>AD11+AE11</f>
        <v/>
      </c>
      <c r="AG11" s="42">
        <f>IF(UPPER(AC11)="Y",1,IF(AF11=0,0,IF(AND(Z11="",Y11&lt;&gt;""),IF(Y11&gt;=0.999,1,0),IF(AF11&gt;=U11,1,0))))</f>
        <v/>
      </c>
      <c r="AH11" s="44">
        <f>IF(AF11&gt;0,(AD11-AE11)/AF11,"")</f>
        <v/>
      </c>
      <c r="AI11" s="45">
        <f>IF(AG11=1,AH11-O11,"")</f>
        <v/>
      </c>
      <c r="AJ11" s="44">
        <f>IF(AG11=1,AH11,MAX(-1,MIN(1,O11+INDEX(Types!$H:$H,MATCH($A11&amp;"|"&amp;$D11,Types!$A:$A,0)))))</f>
        <v/>
      </c>
      <c r="AK11" s="43">
        <f>IF(AG11=1,AF11,MAX(AQ11*AS11,AF11))</f>
        <v/>
      </c>
      <c r="AL11" s="43">
        <f>IF(AG11=1,AD11,AK11*(1+AJ11)/2)</f>
        <v/>
      </c>
      <c r="AM11" s="43">
        <f>IF(AG11=1,AE11,AK11*(1-AJ11)/2)</f>
        <v/>
      </c>
      <c r="AN11" s="45">
        <f>IF(AH11="","",AH11-T11)</f>
        <v/>
      </c>
      <c r="AO11" s="51">
        <f>IF(AG11=1,1,IF(U11&gt;0,MIN(AF11/U11,0.99),0))</f>
        <v/>
      </c>
      <c r="AP11" s="43">
        <f>IF(AG11=1,AI11*AF11,0)</f>
        <v/>
      </c>
      <c r="AQ11" s="43">
        <f>N11*(F11+G11)/H11</f>
        <v/>
      </c>
      <c r="AR11" s="43">
        <f>O11*AQ11</f>
        <v/>
      </c>
      <c r="AS11" s="52">
        <f>IF(AG11=1,IF(AQ11&gt;0,AF11/AQ11,1),IFERROR(INDEX(Types!$K:$K,MATCH($A11&amp;"|"&amp;$D11,Types!$A:$A,0)),INDEX(Dashboard!$X$6:$X$22,MATCH($A11,Dashboard!$A$6:$A$22,0))))</f>
        <v/>
      </c>
      <c r="AT11" s="43">
        <f>AQ11*INDEX(Dashboard!$Y$6:$Y$22,MATCH($A11,Dashboard!$A$6:$A$22,0))</f>
        <v/>
      </c>
      <c r="AU11" s="53">
        <f>IF(AND(AG11=1,AT11&gt;0,AF11&gt;0),100*AF11/AT11,"")</f>
        <v/>
      </c>
      <c r="AV11" s="44">
        <f>IF(AU11="","",T11/(AU11/100))</f>
        <v/>
      </c>
      <c r="AW11" s="53">
        <f>IF(AU11="","",IF(AND(ABS(AH11)&gt;=0.1,ABS(T11)&gt;=0.05,SIGN(AH11)=SIGN(T11)),100*T11/AH11,""))</f>
        <v/>
      </c>
      <c r="AX11" s="45">
        <f>IF(AU11="","",T11-AV11)</f>
        <v/>
      </c>
      <c r="AY11" s="45">
        <f>IF(AU11="","",AH11-AV11)</f>
        <v/>
      </c>
      <c r="AZ11" s="54">
        <f>(AL11-AM11)-T11*AT11</f>
        <v/>
      </c>
      <c r="BA11" s="43">
        <f>IF(AU11="",0,(AH11-T11)*AF11)</f>
        <v/>
      </c>
      <c r="BB11" s="43">
        <f>IF(AU11="",0,T11*(AF11-AT11))</f>
        <v/>
      </c>
      <c r="BC11" s="51" t="n"/>
      <c r="BD11" s="51" t="n"/>
      <c r="BE11" s="51" t="n"/>
      <c r="BF11" s="43" t="n"/>
    </row>
    <row r="12">
      <c r="A12" s="42" t="inlineStr">
        <is>
          <t>AK</t>
        </is>
      </c>
      <c r="B12" s="42" t="inlineStr">
        <is>
          <t>02019</t>
        </is>
      </c>
      <c r="C12" s="42" t="inlineStr">
        <is>
          <t>HD District 19</t>
        </is>
      </c>
      <c r="D12" s="42" t="inlineStr">
        <is>
          <t>Alaska district</t>
        </is>
      </c>
      <c r="E12" s="42" t="inlineStr"/>
      <c r="F12" s="43" t="n">
        <v>2825</v>
      </c>
      <c r="G12" s="43" t="n">
        <v>1971</v>
      </c>
      <c r="H12" s="43" t="n">
        <v>4796</v>
      </c>
      <c r="I12" s="43" t="n"/>
      <c r="J12" s="43" t="n"/>
      <c r="K12" s="42" t="inlineStr">
        <is>
          <t>US Senate</t>
        </is>
      </c>
      <c r="L12" s="43" t="n">
        <v>293</v>
      </c>
      <c r="M12" s="43" t="n">
        <v>1952</v>
      </c>
      <c r="N12" s="43" t="n">
        <v>2248</v>
      </c>
      <c r="O12" s="44">
        <f>IFERROR((F12-G12)/(F12+G12),"")</f>
        <v/>
      </c>
      <c r="P12" s="44">
        <f>IFERROR((I12-J12)/(I12+J12),"")</f>
        <v/>
      </c>
      <c r="Q12" s="45">
        <f>IFERROR(O12-P12,"")</f>
        <v/>
      </c>
      <c r="R12" s="44">
        <f>IFERROR((L12-M12)/(L12+M12),"")</f>
        <v/>
      </c>
      <c r="S12" s="46">
        <f>H12/SUMIFS(Counties!$H$2:$H$1583,Counties!$A$2:$A$1583,$A12)</f>
        <v/>
      </c>
      <c r="T12" s="44">
        <f>O12+INDEX(Dashboard!$F$6:$F$22,MATCH($A12,Dashboard!$A$6:$A$22,0))</f>
        <v/>
      </c>
      <c r="U12" s="43">
        <f>AQ12*INDEX(Dashboard!$G$6:$G$22,MATCH($A12,Dashboard!$A$6:$A$22,0))</f>
        <v/>
      </c>
      <c r="V12" s="47" t="n"/>
      <c r="W12" s="47" t="n"/>
      <c r="X12" s="47" t="n"/>
      <c r="Y12" s="48" t="n"/>
      <c r="Z12" s="49" t="n"/>
      <c r="AA12" s="49" t="n"/>
      <c r="AB12" s="49" t="n"/>
      <c r="AC12" s="50" t="n"/>
      <c r="AD12" s="43">
        <f>IF(Z12&lt;&gt;"",Z12,N(V12))</f>
        <v/>
      </c>
      <c r="AE12" s="43">
        <f>IF(AA12&lt;&gt;"",AA12,N(W12))</f>
        <v/>
      </c>
      <c r="AF12" s="43">
        <f>AD12+AE12</f>
        <v/>
      </c>
      <c r="AG12" s="42">
        <f>IF(UPPER(AC12)="Y",1,IF(AF12=0,0,IF(AND(Z12="",Y12&lt;&gt;""),IF(Y12&gt;=0.999,1,0),IF(AF12&gt;=U12,1,0))))</f>
        <v/>
      </c>
      <c r="AH12" s="44">
        <f>IF(AF12&gt;0,(AD12-AE12)/AF12,"")</f>
        <v/>
      </c>
      <c r="AI12" s="45">
        <f>IF(AG12=1,AH12-O12,"")</f>
        <v/>
      </c>
      <c r="AJ12" s="44">
        <f>IF(AG12=1,AH12,MAX(-1,MIN(1,O12+INDEX(Types!$H:$H,MATCH($A12&amp;"|"&amp;$D12,Types!$A:$A,0)))))</f>
        <v/>
      </c>
      <c r="AK12" s="43">
        <f>IF(AG12=1,AF12,MAX(AQ12*AS12,AF12))</f>
        <v/>
      </c>
      <c r="AL12" s="43">
        <f>IF(AG12=1,AD12,AK12*(1+AJ12)/2)</f>
        <v/>
      </c>
      <c r="AM12" s="43">
        <f>IF(AG12=1,AE12,AK12*(1-AJ12)/2)</f>
        <v/>
      </c>
      <c r="AN12" s="45">
        <f>IF(AH12="","",AH12-T12)</f>
        <v/>
      </c>
      <c r="AO12" s="51">
        <f>IF(AG12=1,1,IF(U12&gt;0,MIN(AF12/U12,0.99),0))</f>
        <v/>
      </c>
      <c r="AP12" s="43">
        <f>IF(AG12=1,AI12*AF12,0)</f>
        <v/>
      </c>
      <c r="AQ12" s="43">
        <f>N12*(F12+G12)/H12</f>
        <v/>
      </c>
      <c r="AR12" s="43">
        <f>O12*AQ12</f>
        <v/>
      </c>
      <c r="AS12" s="52">
        <f>IF(AG12=1,IF(AQ12&gt;0,AF12/AQ12,1),IFERROR(INDEX(Types!$K:$K,MATCH($A12&amp;"|"&amp;$D12,Types!$A:$A,0)),INDEX(Dashboard!$X$6:$X$22,MATCH($A12,Dashboard!$A$6:$A$22,0))))</f>
        <v/>
      </c>
      <c r="AT12" s="43">
        <f>AQ12*INDEX(Dashboard!$Y$6:$Y$22,MATCH($A12,Dashboard!$A$6:$A$22,0))</f>
        <v/>
      </c>
      <c r="AU12" s="53">
        <f>IF(AND(AG12=1,AT12&gt;0,AF12&gt;0),100*AF12/AT12,"")</f>
        <v/>
      </c>
      <c r="AV12" s="44">
        <f>IF(AU12="","",T12/(AU12/100))</f>
        <v/>
      </c>
      <c r="AW12" s="53">
        <f>IF(AU12="","",IF(AND(ABS(AH12)&gt;=0.1,ABS(T12)&gt;=0.05,SIGN(AH12)=SIGN(T12)),100*T12/AH12,""))</f>
        <v/>
      </c>
      <c r="AX12" s="45">
        <f>IF(AU12="","",T12-AV12)</f>
        <v/>
      </c>
      <c r="AY12" s="45">
        <f>IF(AU12="","",AH12-AV12)</f>
        <v/>
      </c>
      <c r="AZ12" s="54">
        <f>(AL12-AM12)-T12*AT12</f>
        <v/>
      </c>
      <c r="BA12" s="43">
        <f>IF(AU12="",0,(AH12-T12)*AF12)</f>
        <v/>
      </c>
      <c r="BB12" s="43">
        <f>IF(AU12="",0,T12*(AF12-AT12))</f>
        <v/>
      </c>
      <c r="BC12" s="51" t="n"/>
      <c r="BD12" s="51" t="n"/>
      <c r="BE12" s="51" t="n"/>
      <c r="BF12" s="43" t="n"/>
    </row>
    <row r="13">
      <c r="A13" s="42" t="inlineStr">
        <is>
          <t>AK</t>
        </is>
      </c>
      <c r="B13" s="42" t="inlineStr">
        <is>
          <t>02002</t>
        </is>
      </c>
      <c r="C13" s="42" t="inlineStr">
        <is>
          <t>HD District 2</t>
        </is>
      </c>
      <c r="D13" s="42" t="inlineStr">
        <is>
          <t>Alaska district</t>
        </is>
      </c>
      <c r="E13" s="42" t="inlineStr"/>
      <c r="F13" s="43" t="n">
        <v>4571</v>
      </c>
      <c r="G13" s="43" t="n">
        <v>4534</v>
      </c>
      <c r="H13" s="43" t="n">
        <v>9105</v>
      </c>
      <c r="I13" s="43" t="n"/>
      <c r="J13" s="43" t="n"/>
      <c r="K13" s="42" t="inlineStr">
        <is>
          <t>US Senate</t>
        </is>
      </c>
      <c r="L13" s="43" t="n">
        <v>453</v>
      </c>
      <c r="M13" s="43" t="n">
        <v>4119</v>
      </c>
      <c r="N13" s="43" t="n">
        <v>4579</v>
      </c>
      <c r="O13" s="44">
        <f>IFERROR((F13-G13)/(F13+G13),"")</f>
        <v/>
      </c>
      <c r="P13" s="44">
        <f>IFERROR((I13-J13)/(I13+J13),"")</f>
        <v/>
      </c>
      <c r="Q13" s="45">
        <f>IFERROR(O13-P13,"")</f>
        <v/>
      </c>
      <c r="R13" s="44">
        <f>IFERROR((L13-M13)/(L13+M13),"")</f>
        <v/>
      </c>
      <c r="S13" s="46">
        <f>H13/SUMIFS(Counties!$H$2:$H$1583,Counties!$A$2:$A$1583,$A13)</f>
        <v/>
      </c>
      <c r="T13" s="44">
        <f>O13+INDEX(Dashboard!$F$6:$F$22,MATCH($A13,Dashboard!$A$6:$A$22,0))</f>
        <v/>
      </c>
      <c r="U13" s="43">
        <f>AQ13*INDEX(Dashboard!$G$6:$G$22,MATCH($A13,Dashboard!$A$6:$A$22,0))</f>
        <v/>
      </c>
      <c r="V13" s="47" t="n"/>
      <c r="W13" s="47" t="n"/>
      <c r="X13" s="47" t="n"/>
      <c r="Y13" s="48" t="n"/>
      <c r="Z13" s="49" t="n"/>
      <c r="AA13" s="49" t="n"/>
      <c r="AB13" s="49" t="n"/>
      <c r="AC13" s="50" t="n"/>
      <c r="AD13" s="43">
        <f>IF(Z13&lt;&gt;"",Z13,N(V13))</f>
        <v/>
      </c>
      <c r="AE13" s="43">
        <f>IF(AA13&lt;&gt;"",AA13,N(W13))</f>
        <v/>
      </c>
      <c r="AF13" s="43">
        <f>AD13+AE13</f>
        <v/>
      </c>
      <c r="AG13" s="42">
        <f>IF(UPPER(AC13)="Y",1,IF(AF13=0,0,IF(AND(Z13="",Y13&lt;&gt;""),IF(Y13&gt;=0.999,1,0),IF(AF13&gt;=U13,1,0))))</f>
        <v/>
      </c>
      <c r="AH13" s="44">
        <f>IF(AF13&gt;0,(AD13-AE13)/AF13,"")</f>
        <v/>
      </c>
      <c r="AI13" s="45">
        <f>IF(AG13=1,AH13-O13,"")</f>
        <v/>
      </c>
      <c r="AJ13" s="44">
        <f>IF(AG13=1,AH13,MAX(-1,MIN(1,O13+INDEX(Types!$H:$H,MATCH($A13&amp;"|"&amp;$D13,Types!$A:$A,0)))))</f>
        <v/>
      </c>
      <c r="AK13" s="43">
        <f>IF(AG13=1,AF13,MAX(AQ13*AS13,AF13))</f>
        <v/>
      </c>
      <c r="AL13" s="43">
        <f>IF(AG13=1,AD13,AK13*(1+AJ13)/2)</f>
        <v/>
      </c>
      <c r="AM13" s="43">
        <f>IF(AG13=1,AE13,AK13*(1-AJ13)/2)</f>
        <v/>
      </c>
      <c r="AN13" s="45">
        <f>IF(AH13="","",AH13-T13)</f>
        <v/>
      </c>
      <c r="AO13" s="51">
        <f>IF(AG13=1,1,IF(U13&gt;0,MIN(AF13/U13,0.99),0))</f>
        <v/>
      </c>
      <c r="AP13" s="43">
        <f>IF(AG13=1,AI13*AF13,0)</f>
        <v/>
      </c>
      <c r="AQ13" s="43">
        <f>N13*(F13+G13)/H13</f>
        <v/>
      </c>
      <c r="AR13" s="43">
        <f>O13*AQ13</f>
        <v/>
      </c>
      <c r="AS13" s="52">
        <f>IF(AG13=1,IF(AQ13&gt;0,AF13/AQ13,1),IFERROR(INDEX(Types!$K:$K,MATCH($A13&amp;"|"&amp;$D13,Types!$A:$A,0)),INDEX(Dashboard!$X$6:$X$22,MATCH($A13,Dashboard!$A$6:$A$22,0))))</f>
        <v/>
      </c>
      <c r="AT13" s="43">
        <f>AQ13*INDEX(Dashboard!$Y$6:$Y$22,MATCH($A13,Dashboard!$A$6:$A$22,0))</f>
        <v/>
      </c>
      <c r="AU13" s="53">
        <f>IF(AND(AG13=1,AT13&gt;0,AF13&gt;0),100*AF13/AT13,"")</f>
        <v/>
      </c>
      <c r="AV13" s="44">
        <f>IF(AU13="","",T13/(AU13/100))</f>
        <v/>
      </c>
      <c r="AW13" s="53">
        <f>IF(AU13="","",IF(AND(ABS(AH13)&gt;=0.1,ABS(T13)&gt;=0.05,SIGN(AH13)=SIGN(T13)),100*T13/AH13,""))</f>
        <v/>
      </c>
      <c r="AX13" s="45">
        <f>IF(AU13="","",T13-AV13)</f>
        <v/>
      </c>
      <c r="AY13" s="45">
        <f>IF(AU13="","",AH13-AV13)</f>
        <v/>
      </c>
      <c r="AZ13" s="54">
        <f>(AL13-AM13)-T13*AT13</f>
        <v/>
      </c>
      <c r="BA13" s="43">
        <f>IF(AU13="",0,(AH13-T13)*AF13)</f>
        <v/>
      </c>
      <c r="BB13" s="43">
        <f>IF(AU13="",0,T13*(AF13-AT13))</f>
        <v/>
      </c>
      <c r="BC13" s="51" t="n"/>
      <c r="BD13" s="51" t="n"/>
      <c r="BE13" s="51" t="n"/>
      <c r="BF13" s="43" t="n"/>
    </row>
    <row r="14">
      <c r="A14" s="42" t="inlineStr">
        <is>
          <t>AK</t>
        </is>
      </c>
      <c r="B14" s="42" t="inlineStr">
        <is>
          <t>02020</t>
        </is>
      </c>
      <c r="C14" s="42" t="inlineStr">
        <is>
          <t>HD District 20</t>
        </is>
      </c>
      <c r="D14" s="42" t="inlineStr">
        <is>
          <t>Alaska district</t>
        </is>
      </c>
      <c r="E14" s="42" t="inlineStr"/>
      <c r="F14" s="43" t="n">
        <v>3924</v>
      </c>
      <c r="G14" s="43" t="n">
        <v>3041</v>
      </c>
      <c r="H14" s="43" t="n">
        <v>6965</v>
      </c>
      <c r="I14" s="43" t="n"/>
      <c r="J14" s="43" t="n"/>
      <c r="K14" s="42" t="inlineStr">
        <is>
          <t>US Senate</t>
        </is>
      </c>
      <c r="L14" s="43" t="n">
        <v>465</v>
      </c>
      <c r="M14" s="43" t="n">
        <v>2691</v>
      </c>
      <c r="N14" s="43" t="n">
        <v>3164</v>
      </c>
      <c r="O14" s="44">
        <f>IFERROR((F14-G14)/(F14+G14),"")</f>
        <v/>
      </c>
      <c r="P14" s="44">
        <f>IFERROR((I14-J14)/(I14+J14),"")</f>
        <v/>
      </c>
      <c r="Q14" s="45">
        <f>IFERROR(O14-P14,"")</f>
        <v/>
      </c>
      <c r="R14" s="44">
        <f>IFERROR((L14-M14)/(L14+M14),"")</f>
        <v/>
      </c>
      <c r="S14" s="46">
        <f>H14/SUMIFS(Counties!$H$2:$H$1583,Counties!$A$2:$A$1583,$A14)</f>
        <v/>
      </c>
      <c r="T14" s="44">
        <f>O14+INDEX(Dashboard!$F$6:$F$22,MATCH($A14,Dashboard!$A$6:$A$22,0))</f>
        <v/>
      </c>
      <c r="U14" s="43">
        <f>AQ14*INDEX(Dashboard!$G$6:$G$22,MATCH($A14,Dashboard!$A$6:$A$22,0))</f>
        <v/>
      </c>
      <c r="V14" s="47" t="n"/>
      <c r="W14" s="47" t="n"/>
      <c r="X14" s="47" t="n"/>
      <c r="Y14" s="48" t="n"/>
      <c r="Z14" s="49" t="n"/>
      <c r="AA14" s="49" t="n"/>
      <c r="AB14" s="49" t="n"/>
      <c r="AC14" s="50" t="n"/>
      <c r="AD14" s="43">
        <f>IF(Z14&lt;&gt;"",Z14,N(V14))</f>
        <v/>
      </c>
      <c r="AE14" s="43">
        <f>IF(AA14&lt;&gt;"",AA14,N(W14))</f>
        <v/>
      </c>
      <c r="AF14" s="43">
        <f>AD14+AE14</f>
        <v/>
      </c>
      <c r="AG14" s="42">
        <f>IF(UPPER(AC14)="Y",1,IF(AF14=0,0,IF(AND(Z14="",Y14&lt;&gt;""),IF(Y14&gt;=0.999,1,0),IF(AF14&gt;=U14,1,0))))</f>
        <v/>
      </c>
      <c r="AH14" s="44">
        <f>IF(AF14&gt;0,(AD14-AE14)/AF14,"")</f>
        <v/>
      </c>
      <c r="AI14" s="45">
        <f>IF(AG14=1,AH14-O14,"")</f>
        <v/>
      </c>
      <c r="AJ14" s="44">
        <f>IF(AG14=1,AH14,MAX(-1,MIN(1,O14+INDEX(Types!$H:$H,MATCH($A14&amp;"|"&amp;$D14,Types!$A:$A,0)))))</f>
        <v/>
      </c>
      <c r="AK14" s="43">
        <f>IF(AG14=1,AF14,MAX(AQ14*AS14,AF14))</f>
        <v/>
      </c>
      <c r="AL14" s="43">
        <f>IF(AG14=1,AD14,AK14*(1+AJ14)/2)</f>
        <v/>
      </c>
      <c r="AM14" s="43">
        <f>IF(AG14=1,AE14,AK14*(1-AJ14)/2)</f>
        <v/>
      </c>
      <c r="AN14" s="45">
        <f>IF(AH14="","",AH14-T14)</f>
        <v/>
      </c>
      <c r="AO14" s="51">
        <f>IF(AG14=1,1,IF(U14&gt;0,MIN(AF14/U14,0.99),0))</f>
        <v/>
      </c>
      <c r="AP14" s="43">
        <f>IF(AG14=1,AI14*AF14,0)</f>
        <v/>
      </c>
      <c r="AQ14" s="43">
        <f>N14*(F14+G14)/H14</f>
        <v/>
      </c>
      <c r="AR14" s="43">
        <f>O14*AQ14</f>
        <v/>
      </c>
      <c r="AS14" s="52">
        <f>IF(AG14=1,IF(AQ14&gt;0,AF14/AQ14,1),IFERROR(INDEX(Types!$K:$K,MATCH($A14&amp;"|"&amp;$D14,Types!$A:$A,0)),INDEX(Dashboard!$X$6:$X$22,MATCH($A14,Dashboard!$A$6:$A$22,0))))</f>
        <v/>
      </c>
      <c r="AT14" s="43">
        <f>AQ14*INDEX(Dashboard!$Y$6:$Y$22,MATCH($A14,Dashboard!$A$6:$A$22,0))</f>
        <v/>
      </c>
      <c r="AU14" s="53">
        <f>IF(AND(AG14=1,AT14&gt;0,AF14&gt;0),100*AF14/AT14,"")</f>
        <v/>
      </c>
      <c r="AV14" s="44">
        <f>IF(AU14="","",T14/(AU14/100))</f>
        <v/>
      </c>
      <c r="AW14" s="53">
        <f>IF(AU14="","",IF(AND(ABS(AH14)&gt;=0.1,ABS(T14)&gt;=0.05,SIGN(AH14)=SIGN(T14)),100*T14/AH14,""))</f>
        <v/>
      </c>
      <c r="AX14" s="45">
        <f>IF(AU14="","",T14-AV14)</f>
        <v/>
      </c>
      <c r="AY14" s="45">
        <f>IF(AU14="","",AH14-AV14)</f>
        <v/>
      </c>
      <c r="AZ14" s="54">
        <f>(AL14-AM14)-T14*AT14</f>
        <v/>
      </c>
      <c r="BA14" s="43">
        <f>IF(AU14="",0,(AH14-T14)*AF14)</f>
        <v/>
      </c>
      <c r="BB14" s="43">
        <f>IF(AU14="",0,T14*(AF14-AT14))</f>
        <v/>
      </c>
      <c r="BC14" s="51" t="n">
        <v>0.05117539106877567</v>
      </c>
      <c r="BD14" s="51" t="n">
        <v>0.09601677881674386</v>
      </c>
      <c r="BE14" s="51" t="n">
        <v>0.3767890075066885</v>
      </c>
      <c r="BF14" s="43" t="n">
        <v>286075</v>
      </c>
    </row>
    <row r="15">
      <c r="A15" s="42" t="inlineStr">
        <is>
          <t>AK</t>
        </is>
      </c>
      <c r="B15" s="42" t="inlineStr">
        <is>
          <t>02021</t>
        </is>
      </c>
      <c r="C15" s="42" t="inlineStr">
        <is>
          <t>HD District 21</t>
        </is>
      </c>
      <c r="D15" s="42" t="inlineStr">
        <is>
          <t>Alaska district</t>
        </is>
      </c>
      <c r="E15" s="42" t="inlineStr"/>
      <c r="F15" s="43" t="n">
        <v>4711</v>
      </c>
      <c r="G15" s="43" t="n">
        <v>3984</v>
      </c>
      <c r="H15" s="43" t="n">
        <v>8695</v>
      </c>
      <c r="I15" s="43" t="n"/>
      <c r="J15" s="43" t="n"/>
      <c r="K15" s="42" t="inlineStr">
        <is>
          <t>US Senate</t>
        </is>
      </c>
      <c r="L15" s="43" t="n">
        <v>546</v>
      </c>
      <c r="M15" s="43" t="n">
        <v>3819</v>
      </c>
      <c r="N15" s="43" t="n">
        <v>4370</v>
      </c>
      <c r="O15" s="44">
        <f>IFERROR((F15-G15)/(F15+G15),"")</f>
        <v/>
      </c>
      <c r="P15" s="44">
        <f>IFERROR((I15-J15)/(I15+J15),"")</f>
        <v/>
      </c>
      <c r="Q15" s="45">
        <f>IFERROR(O15-P15,"")</f>
        <v/>
      </c>
      <c r="R15" s="44">
        <f>IFERROR((L15-M15)/(L15+M15),"")</f>
        <v/>
      </c>
      <c r="S15" s="46">
        <f>H15/SUMIFS(Counties!$H$2:$H$1583,Counties!$A$2:$A$1583,$A15)</f>
        <v/>
      </c>
      <c r="T15" s="44">
        <f>O15+INDEX(Dashboard!$F$6:$F$22,MATCH($A15,Dashboard!$A$6:$A$22,0))</f>
        <v/>
      </c>
      <c r="U15" s="43">
        <f>AQ15*INDEX(Dashboard!$G$6:$G$22,MATCH($A15,Dashboard!$A$6:$A$22,0))</f>
        <v/>
      </c>
      <c r="V15" s="47" t="n"/>
      <c r="W15" s="47" t="n"/>
      <c r="X15" s="47" t="n"/>
      <c r="Y15" s="48" t="n"/>
      <c r="Z15" s="49" t="n"/>
      <c r="AA15" s="49" t="n"/>
      <c r="AB15" s="49" t="n"/>
      <c r="AC15" s="50" t="n"/>
      <c r="AD15" s="43">
        <f>IF(Z15&lt;&gt;"",Z15,N(V15))</f>
        <v/>
      </c>
      <c r="AE15" s="43">
        <f>IF(AA15&lt;&gt;"",AA15,N(W15))</f>
        <v/>
      </c>
      <c r="AF15" s="43">
        <f>AD15+AE15</f>
        <v/>
      </c>
      <c r="AG15" s="42">
        <f>IF(UPPER(AC15)="Y",1,IF(AF15=0,0,IF(AND(Z15="",Y15&lt;&gt;""),IF(Y15&gt;=0.999,1,0),IF(AF15&gt;=U15,1,0))))</f>
        <v/>
      </c>
      <c r="AH15" s="44">
        <f>IF(AF15&gt;0,(AD15-AE15)/AF15,"")</f>
        <v/>
      </c>
      <c r="AI15" s="45">
        <f>IF(AG15=1,AH15-O15,"")</f>
        <v/>
      </c>
      <c r="AJ15" s="44">
        <f>IF(AG15=1,AH15,MAX(-1,MIN(1,O15+INDEX(Types!$H:$H,MATCH($A15&amp;"|"&amp;$D15,Types!$A:$A,0)))))</f>
        <v/>
      </c>
      <c r="AK15" s="43">
        <f>IF(AG15=1,AF15,MAX(AQ15*AS15,AF15))</f>
        <v/>
      </c>
      <c r="AL15" s="43">
        <f>IF(AG15=1,AD15,AK15*(1+AJ15)/2)</f>
        <v/>
      </c>
      <c r="AM15" s="43">
        <f>IF(AG15=1,AE15,AK15*(1-AJ15)/2)</f>
        <v/>
      </c>
      <c r="AN15" s="45">
        <f>IF(AH15="","",AH15-T15)</f>
        <v/>
      </c>
      <c r="AO15" s="51">
        <f>IF(AG15=1,1,IF(U15&gt;0,MIN(AF15/U15,0.99),0))</f>
        <v/>
      </c>
      <c r="AP15" s="43">
        <f>IF(AG15=1,AI15*AF15,0)</f>
        <v/>
      </c>
      <c r="AQ15" s="43">
        <f>N15*(F15+G15)/H15</f>
        <v/>
      </c>
      <c r="AR15" s="43">
        <f>O15*AQ15</f>
        <v/>
      </c>
      <c r="AS15" s="52">
        <f>IF(AG15=1,IF(AQ15&gt;0,AF15/AQ15,1),IFERROR(INDEX(Types!$K:$K,MATCH($A15&amp;"|"&amp;$D15,Types!$A:$A,0)),INDEX(Dashboard!$X$6:$X$22,MATCH($A15,Dashboard!$A$6:$A$22,0))))</f>
        <v/>
      </c>
      <c r="AT15" s="43">
        <f>AQ15*INDEX(Dashboard!$Y$6:$Y$22,MATCH($A15,Dashboard!$A$6:$A$22,0))</f>
        <v/>
      </c>
      <c r="AU15" s="53">
        <f>IF(AND(AG15=1,AT15&gt;0,AF15&gt;0),100*AF15/AT15,"")</f>
        <v/>
      </c>
      <c r="AV15" s="44">
        <f>IF(AU15="","",T15/(AU15/100))</f>
        <v/>
      </c>
      <c r="AW15" s="53">
        <f>IF(AU15="","",IF(AND(ABS(AH15)&gt;=0.1,ABS(T15)&gt;=0.05,SIGN(AH15)=SIGN(T15)),100*T15/AH15,""))</f>
        <v/>
      </c>
      <c r="AX15" s="45">
        <f>IF(AU15="","",T15-AV15)</f>
        <v/>
      </c>
      <c r="AY15" s="45">
        <f>IF(AU15="","",AH15-AV15)</f>
        <v/>
      </c>
      <c r="AZ15" s="54">
        <f>(AL15-AM15)-T15*AT15</f>
        <v/>
      </c>
      <c r="BA15" s="43">
        <f>IF(AU15="",0,(AH15-T15)*AF15)</f>
        <v/>
      </c>
      <c r="BB15" s="43">
        <f>IF(AU15="",0,T15*(AF15-AT15))</f>
        <v/>
      </c>
      <c r="BC15" s="51" t="n"/>
      <c r="BD15" s="51" t="n"/>
      <c r="BE15" s="51" t="n"/>
      <c r="BF15" s="43" t="n"/>
    </row>
    <row r="16">
      <c r="A16" s="42" t="inlineStr">
        <is>
          <t>AK</t>
        </is>
      </c>
      <c r="B16" s="42" t="inlineStr">
        <is>
          <t>02022</t>
        </is>
      </c>
      <c r="C16" s="42" t="inlineStr">
        <is>
          <t>HD District 22</t>
        </is>
      </c>
      <c r="D16" s="42" t="inlineStr">
        <is>
          <t>Alaska district</t>
        </is>
      </c>
      <c r="E16" s="42" t="inlineStr"/>
      <c r="F16" s="43" t="n">
        <v>2660</v>
      </c>
      <c r="G16" s="43" t="n">
        <v>2594</v>
      </c>
      <c r="H16" s="43" t="n">
        <v>5254</v>
      </c>
      <c r="I16" s="43" t="n"/>
      <c r="J16" s="43" t="n"/>
      <c r="K16" s="42" t="inlineStr">
        <is>
          <t>US Senate</t>
        </is>
      </c>
      <c r="L16" s="43" t="n">
        <v>351</v>
      </c>
      <c r="M16" s="43" t="n">
        <v>2232</v>
      </c>
      <c r="N16" s="43" t="n">
        <v>2588</v>
      </c>
      <c r="O16" s="44">
        <f>IFERROR((F16-G16)/(F16+G16),"")</f>
        <v/>
      </c>
      <c r="P16" s="44">
        <f>IFERROR((I16-J16)/(I16+J16),"")</f>
        <v/>
      </c>
      <c r="Q16" s="45">
        <f>IFERROR(O16-P16,"")</f>
        <v/>
      </c>
      <c r="R16" s="44">
        <f>IFERROR((L16-M16)/(L16+M16),"")</f>
        <v/>
      </c>
      <c r="S16" s="46">
        <f>H16/SUMIFS(Counties!$H$2:$H$1583,Counties!$A$2:$A$1583,$A16)</f>
        <v/>
      </c>
      <c r="T16" s="44">
        <f>O16+INDEX(Dashboard!$F$6:$F$22,MATCH($A16,Dashboard!$A$6:$A$22,0))</f>
        <v/>
      </c>
      <c r="U16" s="43">
        <f>AQ16*INDEX(Dashboard!$G$6:$G$22,MATCH($A16,Dashboard!$A$6:$A$22,0))</f>
        <v/>
      </c>
      <c r="V16" s="47" t="n"/>
      <c r="W16" s="47" t="n"/>
      <c r="X16" s="47" t="n"/>
      <c r="Y16" s="48" t="n"/>
      <c r="Z16" s="49" t="n"/>
      <c r="AA16" s="49" t="n"/>
      <c r="AB16" s="49" t="n"/>
      <c r="AC16" s="50" t="n"/>
      <c r="AD16" s="43">
        <f>IF(Z16&lt;&gt;"",Z16,N(V16))</f>
        <v/>
      </c>
      <c r="AE16" s="43">
        <f>IF(AA16&lt;&gt;"",AA16,N(W16))</f>
        <v/>
      </c>
      <c r="AF16" s="43">
        <f>AD16+AE16</f>
        <v/>
      </c>
      <c r="AG16" s="42">
        <f>IF(UPPER(AC16)="Y",1,IF(AF16=0,0,IF(AND(Z16="",Y16&lt;&gt;""),IF(Y16&gt;=0.999,1,0),IF(AF16&gt;=U16,1,0))))</f>
        <v/>
      </c>
      <c r="AH16" s="44">
        <f>IF(AF16&gt;0,(AD16-AE16)/AF16,"")</f>
        <v/>
      </c>
      <c r="AI16" s="45">
        <f>IF(AG16=1,AH16-O16,"")</f>
        <v/>
      </c>
      <c r="AJ16" s="44">
        <f>IF(AG16=1,AH16,MAX(-1,MIN(1,O16+INDEX(Types!$H:$H,MATCH($A16&amp;"|"&amp;$D16,Types!$A:$A,0)))))</f>
        <v/>
      </c>
      <c r="AK16" s="43">
        <f>IF(AG16=1,AF16,MAX(AQ16*AS16,AF16))</f>
        <v/>
      </c>
      <c r="AL16" s="43">
        <f>IF(AG16=1,AD16,AK16*(1+AJ16)/2)</f>
        <v/>
      </c>
      <c r="AM16" s="43">
        <f>IF(AG16=1,AE16,AK16*(1-AJ16)/2)</f>
        <v/>
      </c>
      <c r="AN16" s="45">
        <f>IF(AH16="","",AH16-T16)</f>
        <v/>
      </c>
      <c r="AO16" s="51">
        <f>IF(AG16=1,1,IF(U16&gt;0,MIN(AF16/U16,0.99),0))</f>
        <v/>
      </c>
      <c r="AP16" s="43">
        <f>IF(AG16=1,AI16*AF16,0)</f>
        <v/>
      </c>
      <c r="AQ16" s="43">
        <f>N16*(F16+G16)/H16</f>
        <v/>
      </c>
      <c r="AR16" s="43">
        <f>O16*AQ16</f>
        <v/>
      </c>
      <c r="AS16" s="52">
        <f>IF(AG16=1,IF(AQ16&gt;0,AF16/AQ16,1),IFERROR(INDEX(Types!$K:$K,MATCH($A16&amp;"|"&amp;$D16,Types!$A:$A,0)),INDEX(Dashboard!$X$6:$X$22,MATCH($A16,Dashboard!$A$6:$A$22,0))))</f>
        <v/>
      </c>
      <c r="AT16" s="43">
        <f>AQ16*INDEX(Dashboard!$Y$6:$Y$22,MATCH($A16,Dashboard!$A$6:$A$22,0))</f>
        <v/>
      </c>
      <c r="AU16" s="53">
        <f>IF(AND(AG16=1,AT16&gt;0,AF16&gt;0),100*AF16/AT16,"")</f>
        <v/>
      </c>
      <c r="AV16" s="44">
        <f>IF(AU16="","",T16/(AU16/100))</f>
        <v/>
      </c>
      <c r="AW16" s="53">
        <f>IF(AU16="","",IF(AND(ABS(AH16)&gt;=0.1,ABS(T16)&gt;=0.05,SIGN(AH16)=SIGN(T16)),100*T16/AH16,""))</f>
        <v/>
      </c>
      <c r="AX16" s="45">
        <f>IF(AU16="","",T16-AV16)</f>
        <v/>
      </c>
      <c r="AY16" s="45">
        <f>IF(AU16="","",AH16-AV16)</f>
        <v/>
      </c>
      <c r="AZ16" s="54">
        <f>(AL16-AM16)-T16*AT16</f>
        <v/>
      </c>
      <c r="BA16" s="43">
        <f>IF(AU16="",0,(AH16-T16)*AF16)</f>
        <v/>
      </c>
      <c r="BB16" s="43">
        <f>IF(AU16="",0,T16*(AF16-AT16))</f>
        <v/>
      </c>
      <c r="BC16" s="51" t="n"/>
      <c r="BD16" s="51" t="n"/>
      <c r="BE16" s="51" t="n"/>
      <c r="BF16" s="43" t="n"/>
    </row>
    <row r="17">
      <c r="A17" s="42" t="inlineStr">
        <is>
          <t>AK</t>
        </is>
      </c>
      <c r="B17" s="42" t="inlineStr">
        <is>
          <t>02023</t>
        </is>
      </c>
      <c r="C17" s="42" t="inlineStr">
        <is>
          <t>HD District 23</t>
        </is>
      </c>
      <c r="D17" s="42" t="inlineStr">
        <is>
          <t>Alaska district</t>
        </is>
      </c>
      <c r="E17" s="42" t="inlineStr"/>
      <c r="F17" s="43" t="n">
        <v>4116</v>
      </c>
      <c r="G17" s="43" t="n">
        <v>6101</v>
      </c>
      <c r="H17" s="43" t="n">
        <v>10217</v>
      </c>
      <c r="I17" s="43" t="n"/>
      <c r="J17" s="43" t="n"/>
      <c r="K17" s="42" t="inlineStr">
        <is>
          <t>US Senate</t>
        </is>
      </c>
      <c r="L17" s="43" t="n">
        <v>308</v>
      </c>
      <c r="M17" s="43" t="n">
        <v>4496</v>
      </c>
      <c r="N17" s="43" t="n">
        <v>4813</v>
      </c>
      <c r="O17" s="44">
        <f>IFERROR((F17-G17)/(F17+G17),"")</f>
        <v/>
      </c>
      <c r="P17" s="44">
        <f>IFERROR((I17-J17)/(I17+J17),"")</f>
        <v/>
      </c>
      <c r="Q17" s="45">
        <f>IFERROR(O17-P17,"")</f>
        <v/>
      </c>
      <c r="R17" s="44">
        <f>IFERROR((L17-M17)/(L17+M17),"")</f>
        <v/>
      </c>
      <c r="S17" s="46">
        <f>H17/SUMIFS(Counties!$H$2:$H$1583,Counties!$A$2:$A$1583,$A17)</f>
        <v/>
      </c>
      <c r="T17" s="44">
        <f>O17+INDEX(Dashboard!$F$6:$F$22,MATCH($A17,Dashboard!$A$6:$A$22,0))</f>
        <v/>
      </c>
      <c r="U17" s="43">
        <f>AQ17*INDEX(Dashboard!$G$6:$G$22,MATCH($A17,Dashboard!$A$6:$A$22,0))</f>
        <v/>
      </c>
      <c r="V17" s="47" t="n"/>
      <c r="W17" s="47" t="n"/>
      <c r="X17" s="47" t="n"/>
      <c r="Y17" s="48" t="n"/>
      <c r="Z17" s="49" t="n"/>
      <c r="AA17" s="49" t="n"/>
      <c r="AB17" s="49" t="n"/>
      <c r="AC17" s="50" t="n"/>
      <c r="AD17" s="43">
        <f>IF(Z17&lt;&gt;"",Z17,N(V17))</f>
        <v/>
      </c>
      <c r="AE17" s="43">
        <f>IF(AA17&lt;&gt;"",AA17,N(W17))</f>
        <v/>
      </c>
      <c r="AF17" s="43">
        <f>AD17+AE17</f>
        <v/>
      </c>
      <c r="AG17" s="42">
        <f>IF(UPPER(AC17)="Y",1,IF(AF17=0,0,IF(AND(Z17="",Y17&lt;&gt;""),IF(Y17&gt;=0.999,1,0),IF(AF17&gt;=U17,1,0))))</f>
        <v/>
      </c>
      <c r="AH17" s="44">
        <f>IF(AF17&gt;0,(AD17-AE17)/AF17,"")</f>
        <v/>
      </c>
      <c r="AI17" s="45">
        <f>IF(AG17=1,AH17-O17,"")</f>
        <v/>
      </c>
      <c r="AJ17" s="44">
        <f>IF(AG17=1,AH17,MAX(-1,MIN(1,O17+INDEX(Types!$H:$H,MATCH($A17&amp;"|"&amp;$D17,Types!$A:$A,0)))))</f>
        <v/>
      </c>
      <c r="AK17" s="43">
        <f>IF(AG17=1,AF17,MAX(AQ17*AS17,AF17))</f>
        <v/>
      </c>
      <c r="AL17" s="43">
        <f>IF(AG17=1,AD17,AK17*(1+AJ17)/2)</f>
        <v/>
      </c>
      <c r="AM17" s="43">
        <f>IF(AG17=1,AE17,AK17*(1-AJ17)/2)</f>
        <v/>
      </c>
      <c r="AN17" s="45">
        <f>IF(AH17="","",AH17-T17)</f>
        <v/>
      </c>
      <c r="AO17" s="51">
        <f>IF(AG17=1,1,IF(U17&gt;0,MIN(AF17/U17,0.99),0))</f>
        <v/>
      </c>
      <c r="AP17" s="43">
        <f>IF(AG17=1,AI17*AF17,0)</f>
        <v/>
      </c>
      <c r="AQ17" s="43">
        <f>N17*(F17+G17)/H17</f>
        <v/>
      </c>
      <c r="AR17" s="43">
        <f>O17*AQ17</f>
        <v/>
      </c>
      <c r="AS17" s="52">
        <f>IF(AG17=1,IF(AQ17&gt;0,AF17/AQ17,1),IFERROR(INDEX(Types!$K:$K,MATCH($A17&amp;"|"&amp;$D17,Types!$A:$A,0)),INDEX(Dashboard!$X$6:$X$22,MATCH($A17,Dashboard!$A$6:$A$22,0))))</f>
        <v/>
      </c>
      <c r="AT17" s="43">
        <f>AQ17*INDEX(Dashboard!$Y$6:$Y$22,MATCH($A17,Dashboard!$A$6:$A$22,0))</f>
        <v/>
      </c>
      <c r="AU17" s="53">
        <f>IF(AND(AG17=1,AT17&gt;0,AF17&gt;0),100*AF17/AT17,"")</f>
        <v/>
      </c>
      <c r="AV17" s="44">
        <f>IF(AU17="","",T17/(AU17/100))</f>
        <v/>
      </c>
      <c r="AW17" s="53">
        <f>IF(AU17="","",IF(AND(ABS(AH17)&gt;=0.1,ABS(T17)&gt;=0.05,SIGN(AH17)=SIGN(T17)),100*T17/AH17,""))</f>
        <v/>
      </c>
      <c r="AX17" s="45">
        <f>IF(AU17="","",T17-AV17)</f>
        <v/>
      </c>
      <c r="AY17" s="45">
        <f>IF(AU17="","",AH17-AV17)</f>
        <v/>
      </c>
      <c r="AZ17" s="54">
        <f>(AL17-AM17)-T17*AT17</f>
        <v/>
      </c>
      <c r="BA17" s="43">
        <f>IF(AU17="",0,(AH17-T17)*AF17)</f>
        <v/>
      </c>
      <c r="BB17" s="43">
        <f>IF(AU17="",0,T17*(AF17-AT17))</f>
        <v/>
      </c>
      <c r="BC17" s="51" t="n"/>
      <c r="BD17" s="51" t="n"/>
      <c r="BE17" s="51" t="n"/>
      <c r="BF17" s="43" t="n"/>
    </row>
    <row r="18">
      <c r="A18" s="42" t="inlineStr">
        <is>
          <t>AK</t>
        </is>
      </c>
      <c r="B18" s="42" t="inlineStr">
        <is>
          <t>02024</t>
        </is>
      </c>
      <c r="C18" s="42" t="inlineStr">
        <is>
          <t>HD District 24</t>
        </is>
      </c>
      <c r="D18" s="42" t="inlineStr">
        <is>
          <t>Alaska district</t>
        </is>
      </c>
      <c r="E18" s="42" t="inlineStr"/>
      <c r="F18" s="43" t="n">
        <v>3234</v>
      </c>
      <c r="G18" s="43" t="n">
        <v>6482</v>
      </c>
      <c r="H18" s="43" t="n">
        <v>9716</v>
      </c>
      <c r="I18" s="43" t="n"/>
      <c r="J18" s="43" t="n"/>
      <c r="K18" s="42" t="inlineStr">
        <is>
          <t>US Senate</t>
        </is>
      </c>
      <c r="L18" s="43" t="n">
        <v>265</v>
      </c>
      <c r="M18" s="43" t="n">
        <v>4656</v>
      </c>
      <c r="N18" s="43" t="n">
        <v>4941</v>
      </c>
      <c r="O18" s="44">
        <f>IFERROR((F18-G18)/(F18+G18),"")</f>
        <v/>
      </c>
      <c r="P18" s="44">
        <f>IFERROR((I18-J18)/(I18+J18),"")</f>
        <v/>
      </c>
      <c r="Q18" s="45">
        <f>IFERROR(O18-P18,"")</f>
        <v/>
      </c>
      <c r="R18" s="44">
        <f>IFERROR((L18-M18)/(L18+M18),"")</f>
        <v/>
      </c>
      <c r="S18" s="46">
        <f>H18/SUMIFS(Counties!$H$2:$H$1583,Counties!$A$2:$A$1583,$A18)</f>
        <v/>
      </c>
      <c r="T18" s="44">
        <f>O18+INDEX(Dashboard!$F$6:$F$22,MATCH($A18,Dashboard!$A$6:$A$22,0))</f>
        <v/>
      </c>
      <c r="U18" s="43">
        <f>AQ18*INDEX(Dashboard!$G$6:$G$22,MATCH($A18,Dashboard!$A$6:$A$22,0))</f>
        <v/>
      </c>
      <c r="V18" s="47" t="n"/>
      <c r="W18" s="47" t="n"/>
      <c r="X18" s="47" t="n"/>
      <c r="Y18" s="48" t="n"/>
      <c r="Z18" s="49" t="n"/>
      <c r="AA18" s="49" t="n"/>
      <c r="AB18" s="49" t="n"/>
      <c r="AC18" s="50" t="n"/>
      <c r="AD18" s="43">
        <f>IF(Z18&lt;&gt;"",Z18,N(V18))</f>
        <v/>
      </c>
      <c r="AE18" s="43">
        <f>IF(AA18&lt;&gt;"",AA18,N(W18))</f>
        <v/>
      </c>
      <c r="AF18" s="43">
        <f>AD18+AE18</f>
        <v/>
      </c>
      <c r="AG18" s="42">
        <f>IF(UPPER(AC18)="Y",1,IF(AF18=0,0,IF(AND(Z18="",Y18&lt;&gt;""),IF(Y18&gt;=0.999,1,0),IF(AF18&gt;=U18,1,0))))</f>
        <v/>
      </c>
      <c r="AH18" s="44">
        <f>IF(AF18&gt;0,(AD18-AE18)/AF18,"")</f>
        <v/>
      </c>
      <c r="AI18" s="45">
        <f>IF(AG18=1,AH18-O18,"")</f>
        <v/>
      </c>
      <c r="AJ18" s="44">
        <f>IF(AG18=1,AH18,MAX(-1,MIN(1,O18+INDEX(Types!$H:$H,MATCH($A18&amp;"|"&amp;$D18,Types!$A:$A,0)))))</f>
        <v/>
      </c>
      <c r="AK18" s="43">
        <f>IF(AG18=1,AF18,MAX(AQ18*AS18,AF18))</f>
        <v/>
      </c>
      <c r="AL18" s="43">
        <f>IF(AG18=1,AD18,AK18*(1+AJ18)/2)</f>
        <v/>
      </c>
      <c r="AM18" s="43">
        <f>IF(AG18=1,AE18,AK18*(1-AJ18)/2)</f>
        <v/>
      </c>
      <c r="AN18" s="45">
        <f>IF(AH18="","",AH18-T18)</f>
        <v/>
      </c>
      <c r="AO18" s="51">
        <f>IF(AG18=1,1,IF(U18&gt;0,MIN(AF18/U18,0.99),0))</f>
        <v/>
      </c>
      <c r="AP18" s="43">
        <f>IF(AG18=1,AI18*AF18,0)</f>
        <v/>
      </c>
      <c r="AQ18" s="43">
        <f>N18*(F18+G18)/H18</f>
        <v/>
      </c>
      <c r="AR18" s="43">
        <f>O18*AQ18</f>
        <v/>
      </c>
      <c r="AS18" s="52">
        <f>IF(AG18=1,IF(AQ18&gt;0,AF18/AQ18,1),IFERROR(INDEX(Types!$K:$K,MATCH($A18&amp;"|"&amp;$D18,Types!$A:$A,0)),INDEX(Dashboard!$X$6:$X$22,MATCH($A18,Dashboard!$A$6:$A$22,0))))</f>
        <v/>
      </c>
      <c r="AT18" s="43">
        <f>AQ18*INDEX(Dashboard!$Y$6:$Y$22,MATCH($A18,Dashboard!$A$6:$A$22,0))</f>
        <v/>
      </c>
      <c r="AU18" s="53">
        <f>IF(AND(AG18=1,AT18&gt;0,AF18&gt;0),100*AF18/AT18,"")</f>
        <v/>
      </c>
      <c r="AV18" s="44">
        <f>IF(AU18="","",T18/(AU18/100))</f>
        <v/>
      </c>
      <c r="AW18" s="53">
        <f>IF(AU18="","",IF(AND(ABS(AH18)&gt;=0.1,ABS(T18)&gt;=0.05,SIGN(AH18)=SIGN(T18)),100*T18/AH18,""))</f>
        <v/>
      </c>
      <c r="AX18" s="45">
        <f>IF(AU18="","",T18-AV18)</f>
        <v/>
      </c>
      <c r="AY18" s="45">
        <f>IF(AU18="","",AH18-AV18)</f>
        <v/>
      </c>
      <c r="AZ18" s="54">
        <f>(AL18-AM18)-T18*AT18</f>
        <v/>
      </c>
      <c r="BA18" s="43">
        <f>IF(AU18="",0,(AH18-T18)*AF18)</f>
        <v/>
      </c>
      <c r="BB18" s="43">
        <f>IF(AU18="",0,T18*(AF18-AT18))</f>
        <v/>
      </c>
      <c r="BC18" s="51" t="n"/>
      <c r="BD18" s="51" t="n"/>
      <c r="BE18" s="51" t="n"/>
      <c r="BF18" s="43" t="n"/>
    </row>
    <row r="19">
      <c r="A19" s="42" t="inlineStr">
        <is>
          <t>AK</t>
        </is>
      </c>
      <c r="B19" s="42" t="inlineStr">
        <is>
          <t>02025</t>
        </is>
      </c>
      <c r="C19" s="42" t="inlineStr">
        <is>
          <t>HD District 25</t>
        </is>
      </c>
      <c r="D19" s="42" t="inlineStr">
        <is>
          <t>Alaska district</t>
        </is>
      </c>
      <c r="E19" s="42" t="inlineStr"/>
      <c r="F19" s="43" t="n">
        <v>3172</v>
      </c>
      <c r="G19" s="43" t="n">
        <v>6891</v>
      </c>
      <c r="H19" s="43" t="n">
        <v>10063</v>
      </c>
      <c r="I19" s="43" t="n"/>
      <c r="J19" s="43" t="n"/>
      <c r="K19" s="42" t="inlineStr">
        <is>
          <t>US Senate</t>
        </is>
      </c>
      <c r="L19" s="43" t="n">
        <v>432</v>
      </c>
      <c r="M19" s="43" t="n">
        <v>4453</v>
      </c>
      <c r="N19" s="43" t="n">
        <v>4907</v>
      </c>
      <c r="O19" s="44">
        <f>IFERROR((F19-G19)/(F19+G19),"")</f>
        <v/>
      </c>
      <c r="P19" s="44">
        <f>IFERROR((I19-J19)/(I19+J19),"")</f>
        <v/>
      </c>
      <c r="Q19" s="45">
        <f>IFERROR(O19-P19,"")</f>
        <v/>
      </c>
      <c r="R19" s="44">
        <f>IFERROR((L19-M19)/(L19+M19),"")</f>
        <v/>
      </c>
      <c r="S19" s="46">
        <f>H19/SUMIFS(Counties!$H$2:$H$1583,Counties!$A$2:$A$1583,$A19)</f>
        <v/>
      </c>
      <c r="T19" s="44">
        <f>O19+INDEX(Dashboard!$F$6:$F$22,MATCH($A19,Dashboard!$A$6:$A$22,0))</f>
        <v/>
      </c>
      <c r="U19" s="43">
        <f>AQ19*INDEX(Dashboard!$G$6:$G$22,MATCH($A19,Dashboard!$A$6:$A$22,0))</f>
        <v/>
      </c>
      <c r="V19" s="47" t="n"/>
      <c r="W19" s="47" t="n"/>
      <c r="X19" s="47" t="n"/>
      <c r="Y19" s="48" t="n"/>
      <c r="Z19" s="49" t="n"/>
      <c r="AA19" s="49" t="n"/>
      <c r="AB19" s="49" t="n"/>
      <c r="AC19" s="50" t="n"/>
      <c r="AD19" s="43">
        <f>IF(Z19&lt;&gt;"",Z19,N(V19))</f>
        <v/>
      </c>
      <c r="AE19" s="43">
        <f>IF(AA19&lt;&gt;"",AA19,N(W19))</f>
        <v/>
      </c>
      <c r="AF19" s="43">
        <f>AD19+AE19</f>
        <v/>
      </c>
      <c r="AG19" s="42">
        <f>IF(UPPER(AC19)="Y",1,IF(AF19=0,0,IF(AND(Z19="",Y19&lt;&gt;""),IF(Y19&gt;=0.999,1,0),IF(AF19&gt;=U19,1,0))))</f>
        <v/>
      </c>
      <c r="AH19" s="44">
        <f>IF(AF19&gt;0,(AD19-AE19)/AF19,"")</f>
        <v/>
      </c>
      <c r="AI19" s="45">
        <f>IF(AG19=1,AH19-O19,"")</f>
        <v/>
      </c>
      <c r="AJ19" s="44">
        <f>IF(AG19=1,AH19,MAX(-1,MIN(1,O19+INDEX(Types!$H:$H,MATCH($A19&amp;"|"&amp;$D19,Types!$A:$A,0)))))</f>
        <v/>
      </c>
      <c r="AK19" s="43">
        <f>IF(AG19=1,AF19,MAX(AQ19*AS19,AF19))</f>
        <v/>
      </c>
      <c r="AL19" s="43">
        <f>IF(AG19=1,AD19,AK19*(1+AJ19)/2)</f>
        <v/>
      </c>
      <c r="AM19" s="43">
        <f>IF(AG19=1,AE19,AK19*(1-AJ19)/2)</f>
        <v/>
      </c>
      <c r="AN19" s="45">
        <f>IF(AH19="","",AH19-T19)</f>
        <v/>
      </c>
      <c r="AO19" s="51">
        <f>IF(AG19=1,1,IF(U19&gt;0,MIN(AF19/U19,0.99),0))</f>
        <v/>
      </c>
      <c r="AP19" s="43">
        <f>IF(AG19=1,AI19*AF19,0)</f>
        <v/>
      </c>
      <c r="AQ19" s="43">
        <f>N19*(F19+G19)/H19</f>
        <v/>
      </c>
      <c r="AR19" s="43">
        <f>O19*AQ19</f>
        <v/>
      </c>
      <c r="AS19" s="52">
        <f>IF(AG19=1,IF(AQ19&gt;0,AF19/AQ19,1),IFERROR(INDEX(Types!$K:$K,MATCH($A19&amp;"|"&amp;$D19,Types!$A:$A,0)),INDEX(Dashboard!$X$6:$X$22,MATCH($A19,Dashboard!$A$6:$A$22,0))))</f>
        <v/>
      </c>
      <c r="AT19" s="43">
        <f>AQ19*INDEX(Dashboard!$Y$6:$Y$22,MATCH($A19,Dashboard!$A$6:$A$22,0))</f>
        <v/>
      </c>
      <c r="AU19" s="53">
        <f>IF(AND(AG19=1,AT19&gt;0,AF19&gt;0),100*AF19/AT19,"")</f>
        <v/>
      </c>
      <c r="AV19" s="44">
        <f>IF(AU19="","",T19/(AU19/100))</f>
        <v/>
      </c>
      <c r="AW19" s="53">
        <f>IF(AU19="","",IF(AND(ABS(AH19)&gt;=0.1,ABS(T19)&gt;=0.05,SIGN(AH19)=SIGN(T19)),100*T19/AH19,""))</f>
        <v/>
      </c>
      <c r="AX19" s="45">
        <f>IF(AU19="","",T19-AV19)</f>
        <v/>
      </c>
      <c r="AY19" s="45">
        <f>IF(AU19="","",AH19-AV19)</f>
        <v/>
      </c>
      <c r="AZ19" s="54">
        <f>(AL19-AM19)-T19*AT19</f>
        <v/>
      </c>
      <c r="BA19" s="43">
        <f>IF(AU19="",0,(AH19-T19)*AF19)</f>
        <v/>
      </c>
      <c r="BB19" s="43">
        <f>IF(AU19="",0,T19*(AF19-AT19))</f>
        <v/>
      </c>
      <c r="BC19" s="51" t="n"/>
      <c r="BD19" s="51" t="n"/>
      <c r="BE19" s="51" t="n"/>
      <c r="BF19" s="43" t="n"/>
    </row>
    <row r="20">
      <c r="A20" s="42" t="inlineStr">
        <is>
          <t>AK</t>
        </is>
      </c>
      <c r="B20" s="42" t="inlineStr">
        <is>
          <t>02026</t>
        </is>
      </c>
      <c r="C20" s="42" t="inlineStr">
        <is>
          <t>HD District 26</t>
        </is>
      </c>
      <c r="D20" s="42" t="inlineStr">
        <is>
          <t>Alaska district</t>
        </is>
      </c>
      <c r="E20" s="42" t="inlineStr"/>
      <c r="F20" s="43" t="n">
        <v>2013</v>
      </c>
      <c r="G20" s="43" t="n">
        <v>7143</v>
      </c>
      <c r="H20" s="43" t="n">
        <v>9156</v>
      </c>
      <c r="I20" s="43" t="n"/>
      <c r="J20" s="43" t="n"/>
      <c r="K20" s="42" t="inlineStr">
        <is>
          <t>US Senate</t>
        </is>
      </c>
      <c r="L20" s="43" t="n">
        <v>252</v>
      </c>
      <c r="M20" s="43" t="n">
        <v>4336</v>
      </c>
      <c r="N20" s="43" t="n">
        <v>4602</v>
      </c>
      <c r="O20" s="44">
        <f>IFERROR((F20-G20)/(F20+G20),"")</f>
        <v/>
      </c>
      <c r="P20" s="44">
        <f>IFERROR((I20-J20)/(I20+J20),"")</f>
        <v/>
      </c>
      <c r="Q20" s="45">
        <f>IFERROR(O20-P20,"")</f>
        <v/>
      </c>
      <c r="R20" s="44">
        <f>IFERROR((L20-M20)/(L20+M20),"")</f>
        <v/>
      </c>
      <c r="S20" s="46">
        <f>H20/SUMIFS(Counties!$H$2:$H$1583,Counties!$A$2:$A$1583,$A20)</f>
        <v/>
      </c>
      <c r="T20" s="44">
        <f>O20+INDEX(Dashboard!$F$6:$F$22,MATCH($A20,Dashboard!$A$6:$A$22,0))</f>
        <v/>
      </c>
      <c r="U20" s="43">
        <f>AQ20*INDEX(Dashboard!$G$6:$G$22,MATCH($A20,Dashboard!$A$6:$A$22,0))</f>
        <v/>
      </c>
      <c r="V20" s="47" t="n"/>
      <c r="W20" s="47" t="n"/>
      <c r="X20" s="47" t="n"/>
      <c r="Y20" s="48" t="n"/>
      <c r="Z20" s="49" t="n"/>
      <c r="AA20" s="49" t="n"/>
      <c r="AB20" s="49" t="n"/>
      <c r="AC20" s="50" t="n"/>
      <c r="AD20" s="43">
        <f>IF(Z20&lt;&gt;"",Z20,N(V20))</f>
        <v/>
      </c>
      <c r="AE20" s="43">
        <f>IF(AA20&lt;&gt;"",AA20,N(W20))</f>
        <v/>
      </c>
      <c r="AF20" s="43">
        <f>AD20+AE20</f>
        <v/>
      </c>
      <c r="AG20" s="42">
        <f>IF(UPPER(AC20)="Y",1,IF(AF20=0,0,IF(AND(Z20="",Y20&lt;&gt;""),IF(Y20&gt;=0.999,1,0),IF(AF20&gt;=U20,1,0))))</f>
        <v/>
      </c>
      <c r="AH20" s="44">
        <f>IF(AF20&gt;0,(AD20-AE20)/AF20,"")</f>
        <v/>
      </c>
      <c r="AI20" s="45">
        <f>IF(AG20=1,AH20-O20,"")</f>
        <v/>
      </c>
      <c r="AJ20" s="44">
        <f>IF(AG20=1,AH20,MAX(-1,MIN(1,O20+INDEX(Types!$H:$H,MATCH($A20&amp;"|"&amp;$D20,Types!$A:$A,0)))))</f>
        <v/>
      </c>
      <c r="AK20" s="43">
        <f>IF(AG20=1,AF20,MAX(AQ20*AS20,AF20))</f>
        <v/>
      </c>
      <c r="AL20" s="43">
        <f>IF(AG20=1,AD20,AK20*(1+AJ20)/2)</f>
        <v/>
      </c>
      <c r="AM20" s="43">
        <f>IF(AG20=1,AE20,AK20*(1-AJ20)/2)</f>
        <v/>
      </c>
      <c r="AN20" s="45">
        <f>IF(AH20="","",AH20-T20)</f>
        <v/>
      </c>
      <c r="AO20" s="51">
        <f>IF(AG20=1,1,IF(U20&gt;0,MIN(AF20/U20,0.99),0))</f>
        <v/>
      </c>
      <c r="AP20" s="43">
        <f>IF(AG20=1,AI20*AF20,0)</f>
        <v/>
      </c>
      <c r="AQ20" s="43">
        <f>N20*(F20+G20)/H20</f>
        <v/>
      </c>
      <c r="AR20" s="43">
        <f>O20*AQ20</f>
        <v/>
      </c>
      <c r="AS20" s="52">
        <f>IF(AG20=1,IF(AQ20&gt;0,AF20/AQ20,1),IFERROR(INDEX(Types!$K:$K,MATCH($A20&amp;"|"&amp;$D20,Types!$A:$A,0)),INDEX(Dashboard!$X$6:$X$22,MATCH($A20,Dashboard!$A$6:$A$22,0))))</f>
        <v/>
      </c>
      <c r="AT20" s="43">
        <f>AQ20*INDEX(Dashboard!$Y$6:$Y$22,MATCH($A20,Dashboard!$A$6:$A$22,0))</f>
        <v/>
      </c>
      <c r="AU20" s="53">
        <f>IF(AND(AG20=1,AT20&gt;0,AF20&gt;0),100*AF20/AT20,"")</f>
        <v/>
      </c>
      <c r="AV20" s="44">
        <f>IF(AU20="","",T20/(AU20/100))</f>
        <v/>
      </c>
      <c r="AW20" s="53">
        <f>IF(AU20="","",IF(AND(ABS(AH20)&gt;=0.1,ABS(T20)&gt;=0.05,SIGN(AH20)=SIGN(T20)),100*T20/AH20,""))</f>
        <v/>
      </c>
      <c r="AX20" s="45">
        <f>IF(AU20="","",T20-AV20)</f>
        <v/>
      </c>
      <c r="AY20" s="45">
        <f>IF(AU20="","",AH20-AV20)</f>
        <v/>
      </c>
      <c r="AZ20" s="54">
        <f>(AL20-AM20)-T20*AT20</f>
        <v/>
      </c>
      <c r="BA20" s="43">
        <f>IF(AU20="",0,(AH20-T20)*AF20)</f>
        <v/>
      </c>
      <c r="BB20" s="43">
        <f>IF(AU20="",0,T20*(AF20-AT20))</f>
        <v/>
      </c>
      <c r="BC20" s="51" t="n"/>
      <c r="BD20" s="51" t="n"/>
      <c r="BE20" s="51" t="n"/>
      <c r="BF20" s="43" t="n"/>
    </row>
    <row r="21">
      <c r="A21" s="42" t="inlineStr">
        <is>
          <t>AK</t>
        </is>
      </c>
      <c r="B21" s="42" t="inlineStr">
        <is>
          <t>02027</t>
        </is>
      </c>
      <c r="C21" s="42" t="inlineStr">
        <is>
          <t>HD District 27</t>
        </is>
      </c>
      <c r="D21" s="42" t="inlineStr">
        <is>
          <t>Alaska district</t>
        </is>
      </c>
      <c r="E21" s="42" t="inlineStr"/>
      <c r="F21" s="43" t="n">
        <v>1807</v>
      </c>
      <c r="G21" s="43" t="n">
        <v>6785</v>
      </c>
      <c r="H21" s="43" t="n">
        <v>8592</v>
      </c>
      <c r="I21" s="43" t="n"/>
      <c r="J21" s="43" t="n"/>
      <c r="K21" s="42" t="inlineStr">
        <is>
          <t>US Senate</t>
        </is>
      </c>
      <c r="L21" s="43" t="n">
        <v>211</v>
      </c>
      <c r="M21" s="43" t="n">
        <v>3807</v>
      </c>
      <c r="N21" s="43" t="n">
        <v>4029</v>
      </c>
      <c r="O21" s="44">
        <f>IFERROR((F21-G21)/(F21+G21),"")</f>
        <v/>
      </c>
      <c r="P21" s="44">
        <f>IFERROR((I21-J21)/(I21+J21),"")</f>
        <v/>
      </c>
      <c r="Q21" s="45">
        <f>IFERROR(O21-P21,"")</f>
        <v/>
      </c>
      <c r="R21" s="44">
        <f>IFERROR((L21-M21)/(L21+M21),"")</f>
        <v/>
      </c>
      <c r="S21" s="46">
        <f>H21/SUMIFS(Counties!$H$2:$H$1583,Counties!$A$2:$A$1583,$A21)</f>
        <v/>
      </c>
      <c r="T21" s="44">
        <f>O21+INDEX(Dashboard!$F$6:$F$22,MATCH($A21,Dashboard!$A$6:$A$22,0))</f>
        <v/>
      </c>
      <c r="U21" s="43">
        <f>AQ21*INDEX(Dashboard!$G$6:$G$22,MATCH($A21,Dashboard!$A$6:$A$22,0))</f>
        <v/>
      </c>
      <c r="V21" s="47" t="n"/>
      <c r="W21" s="47" t="n"/>
      <c r="X21" s="47" t="n"/>
      <c r="Y21" s="48" t="n"/>
      <c r="Z21" s="49" t="n"/>
      <c r="AA21" s="49" t="n"/>
      <c r="AB21" s="49" t="n"/>
      <c r="AC21" s="50" t="n"/>
      <c r="AD21" s="43">
        <f>IF(Z21&lt;&gt;"",Z21,N(V21))</f>
        <v/>
      </c>
      <c r="AE21" s="43">
        <f>IF(AA21&lt;&gt;"",AA21,N(W21))</f>
        <v/>
      </c>
      <c r="AF21" s="43">
        <f>AD21+AE21</f>
        <v/>
      </c>
      <c r="AG21" s="42">
        <f>IF(UPPER(AC21)="Y",1,IF(AF21=0,0,IF(AND(Z21="",Y21&lt;&gt;""),IF(Y21&gt;=0.999,1,0),IF(AF21&gt;=U21,1,0))))</f>
        <v/>
      </c>
      <c r="AH21" s="44">
        <f>IF(AF21&gt;0,(AD21-AE21)/AF21,"")</f>
        <v/>
      </c>
      <c r="AI21" s="45">
        <f>IF(AG21=1,AH21-O21,"")</f>
        <v/>
      </c>
      <c r="AJ21" s="44">
        <f>IF(AG21=1,AH21,MAX(-1,MIN(1,O21+INDEX(Types!$H:$H,MATCH($A21&amp;"|"&amp;$D21,Types!$A:$A,0)))))</f>
        <v/>
      </c>
      <c r="AK21" s="43">
        <f>IF(AG21=1,AF21,MAX(AQ21*AS21,AF21))</f>
        <v/>
      </c>
      <c r="AL21" s="43">
        <f>IF(AG21=1,AD21,AK21*(1+AJ21)/2)</f>
        <v/>
      </c>
      <c r="AM21" s="43">
        <f>IF(AG21=1,AE21,AK21*(1-AJ21)/2)</f>
        <v/>
      </c>
      <c r="AN21" s="45">
        <f>IF(AH21="","",AH21-T21)</f>
        <v/>
      </c>
      <c r="AO21" s="51">
        <f>IF(AG21=1,1,IF(U21&gt;0,MIN(AF21/U21,0.99),0))</f>
        <v/>
      </c>
      <c r="AP21" s="43">
        <f>IF(AG21=1,AI21*AF21,0)</f>
        <v/>
      </c>
      <c r="AQ21" s="43">
        <f>N21*(F21+G21)/H21</f>
        <v/>
      </c>
      <c r="AR21" s="43">
        <f>O21*AQ21</f>
        <v/>
      </c>
      <c r="AS21" s="52">
        <f>IF(AG21=1,IF(AQ21&gt;0,AF21/AQ21,1),IFERROR(INDEX(Types!$K:$K,MATCH($A21&amp;"|"&amp;$D21,Types!$A:$A,0)),INDEX(Dashboard!$X$6:$X$22,MATCH($A21,Dashboard!$A$6:$A$22,0))))</f>
        <v/>
      </c>
      <c r="AT21" s="43">
        <f>AQ21*INDEX(Dashboard!$Y$6:$Y$22,MATCH($A21,Dashboard!$A$6:$A$22,0))</f>
        <v/>
      </c>
      <c r="AU21" s="53">
        <f>IF(AND(AG21=1,AT21&gt;0,AF21&gt;0),100*AF21/AT21,"")</f>
        <v/>
      </c>
      <c r="AV21" s="44">
        <f>IF(AU21="","",T21/(AU21/100))</f>
        <v/>
      </c>
      <c r="AW21" s="53">
        <f>IF(AU21="","",IF(AND(ABS(AH21)&gt;=0.1,ABS(T21)&gt;=0.05,SIGN(AH21)=SIGN(T21)),100*T21/AH21,""))</f>
        <v/>
      </c>
      <c r="AX21" s="45">
        <f>IF(AU21="","",T21-AV21)</f>
        <v/>
      </c>
      <c r="AY21" s="45">
        <f>IF(AU21="","",AH21-AV21)</f>
        <v/>
      </c>
      <c r="AZ21" s="54">
        <f>(AL21-AM21)-T21*AT21</f>
        <v/>
      </c>
      <c r="BA21" s="43">
        <f>IF(AU21="",0,(AH21-T21)*AF21)</f>
        <v/>
      </c>
      <c r="BB21" s="43">
        <f>IF(AU21="",0,T21*(AF21-AT21))</f>
        <v/>
      </c>
      <c r="BC21" s="51" t="n"/>
      <c r="BD21" s="51" t="n"/>
      <c r="BE21" s="51" t="n"/>
      <c r="BF21" s="43" t="n"/>
    </row>
    <row r="22">
      <c r="A22" s="42" t="inlineStr">
        <is>
          <t>AK</t>
        </is>
      </c>
      <c r="B22" s="42" t="inlineStr">
        <is>
          <t>02028</t>
        </is>
      </c>
      <c r="C22" s="42" t="inlineStr">
        <is>
          <t>HD District 28</t>
        </is>
      </c>
      <c r="D22" s="42" t="inlineStr">
        <is>
          <t>Alaska district</t>
        </is>
      </c>
      <c r="E22" s="42" t="inlineStr"/>
      <c r="F22" s="43" t="n">
        <v>2213</v>
      </c>
      <c r="G22" s="43" t="n">
        <v>6713</v>
      </c>
      <c r="H22" s="43" t="n">
        <v>8926</v>
      </c>
      <c r="I22" s="43" t="n"/>
      <c r="J22" s="43" t="n"/>
      <c r="K22" s="42" t="inlineStr">
        <is>
          <t>US Senate</t>
        </is>
      </c>
      <c r="L22" s="43" t="n">
        <v>250</v>
      </c>
      <c r="M22" s="43" t="n">
        <v>3998</v>
      </c>
      <c r="N22" s="43" t="n">
        <v>4261</v>
      </c>
      <c r="O22" s="44">
        <f>IFERROR((F22-G22)/(F22+G22),"")</f>
        <v/>
      </c>
      <c r="P22" s="44">
        <f>IFERROR((I22-J22)/(I22+J22),"")</f>
        <v/>
      </c>
      <c r="Q22" s="45">
        <f>IFERROR(O22-P22,"")</f>
        <v/>
      </c>
      <c r="R22" s="44">
        <f>IFERROR((L22-M22)/(L22+M22),"")</f>
        <v/>
      </c>
      <c r="S22" s="46">
        <f>H22/SUMIFS(Counties!$H$2:$H$1583,Counties!$A$2:$A$1583,$A22)</f>
        <v/>
      </c>
      <c r="T22" s="44">
        <f>O22+INDEX(Dashboard!$F$6:$F$22,MATCH($A22,Dashboard!$A$6:$A$22,0))</f>
        <v/>
      </c>
      <c r="U22" s="43">
        <f>AQ22*INDEX(Dashboard!$G$6:$G$22,MATCH($A22,Dashboard!$A$6:$A$22,0))</f>
        <v/>
      </c>
      <c r="V22" s="47" t="n"/>
      <c r="W22" s="47" t="n"/>
      <c r="X22" s="47" t="n"/>
      <c r="Y22" s="48" t="n"/>
      <c r="Z22" s="49" t="n"/>
      <c r="AA22" s="49" t="n"/>
      <c r="AB22" s="49" t="n"/>
      <c r="AC22" s="50" t="n"/>
      <c r="AD22" s="43">
        <f>IF(Z22&lt;&gt;"",Z22,N(V22))</f>
        <v/>
      </c>
      <c r="AE22" s="43">
        <f>IF(AA22&lt;&gt;"",AA22,N(W22))</f>
        <v/>
      </c>
      <c r="AF22" s="43">
        <f>AD22+AE22</f>
        <v/>
      </c>
      <c r="AG22" s="42">
        <f>IF(UPPER(AC22)="Y",1,IF(AF22=0,0,IF(AND(Z22="",Y22&lt;&gt;""),IF(Y22&gt;=0.999,1,0),IF(AF22&gt;=U22,1,0))))</f>
        <v/>
      </c>
      <c r="AH22" s="44">
        <f>IF(AF22&gt;0,(AD22-AE22)/AF22,"")</f>
        <v/>
      </c>
      <c r="AI22" s="45">
        <f>IF(AG22=1,AH22-O22,"")</f>
        <v/>
      </c>
      <c r="AJ22" s="44">
        <f>IF(AG22=1,AH22,MAX(-1,MIN(1,O22+INDEX(Types!$H:$H,MATCH($A22&amp;"|"&amp;$D22,Types!$A:$A,0)))))</f>
        <v/>
      </c>
      <c r="AK22" s="43">
        <f>IF(AG22=1,AF22,MAX(AQ22*AS22,AF22))</f>
        <v/>
      </c>
      <c r="AL22" s="43">
        <f>IF(AG22=1,AD22,AK22*(1+AJ22)/2)</f>
        <v/>
      </c>
      <c r="AM22" s="43">
        <f>IF(AG22=1,AE22,AK22*(1-AJ22)/2)</f>
        <v/>
      </c>
      <c r="AN22" s="45">
        <f>IF(AH22="","",AH22-T22)</f>
        <v/>
      </c>
      <c r="AO22" s="51">
        <f>IF(AG22=1,1,IF(U22&gt;0,MIN(AF22/U22,0.99),0))</f>
        <v/>
      </c>
      <c r="AP22" s="43">
        <f>IF(AG22=1,AI22*AF22,0)</f>
        <v/>
      </c>
      <c r="AQ22" s="43">
        <f>N22*(F22+G22)/H22</f>
        <v/>
      </c>
      <c r="AR22" s="43">
        <f>O22*AQ22</f>
        <v/>
      </c>
      <c r="AS22" s="52">
        <f>IF(AG22=1,IF(AQ22&gt;0,AF22/AQ22,1),IFERROR(INDEX(Types!$K:$K,MATCH($A22&amp;"|"&amp;$D22,Types!$A:$A,0)),INDEX(Dashboard!$X$6:$X$22,MATCH($A22,Dashboard!$A$6:$A$22,0))))</f>
        <v/>
      </c>
      <c r="AT22" s="43">
        <f>AQ22*INDEX(Dashboard!$Y$6:$Y$22,MATCH($A22,Dashboard!$A$6:$A$22,0))</f>
        <v/>
      </c>
      <c r="AU22" s="53">
        <f>IF(AND(AG22=1,AT22&gt;0,AF22&gt;0),100*AF22/AT22,"")</f>
        <v/>
      </c>
      <c r="AV22" s="44">
        <f>IF(AU22="","",T22/(AU22/100))</f>
        <v/>
      </c>
      <c r="AW22" s="53">
        <f>IF(AU22="","",IF(AND(ABS(AH22)&gt;=0.1,ABS(T22)&gt;=0.05,SIGN(AH22)=SIGN(T22)),100*T22/AH22,""))</f>
        <v/>
      </c>
      <c r="AX22" s="45">
        <f>IF(AU22="","",T22-AV22)</f>
        <v/>
      </c>
      <c r="AY22" s="45">
        <f>IF(AU22="","",AH22-AV22)</f>
        <v/>
      </c>
      <c r="AZ22" s="54">
        <f>(AL22-AM22)-T22*AT22</f>
        <v/>
      </c>
      <c r="BA22" s="43">
        <f>IF(AU22="",0,(AH22-T22)*AF22)</f>
        <v/>
      </c>
      <c r="BB22" s="43">
        <f>IF(AU22="",0,T22*(AF22-AT22))</f>
        <v/>
      </c>
      <c r="BC22" s="51" t="n"/>
      <c r="BD22" s="51" t="n"/>
      <c r="BE22" s="51" t="n"/>
      <c r="BF22" s="43" t="n"/>
    </row>
    <row r="23">
      <c r="A23" s="42" t="inlineStr">
        <is>
          <t>AK</t>
        </is>
      </c>
      <c r="B23" s="42" t="inlineStr">
        <is>
          <t>02029</t>
        </is>
      </c>
      <c r="C23" s="42" t="inlineStr">
        <is>
          <t>HD District 29</t>
        </is>
      </c>
      <c r="D23" s="42" t="inlineStr">
        <is>
          <t>Alaska district</t>
        </is>
      </c>
      <c r="E23" s="42" t="inlineStr"/>
      <c r="F23" s="43" t="n">
        <v>2708</v>
      </c>
      <c r="G23" s="43" t="n">
        <v>7418</v>
      </c>
      <c r="H23" s="43" t="n">
        <v>10126</v>
      </c>
      <c r="I23" s="43" t="n"/>
      <c r="J23" s="43" t="n"/>
      <c r="K23" s="42" t="inlineStr">
        <is>
          <t>US Senate</t>
        </is>
      </c>
      <c r="L23" s="43" t="n">
        <v>288</v>
      </c>
      <c r="M23" s="43" t="n">
        <v>4591</v>
      </c>
      <c r="N23" s="43" t="n">
        <v>4893</v>
      </c>
      <c r="O23" s="44">
        <f>IFERROR((F23-G23)/(F23+G23),"")</f>
        <v/>
      </c>
      <c r="P23" s="44">
        <f>IFERROR((I23-J23)/(I23+J23),"")</f>
        <v/>
      </c>
      <c r="Q23" s="45">
        <f>IFERROR(O23-P23,"")</f>
        <v/>
      </c>
      <c r="R23" s="44">
        <f>IFERROR((L23-M23)/(L23+M23),"")</f>
        <v/>
      </c>
      <c r="S23" s="46">
        <f>H23/SUMIFS(Counties!$H$2:$H$1583,Counties!$A$2:$A$1583,$A23)</f>
        <v/>
      </c>
      <c r="T23" s="44">
        <f>O23+INDEX(Dashboard!$F$6:$F$22,MATCH($A23,Dashboard!$A$6:$A$22,0))</f>
        <v/>
      </c>
      <c r="U23" s="43">
        <f>AQ23*INDEX(Dashboard!$G$6:$G$22,MATCH($A23,Dashboard!$A$6:$A$22,0))</f>
        <v/>
      </c>
      <c r="V23" s="47" t="n"/>
      <c r="W23" s="47" t="n"/>
      <c r="X23" s="47" t="n"/>
      <c r="Y23" s="48" t="n"/>
      <c r="Z23" s="49" t="n"/>
      <c r="AA23" s="49" t="n"/>
      <c r="AB23" s="49" t="n"/>
      <c r="AC23" s="50" t="n"/>
      <c r="AD23" s="43">
        <f>IF(Z23&lt;&gt;"",Z23,N(V23))</f>
        <v/>
      </c>
      <c r="AE23" s="43">
        <f>IF(AA23&lt;&gt;"",AA23,N(W23))</f>
        <v/>
      </c>
      <c r="AF23" s="43">
        <f>AD23+AE23</f>
        <v/>
      </c>
      <c r="AG23" s="42">
        <f>IF(UPPER(AC23)="Y",1,IF(AF23=0,0,IF(AND(Z23="",Y23&lt;&gt;""),IF(Y23&gt;=0.999,1,0),IF(AF23&gt;=U23,1,0))))</f>
        <v/>
      </c>
      <c r="AH23" s="44">
        <f>IF(AF23&gt;0,(AD23-AE23)/AF23,"")</f>
        <v/>
      </c>
      <c r="AI23" s="45">
        <f>IF(AG23=1,AH23-O23,"")</f>
        <v/>
      </c>
      <c r="AJ23" s="44">
        <f>IF(AG23=1,AH23,MAX(-1,MIN(1,O23+INDEX(Types!$H:$H,MATCH($A23&amp;"|"&amp;$D23,Types!$A:$A,0)))))</f>
        <v/>
      </c>
      <c r="AK23" s="43">
        <f>IF(AG23=1,AF23,MAX(AQ23*AS23,AF23))</f>
        <v/>
      </c>
      <c r="AL23" s="43">
        <f>IF(AG23=1,AD23,AK23*(1+AJ23)/2)</f>
        <v/>
      </c>
      <c r="AM23" s="43">
        <f>IF(AG23=1,AE23,AK23*(1-AJ23)/2)</f>
        <v/>
      </c>
      <c r="AN23" s="45">
        <f>IF(AH23="","",AH23-T23)</f>
        <v/>
      </c>
      <c r="AO23" s="51">
        <f>IF(AG23=1,1,IF(U23&gt;0,MIN(AF23/U23,0.99),0))</f>
        <v/>
      </c>
      <c r="AP23" s="43">
        <f>IF(AG23=1,AI23*AF23,0)</f>
        <v/>
      </c>
      <c r="AQ23" s="43">
        <f>N23*(F23+G23)/H23</f>
        <v/>
      </c>
      <c r="AR23" s="43">
        <f>O23*AQ23</f>
        <v/>
      </c>
      <c r="AS23" s="52">
        <f>IF(AG23=1,IF(AQ23&gt;0,AF23/AQ23,1),IFERROR(INDEX(Types!$K:$K,MATCH($A23&amp;"|"&amp;$D23,Types!$A:$A,0)),INDEX(Dashboard!$X$6:$X$22,MATCH($A23,Dashboard!$A$6:$A$22,0))))</f>
        <v/>
      </c>
      <c r="AT23" s="43">
        <f>AQ23*INDEX(Dashboard!$Y$6:$Y$22,MATCH($A23,Dashboard!$A$6:$A$22,0))</f>
        <v/>
      </c>
      <c r="AU23" s="53">
        <f>IF(AND(AG23=1,AT23&gt;0,AF23&gt;0),100*AF23/AT23,"")</f>
        <v/>
      </c>
      <c r="AV23" s="44">
        <f>IF(AU23="","",T23/(AU23/100))</f>
        <v/>
      </c>
      <c r="AW23" s="53">
        <f>IF(AU23="","",IF(AND(ABS(AH23)&gt;=0.1,ABS(T23)&gt;=0.05,SIGN(AH23)=SIGN(T23)),100*T23/AH23,""))</f>
        <v/>
      </c>
      <c r="AX23" s="45">
        <f>IF(AU23="","",T23-AV23)</f>
        <v/>
      </c>
      <c r="AY23" s="45">
        <f>IF(AU23="","",AH23-AV23)</f>
        <v/>
      </c>
      <c r="AZ23" s="54">
        <f>(AL23-AM23)-T23*AT23</f>
        <v/>
      </c>
      <c r="BA23" s="43">
        <f>IF(AU23="",0,(AH23-T23)*AF23)</f>
        <v/>
      </c>
      <c r="BB23" s="43">
        <f>IF(AU23="",0,T23*(AF23-AT23))</f>
        <v/>
      </c>
      <c r="BC23" s="51" t="n"/>
      <c r="BD23" s="51" t="n"/>
      <c r="BE23" s="51" t="n"/>
      <c r="BF23" s="43" t="n"/>
    </row>
    <row r="24">
      <c r="A24" s="42" t="inlineStr">
        <is>
          <t>AK</t>
        </is>
      </c>
      <c r="B24" s="42" t="inlineStr">
        <is>
          <t>02003</t>
        </is>
      </c>
      <c r="C24" s="42" t="inlineStr">
        <is>
          <t>HD District 3</t>
        </is>
      </c>
      <c r="D24" s="42" t="inlineStr">
        <is>
          <t>Alaska district</t>
        </is>
      </c>
      <c r="E24" s="42" t="inlineStr"/>
      <c r="F24" s="43" t="n">
        <v>6130</v>
      </c>
      <c r="G24" s="43" t="n">
        <v>4496</v>
      </c>
      <c r="H24" s="43" t="n">
        <v>10626</v>
      </c>
      <c r="I24" s="43" t="n"/>
      <c r="J24" s="43" t="n"/>
      <c r="K24" s="42" t="inlineStr">
        <is>
          <t>US Senate</t>
        </is>
      </c>
      <c r="L24" s="43" t="n">
        <v>517</v>
      </c>
      <c r="M24" s="43" t="n">
        <v>4166</v>
      </c>
      <c r="N24" s="43" t="n">
        <v>4687</v>
      </c>
      <c r="O24" s="44">
        <f>IFERROR((F24-G24)/(F24+G24),"")</f>
        <v/>
      </c>
      <c r="P24" s="44">
        <f>IFERROR((I24-J24)/(I24+J24),"")</f>
        <v/>
      </c>
      <c r="Q24" s="45">
        <f>IFERROR(O24-P24,"")</f>
        <v/>
      </c>
      <c r="R24" s="44">
        <f>IFERROR((L24-M24)/(L24+M24),"")</f>
        <v/>
      </c>
      <c r="S24" s="46">
        <f>H24/SUMIFS(Counties!$H$2:$H$1583,Counties!$A$2:$A$1583,$A24)</f>
        <v/>
      </c>
      <c r="T24" s="44">
        <f>O24+INDEX(Dashboard!$F$6:$F$22,MATCH($A24,Dashboard!$A$6:$A$22,0))</f>
        <v/>
      </c>
      <c r="U24" s="43">
        <f>AQ24*INDEX(Dashboard!$G$6:$G$22,MATCH($A24,Dashboard!$A$6:$A$22,0))</f>
        <v/>
      </c>
      <c r="V24" s="47" t="n"/>
      <c r="W24" s="47" t="n"/>
      <c r="X24" s="47" t="n"/>
      <c r="Y24" s="48" t="n"/>
      <c r="Z24" s="49" t="n"/>
      <c r="AA24" s="49" t="n"/>
      <c r="AB24" s="49" t="n"/>
      <c r="AC24" s="50" t="n"/>
      <c r="AD24" s="43">
        <f>IF(Z24&lt;&gt;"",Z24,N(V24))</f>
        <v/>
      </c>
      <c r="AE24" s="43">
        <f>IF(AA24&lt;&gt;"",AA24,N(W24))</f>
        <v/>
      </c>
      <c r="AF24" s="43">
        <f>AD24+AE24</f>
        <v/>
      </c>
      <c r="AG24" s="42">
        <f>IF(UPPER(AC24)="Y",1,IF(AF24=0,0,IF(AND(Z24="",Y24&lt;&gt;""),IF(Y24&gt;=0.999,1,0),IF(AF24&gt;=U24,1,0))))</f>
        <v/>
      </c>
      <c r="AH24" s="44">
        <f>IF(AF24&gt;0,(AD24-AE24)/AF24,"")</f>
        <v/>
      </c>
      <c r="AI24" s="45">
        <f>IF(AG24=1,AH24-O24,"")</f>
        <v/>
      </c>
      <c r="AJ24" s="44">
        <f>IF(AG24=1,AH24,MAX(-1,MIN(1,O24+INDEX(Types!$H:$H,MATCH($A24&amp;"|"&amp;$D24,Types!$A:$A,0)))))</f>
        <v/>
      </c>
      <c r="AK24" s="43">
        <f>IF(AG24=1,AF24,MAX(AQ24*AS24,AF24))</f>
        <v/>
      </c>
      <c r="AL24" s="43">
        <f>IF(AG24=1,AD24,AK24*(1+AJ24)/2)</f>
        <v/>
      </c>
      <c r="AM24" s="43">
        <f>IF(AG24=1,AE24,AK24*(1-AJ24)/2)</f>
        <v/>
      </c>
      <c r="AN24" s="45">
        <f>IF(AH24="","",AH24-T24)</f>
        <v/>
      </c>
      <c r="AO24" s="51">
        <f>IF(AG24=1,1,IF(U24&gt;0,MIN(AF24/U24,0.99),0))</f>
        <v/>
      </c>
      <c r="AP24" s="43">
        <f>IF(AG24=1,AI24*AF24,0)</f>
        <v/>
      </c>
      <c r="AQ24" s="43">
        <f>N24*(F24+G24)/H24</f>
        <v/>
      </c>
      <c r="AR24" s="43">
        <f>O24*AQ24</f>
        <v/>
      </c>
      <c r="AS24" s="52">
        <f>IF(AG24=1,IF(AQ24&gt;0,AF24/AQ24,1),IFERROR(INDEX(Types!$K:$K,MATCH($A24&amp;"|"&amp;$D24,Types!$A:$A,0)),INDEX(Dashboard!$X$6:$X$22,MATCH($A24,Dashboard!$A$6:$A$22,0))))</f>
        <v/>
      </c>
      <c r="AT24" s="43">
        <f>AQ24*INDEX(Dashboard!$Y$6:$Y$22,MATCH($A24,Dashboard!$A$6:$A$22,0))</f>
        <v/>
      </c>
      <c r="AU24" s="53">
        <f>IF(AND(AG24=1,AT24&gt;0,AF24&gt;0),100*AF24/AT24,"")</f>
        <v/>
      </c>
      <c r="AV24" s="44">
        <f>IF(AU24="","",T24/(AU24/100))</f>
        <v/>
      </c>
      <c r="AW24" s="53">
        <f>IF(AU24="","",IF(AND(ABS(AH24)&gt;=0.1,ABS(T24)&gt;=0.05,SIGN(AH24)=SIGN(T24)),100*T24/AH24,""))</f>
        <v/>
      </c>
      <c r="AX24" s="45">
        <f>IF(AU24="","",T24-AV24)</f>
        <v/>
      </c>
      <c r="AY24" s="45">
        <f>IF(AU24="","",AH24-AV24)</f>
        <v/>
      </c>
      <c r="AZ24" s="54">
        <f>(AL24-AM24)-T24*AT24</f>
        <v/>
      </c>
      <c r="BA24" s="43">
        <f>IF(AU24="",0,(AH24-T24)*AF24)</f>
        <v/>
      </c>
      <c r="BB24" s="43">
        <f>IF(AU24="",0,T24*(AF24-AT24))</f>
        <v/>
      </c>
      <c r="BC24" s="51" t="n"/>
      <c r="BD24" s="51" t="n"/>
      <c r="BE24" s="51" t="n"/>
      <c r="BF24" s="43" t="n"/>
    </row>
    <row r="25">
      <c r="A25" s="42" t="inlineStr">
        <is>
          <t>AK</t>
        </is>
      </c>
      <c r="B25" s="42" t="inlineStr">
        <is>
          <t>02030</t>
        </is>
      </c>
      <c r="C25" s="42" t="inlineStr">
        <is>
          <t>HD District 30</t>
        </is>
      </c>
      <c r="D25" s="42" t="inlineStr">
        <is>
          <t>Alaska district</t>
        </is>
      </c>
      <c r="E25" s="42" t="inlineStr"/>
      <c r="F25" s="43" t="n">
        <v>2701</v>
      </c>
      <c r="G25" s="43" t="n">
        <v>7312</v>
      </c>
      <c r="H25" s="43" t="n">
        <v>10013</v>
      </c>
      <c r="I25" s="43" t="n"/>
      <c r="J25" s="43" t="n"/>
      <c r="K25" s="42" t="inlineStr">
        <is>
          <t>US Senate</t>
        </is>
      </c>
      <c r="L25" s="43" t="n">
        <v>362</v>
      </c>
      <c r="M25" s="43" t="n">
        <v>4852</v>
      </c>
      <c r="N25" s="43" t="n">
        <v>5220</v>
      </c>
      <c r="O25" s="44">
        <f>IFERROR((F25-G25)/(F25+G25),"")</f>
        <v/>
      </c>
      <c r="P25" s="44">
        <f>IFERROR((I25-J25)/(I25+J25),"")</f>
        <v/>
      </c>
      <c r="Q25" s="45">
        <f>IFERROR(O25-P25,"")</f>
        <v/>
      </c>
      <c r="R25" s="44">
        <f>IFERROR((L25-M25)/(L25+M25),"")</f>
        <v/>
      </c>
      <c r="S25" s="46">
        <f>H25/SUMIFS(Counties!$H$2:$H$1583,Counties!$A$2:$A$1583,$A25)</f>
        <v/>
      </c>
      <c r="T25" s="44">
        <f>O25+INDEX(Dashboard!$F$6:$F$22,MATCH($A25,Dashboard!$A$6:$A$22,0))</f>
        <v/>
      </c>
      <c r="U25" s="43">
        <f>AQ25*INDEX(Dashboard!$G$6:$G$22,MATCH($A25,Dashboard!$A$6:$A$22,0))</f>
        <v/>
      </c>
      <c r="V25" s="47" t="n"/>
      <c r="W25" s="47" t="n"/>
      <c r="X25" s="47" t="n"/>
      <c r="Y25" s="48" t="n"/>
      <c r="Z25" s="49" t="n"/>
      <c r="AA25" s="49" t="n"/>
      <c r="AB25" s="49" t="n"/>
      <c r="AC25" s="50" t="n"/>
      <c r="AD25" s="43">
        <f>IF(Z25&lt;&gt;"",Z25,N(V25))</f>
        <v/>
      </c>
      <c r="AE25" s="43">
        <f>IF(AA25&lt;&gt;"",AA25,N(W25))</f>
        <v/>
      </c>
      <c r="AF25" s="43">
        <f>AD25+AE25</f>
        <v/>
      </c>
      <c r="AG25" s="42">
        <f>IF(UPPER(AC25)="Y",1,IF(AF25=0,0,IF(AND(Z25="",Y25&lt;&gt;""),IF(Y25&gt;=0.999,1,0),IF(AF25&gt;=U25,1,0))))</f>
        <v/>
      </c>
      <c r="AH25" s="44">
        <f>IF(AF25&gt;0,(AD25-AE25)/AF25,"")</f>
        <v/>
      </c>
      <c r="AI25" s="45">
        <f>IF(AG25=1,AH25-O25,"")</f>
        <v/>
      </c>
      <c r="AJ25" s="44">
        <f>IF(AG25=1,AH25,MAX(-1,MIN(1,O25+INDEX(Types!$H:$H,MATCH($A25&amp;"|"&amp;$D25,Types!$A:$A,0)))))</f>
        <v/>
      </c>
      <c r="AK25" s="43">
        <f>IF(AG25=1,AF25,MAX(AQ25*AS25,AF25))</f>
        <v/>
      </c>
      <c r="AL25" s="43">
        <f>IF(AG25=1,AD25,AK25*(1+AJ25)/2)</f>
        <v/>
      </c>
      <c r="AM25" s="43">
        <f>IF(AG25=1,AE25,AK25*(1-AJ25)/2)</f>
        <v/>
      </c>
      <c r="AN25" s="45">
        <f>IF(AH25="","",AH25-T25)</f>
        <v/>
      </c>
      <c r="AO25" s="51">
        <f>IF(AG25=1,1,IF(U25&gt;0,MIN(AF25/U25,0.99),0))</f>
        <v/>
      </c>
      <c r="AP25" s="43">
        <f>IF(AG25=1,AI25*AF25,0)</f>
        <v/>
      </c>
      <c r="AQ25" s="43">
        <f>N25*(F25+G25)/H25</f>
        <v/>
      </c>
      <c r="AR25" s="43">
        <f>O25*AQ25</f>
        <v/>
      </c>
      <c r="AS25" s="52">
        <f>IF(AG25=1,IF(AQ25&gt;0,AF25/AQ25,1),IFERROR(INDEX(Types!$K:$K,MATCH($A25&amp;"|"&amp;$D25,Types!$A:$A,0)),INDEX(Dashboard!$X$6:$X$22,MATCH($A25,Dashboard!$A$6:$A$22,0))))</f>
        <v/>
      </c>
      <c r="AT25" s="43">
        <f>AQ25*INDEX(Dashboard!$Y$6:$Y$22,MATCH($A25,Dashboard!$A$6:$A$22,0))</f>
        <v/>
      </c>
      <c r="AU25" s="53">
        <f>IF(AND(AG25=1,AT25&gt;0,AF25&gt;0),100*AF25/AT25,"")</f>
        <v/>
      </c>
      <c r="AV25" s="44">
        <f>IF(AU25="","",T25/(AU25/100))</f>
        <v/>
      </c>
      <c r="AW25" s="53">
        <f>IF(AU25="","",IF(AND(ABS(AH25)&gt;=0.1,ABS(T25)&gt;=0.05,SIGN(AH25)=SIGN(T25)),100*T25/AH25,""))</f>
        <v/>
      </c>
      <c r="AX25" s="45">
        <f>IF(AU25="","",T25-AV25)</f>
        <v/>
      </c>
      <c r="AY25" s="45">
        <f>IF(AU25="","",AH25-AV25)</f>
        <v/>
      </c>
      <c r="AZ25" s="54">
        <f>(AL25-AM25)-T25*AT25</f>
        <v/>
      </c>
      <c r="BA25" s="43">
        <f>IF(AU25="",0,(AH25-T25)*AF25)</f>
        <v/>
      </c>
      <c r="BB25" s="43">
        <f>IF(AU25="",0,T25*(AF25-AT25))</f>
        <v/>
      </c>
      <c r="BC25" s="51" t="n"/>
      <c r="BD25" s="51" t="n"/>
      <c r="BE25" s="51" t="n"/>
      <c r="BF25" s="43" t="n"/>
    </row>
    <row r="26">
      <c r="A26" s="42" t="inlineStr">
        <is>
          <t>AK</t>
        </is>
      </c>
      <c r="B26" s="42" t="inlineStr">
        <is>
          <t>02031</t>
        </is>
      </c>
      <c r="C26" s="42" t="inlineStr">
        <is>
          <t>HD District 31</t>
        </is>
      </c>
      <c r="D26" s="42" t="inlineStr">
        <is>
          <t>Alaska district</t>
        </is>
      </c>
      <c r="E26" s="42" t="inlineStr"/>
      <c r="F26" s="43" t="n">
        <v>3240</v>
      </c>
      <c r="G26" s="43" t="n">
        <v>3475</v>
      </c>
      <c r="H26" s="43" t="n">
        <v>6715</v>
      </c>
      <c r="I26" s="43" t="n"/>
      <c r="J26" s="43" t="n"/>
      <c r="K26" s="42" t="inlineStr">
        <is>
          <t>US Senate</t>
        </is>
      </c>
      <c r="L26" s="43" t="n">
        <v>377</v>
      </c>
      <c r="M26" s="43" t="n">
        <v>2962</v>
      </c>
      <c r="N26" s="43" t="n">
        <v>3347</v>
      </c>
      <c r="O26" s="44">
        <f>IFERROR((F26-G26)/(F26+G26),"")</f>
        <v/>
      </c>
      <c r="P26" s="44">
        <f>IFERROR((I26-J26)/(I26+J26),"")</f>
        <v/>
      </c>
      <c r="Q26" s="45">
        <f>IFERROR(O26-P26,"")</f>
        <v/>
      </c>
      <c r="R26" s="44">
        <f>IFERROR((L26-M26)/(L26+M26),"")</f>
        <v/>
      </c>
      <c r="S26" s="46">
        <f>H26/SUMIFS(Counties!$H$2:$H$1583,Counties!$A$2:$A$1583,$A26)</f>
        <v/>
      </c>
      <c r="T26" s="44">
        <f>O26+INDEX(Dashboard!$F$6:$F$22,MATCH($A26,Dashboard!$A$6:$A$22,0))</f>
        <v/>
      </c>
      <c r="U26" s="43">
        <f>AQ26*INDEX(Dashboard!$G$6:$G$22,MATCH($A26,Dashboard!$A$6:$A$22,0))</f>
        <v/>
      </c>
      <c r="V26" s="47" t="n"/>
      <c r="W26" s="47" t="n"/>
      <c r="X26" s="47" t="n"/>
      <c r="Y26" s="48" t="n"/>
      <c r="Z26" s="49" t="n"/>
      <c r="AA26" s="49" t="n"/>
      <c r="AB26" s="49" t="n"/>
      <c r="AC26" s="50" t="n"/>
      <c r="AD26" s="43">
        <f>IF(Z26&lt;&gt;"",Z26,N(V26))</f>
        <v/>
      </c>
      <c r="AE26" s="43">
        <f>IF(AA26&lt;&gt;"",AA26,N(W26))</f>
        <v/>
      </c>
      <c r="AF26" s="43">
        <f>AD26+AE26</f>
        <v/>
      </c>
      <c r="AG26" s="42">
        <f>IF(UPPER(AC26)="Y",1,IF(AF26=0,0,IF(AND(Z26="",Y26&lt;&gt;""),IF(Y26&gt;=0.999,1,0),IF(AF26&gt;=U26,1,0))))</f>
        <v/>
      </c>
      <c r="AH26" s="44">
        <f>IF(AF26&gt;0,(AD26-AE26)/AF26,"")</f>
        <v/>
      </c>
      <c r="AI26" s="45">
        <f>IF(AG26=1,AH26-O26,"")</f>
        <v/>
      </c>
      <c r="AJ26" s="44">
        <f>IF(AG26=1,AH26,MAX(-1,MIN(1,O26+INDEX(Types!$H:$H,MATCH($A26&amp;"|"&amp;$D26,Types!$A:$A,0)))))</f>
        <v/>
      </c>
      <c r="AK26" s="43">
        <f>IF(AG26=1,AF26,MAX(AQ26*AS26,AF26))</f>
        <v/>
      </c>
      <c r="AL26" s="43">
        <f>IF(AG26=1,AD26,AK26*(1+AJ26)/2)</f>
        <v/>
      </c>
      <c r="AM26" s="43">
        <f>IF(AG26=1,AE26,AK26*(1-AJ26)/2)</f>
        <v/>
      </c>
      <c r="AN26" s="45">
        <f>IF(AH26="","",AH26-T26)</f>
        <v/>
      </c>
      <c r="AO26" s="51">
        <f>IF(AG26=1,1,IF(U26&gt;0,MIN(AF26/U26,0.99),0))</f>
        <v/>
      </c>
      <c r="AP26" s="43">
        <f>IF(AG26=1,AI26*AF26,0)</f>
        <v/>
      </c>
      <c r="AQ26" s="43">
        <f>N26*(F26+G26)/H26</f>
        <v/>
      </c>
      <c r="AR26" s="43">
        <f>O26*AQ26</f>
        <v/>
      </c>
      <c r="AS26" s="52">
        <f>IF(AG26=1,IF(AQ26&gt;0,AF26/AQ26,1),IFERROR(INDEX(Types!$K:$K,MATCH($A26&amp;"|"&amp;$D26,Types!$A:$A,0)),INDEX(Dashboard!$X$6:$X$22,MATCH($A26,Dashboard!$A$6:$A$22,0))))</f>
        <v/>
      </c>
      <c r="AT26" s="43">
        <f>AQ26*INDEX(Dashboard!$Y$6:$Y$22,MATCH($A26,Dashboard!$A$6:$A$22,0))</f>
        <v/>
      </c>
      <c r="AU26" s="53">
        <f>IF(AND(AG26=1,AT26&gt;0,AF26&gt;0),100*AF26/AT26,"")</f>
        <v/>
      </c>
      <c r="AV26" s="44">
        <f>IF(AU26="","",T26/(AU26/100))</f>
        <v/>
      </c>
      <c r="AW26" s="53">
        <f>IF(AU26="","",IF(AND(ABS(AH26)&gt;=0.1,ABS(T26)&gt;=0.05,SIGN(AH26)=SIGN(T26)),100*T26/AH26,""))</f>
        <v/>
      </c>
      <c r="AX26" s="45">
        <f>IF(AU26="","",T26-AV26)</f>
        <v/>
      </c>
      <c r="AY26" s="45">
        <f>IF(AU26="","",AH26-AV26)</f>
        <v/>
      </c>
      <c r="AZ26" s="54">
        <f>(AL26-AM26)-T26*AT26</f>
        <v/>
      </c>
      <c r="BA26" s="43">
        <f>IF(AU26="",0,(AH26-T26)*AF26)</f>
        <v/>
      </c>
      <c r="BB26" s="43">
        <f>IF(AU26="",0,T26*(AF26-AT26))</f>
        <v/>
      </c>
      <c r="BC26" s="51" t="n"/>
      <c r="BD26" s="51" t="n"/>
      <c r="BE26" s="51" t="n"/>
      <c r="BF26" s="43" t="n"/>
    </row>
    <row r="27">
      <c r="A27" s="42" t="inlineStr">
        <is>
          <t>AK</t>
        </is>
      </c>
      <c r="B27" s="42" t="inlineStr">
        <is>
          <t>02032</t>
        </is>
      </c>
      <c r="C27" s="42" t="inlineStr">
        <is>
          <t>HD District 32</t>
        </is>
      </c>
      <c r="D27" s="42" t="inlineStr">
        <is>
          <t>Alaska district</t>
        </is>
      </c>
      <c r="E27" s="42" t="inlineStr"/>
      <c r="F27" s="43" t="n">
        <v>1883</v>
      </c>
      <c r="G27" s="43" t="n">
        <v>3742</v>
      </c>
      <c r="H27" s="43" t="n">
        <v>5625</v>
      </c>
      <c r="I27" s="43" t="n"/>
      <c r="J27" s="43" t="n"/>
      <c r="K27" s="42" t="inlineStr">
        <is>
          <t>US Senate</t>
        </is>
      </c>
      <c r="L27" s="43" t="n">
        <v>225</v>
      </c>
      <c r="M27" s="43" t="n">
        <v>2061</v>
      </c>
      <c r="N27" s="43" t="n">
        <v>2295</v>
      </c>
      <c r="O27" s="44">
        <f>IFERROR((F27-G27)/(F27+G27),"")</f>
        <v/>
      </c>
      <c r="P27" s="44">
        <f>IFERROR((I27-J27)/(I27+J27),"")</f>
        <v/>
      </c>
      <c r="Q27" s="45">
        <f>IFERROR(O27-P27,"")</f>
        <v/>
      </c>
      <c r="R27" s="44">
        <f>IFERROR((L27-M27)/(L27+M27),"")</f>
        <v/>
      </c>
      <c r="S27" s="46">
        <f>H27/SUMIFS(Counties!$H$2:$H$1583,Counties!$A$2:$A$1583,$A27)</f>
        <v/>
      </c>
      <c r="T27" s="44">
        <f>O27+INDEX(Dashboard!$F$6:$F$22,MATCH($A27,Dashboard!$A$6:$A$22,0))</f>
        <v/>
      </c>
      <c r="U27" s="43">
        <f>AQ27*INDEX(Dashboard!$G$6:$G$22,MATCH($A27,Dashboard!$A$6:$A$22,0))</f>
        <v/>
      </c>
      <c r="V27" s="47" t="n"/>
      <c r="W27" s="47" t="n"/>
      <c r="X27" s="47" t="n"/>
      <c r="Y27" s="48" t="n"/>
      <c r="Z27" s="49" t="n"/>
      <c r="AA27" s="49" t="n"/>
      <c r="AB27" s="49" t="n"/>
      <c r="AC27" s="50" t="n"/>
      <c r="AD27" s="43">
        <f>IF(Z27&lt;&gt;"",Z27,N(V27))</f>
        <v/>
      </c>
      <c r="AE27" s="43">
        <f>IF(AA27&lt;&gt;"",AA27,N(W27))</f>
        <v/>
      </c>
      <c r="AF27" s="43">
        <f>AD27+AE27</f>
        <v/>
      </c>
      <c r="AG27" s="42">
        <f>IF(UPPER(AC27)="Y",1,IF(AF27=0,0,IF(AND(Z27="",Y27&lt;&gt;""),IF(Y27&gt;=0.999,1,0),IF(AF27&gt;=U27,1,0))))</f>
        <v/>
      </c>
      <c r="AH27" s="44">
        <f>IF(AF27&gt;0,(AD27-AE27)/AF27,"")</f>
        <v/>
      </c>
      <c r="AI27" s="45">
        <f>IF(AG27=1,AH27-O27,"")</f>
        <v/>
      </c>
      <c r="AJ27" s="44">
        <f>IF(AG27=1,AH27,MAX(-1,MIN(1,O27+INDEX(Types!$H:$H,MATCH($A27&amp;"|"&amp;$D27,Types!$A:$A,0)))))</f>
        <v/>
      </c>
      <c r="AK27" s="43">
        <f>IF(AG27=1,AF27,MAX(AQ27*AS27,AF27))</f>
        <v/>
      </c>
      <c r="AL27" s="43">
        <f>IF(AG27=1,AD27,AK27*(1+AJ27)/2)</f>
        <v/>
      </c>
      <c r="AM27" s="43">
        <f>IF(AG27=1,AE27,AK27*(1-AJ27)/2)</f>
        <v/>
      </c>
      <c r="AN27" s="45">
        <f>IF(AH27="","",AH27-T27)</f>
        <v/>
      </c>
      <c r="AO27" s="51">
        <f>IF(AG27=1,1,IF(U27&gt;0,MIN(AF27/U27,0.99),0))</f>
        <v/>
      </c>
      <c r="AP27" s="43">
        <f>IF(AG27=1,AI27*AF27,0)</f>
        <v/>
      </c>
      <c r="AQ27" s="43">
        <f>N27*(F27+G27)/H27</f>
        <v/>
      </c>
      <c r="AR27" s="43">
        <f>O27*AQ27</f>
        <v/>
      </c>
      <c r="AS27" s="52">
        <f>IF(AG27=1,IF(AQ27&gt;0,AF27/AQ27,1),IFERROR(INDEX(Types!$K:$K,MATCH($A27&amp;"|"&amp;$D27,Types!$A:$A,0)),INDEX(Dashboard!$X$6:$X$22,MATCH($A27,Dashboard!$A$6:$A$22,0))))</f>
        <v/>
      </c>
      <c r="AT27" s="43">
        <f>AQ27*INDEX(Dashboard!$Y$6:$Y$22,MATCH($A27,Dashboard!$A$6:$A$22,0))</f>
        <v/>
      </c>
      <c r="AU27" s="53">
        <f>IF(AND(AG27=1,AT27&gt;0,AF27&gt;0),100*AF27/AT27,"")</f>
        <v/>
      </c>
      <c r="AV27" s="44">
        <f>IF(AU27="","",T27/(AU27/100))</f>
        <v/>
      </c>
      <c r="AW27" s="53">
        <f>IF(AU27="","",IF(AND(ABS(AH27)&gt;=0.1,ABS(T27)&gt;=0.05,SIGN(AH27)=SIGN(T27)),100*T27/AH27,""))</f>
        <v/>
      </c>
      <c r="AX27" s="45">
        <f>IF(AU27="","",T27-AV27)</f>
        <v/>
      </c>
      <c r="AY27" s="45">
        <f>IF(AU27="","",AH27-AV27)</f>
        <v/>
      </c>
      <c r="AZ27" s="54">
        <f>(AL27-AM27)-T27*AT27</f>
        <v/>
      </c>
      <c r="BA27" s="43">
        <f>IF(AU27="",0,(AH27-T27)*AF27)</f>
        <v/>
      </c>
      <c r="BB27" s="43">
        <f>IF(AU27="",0,T27*(AF27-AT27))</f>
        <v/>
      </c>
      <c r="BC27" s="51" t="n"/>
      <c r="BD27" s="51" t="n"/>
      <c r="BE27" s="51" t="n"/>
      <c r="BF27" s="43" t="n"/>
    </row>
    <row r="28">
      <c r="A28" s="42" t="inlineStr">
        <is>
          <t>AK</t>
        </is>
      </c>
      <c r="B28" s="42" t="inlineStr">
        <is>
          <t>02033</t>
        </is>
      </c>
      <c r="C28" s="42" t="inlineStr">
        <is>
          <t>HD District 33</t>
        </is>
      </c>
      <c r="D28" s="42" t="inlineStr">
        <is>
          <t>Alaska district</t>
        </is>
      </c>
      <c r="E28" s="42" t="inlineStr"/>
      <c r="F28" s="43" t="n">
        <v>2016</v>
      </c>
      <c r="G28" s="43" t="n">
        <v>6548</v>
      </c>
      <c r="H28" s="43" t="n">
        <v>8564</v>
      </c>
      <c r="I28" s="43" t="n"/>
      <c r="J28" s="43" t="n"/>
      <c r="K28" s="42" t="inlineStr">
        <is>
          <t>US Senate</t>
        </is>
      </c>
      <c r="L28" s="43" t="n">
        <v>245</v>
      </c>
      <c r="M28" s="43" t="n">
        <v>4180</v>
      </c>
      <c r="N28" s="43" t="n">
        <v>4440</v>
      </c>
      <c r="O28" s="44">
        <f>IFERROR((F28-G28)/(F28+G28),"")</f>
        <v/>
      </c>
      <c r="P28" s="44">
        <f>IFERROR((I28-J28)/(I28+J28),"")</f>
        <v/>
      </c>
      <c r="Q28" s="45">
        <f>IFERROR(O28-P28,"")</f>
        <v/>
      </c>
      <c r="R28" s="44">
        <f>IFERROR((L28-M28)/(L28+M28),"")</f>
        <v/>
      </c>
      <c r="S28" s="46">
        <f>H28/SUMIFS(Counties!$H$2:$H$1583,Counties!$A$2:$A$1583,$A28)</f>
        <v/>
      </c>
      <c r="T28" s="44">
        <f>O28+INDEX(Dashboard!$F$6:$F$22,MATCH($A28,Dashboard!$A$6:$A$22,0))</f>
        <v/>
      </c>
      <c r="U28" s="43">
        <f>AQ28*INDEX(Dashboard!$G$6:$G$22,MATCH($A28,Dashboard!$A$6:$A$22,0))</f>
        <v/>
      </c>
      <c r="V28" s="47" t="n"/>
      <c r="W28" s="47" t="n"/>
      <c r="X28" s="47" t="n"/>
      <c r="Y28" s="48" t="n"/>
      <c r="Z28" s="49" t="n"/>
      <c r="AA28" s="49" t="n"/>
      <c r="AB28" s="49" t="n"/>
      <c r="AC28" s="50" t="n"/>
      <c r="AD28" s="43">
        <f>IF(Z28&lt;&gt;"",Z28,N(V28))</f>
        <v/>
      </c>
      <c r="AE28" s="43">
        <f>IF(AA28&lt;&gt;"",AA28,N(W28))</f>
        <v/>
      </c>
      <c r="AF28" s="43">
        <f>AD28+AE28</f>
        <v/>
      </c>
      <c r="AG28" s="42">
        <f>IF(UPPER(AC28)="Y",1,IF(AF28=0,0,IF(AND(Z28="",Y28&lt;&gt;""),IF(Y28&gt;=0.999,1,0),IF(AF28&gt;=U28,1,0))))</f>
        <v/>
      </c>
      <c r="AH28" s="44">
        <f>IF(AF28&gt;0,(AD28-AE28)/AF28,"")</f>
        <v/>
      </c>
      <c r="AI28" s="45">
        <f>IF(AG28=1,AH28-O28,"")</f>
        <v/>
      </c>
      <c r="AJ28" s="44">
        <f>IF(AG28=1,AH28,MAX(-1,MIN(1,O28+INDEX(Types!$H:$H,MATCH($A28&amp;"|"&amp;$D28,Types!$A:$A,0)))))</f>
        <v/>
      </c>
      <c r="AK28" s="43">
        <f>IF(AG28=1,AF28,MAX(AQ28*AS28,AF28))</f>
        <v/>
      </c>
      <c r="AL28" s="43">
        <f>IF(AG28=1,AD28,AK28*(1+AJ28)/2)</f>
        <v/>
      </c>
      <c r="AM28" s="43">
        <f>IF(AG28=1,AE28,AK28*(1-AJ28)/2)</f>
        <v/>
      </c>
      <c r="AN28" s="45">
        <f>IF(AH28="","",AH28-T28)</f>
        <v/>
      </c>
      <c r="AO28" s="51">
        <f>IF(AG28=1,1,IF(U28&gt;0,MIN(AF28/U28,0.99),0))</f>
        <v/>
      </c>
      <c r="AP28" s="43">
        <f>IF(AG28=1,AI28*AF28,0)</f>
        <v/>
      </c>
      <c r="AQ28" s="43">
        <f>N28*(F28+G28)/H28</f>
        <v/>
      </c>
      <c r="AR28" s="43">
        <f>O28*AQ28</f>
        <v/>
      </c>
      <c r="AS28" s="52">
        <f>IF(AG28=1,IF(AQ28&gt;0,AF28/AQ28,1),IFERROR(INDEX(Types!$K:$K,MATCH($A28&amp;"|"&amp;$D28,Types!$A:$A,0)),INDEX(Dashboard!$X$6:$X$22,MATCH($A28,Dashboard!$A$6:$A$22,0))))</f>
        <v/>
      </c>
      <c r="AT28" s="43">
        <f>AQ28*INDEX(Dashboard!$Y$6:$Y$22,MATCH($A28,Dashboard!$A$6:$A$22,0))</f>
        <v/>
      </c>
      <c r="AU28" s="53">
        <f>IF(AND(AG28=1,AT28&gt;0,AF28&gt;0),100*AF28/AT28,"")</f>
        <v/>
      </c>
      <c r="AV28" s="44">
        <f>IF(AU28="","",T28/(AU28/100))</f>
        <v/>
      </c>
      <c r="AW28" s="53">
        <f>IF(AU28="","",IF(AND(ABS(AH28)&gt;=0.1,ABS(T28)&gt;=0.05,SIGN(AH28)=SIGN(T28)),100*T28/AH28,""))</f>
        <v/>
      </c>
      <c r="AX28" s="45">
        <f>IF(AU28="","",T28-AV28)</f>
        <v/>
      </c>
      <c r="AY28" s="45">
        <f>IF(AU28="","",AH28-AV28)</f>
        <v/>
      </c>
      <c r="AZ28" s="54">
        <f>(AL28-AM28)-T28*AT28</f>
        <v/>
      </c>
      <c r="BA28" s="43">
        <f>IF(AU28="",0,(AH28-T28)*AF28)</f>
        <v/>
      </c>
      <c r="BB28" s="43">
        <f>IF(AU28="",0,T28*(AF28-AT28))</f>
        <v/>
      </c>
      <c r="BC28" s="51" t="n"/>
      <c r="BD28" s="51" t="n"/>
      <c r="BE28" s="51" t="n"/>
      <c r="BF28" s="43" t="n"/>
    </row>
    <row r="29">
      <c r="A29" s="42" t="inlineStr">
        <is>
          <t>AK</t>
        </is>
      </c>
      <c r="B29" s="42" t="inlineStr">
        <is>
          <t>02034</t>
        </is>
      </c>
      <c r="C29" s="42" t="inlineStr">
        <is>
          <t>HD District 34</t>
        </is>
      </c>
      <c r="D29" s="42" t="inlineStr">
        <is>
          <t>Alaska district</t>
        </is>
      </c>
      <c r="E29" s="42" t="inlineStr"/>
      <c r="F29" s="43" t="n">
        <v>3759</v>
      </c>
      <c r="G29" s="43" t="n">
        <v>5836</v>
      </c>
      <c r="H29" s="43" t="n">
        <v>9595</v>
      </c>
      <c r="I29" s="43" t="n"/>
      <c r="J29" s="43" t="n"/>
      <c r="K29" s="42" t="inlineStr">
        <is>
          <t>US Senate</t>
        </is>
      </c>
      <c r="L29" s="43" t="n">
        <v>394</v>
      </c>
      <c r="M29" s="43" t="n">
        <v>4434</v>
      </c>
      <c r="N29" s="43" t="n">
        <v>4836</v>
      </c>
      <c r="O29" s="44">
        <f>IFERROR((F29-G29)/(F29+G29),"")</f>
        <v/>
      </c>
      <c r="P29" s="44">
        <f>IFERROR((I29-J29)/(I29+J29),"")</f>
        <v/>
      </c>
      <c r="Q29" s="45">
        <f>IFERROR(O29-P29,"")</f>
        <v/>
      </c>
      <c r="R29" s="44">
        <f>IFERROR((L29-M29)/(L29+M29),"")</f>
        <v/>
      </c>
      <c r="S29" s="46">
        <f>H29/SUMIFS(Counties!$H$2:$H$1583,Counties!$A$2:$A$1583,$A29)</f>
        <v/>
      </c>
      <c r="T29" s="44">
        <f>O29+INDEX(Dashboard!$F$6:$F$22,MATCH($A29,Dashboard!$A$6:$A$22,0))</f>
        <v/>
      </c>
      <c r="U29" s="43">
        <f>AQ29*INDEX(Dashboard!$G$6:$G$22,MATCH($A29,Dashboard!$A$6:$A$22,0))</f>
        <v/>
      </c>
      <c r="V29" s="47" t="n"/>
      <c r="W29" s="47" t="n"/>
      <c r="X29" s="47" t="n"/>
      <c r="Y29" s="48" t="n"/>
      <c r="Z29" s="49" t="n"/>
      <c r="AA29" s="49" t="n"/>
      <c r="AB29" s="49" t="n"/>
      <c r="AC29" s="50" t="n"/>
      <c r="AD29" s="43">
        <f>IF(Z29&lt;&gt;"",Z29,N(V29))</f>
        <v/>
      </c>
      <c r="AE29" s="43">
        <f>IF(AA29&lt;&gt;"",AA29,N(W29))</f>
        <v/>
      </c>
      <c r="AF29" s="43">
        <f>AD29+AE29</f>
        <v/>
      </c>
      <c r="AG29" s="42">
        <f>IF(UPPER(AC29)="Y",1,IF(AF29=0,0,IF(AND(Z29="",Y29&lt;&gt;""),IF(Y29&gt;=0.999,1,0),IF(AF29&gt;=U29,1,0))))</f>
        <v/>
      </c>
      <c r="AH29" s="44">
        <f>IF(AF29&gt;0,(AD29-AE29)/AF29,"")</f>
        <v/>
      </c>
      <c r="AI29" s="45">
        <f>IF(AG29=1,AH29-O29,"")</f>
        <v/>
      </c>
      <c r="AJ29" s="44">
        <f>IF(AG29=1,AH29,MAX(-1,MIN(1,O29+INDEX(Types!$H:$H,MATCH($A29&amp;"|"&amp;$D29,Types!$A:$A,0)))))</f>
        <v/>
      </c>
      <c r="AK29" s="43">
        <f>IF(AG29=1,AF29,MAX(AQ29*AS29,AF29))</f>
        <v/>
      </c>
      <c r="AL29" s="43">
        <f>IF(AG29=1,AD29,AK29*(1+AJ29)/2)</f>
        <v/>
      </c>
      <c r="AM29" s="43">
        <f>IF(AG29=1,AE29,AK29*(1-AJ29)/2)</f>
        <v/>
      </c>
      <c r="AN29" s="45">
        <f>IF(AH29="","",AH29-T29)</f>
        <v/>
      </c>
      <c r="AO29" s="51">
        <f>IF(AG29=1,1,IF(U29&gt;0,MIN(AF29/U29,0.99),0))</f>
        <v/>
      </c>
      <c r="AP29" s="43">
        <f>IF(AG29=1,AI29*AF29,0)</f>
        <v/>
      </c>
      <c r="AQ29" s="43">
        <f>N29*(F29+G29)/H29</f>
        <v/>
      </c>
      <c r="AR29" s="43">
        <f>O29*AQ29</f>
        <v/>
      </c>
      <c r="AS29" s="52">
        <f>IF(AG29=1,IF(AQ29&gt;0,AF29/AQ29,1),IFERROR(INDEX(Types!$K:$K,MATCH($A29&amp;"|"&amp;$D29,Types!$A:$A,0)),INDEX(Dashboard!$X$6:$X$22,MATCH($A29,Dashboard!$A$6:$A$22,0))))</f>
        <v/>
      </c>
      <c r="AT29" s="43">
        <f>AQ29*INDEX(Dashboard!$Y$6:$Y$22,MATCH($A29,Dashboard!$A$6:$A$22,0))</f>
        <v/>
      </c>
      <c r="AU29" s="53">
        <f>IF(AND(AG29=1,AT29&gt;0,AF29&gt;0),100*AF29/AT29,"")</f>
        <v/>
      </c>
      <c r="AV29" s="44">
        <f>IF(AU29="","",T29/(AU29/100))</f>
        <v/>
      </c>
      <c r="AW29" s="53">
        <f>IF(AU29="","",IF(AND(ABS(AH29)&gt;=0.1,ABS(T29)&gt;=0.05,SIGN(AH29)=SIGN(T29)),100*T29/AH29,""))</f>
        <v/>
      </c>
      <c r="AX29" s="45">
        <f>IF(AU29="","",T29-AV29)</f>
        <v/>
      </c>
      <c r="AY29" s="45">
        <f>IF(AU29="","",AH29-AV29)</f>
        <v/>
      </c>
      <c r="AZ29" s="54">
        <f>(AL29-AM29)-T29*AT29</f>
        <v/>
      </c>
      <c r="BA29" s="43">
        <f>IF(AU29="",0,(AH29-T29)*AF29)</f>
        <v/>
      </c>
      <c r="BB29" s="43">
        <f>IF(AU29="",0,T29*(AF29-AT29))</f>
        <v/>
      </c>
      <c r="BC29" s="51" t="n"/>
      <c r="BD29" s="51" t="n"/>
      <c r="BE29" s="51" t="n"/>
      <c r="BF29" s="43" t="n"/>
    </row>
    <row r="30">
      <c r="A30" s="42" t="inlineStr">
        <is>
          <t>AK</t>
        </is>
      </c>
      <c r="B30" s="42" t="inlineStr">
        <is>
          <t>02035</t>
        </is>
      </c>
      <c r="C30" s="42" t="inlineStr">
        <is>
          <t>HD District 35</t>
        </is>
      </c>
      <c r="D30" s="42" t="inlineStr">
        <is>
          <t>Alaska district</t>
        </is>
      </c>
      <c r="E30" s="42" t="inlineStr"/>
      <c r="F30" s="43" t="n">
        <v>4885</v>
      </c>
      <c r="G30" s="43" t="n">
        <v>4395</v>
      </c>
      <c r="H30" s="43" t="n">
        <v>9280</v>
      </c>
      <c r="I30" s="43" t="n"/>
      <c r="J30" s="43" t="n"/>
      <c r="K30" s="42" t="inlineStr">
        <is>
          <t>US Senate</t>
        </is>
      </c>
      <c r="L30" s="43" t="n">
        <v>566</v>
      </c>
      <c r="M30" s="43" t="n">
        <v>4433</v>
      </c>
      <c r="N30" s="43" t="n">
        <v>5012</v>
      </c>
      <c r="O30" s="44">
        <f>IFERROR((F30-G30)/(F30+G30),"")</f>
        <v/>
      </c>
      <c r="P30" s="44">
        <f>IFERROR((I30-J30)/(I30+J30),"")</f>
        <v/>
      </c>
      <c r="Q30" s="45">
        <f>IFERROR(O30-P30,"")</f>
        <v/>
      </c>
      <c r="R30" s="44">
        <f>IFERROR((L30-M30)/(L30+M30),"")</f>
        <v/>
      </c>
      <c r="S30" s="46">
        <f>H30/SUMIFS(Counties!$H$2:$H$1583,Counties!$A$2:$A$1583,$A30)</f>
        <v/>
      </c>
      <c r="T30" s="44">
        <f>O30+INDEX(Dashboard!$F$6:$F$22,MATCH($A30,Dashboard!$A$6:$A$22,0))</f>
        <v/>
      </c>
      <c r="U30" s="43">
        <f>AQ30*INDEX(Dashboard!$G$6:$G$22,MATCH($A30,Dashboard!$A$6:$A$22,0))</f>
        <v/>
      </c>
      <c r="V30" s="47" t="n"/>
      <c r="W30" s="47" t="n"/>
      <c r="X30" s="47" t="n"/>
      <c r="Y30" s="48" t="n"/>
      <c r="Z30" s="49" t="n"/>
      <c r="AA30" s="49" t="n"/>
      <c r="AB30" s="49" t="n"/>
      <c r="AC30" s="50" t="n"/>
      <c r="AD30" s="43">
        <f>IF(Z30&lt;&gt;"",Z30,N(V30))</f>
        <v/>
      </c>
      <c r="AE30" s="43">
        <f>IF(AA30&lt;&gt;"",AA30,N(W30))</f>
        <v/>
      </c>
      <c r="AF30" s="43">
        <f>AD30+AE30</f>
        <v/>
      </c>
      <c r="AG30" s="42">
        <f>IF(UPPER(AC30)="Y",1,IF(AF30=0,0,IF(AND(Z30="",Y30&lt;&gt;""),IF(Y30&gt;=0.999,1,0),IF(AF30&gt;=U30,1,0))))</f>
        <v/>
      </c>
      <c r="AH30" s="44">
        <f>IF(AF30&gt;0,(AD30-AE30)/AF30,"")</f>
        <v/>
      </c>
      <c r="AI30" s="45">
        <f>IF(AG30=1,AH30-O30,"")</f>
        <v/>
      </c>
      <c r="AJ30" s="44">
        <f>IF(AG30=1,AH30,MAX(-1,MIN(1,O30+INDEX(Types!$H:$H,MATCH($A30&amp;"|"&amp;$D30,Types!$A:$A,0)))))</f>
        <v/>
      </c>
      <c r="AK30" s="43">
        <f>IF(AG30=1,AF30,MAX(AQ30*AS30,AF30))</f>
        <v/>
      </c>
      <c r="AL30" s="43">
        <f>IF(AG30=1,AD30,AK30*(1+AJ30)/2)</f>
        <v/>
      </c>
      <c r="AM30" s="43">
        <f>IF(AG30=1,AE30,AK30*(1-AJ30)/2)</f>
        <v/>
      </c>
      <c r="AN30" s="45">
        <f>IF(AH30="","",AH30-T30)</f>
        <v/>
      </c>
      <c r="AO30" s="51">
        <f>IF(AG30=1,1,IF(U30&gt;0,MIN(AF30/U30,0.99),0))</f>
        <v/>
      </c>
      <c r="AP30" s="43">
        <f>IF(AG30=1,AI30*AF30,0)</f>
        <v/>
      </c>
      <c r="AQ30" s="43">
        <f>N30*(F30+G30)/H30</f>
        <v/>
      </c>
      <c r="AR30" s="43">
        <f>O30*AQ30</f>
        <v/>
      </c>
      <c r="AS30" s="52">
        <f>IF(AG30=1,IF(AQ30&gt;0,AF30/AQ30,1),IFERROR(INDEX(Types!$K:$K,MATCH($A30&amp;"|"&amp;$D30,Types!$A:$A,0)),INDEX(Dashboard!$X$6:$X$22,MATCH($A30,Dashboard!$A$6:$A$22,0))))</f>
        <v/>
      </c>
      <c r="AT30" s="43">
        <f>AQ30*INDEX(Dashboard!$Y$6:$Y$22,MATCH($A30,Dashboard!$A$6:$A$22,0))</f>
        <v/>
      </c>
      <c r="AU30" s="53">
        <f>IF(AND(AG30=1,AT30&gt;0,AF30&gt;0),100*AF30/AT30,"")</f>
        <v/>
      </c>
      <c r="AV30" s="44">
        <f>IF(AU30="","",T30/(AU30/100))</f>
        <v/>
      </c>
      <c r="AW30" s="53">
        <f>IF(AU30="","",IF(AND(ABS(AH30)&gt;=0.1,ABS(T30)&gt;=0.05,SIGN(AH30)=SIGN(T30)),100*T30/AH30,""))</f>
        <v/>
      </c>
      <c r="AX30" s="45">
        <f>IF(AU30="","",T30-AV30)</f>
        <v/>
      </c>
      <c r="AY30" s="45">
        <f>IF(AU30="","",AH30-AV30)</f>
        <v/>
      </c>
      <c r="AZ30" s="54">
        <f>(AL30-AM30)-T30*AT30</f>
        <v/>
      </c>
      <c r="BA30" s="43">
        <f>IF(AU30="",0,(AH30-T30)*AF30)</f>
        <v/>
      </c>
      <c r="BB30" s="43">
        <f>IF(AU30="",0,T30*(AF30-AT30))</f>
        <v/>
      </c>
      <c r="BC30" s="51" t="n"/>
      <c r="BD30" s="51" t="n"/>
      <c r="BE30" s="51" t="n"/>
      <c r="BF30" s="43" t="n"/>
    </row>
    <row r="31">
      <c r="A31" s="42" t="inlineStr">
        <is>
          <t>AK</t>
        </is>
      </c>
      <c r="B31" s="42" t="inlineStr">
        <is>
          <t>02036</t>
        </is>
      </c>
      <c r="C31" s="42" t="inlineStr">
        <is>
          <t>HD District 36</t>
        </is>
      </c>
      <c r="D31" s="42" t="inlineStr">
        <is>
          <t>Alaska district</t>
        </is>
      </c>
      <c r="E31" s="42" t="inlineStr"/>
      <c r="F31" s="43" t="n">
        <v>3538</v>
      </c>
      <c r="G31" s="43" t="n">
        <v>5633</v>
      </c>
      <c r="H31" s="43" t="n">
        <v>9171</v>
      </c>
      <c r="I31" s="43" t="n"/>
      <c r="J31" s="43" t="n"/>
      <c r="K31" s="42" t="inlineStr">
        <is>
          <t>US Senate</t>
        </is>
      </c>
      <c r="L31" s="43" t="n">
        <v>407</v>
      </c>
      <c r="M31" s="43" t="n">
        <v>4930</v>
      </c>
      <c r="N31" s="43" t="n">
        <v>5352</v>
      </c>
      <c r="O31" s="44">
        <f>IFERROR((F31-G31)/(F31+G31),"")</f>
        <v/>
      </c>
      <c r="P31" s="44">
        <f>IFERROR((I31-J31)/(I31+J31),"")</f>
        <v/>
      </c>
      <c r="Q31" s="45">
        <f>IFERROR(O31-P31,"")</f>
        <v/>
      </c>
      <c r="R31" s="44">
        <f>IFERROR((L31-M31)/(L31+M31),"")</f>
        <v/>
      </c>
      <c r="S31" s="46">
        <f>H31/SUMIFS(Counties!$H$2:$H$1583,Counties!$A$2:$A$1583,$A31)</f>
        <v/>
      </c>
      <c r="T31" s="44">
        <f>O31+INDEX(Dashboard!$F$6:$F$22,MATCH($A31,Dashboard!$A$6:$A$22,0))</f>
        <v/>
      </c>
      <c r="U31" s="43">
        <f>AQ31*INDEX(Dashboard!$G$6:$G$22,MATCH($A31,Dashboard!$A$6:$A$22,0))</f>
        <v/>
      </c>
      <c r="V31" s="47" t="n"/>
      <c r="W31" s="47" t="n"/>
      <c r="X31" s="47" t="n"/>
      <c r="Y31" s="48" t="n"/>
      <c r="Z31" s="49" t="n"/>
      <c r="AA31" s="49" t="n"/>
      <c r="AB31" s="49" t="n"/>
      <c r="AC31" s="50" t="n"/>
      <c r="AD31" s="43">
        <f>IF(Z31&lt;&gt;"",Z31,N(V31))</f>
        <v/>
      </c>
      <c r="AE31" s="43">
        <f>IF(AA31&lt;&gt;"",AA31,N(W31))</f>
        <v/>
      </c>
      <c r="AF31" s="43">
        <f>AD31+AE31</f>
        <v/>
      </c>
      <c r="AG31" s="42">
        <f>IF(UPPER(AC31)="Y",1,IF(AF31=0,0,IF(AND(Z31="",Y31&lt;&gt;""),IF(Y31&gt;=0.999,1,0),IF(AF31&gt;=U31,1,0))))</f>
        <v/>
      </c>
      <c r="AH31" s="44">
        <f>IF(AF31&gt;0,(AD31-AE31)/AF31,"")</f>
        <v/>
      </c>
      <c r="AI31" s="45">
        <f>IF(AG31=1,AH31-O31,"")</f>
        <v/>
      </c>
      <c r="AJ31" s="44">
        <f>IF(AG31=1,AH31,MAX(-1,MIN(1,O31+INDEX(Types!$H:$H,MATCH($A31&amp;"|"&amp;$D31,Types!$A:$A,0)))))</f>
        <v/>
      </c>
      <c r="AK31" s="43">
        <f>IF(AG31=1,AF31,MAX(AQ31*AS31,AF31))</f>
        <v/>
      </c>
      <c r="AL31" s="43">
        <f>IF(AG31=1,AD31,AK31*(1+AJ31)/2)</f>
        <v/>
      </c>
      <c r="AM31" s="43">
        <f>IF(AG31=1,AE31,AK31*(1-AJ31)/2)</f>
        <v/>
      </c>
      <c r="AN31" s="45">
        <f>IF(AH31="","",AH31-T31)</f>
        <v/>
      </c>
      <c r="AO31" s="51">
        <f>IF(AG31=1,1,IF(U31&gt;0,MIN(AF31/U31,0.99),0))</f>
        <v/>
      </c>
      <c r="AP31" s="43">
        <f>IF(AG31=1,AI31*AF31,0)</f>
        <v/>
      </c>
      <c r="AQ31" s="43">
        <f>N31*(F31+G31)/H31</f>
        <v/>
      </c>
      <c r="AR31" s="43">
        <f>O31*AQ31</f>
        <v/>
      </c>
      <c r="AS31" s="52">
        <f>IF(AG31=1,IF(AQ31&gt;0,AF31/AQ31,1),IFERROR(INDEX(Types!$K:$K,MATCH($A31&amp;"|"&amp;$D31,Types!$A:$A,0)),INDEX(Dashboard!$X$6:$X$22,MATCH($A31,Dashboard!$A$6:$A$22,0))))</f>
        <v/>
      </c>
      <c r="AT31" s="43">
        <f>AQ31*INDEX(Dashboard!$Y$6:$Y$22,MATCH($A31,Dashboard!$A$6:$A$22,0))</f>
        <v/>
      </c>
      <c r="AU31" s="53">
        <f>IF(AND(AG31=1,AT31&gt;0,AF31&gt;0),100*AF31/AT31,"")</f>
        <v/>
      </c>
      <c r="AV31" s="44">
        <f>IF(AU31="","",T31/(AU31/100))</f>
        <v/>
      </c>
      <c r="AW31" s="53">
        <f>IF(AU31="","",IF(AND(ABS(AH31)&gt;=0.1,ABS(T31)&gt;=0.05,SIGN(AH31)=SIGN(T31)),100*T31/AH31,""))</f>
        <v/>
      </c>
      <c r="AX31" s="45">
        <f>IF(AU31="","",T31-AV31)</f>
        <v/>
      </c>
      <c r="AY31" s="45">
        <f>IF(AU31="","",AH31-AV31)</f>
        <v/>
      </c>
      <c r="AZ31" s="54">
        <f>(AL31-AM31)-T31*AT31</f>
        <v/>
      </c>
      <c r="BA31" s="43">
        <f>IF(AU31="",0,(AH31-T31)*AF31)</f>
        <v/>
      </c>
      <c r="BB31" s="43">
        <f>IF(AU31="",0,T31*(AF31-AT31))</f>
        <v/>
      </c>
      <c r="BC31" s="51" t="n"/>
      <c r="BD31" s="51" t="n"/>
      <c r="BE31" s="51" t="n"/>
      <c r="BF31" s="43" t="n"/>
    </row>
    <row r="32">
      <c r="A32" s="42" t="inlineStr">
        <is>
          <t>AK</t>
        </is>
      </c>
      <c r="B32" s="42" t="inlineStr">
        <is>
          <t>02037</t>
        </is>
      </c>
      <c r="C32" s="42" t="inlineStr">
        <is>
          <t>HD District 37</t>
        </is>
      </c>
      <c r="D32" s="42" t="inlineStr">
        <is>
          <t>Alaska district</t>
        </is>
      </c>
      <c r="E32" s="42" t="inlineStr"/>
      <c r="F32" s="43" t="n">
        <v>1921</v>
      </c>
      <c r="G32" s="43" t="n">
        <v>2208</v>
      </c>
      <c r="H32" s="43" t="n">
        <v>4129</v>
      </c>
      <c r="I32" s="43" t="n"/>
      <c r="J32" s="43" t="n"/>
      <c r="K32" s="42" t="inlineStr">
        <is>
          <t>US Senate</t>
        </is>
      </c>
      <c r="L32" s="43" t="n">
        <v>210</v>
      </c>
      <c r="M32" s="43" t="n">
        <v>2411</v>
      </c>
      <c r="N32" s="43" t="n">
        <v>2626</v>
      </c>
      <c r="O32" s="44">
        <f>IFERROR((F32-G32)/(F32+G32),"")</f>
        <v/>
      </c>
      <c r="P32" s="44">
        <f>IFERROR((I32-J32)/(I32+J32),"")</f>
        <v/>
      </c>
      <c r="Q32" s="45">
        <f>IFERROR(O32-P32,"")</f>
        <v/>
      </c>
      <c r="R32" s="44">
        <f>IFERROR((L32-M32)/(L32+M32),"")</f>
        <v/>
      </c>
      <c r="S32" s="46">
        <f>H32/SUMIFS(Counties!$H$2:$H$1583,Counties!$A$2:$A$1583,$A32)</f>
        <v/>
      </c>
      <c r="T32" s="44">
        <f>O32+INDEX(Dashboard!$F$6:$F$22,MATCH($A32,Dashboard!$A$6:$A$22,0))</f>
        <v/>
      </c>
      <c r="U32" s="43">
        <f>AQ32*INDEX(Dashboard!$G$6:$G$22,MATCH($A32,Dashboard!$A$6:$A$22,0))</f>
        <v/>
      </c>
      <c r="V32" s="47" t="n"/>
      <c r="W32" s="47" t="n"/>
      <c r="X32" s="47" t="n"/>
      <c r="Y32" s="48" t="n"/>
      <c r="Z32" s="49" t="n"/>
      <c r="AA32" s="49" t="n"/>
      <c r="AB32" s="49" t="n"/>
      <c r="AC32" s="50" t="n"/>
      <c r="AD32" s="43">
        <f>IF(Z32&lt;&gt;"",Z32,N(V32))</f>
        <v/>
      </c>
      <c r="AE32" s="43">
        <f>IF(AA32&lt;&gt;"",AA32,N(W32))</f>
        <v/>
      </c>
      <c r="AF32" s="43">
        <f>AD32+AE32</f>
        <v/>
      </c>
      <c r="AG32" s="42">
        <f>IF(UPPER(AC32)="Y",1,IF(AF32=0,0,IF(AND(Z32="",Y32&lt;&gt;""),IF(Y32&gt;=0.999,1,0),IF(AF32&gt;=U32,1,0))))</f>
        <v/>
      </c>
      <c r="AH32" s="44">
        <f>IF(AF32&gt;0,(AD32-AE32)/AF32,"")</f>
        <v/>
      </c>
      <c r="AI32" s="45">
        <f>IF(AG32=1,AH32-O32,"")</f>
        <v/>
      </c>
      <c r="AJ32" s="44">
        <f>IF(AG32=1,AH32,MAX(-1,MIN(1,O32+INDEX(Types!$H:$H,MATCH($A32&amp;"|"&amp;$D32,Types!$A:$A,0)))))</f>
        <v/>
      </c>
      <c r="AK32" s="43">
        <f>IF(AG32=1,AF32,MAX(AQ32*AS32,AF32))</f>
        <v/>
      </c>
      <c r="AL32" s="43">
        <f>IF(AG32=1,AD32,AK32*(1+AJ32)/2)</f>
        <v/>
      </c>
      <c r="AM32" s="43">
        <f>IF(AG32=1,AE32,AK32*(1-AJ32)/2)</f>
        <v/>
      </c>
      <c r="AN32" s="45">
        <f>IF(AH32="","",AH32-T32)</f>
        <v/>
      </c>
      <c r="AO32" s="51">
        <f>IF(AG32=1,1,IF(U32&gt;0,MIN(AF32/U32,0.99),0))</f>
        <v/>
      </c>
      <c r="AP32" s="43">
        <f>IF(AG32=1,AI32*AF32,0)</f>
        <v/>
      </c>
      <c r="AQ32" s="43">
        <f>N32*(F32+G32)/H32</f>
        <v/>
      </c>
      <c r="AR32" s="43">
        <f>O32*AQ32</f>
        <v/>
      </c>
      <c r="AS32" s="52">
        <f>IF(AG32=1,IF(AQ32&gt;0,AF32/AQ32,1),IFERROR(INDEX(Types!$K:$K,MATCH($A32&amp;"|"&amp;$D32,Types!$A:$A,0)),INDEX(Dashboard!$X$6:$X$22,MATCH($A32,Dashboard!$A$6:$A$22,0))))</f>
        <v/>
      </c>
      <c r="AT32" s="43">
        <f>AQ32*INDEX(Dashboard!$Y$6:$Y$22,MATCH($A32,Dashboard!$A$6:$A$22,0))</f>
        <v/>
      </c>
      <c r="AU32" s="53">
        <f>IF(AND(AG32=1,AT32&gt;0,AF32&gt;0),100*AF32/AT32,"")</f>
        <v/>
      </c>
      <c r="AV32" s="44">
        <f>IF(AU32="","",T32/(AU32/100))</f>
        <v/>
      </c>
      <c r="AW32" s="53">
        <f>IF(AU32="","",IF(AND(ABS(AH32)&gt;=0.1,ABS(T32)&gt;=0.05,SIGN(AH32)=SIGN(T32)),100*T32/AH32,""))</f>
        <v/>
      </c>
      <c r="AX32" s="45">
        <f>IF(AU32="","",T32-AV32)</f>
        <v/>
      </c>
      <c r="AY32" s="45">
        <f>IF(AU32="","",AH32-AV32)</f>
        <v/>
      </c>
      <c r="AZ32" s="54">
        <f>(AL32-AM32)-T32*AT32</f>
        <v/>
      </c>
      <c r="BA32" s="43">
        <f>IF(AU32="",0,(AH32-T32)*AF32)</f>
        <v/>
      </c>
      <c r="BB32" s="43">
        <f>IF(AU32="",0,T32*(AF32-AT32))</f>
        <v/>
      </c>
      <c r="BC32" s="51" t="n"/>
      <c r="BD32" s="51" t="n"/>
      <c r="BE32" s="51" t="n"/>
      <c r="BF32" s="43" t="n"/>
    </row>
    <row r="33">
      <c r="A33" s="42" t="inlineStr">
        <is>
          <t>AK</t>
        </is>
      </c>
      <c r="B33" s="42" t="inlineStr">
        <is>
          <t>02038</t>
        </is>
      </c>
      <c r="C33" s="42" t="inlineStr">
        <is>
          <t>HD District 38</t>
        </is>
      </c>
      <c r="D33" s="42" t="inlineStr">
        <is>
          <t>Alaska district</t>
        </is>
      </c>
      <c r="E33" s="42" t="inlineStr"/>
      <c r="F33" s="43" t="n">
        <v>2028</v>
      </c>
      <c r="G33" s="43" t="n">
        <v>1558</v>
      </c>
      <c r="H33" s="43" t="n">
        <v>3586</v>
      </c>
      <c r="I33" s="43" t="n"/>
      <c r="J33" s="43" t="n"/>
      <c r="K33" s="42" t="inlineStr">
        <is>
          <t>US Senate</t>
        </is>
      </c>
      <c r="L33" s="43" t="n">
        <v>217</v>
      </c>
      <c r="M33" s="43" t="n">
        <v>2851</v>
      </c>
      <c r="N33" s="43" t="n">
        <v>3077</v>
      </c>
      <c r="O33" s="44">
        <f>IFERROR((F33-G33)/(F33+G33),"")</f>
        <v/>
      </c>
      <c r="P33" s="44">
        <f>IFERROR((I33-J33)/(I33+J33),"")</f>
        <v/>
      </c>
      <c r="Q33" s="45">
        <f>IFERROR(O33-P33,"")</f>
        <v/>
      </c>
      <c r="R33" s="44">
        <f>IFERROR((L33-M33)/(L33+M33),"")</f>
        <v/>
      </c>
      <c r="S33" s="46">
        <f>H33/SUMIFS(Counties!$H$2:$H$1583,Counties!$A$2:$A$1583,$A33)</f>
        <v/>
      </c>
      <c r="T33" s="44">
        <f>O33+INDEX(Dashboard!$F$6:$F$22,MATCH($A33,Dashboard!$A$6:$A$22,0))</f>
        <v/>
      </c>
      <c r="U33" s="43">
        <f>AQ33*INDEX(Dashboard!$G$6:$G$22,MATCH($A33,Dashboard!$A$6:$A$22,0))</f>
        <v/>
      </c>
      <c r="V33" s="47" t="n"/>
      <c r="W33" s="47" t="n"/>
      <c r="X33" s="47" t="n"/>
      <c r="Y33" s="48" t="n"/>
      <c r="Z33" s="49" t="n"/>
      <c r="AA33" s="49" t="n"/>
      <c r="AB33" s="49" t="n"/>
      <c r="AC33" s="50" t="n"/>
      <c r="AD33" s="43">
        <f>IF(Z33&lt;&gt;"",Z33,N(V33))</f>
        <v/>
      </c>
      <c r="AE33" s="43">
        <f>IF(AA33&lt;&gt;"",AA33,N(W33))</f>
        <v/>
      </c>
      <c r="AF33" s="43">
        <f>AD33+AE33</f>
        <v/>
      </c>
      <c r="AG33" s="42">
        <f>IF(UPPER(AC33)="Y",1,IF(AF33=0,0,IF(AND(Z33="",Y33&lt;&gt;""),IF(Y33&gt;=0.999,1,0),IF(AF33&gt;=U33,1,0))))</f>
        <v/>
      </c>
      <c r="AH33" s="44">
        <f>IF(AF33&gt;0,(AD33-AE33)/AF33,"")</f>
        <v/>
      </c>
      <c r="AI33" s="45">
        <f>IF(AG33=1,AH33-O33,"")</f>
        <v/>
      </c>
      <c r="AJ33" s="44">
        <f>IF(AG33=1,AH33,MAX(-1,MIN(1,O33+INDEX(Types!$H:$H,MATCH($A33&amp;"|"&amp;$D33,Types!$A:$A,0)))))</f>
        <v/>
      </c>
      <c r="AK33" s="43">
        <f>IF(AG33=1,AF33,MAX(AQ33*AS33,AF33))</f>
        <v/>
      </c>
      <c r="AL33" s="43">
        <f>IF(AG33=1,AD33,AK33*(1+AJ33)/2)</f>
        <v/>
      </c>
      <c r="AM33" s="43">
        <f>IF(AG33=1,AE33,AK33*(1-AJ33)/2)</f>
        <v/>
      </c>
      <c r="AN33" s="45">
        <f>IF(AH33="","",AH33-T33)</f>
        <v/>
      </c>
      <c r="AO33" s="51">
        <f>IF(AG33=1,1,IF(U33&gt;0,MIN(AF33/U33,0.99),0))</f>
        <v/>
      </c>
      <c r="AP33" s="43">
        <f>IF(AG33=1,AI33*AF33,0)</f>
        <v/>
      </c>
      <c r="AQ33" s="43">
        <f>N33*(F33+G33)/H33</f>
        <v/>
      </c>
      <c r="AR33" s="43">
        <f>O33*AQ33</f>
        <v/>
      </c>
      <c r="AS33" s="52">
        <f>IF(AG33=1,IF(AQ33&gt;0,AF33/AQ33,1),IFERROR(INDEX(Types!$K:$K,MATCH($A33&amp;"|"&amp;$D33,Types!$A:$A,0)),INDEX(Dashboard!$X$6:$X$22,MATCH($A33,Dashboard!$A$6:$A$22,0))))</f>
        <v/>
      </c>
      <c r="AT33" s="43">
        <f>AQ33*INDEX(Dashboard!$Y$6:$Y$22,MATCH($A33,Dashboard!$A$6:$A$22,0))</f>
        <v/>
      </c>
      <c r="AU33" s="53">
        <f>IF(AND(AG33=1,AT33&gt;0,AF33&gt;0),100*AF33/AT33,"")</f>
        <v/>
      </c>
      <c r="AV33" s="44">
        <f>IF(AU33="","",T33/(AU33/100))</f>
        <v/>
      </c>
      <c r="AW33" s="53">
        <f>IF(AU33="","",IF(AND(ABS(AH33)&gt;=0.1,ABS(T33)&gt;=0.05,SIGN(AH33)=SIGN(T33)),100*T33/AH33,""))</f>
        <v/>
      </c>
      <c r="AX33" s="45">
        <f>IF(AU33="","",T33-AV33)</f>
        <v/>
      </c>
      <c r="AY33" s="45">
        <f>IF(AU33="","",AH33-AV33)</f>
        <v/>
      </c>
      <c r="AZ33" s="54">
        <f>(AL33-AM33)-T33*AT33</f>
        <v/>
      </c>
      <c r="BA33" s="43">
        <f>IF(AU33="",0,(AH33-T33)*AF33)</f>
        <v/>
      </c>
      <c r="BB33" s="43">
        <f>IF(AU33="",0,T33*(AF33-AT33))</f>
        <v/>
      </c>
      <c r="BC33" s="51" t="n"/>
      <c r="BD33" s="51" t="n"/>
      <c r="BE33" s="51" t="n"/>
      <c r="BF33" s="43" t="n"/>
    </row>
    <row r="34">
      <c r="A34" s="42" t="inlineStr">
        <is>
          <t>AK</t>
        </is>
      </c>
      <c r="B34" s="42" t="inlineStr">
        <is>
          <t>02039</t>
        </is>
      </c>
      <c r="C34" s="42" t="inlineStr">
        <is>
          <t>HD District 39</t>
        </is>
      </c>
      <c r="D34" s="42" t="inlineStr">
        <is>
          <t>Alaska district</t>
        </is>
      </c>
      <c r="E34" s="42" t="inlineStr"/>
      <c r="F34" s="43" t="n">
        <v>2180</v>
      </c>
      <c r="G34" s="43" t="n">
        <v>1690</v>
      </c>
      <c r="H34" s="43" t="n">
        <v>3870</v>
      </c>
      <c r="I34" s="43" t="n"/>
      <c r="J34" s="43" t="n"/>
      <c r="K34" s="42" t="inlineStr">
        <is>
          <t>US Senate</t>
        </is>
      </c>
      <c r="L34" s="43" t="n">
        <v>209</v>
      </c>
      <c r="M34" s="43" t="n">
        <v>3020</v>
      </c>
      <c r="N34" s="43" t="n">
        <v>3234</v>
      </c>
      <c r="O34" s="44">
        <f>IFERROR((F34-G34)/(F34+G34),"")</f>
        <v/>
      </c>
      <c r="P34" s="44">
        <f>IFERROR((I34-J34)/(I34+J34),"")</f>
        <v/>
      </c>
      <c r="Q34" s="45">
        <f>IFERROR(O34-P34,"")</f>
        <v/>
      </c>
      <c r="R34" s="44">
        <f>IFERROR((L34-M34)/(L34+M34),"")</f>
        <v/>
      </c>
      <c r="S34" s="46">
        <f>H34/SUMIFS(Counties!$H$2:$H$1583,Counties!$A$2:$A$1583,$A34)</f>
        <v/>
      </c>
      <c r="T34" s="44">
        <f>O34+INDEX(Dashboard!$F$6:$F$22,MATCH($A34,Dashboard!$A$6:$A$22,0))</f>
        <v/>
      </c>
      <c r="U34" s="43">
        <f>AQ34*INDEX(Dashboard!$G$6:$G$22,MATCH($A34,Dashboard!$A$6:$A$22,0))</f>
        <v/>
      </c>
      <c r="V34" s="47" t="n"/>
      <c r="W34" s="47" t="n"/>
      <c r="X34" s="47" t="n"/>
      <c r="Y34" s="48" t="n"/>
      <c r="Z34" s="49" t="n"/>
      <c r="AA34" s="49" t="n"/>
      <c r="AB34" s="49" t="n"/>
      <c r="AC34" s="50" t="n"/>
      <c r="AD34" s="43">
        <f>IF(Z34&lt;&gt;"",Z34,N(V34))</f>
        <v/>
      </c>
      <c r="AE34" s="43">
        <f>IF(AA34&lt;&gt;"",AA34,N(W34))</f>
        <v/>
      </c>
      <c r="AF34" s="43">
        <f>AD34+AE34</f>
        <v/>
      </c>
      <c r="AG34" s="42">
        <f>IF(UPPER(AC34)="Y",1,IF(AF34=0,0,IF(AND(Z34="",Y34&lt;&gt;""),IF(Y34&gt;=0.999,1,0),IF(AF34&gt;=U34,1,0))))</f>
        <v/>
      </c>
      <c r="AH34" s="44">
        <f>IF(AF34&gt;0,(AD34-AE34)/AF34,"")</f>
        <v/>
      </c>
      <c r="AI34" s="45">
        <f>IF(AG34=1,AH34-O34,"")</f>
        <v/>
      </c>
      <c r="AJ34" s="44">
        <f>IF(AG34=1,AH34,MAX(-1,MIN(1,O34+INDEX(Types!$H:$H,MATCH($A34&amp;"|"&amp;$D34,Types!$A:$A,0)))))</f>
        <v/>
      </c>
      <c r="AK34" s="43">
        <f>IF(AG34=1,AF34,MAX(AQ34*AS34,AF34))</f>
        <v/>
      </c>
      <c r="AL34" s="43">
        <f>IF(AG34=1,AD34,AK34*(1+AJ34)/2)</f>
        <v/>
      </c>
      <c r="AM34" s="43">
        <f>IF(AG34=1,AE34,AK34*(1-AJ34)/2)</f>
        <v/>
      </c>
      <c r="AN34" s="45">
        <f>IF(AH34="","",AH34-T34)</f>
        <v/>
      </c>
      <c r="AO34" s="51">
        <f>IF(AG34=1,1,IF(U34&gt;0,MIN(AF34/U34,0.99),0))</f>
        <v/>
      </c>
      <c r="AP34" s="43">
        <f>IF(AG34=1,AI34*AF34,0)</f>
        <v/>
      </c>
      <c r="AQ34" s="43">
        <f>N34*(F34+G34)/H34</f>
        <v/>
      </c>
      <c r="AR34" s="43">
        <f>O34*AQ34</f>
        <v/>
      </c>
      <c r="AS34" s="52">
        <f>IF(AG34=1,IF(AQ34&gt;0,AF34/AQ34,1),IFERROR(INDEX(Types!$K:$K,MATCH($A34&amp;"|"&amp;$D34,Types!$A:$A,0)),INDEX(Dashboard!$X$6:$X$22,MATCH($A34,Dashboard!$A$6:$A$22,0))))</f>
        <v/>
      </c>
      <c r="AT34" s="43">
        <f>AQ34*INDEX(Dashboard!$Y$6:$Y$22,MATCH($A34,Dashboard!$A$6:$A$22,0))</f>
        <v/>
      </c>
      <c r="AU34" s="53">
        <f>IF(AND(AG34=1,AT34&gt;0,AF34&gt;0),100*AF34/AT34,"")</f>
        <v/>
      </c>
      <c r="AV34" s="44">
        <f>IF(AU34="","",T34/(AU34/100))</f>
        <v/>
      </c>
      <c r="AW34" s="53">
        <f>IF(AU34="","",IF(AND(ABS(AH34)&gt;=0.1,ABS(T34)&gt;=0.05,SIGN(AH34)=SIGN(T34)),100*T34/AH34,""))</f>
        <v/>
      </c>
      <c r="AX34" s="45">
        <f>IF(AU34="","",T34-AV34)</f>
        <v/>
      </c>
      <c r="AY34" s="45">
        <f>IF(AU34="","",AH34-AV34)</f>
        <v/>
      </c>
      <c r="AZ34" s="54">
        <f>(AL34-AM34)-T34*AT34</f>
        <v/>
      </c>
      <c r="BA34" s="43">
        <f>IF(AU34="",0,(AH34-T34)*AF34)</f>
        <v/>
      </c>
      <c r="BB34" s="43">
        <f>IF(AU34="",0,T34*(AF34-AT34))</f>
        <v/>
      </c>
      <c r="BC34" s="51" t="n"/>
      <c r="BD34" s="51" t="n"/>
      <c r="BE34" s="51" t="n"/>
      <c r="BF34" s="43" t="n"/>
    </row>
    <row r="35">
      <c r="A35" s="42" t="inlineStr">
        <is>
          <t>AK</t>
        </is>
      </c>
      <c r="B35" s="42" t="inlineStr">
        <is>
          <t>02004</t>
        </is>
      </c>
      <c r="C35" s="42" t="inlineStr">
        <is>
          <t>HD District 4</t>
        </is>
      </c>
      <c r="D35" s="42" t="inlineStr">
        <is>
          <t>Alaska district</t>
        </is>
      </c>
      <c r="E35" s="42" t="inlineStr"/>
      <c r="F35" s="43" t="n">
        <v>6161</v>
      </c>
      <c r="G35" s="43" t="n">
        <v>2691</v>
      </c>
      <c r="H35" s="43" t="n">
        <v>8852</v>
      </c>
      <c r="I35" s="43" t="n"/>
      <c r="J35" s="43" t="n"/>
      <c r="K35" s="42" t="inlineStr">
        <is>
          <t>US Senate</t>
        </is>
      </c>
      <c r="L35" s="43" t="n">
        <v>557</v>
      </c>
      <c r="M35" s="43" t="n">
        <v>2889</v>
      </c>
      <c r="N35" s="43" t="n">
        <v>3461</v>
      </c>
      <c r="O35" s="44">
        <f>IFERROR((F35-G35)/(F35+G35),"")</f>
        <v/>
      </c>
      <c r="P35" s="44">
        <f>IFERROR((I35-J35)/(I35+J35),"")</f>
        <v/>
      </c>
      <c r="Q35" s="45">
        <f>IFERROR(O35-P35,"")</f>
        <v/>
      </c>
      <c r="R35" s="44">
        <f>IFERROR((L35-M35)/(L35+M35),"")</f>
        <v/>
      </c>
      <c r="S35" s="46">
        <f>H35/SUMIFS(Counties!$H$2:$H$1583,Counties!$A$2:$A$1583,$A35)</f>
        <v/>
      </c>
      <c r="T35" s="44">
        <f>O35+INDEX(Dashboard!$F$6:$F$22,MATCH($A35,Dashboard!$A$6:$A$22,0))</f>
        <v/>
      </c>
      <c r="U35" s="43">
        <f>AQ35*INDEX(Dashboard!$G$6:$G$22,MATCH($A35,Dashboard!$A$6:$A$22,0))</f>
        <v/>
      </c>
      <c r="V35" s="47" t="n"/>
      <c r="W35" s="47" t="n"/>
      <c r="X35" s="47" t="n"/>
      <c r="Y35" s="48" t="n"/>
      <c r="Z35" s="49" t="n"/>
      <c r="AA35" s="49" t="n"/>
      <c r="AB35" s="49" t="n"/>
      <c r="AC35" s="50" t="n"/>
      <c r="AD35" s="43">
        <f>IF(Z35&lt;&gt;"",Z35,N(V35))</f>
        <v/>
      </c>
      <c r="AE35" s="43">
        <f>IF(AA35&lt;&gt;"",AA35,N(W35))</f>
        <v/>
      </c>
      <c r="AF35" s="43">
        <f>AD35+AE35</f>
        <v/>
      </c>
      <c r="AG35" s="42">
        <f>IF(UPPER(AC35)="Y",1,IF(AF35=0,0,IF(AND(Z35="",Y35&lt;&gt;""),IF(Y35&gt;=0.999,1,0),IF(AF35&gt;=U35,1,0))))</f>
        <v/>
      </c>
      <c r="AH35" s="44">
        <f>IF(AF35&gt;0,(AD35-AE35)/AF35,"")</f>
        <v/>
      </c>
      <c r="AI35" s="45">
        <f>IF(AG35=1,AH35-O35,"")</f>
        <v/>
      </c>
      <c r="AJ35" s="44">
        <f>IF(AG35=1,AH35,MAX(-1,MIN(1,O35+INDEX(Types!$H:$H,MATCH($A35&amp;"|"&amp;$D35,Types!$A:$A,0)))))</f>
        <v/>
      </c>
      <c r="AK35" s="43">
        <f>IF(AG35=1,AF35,MAX(AQ35*AS35,AF35))</f>
        <v/>
      </c>
      <c r="AL35" s="43">
        <f>IF(AG35=1,AD35,AK35*(1+AJ35)/2)</f>
        <v/>
      </c>
      <c r="AM35" s="43">
        <f>IF(AG35=1,AE35,AK35*(1-AJ35)/2)</f>
        <v/>
      </c>
      <c r="AN35" s="45">
        <f>IF(AH35="","",AH35-T35)</f>
        <v/>
      </c>
      <c r="AO35" s="51">
        <f>IF(AG35=1,1,IF(U35&gt;0,MIN(AF35/U35,0.99),0))</f>
        <v/>
      </c>
      <c r="AP35" s="43">
        <f>IF(AG35=1,AI35*AF35,0)</f>
        <v/>
      </c>
      <c r="AQ35" s="43">
        <f>N35*(F35+G35)/H35</f>
        <v/>
      </c>
      <c r="AR35" s="43">
        <f>O35*AQ35</f>
        <v/>
      </c>
      <c r="AS35" s="52">
        <f>IF(AG35=1,IF(AQ35&gt;0,AF35/AQ35,1),IFERROR(INDEX(Types!$K:$K,MATCH($A35&amp;"|"&amp;$D35,Types!$A:$A,0)),INDEX(Dashboard!$X$6:$X$22,MATCH($A35,Dashboard!$A$6:$A$22,0))))</f>
        <v/>
      </c>
      <c r="AT35" s="43">
        <f>AQ35*INDEX(Dashboard!$Y$6:$Y$22,MATCH($A35,Dashboard!$A$6:$A$22,0))</f>
        <v/>
      </c>
      <c r="AU35" s="53">
        <f>IF(AND(AG35=1,AT35&gt;0,AF35&gt;0),100*AF35/AT35,"")</f>
        <v/>
      </c>
      <c r="AV35" s="44">
        <f>IF(AU35="","",T35/(AU35/100))</f>
        <v/>
      </c>
      <c r="AW35" s="53">
        <f>IF(AU35="","",IF(AND(ABS(AH35)&gt;=0.1,ABS(T35)&gt;=0.05,SIGN(AH35)=SIGN(T35)),100*T35/AH35,""))</f>
        <v/>
      </c>
      <c r="AX35" s="45">
        <f>IF(AU35="","",T35-AV35)</f>
        <v/>
      </c>
      <c r="AY35" s="45">
        <f>IF(AU35="","",AH35-AV35)</f>
        <v/>
      </c>
      <c r="AZ35" s="54">
        <f>(AL35-AM35)-T35*AT35</f>
        <v/>
      </c>
      <c r="BA35" s="43">
        <f>IF(AU35="",0,(AH35-T35)*AF35)</f>
        <v/>
      </c>
      <c r="BB35" s="43">
        <f>IF(AU35="",0,T35*(AF35-AT35))</f>
        <v/>
      </c>
      <c r="BC35" s="51" t="n"/>
      <c r="BD35" s="51" t="n"/>
      <c r="BE35" s="51" t="n"/>
      <c r="BF35" s="43" t="n"/>
    </row>
    <row r="36">
      <c r="A36" s="42" t="inlineStr">
        <is>
          <t>AK</t>
        </is>
      </c>
      <c r="B36" s="42" t="inlineStr">
        <is>
          <t>02040</t>
        </is>
      </c>
      <c r="C36" s="42" t="inlineStr">
        <is>
          <t>HD District 40</t>
        </is>
      </c>
      <c r="D36" s="42" t="inlineStr">
        <is>
          <t>Alaska district</t>
        </is>
      </c>
      <c r="E36" s="42" t="inlineStr"/>
      <c r="F36" s="43" t="n">
        <v>1362</v>
      </c>
      <c r="G36" s="43" t="n">
        <v>1688</v>
      </c>
      <c r="H36" s="43" t="n">
        <v>3050</v>
      </c>
      <c r="I36" s="43" t="n"/>
      <c r="J36" s="43" t="n"/>
      <c r="K36" s="42" t="inlineStr">
        <is>
          <t>US Senate</t>
        </is>
      </c>
      <c r="L36" s="43" t="n">
        <v>194</v>
      </c>
      <c r="M36" s="43" t="n">
        <v>1953</v>
      </c>
      <c r="N36" s="43" t="n">
        <v>2157</v>
      </c>
      <c r="O36" s="44">
        <f>IFERROR((F36-G36)/(F36+G36),"")</f>
        <v/>
      </c>
      <c r="P36" s="44">
        <f>IFERROR((I36-J36)/(I36+J36),"")</f>
        <v/>
      </c>
      <c r="Q36" s="45">
        <f>IFERROR(O36-P36,"")</f>
        <v/>
      </c>
      <c r="R36" s="44">
        <f>IFERROR((L36-M36)/(L36+M36),"")</f>
        <v/>
      </c>
      <c r="S36" s="46">
        <f>H36/SUMIFS(Counties!$H$2:$H$1583,Counties!$A$2:$A$1583,$A36)</f>
        <v/>
      </c>
      <c r="T36" s="44">
        <f>O36+INDEX(Dashboard!$F$6:$F$22,MATCH($A36,Dashboard!$A$6:$A$22,0))</f>
        <v/>
      </c>
      <c r="U36" s="43">
        <f>AQ36*INDEX(Dashboard!$G$6:$G$22,MATCH($A36,Dashboard!$A$6:$A$22,0))</f>
        <v/>
      </c>
      <c r="V36" s="47" t="n"/>
      <c r="W36" s="47" t="n"/>
      <c r="X36" s="47" t="n"/>
      <c r="Y36" s="48" t="n"/>
      <c r="Z36" s="49" t="n"/>
      <c r="AA36" s="49" t="n"/>
      <c r="AB36" s="49" t="n"/>
      <c r="AC36" s="50" t="n"/>
      <c r="AD36" s="43">
        <f>IF(Z36&lt;&gt;"",Z36,N(V36))</f>
        <v/>
      </c>
      <c r="AE36" s="43">
        <f>IF(AA36&lt;&gt;"",AA36,N(W36))</f>
        <v/>
      </c>
      <c r="AF36" s="43">
        <f>AD36+AE36</f>
        <v/>
      </c>
      <c r="AG36" s="42">
        <f>IF(UPPER(AC36)="Y",1,IF(AF36=0,0,IF(AND(Z36="",Y36&lt;&gt;""),IF(Y36&gt;=0.999,1,0),IF(AF36&gt;=U36,1,0))))</f>
        <v/>
      </c>
      <c r="AH36" s="44">
        <f>IF(AF36&gt;0,(AD36-AE36)/AF36,"")</f>
        <v/>
      </c>
      <c r="AI36" s="45">
        <f>IF(AG36=1,AH36-O36,"")</f>
        <v/>
      </c>
      <c r="AJ36" s="44">
        <f>IF(AG36=1,AH36,MAX(-1,MIN(1,O36+INDEX(Types!$H:$H,MATCH($A36&amp;"|"&amp;$D36,Types!$A:$A,0)))))</f>
        <v/>
      </c>
      <c r="AK36" s="43">
        <f>IF(AG36=1,AF36,MAX(AQ36*AS36,AF36))</f>
        <v/>
      </c>
      <c r="AL36" s="43">
        <f>IF(AG36=1,AD36,AK36*(1+AJ36)/2)</f>
        <v/>
      </c>
      <c r="AM36" s="43">
        <f>IF(AG36=1,AE36,AK36*(1-AJ36)/2)</f>
        <v/>
      </c>
      <c r="AN36" s="45">
        <f>IF(AH36="","",AH36-T36)</f>
        <v/>
      </c>
      <c r="AO36" s="51">
        <f>IF(AG36=1,1,IF(U36&gt;0,MIN(AF36/U36,0.99),0))</f>
        <v/>
      </c>
      <c r="AP36" s="43">
        <f>IF(AG36=1,AI36*AF36,0)</f>
        <v/>
      </c>
      <c r="AQ36" s="43">
        <f>N36*(F36+G36)/H36</f>
        <v/>
      </c>
      <c r="AR36" s="43">
        <f>O36*AQ36</f>
        <v/>
      </c>
      <c r="AS36" s="52">
        <f>IF(AG36=1,IF(AQ36&gt;0,AF36/AQ36,1),IFERROR(INDEX(Types!$K:$K,MATCH($A36&amp;"|"&amp;$D36,Types!$A:$A,0)),INDEX(Dashboard!$X$6:$X$22,MATCH($A36,Dashboard!$A$6:$A$22,0))))</f>
        <v/>
      </c>
      <c r="AT36" s="43">
        <f>AQ36*INDEX(Dashboard!$Y$6:$Y$22,MATCH($A36,Dashboard!$A$6:$A$22,0))</f>
        <v/>
      </c>
      <c r="AU36" s="53">
        <f>IF(AND(AG36=1,AT36&gt;0,AF36&gt;0),100*AF36/AT36,"")</f>
        <v/>
      </c>
      <c r="AV36" s="44">
        <f>IF(AU36="","",T36/(AU36/100))</f>
        <v/>
      </c>
      <c r="AW36" s="53">
        <f>IF(AU36="","",IF(AND(ABS(AH36)&gt;=0.1,ABS(T36)&gt;=0.05,SIGN(AH36)=SIGN(T36)),100*T36/AH36,""))</f>
        <v/>
      </c>
      <c r="AX36" s="45">
        <f>IF(AU36="","",T36-AV36)</f>
        <v/>
      </c>
      <c r="AY36" s="45">
        <f>IF(AU36="","",AH36-AV36)</f>
        <v/>
      </c>
      <c r="AZ36" s="54">
        <f>(AL36-AM36)-T36*AT36</f>
        <v/>
      </c>
      <c r="BA36" s="43">
        <f>IF(AU36="",0,(AH36-T36)*AF36)</f>
        <v/>
      </c>
      <c r="BB36" s="43">
        <f>IF(AU36="",0,T36*(AF36-AT36))</f>
        <v/>
      </c>
      <c r="BC36" s="51" t="n"/>
      <c r="BD36" s="51" t="n"/>
      <c r="BE36" s="51" t="n"/>
      <c r="BF36" s="43" t="n"/>
    </row>
    <row r="37">
      <c r="A37" s="42" t="inlineStr">
        <is>
          <t>AK</t>
        </is>
      </c>
      <c r="B37" s="42" t="inlineStr">
        <is>
          <t>02005</t>
        </is>
      </c>
      <c r="C37" s="42" t="inlineStr">
        <is>
          <t>HD District 5</t>
        </is>
      </c>
      <c r="D37" s="42" t="inlineStr">
        <is>
          <t>Alaska district</t>
        </is>
      </c>
      <c r="E37" s="42" t="inlineStr"/>
      <c r="F37" s="43" t="n">
        <v>3328</v>
      </c>
      <c r="G37" s="43" t="n">
        <v>4351</v>
      </c>
      <c r="H37" s="43" t="n">
        <v>7679</v>
      </c>
      <c r="I37" s="43" t="n"/>
      <c r="J37" s="43" t="n"/>
      <c r="K37" s="42" t="inlineStr">
        <is>
          <t>US Senate</t>
        </is>
      </c>
      <c r="L37" s="43" t="n">
        <v>347</v>
      </c>
      <c r="M37" s="43" t="n">
        <v>3392</v>
      </c>
      <c r="N37" s="43" t="n">
        <v>3747</v>
      </c>
      <c r="O37" s="44">
        <f>IFERROR((F37-G37)/(F37+G37),"")</f>
        <v/>
      </c>
      <c r="P37" s="44">
        <f>IFERROR((I37-J37)/(I37+J37),"")</f>
        <v/>
      </c>
      <c r="Q37" s="45">
        <f>IFERROR(O37-P37,"")</f>
        <v/>
      </c>
      <c r="R37" s="44">
        <f>IFERROR((L37-M37)/(L37+M37),"")</f>
        <v/>
      </c>
      <c r="S37" s="46">
        <f>H37/SUMIFS(Counties!$H$2:$H$1583,Counties!$A$2:$A$1583,$A37)</f>
        <v/>
      </c>
      <c r="T37" s="44">
        <f>O37+INDEX(Dashboard!$F$6:$F$22,MATCH($A37,Dashboard!$A$6:$A$22,0))</f>
        <v/>
      </c>
      <c r="U37" s="43">
        <f>AQ37*INDEX(Dashboard!$G$6:$G$22,MATCH($A37,Dashboard!$A$6:$A$22,0))</f>
        <v/>
      </c>
      <c r="V37" s="47" t="n"/>
      <c r="W37" s="47" t="n"/>
      <c r="X37" s="47" t="n"/>
      <c r="Y37" s="48" t="n"/>
      <c r="Z37" s="49" t="n"/>
      <c r="AA37" s="49" t="n"/>
      <c r="AB37" s="49" t="n"/>
      <c r="AC37" s="50" t="n"/>
      <c r="AD37" s="43">
        <f>IF(Z37&lt;&gt;"",Z37,N(V37))</f>
        <v/>
      </c>
      <c r="AE37" s="43">
        <f>IF(AA37&lt;&gt;"",AA37,N(W37))</f>
        <v/>
      </c>
      <c r="AF37" s="43">
        <f>AD37+AE37</f>
        <v/>
      </c>
      <c r="AG37" s="42">
        <f>IF(UPPER(AC37)="Y",1,IF(AF37=0,0,IF(AND(Z37="",Y37&lt;&gt;""),IF(Y37&gt;=0.999,1,0),IF(AF37&gt;=U37,1,0))))</f>
        <v/>
      </c>
      <c r="AH37" s="44">
        <f>IF(AF37&gt;0,(AD37-AE37)/AF37,"")</f>
        <v/>
      </c>
      <c r="AI37" s="45">
        <f>IF(AG37=1,AH37-O37,"")</f>
        <v/>
      </c>
      <c r="AJ37" s="44">
        <f>IF(AG37=1,AH37,MAX(-1,MIN(1,O37+INDEX(Types!$H:$H,MATCH($A37&amp;"|"&amp;$D37,Types!$A:$A,0)))))</f>
        <v/>
      </c>
      <c r="AK37" s="43">
        <f>IF(AG37=1,AF37,MAX(AQ37*AS37,AF37))</f>
        <v/>
      </c>
      <c r="AL37" s="43">
        <f>IF(AG37=1,AD37,AK37*(1+AJ37)/2)</f>
        <v/>
      </c>
      <c r="AM37" s="43">
        <f>IF(AG37=1,AE37,AK37*(1-AJ37)/2)</f>
        <v/>
      </c>
      <c r="AN37" s="45">
        <f>IF(AH37="","",AH37-T37)</f>
        <v/>
      </c>
      <c r="AO37" s="51">
        <f>IF(AG37=1,1,IF(U37&gt;0,MIN(AF37/U37,0.99),0))</f>
        <v/>
      </c>
      <c r="AP37" s="43">
        <f>IF(AG37=1,AI37*AF37,0)</f>
        <v/>
      </c>
      <c r="AQ37" s="43">
        <f>N37*(F37+G37)/H37</f>
        <v/>
      </c>
      <c r="AR37" s="43">
        <f>O37*AQ37</f>
        <v/>
      </c>
      <c r="AS37" s="52">
        <f>IF(AG37=1,IF(AQ37&gt;0,AF37/AQ37,1),IFERROR(INDEX(Types!$K:$K,MATCH($A37&amp;"|"&amp;$D37,Types!$A:$A,0)),INDEX(Dashboard!$X$6:$X$22,MATCH($A37,Dashboard!$A$6:$A$22,0))))</f>
        <v/>
      </c>
      <c r="AT37" s="43">
        <f>AQ37*INDEX(Dashboard!$Y$6:$Y$22,MATCH($A37,Dashboard!$A$6:$A$22,0))</f>
        <v/>
      </c>
      <c r="AU37" s="53">
        <f>IF(AND(AG37=1,AT37&gt;0,AF37&gt;0),100*AF37/AT37,"")</f>
        <v/>
      </c>
      <c r="AV37" s="44">
        <f>IF(AU37="","",T37/(AU37/100))</f>
        <v/>
      </c>
      <c r="AW37" s="53">
        <f>IF(AU37="","",IF(AND(ABS(AH37)&gt;=0.1,ABS(T37)&gt;=0.05,SIGN(AH37)=SIGN(T37)),100*T37/AH37,""))</f>
        <v/>
      </c>
      <c r="AX37" s="45">
        <f>IF(AU37="","",T37-AV37)</f>
        <v/>
      </c>
      <c r="AY37" s="45">
        <f>IF(AU37="","",AH37-AV37)</f>
        <v/>
      </c>
      <c r="AZ37" s="54">
        <f>(AL37-AM37)-T37*AT37</f>
        <v/>
      </c>
      <c r="BA37" s="43">
        <f>IF(AU37="",0,(AH37-T37)*AF37)</f>
        <v/>
      </c>
      <c r="BB37" s="43">
        <f>IF(AU37="",0,T37*(AF37-AT37))</f>
        <v/>
      </c>
      <c r="BC37" s="51" t="n"/>
      <c r="BD37" s="51" t="n"/>
      <c r="BE37" s="51" t="n"/>
      <c r="BF37" s="43" t="n"/>
    </row>
    <row r="38">
      <c r="A38" s="42" t="inlineStr">
        <is>
          <t>AK</t>
        </is>
      </c>
      <c r="B38" s="42" t="inlineStr">
        <is>
          <t>02006</t>
        </is>
      </c>
      <c r="C38" s="42" t="inlineStr">
        <is>
          <t>HD District 6</t>
        </is>
      </c>
      <c r="D38" s="42" t="inlineStr">
        <is>
          <t>Alaska district</t>
        </is>
      </c>
      <c r="E38" s="42" t="inlineStr"/>
      <c r="F38" s="43" t="n">
        <v>4773</v>
      </c>
      <c r="G38" s="43" t="n">
        <v>6705</v>
      </c>
      <c r="H38" s="43" t="n">
        <v>11478</v>
      </c>
      <c r="I38" s="43" t="n"/>
      <c r="J38" s="43" t="n"/>
      <c r="K38" s="42" t="inlineStr">
        <is>
          <t>US Senate</t>
        </is>
      </c>
      <c r="L38" s="43" t="n">
        <v>414</v>
      </c>
      <c r="M38" s="43" t="n">
        <v>5270</v>
      </c>
      <c r="N38" s="43" t="n">
        <v>5696</v>
      </c>
      <c r="O38" s="44">
        <f>IFERROR((F38-G38)/(F38+G38),"")</f>
        <v/>
      </c>
      <c r="P38" s="44">
        <f>IFERROR((I38-J38)/(I38+J38),"")</f>
        <v/>
      </c>
      <c r="Q38" s="45">
        <f>IFERROR(O38-P38,"")</f>
        <v/>
      </c>
      <c r="R38" s="44">
        <f>IFERROR((L38-M38)/(L38+M38),"")</f>
        <v/>
      </c>
      <c r="S38" s="46">
        <f>H38/SUMIFS(Counties!$H$2:$H$1583,Counties!$A$2:$A$1583,$A38)</f>
        <v/>
      </c>
      <c r="T38" s="44">
        <f>O38+INDEX(Dashboard!$F$6:$F$22,MATCH($A38,Dashboard!$A$6:$A$22,0))</f>
        <v/>
      </c>
      <c r="U38" s="43">
        <f>AQ38*INDEX(Dashboard!$G$6:$G$22,MATCH($A38,Dashboard!$A$6:$A$22,0))</f>
        <v/>
      </c>
      <c r="V38" s="47" t="n"/>
      <c r="W38" s="47" t="n"/>
      <c r="X38" s="47" t="n"/>
      <c r="Y38" s="48" t="n"/>
      <c r="Z38" s="49" t="n"/>
      <c r="AA38" s="49" t="n"/>
      <c r="AB38" s="49" t="n"/>
      <c r="AC38" s="50" t="n"/>
      <c r="AD38" s="43">
        <f>IF(Z38&lt;&gt;"",Z38,N(V38))</f>
        <v/>
      </c>
      <c r="AE38" s="43">
        <f>IF(AA38&lt;&gt;"",AA38,N(W38))</f>
        <v/>
      </c>
      <c r="AF38" s="43">
        <f>AD38+AE38</f>
        <v/>
      </c>
      <c r="AG38" s="42">
        <f>IF(UPPER(AC38)="Y",1,IF(AF38=0,0,IF(AND(Z38="",Y38&lt;&gt;""),IF(Y38&gt;=0.999,1,0),IF(AF38&gt;=U38,1,0))))</f>
        <v/>
      </c>
      <c r="AH38" s="44">
        <f>IF(AF38&gt;0,(AD38-AE38)/AF38,"")</f>
        <v/>
      </c>
      <c r="AI38" s="45">
        <f>IF(AG38=1,AH38-O38,"")</f>
        <v/>
      </c>
      <c r="AJ38" s="44">
        <f>IF(AG38=1,AH38,MAX(-1,MIN(1,O38+INDEX(Types!$H:$H,MATCH($A38&amp;"|"&amp;$D38,Types!$A:$A,0)))))</f>
        <v/>
      </c>
      <c r="AK38" s="43">
        <f>IF(AG38=1,AF38,MAX(AQ38*AS38,AF38))</f>
        <v/>
      </c>
      <c r="AL38" s="43">
        <f>IF(AG38=1,AD38,AK38*(1+AJ38)/2)</f>
        <v/>
      </c>
      <c r="AM38" s="43">
        <f>IF(AG38=1,AE38,AK38*(1-AJ38)/2)</f>
        <v/>
      </c>
      <c r="AN38" s="45">
        <f>IF(AH38="","",AH38-T38)</f>
        <v/>
      </c>
      <c r="AO38" s="51">
        <f>IF(AG38=1,1,IF(U38&gt;0,MIN(AF38/U38,0.99),0))</f>
        <v/>
      </c>
      <c r="AP38" s="43">
        <f>IF(AG38=1,AI38*AF38,0)</f>
        <v/>
      </c>
      <c r="AQ38" s="43">
        <f>N38*(F38+G38)/H38</f>
        <v/>
      </c>
      <c r="AR38" s="43">
        <f>O38*AQ38</f>
        <v/>
      </c>
      <c r="AS38" s="52">
        <f>IF(AG38=1,IF(AQ38&gt;0,AF38/AQ38,1),IFERROR(INDEX(Types!$K:$K,MATCH($A38&amp;"|"&amp;$D38,Types!$A:$A,0)),INDEX(Dashboard!$X$6:$X$22,MATCH($A38,Dashboard!$A$6:$A$22,0))))</f>
        <v/>
      </c>
      <c r="AT38" s="43">
        <f>AQ38*INDEX(Dashboard!$Y$6:$Y$22,MATCH($A38,Dashboard!$A$6:$A$22,0))</f>
        <v/>
      </c>
      <c r="AU38" s="53">
        <f>IF(AND(AG38=1,AT38&gt;0,AF38&gt;0),100*AF38/AT38,"")</f>
        <v/>
      </c>
      <c r="AV38" s="44">
        <f>IF(AU38="","",T38/(AU38/100))</f>
        <v/>
      </c>
      <c r="AW38" s="53">
        <f>IF(AU38="","",IF(AND(ABS(AH38)&gt;=0.1,ABS(T38)&gt;=0.05,SIGN(AH38)=SIGN(T38)),100*T38/AH38,""))</f>
        <v/>
      </c>
      <c r="AX38" s="45">
        <f>IF(AU38="","",T38-AV38)</f>
        <v/>
      </c>
      <c r="AY38" s="45">
        <f>IF(AU38="","",AH38-AV38)</f>
        <v/>
      </c>
      <c r="AZ38" s="54">
        <f>(AL38-AM38)-T38*AT38</f>
        <v/>
      </c>
      <c r="BA38" s="43">
        <f>IF(AU38="",0,(AH38-T38)*AF38)</f>
        <v/>
      </c>
      <c r="BB38" s="43">
        <f>IF(AU38="",0,T38*(AF38-AT38))</f>
        <v/>
      </c>
      <c r="BC38" s="51" t="n"/>
      <c r="BD38" s="51" t="n"/>
      <c r="BE38" s="51" t="n"/>
      <c r="BF38" s="43" t="n"/>
    </row>
    <row r="39">
      <c r="A39" s="42" t="inlineStr">
        <is>
          <t>AK</t>
        </is>
      </c>
      <c r="B39" s="42" t="inlineStr">
        <is>
          <t>02007</t>
        </is>
      </c>
      <c r="C39" s="42" t="inlineStr">
        <is>
          <t>HD District 7</t>
        </is>
      </c>
      <c r="D39" s="42" t="inlineStr">
        <is>
          <t>Alaska district</t>
        </is>
      </c>
      <c r="E39" s="42" t="inlineStr"/>
      <c r="F39" s="43" t="n">
        <v>2513</v>
      </c>
      <c r="G39" s="43" t="n">
        <v>6777</v>
      </c>
      <c r="H39" s="43" t="n">
        <v>9290</v>
      </c>
      <c r="I39" s="43" t="n"/>
      <c r="J39" s="43" t="n"/>
      <c r="K39" s="42" t="inlineStr">
        <is>
          <t>US Senate</t>
        </is>
      </c>
      <c r="L39" s="43" t="n">
        <v>234</v>
      </c>
      <c r="M39" s="43" t="n">
        <v>4335</v>
      </c>
      <c r="N39" s="43" t="n">
        <v>4577</v>
      </c>
      <c r="O39" s="44">
        <f>IFERROR((F39-G39)/(F39+G39),"")</f>
        <v/>
      </c>
      <c r="P39" s="44">
        <f>IFERROR((I39-J39)/(I39+J39),"")</f>
        <v/>
      </c>
      <c r="Q39" s="45">
        <f>IFERROR(O39-P39,"")</f>
        <v/>
      </c>
      <c r="R39" s="44">
        <f>IFERROR((L39-M39)/(L39+M39),"")</f>
        <v/>
      </c>
      <c r="S39" s="46">
        <f>H39/SUMIFS(Counties!$H$2:$H$1583,Counties!$A$2:$A$1583,$A39)</f>
        <v/>
      </c>
      <c r="T39" s="44">
        <f>O39+INDEX(Dashboard!$F$6:$F$22,MATCH($A39,Dashboard!$A$6:$A$22,0))</f>
        <v/>
      </c>
      <c r="U39" s="43">
        <f>AQ39*INDEX(Dashboard!$G$6:$G$22,MATCH($A39,Dashboard!$A$6:$A$22,0))</f>
        <v/>
      </c>
      <c r="V39" s="47" t="n"/>
      <c r="W39" s="47" t="n"/>
      <c r="X39" s="47" t="n"/>
      <c r="Y39" s="48" t="n"/>
      <c r="Z39" s="49" t="n"/>
      <c r="AA39" s="49" t="n"/>
      <c r="AB39" s="49" t="n"/>
      <c r="AC39" s="50" t="n"/>
      <c r="AD39" s="43">
        <f>IF(Z39&lt;&gt;"",Z39,N(V39))</f>
        <v/>
      </c>
      <c r="AE39" s="43">
        <f>IF(AA39&lt;&gt;"",AA39,N(W39))</f>
        <v/>
      </c>
      <c r="AF39" s="43">
        <f>AD39+AE39</f>
        <v/>
      </c>
      <c r="AG39" s="42">
        <f>IF(UPPER(AC39)="Y",1,IF(AF39=0,0,IF(AND(Z39="",Y39&lt;&gt;""),IF(Y39&gt;=0.999,1,0),IF(AF39&gt;=U39,1,0))))</f>
        <v/>
      </c>
      <c r="AH39" s="44">
        <f>IF(AF39&gt;0,(AD39-AE39)/AF39,"")</f>
        <v/>
      </c>
      <c r="AI39" s="45">
        <f>IF(AG39=1,AH39-O39,"")</f>
        <v/>
      </c>
      <c r="AJ39" s="44">
        <f>IF(AG39=1,AH39,MAX(-1,MIN(1,O39+INDEX(Types!$H:$H,MATCH($A39&amp;"|"&amp;$D39,Types!$A:$A,0)))))</f>
        <v/>
      </c>
      <c r="AK39" s="43">
        <f>IF(AG39=1,AF39,MAX(AQ39*AS39,AF39))</f>
        <v/>
      </c>
      <c r="AL39" s="43">
        <f>IF(AG39=1,AD39,AK39*(1+AJ39)/2)</f>
        <v/>
      </c>
      <c r="AM39" s="43">
        <f>IF(AG39=1,AE39,AK39*(1-AJ39)/2)</f>
        <v/>
      </c>
      <c r="AN39" s="45">
        <f>IF(AH39="","",AH39-T39)</f>
        <v/>
      </c>
      <c r="AO39" s="51">
        <f>IF(AG39=1,1,IF(U39&gt;0,MIN(AF39/U39,0.99),0))</f>
        <v/>
      </c>
      <c r="AP39" s="43">
        <f>IF(AG39=1,AI39*AF39,0)</f>
        <v/>
      </c>
      <c r="AQ39" s="43">
        <f>N39*(F39+G39)/H39</f>
        <v/>
      </c>
      <c r="AR39" s="43">
        <f>O39*AQ39</f>
        <v/>
      </c>
      <c r="AS39" s="52">
        <f>IF(AG39=1,IF(AQ39&gt;0,AF39/AQ39,1),IFERROR(INDEX(Types!$K:$K,MATCH($A39&amp;"|"&amp;$D39,Types!$A:$A,0)),INDEX(Dashboard!$X$6:$X$22,MATCH($A39,Dashboard!$A$6:$A$22,0))))</f>
        <v/>
      </c>
      <c r="AT39" s="43">
        <f>AQ39*INDEX(Dashboard!$Y$6:$Y$22,MATCH($A39,Dashboard!$A$6:$A$22,0))</f>
        <v/>
      </c>
      <c r="AU39" s="53">
        <f>IF(AND(AG39=1,AT39&gt;0,AF39&gt;0),100*AF39/AT39,"")</f>
        <v/>
      </c>
      <c r="AV39" s="44">
        <f>IF(AU39="","",T39/(AU39/100))</f>
        <v/>
      </c>
      <c r="AW39" s="53">
        <f>IF(AU39="","",IF(AND(ABS(AH39)&gt;=0.1,ABS(T39)&gt;=0.05,SIGN(AH39)=SIGN(T39)),100*T39/AH39,""))</f>
        <v/>
      </c>
      <c r="AX39" s="45">
        <f>IF(AU39="","",T39-AV39)</f>
        <v/>
      </c>
      <c r="AY39" s="45">
        <f>IF(AU39="","",AH39-AV39)</f>
        <v/>
      </c>
      <c r="AZ39" s="54">
        <f>(AL39-AM39)-T39*AT39</f>
        <v/>
      </c>
      <c r="BA39" s="43">
        <f>IF(AU39="",0,(AH39-T39)*AF39)</f>
        <v/>
      </c>
      <c r="BB39" s="43">
        <f>IF(AU39="",0,T39*(AF39-AT39))</f>
        <v/>
      </c>
      <c r="BC39" s="51" t="n"/>
      <c r="BD39" s="51" t="n"/>
      <c r="BE39" s="51" t="n"/>
      <c r="BF39" s="43" t="n"/>
    </row>
    <row r="40">
      <c r="A40" s="42" t="inlineStr">
        <is>
          <t>AK</t>
        </is>
      </c>
      <c r="B40" s="42" t="inlineStr">
        <is>
          <t>02008</t>
        </is>
      </c>
      <c r="C40" s="42" t="inlineStr">
        <is>
          <t>HD District 8</t>
        </is>
      </c>
      <c r="D40" s="42" t="inlineStr">
        <is>
          <t>Alaska district</t>
        </is>
      </c>
      <c r="E40" s="42" t="inlineStr"/>
      <c r="F40" s="43" t="n">
        <v>2576</v>
      </c>
      <c r="G40" s="43" t="n">
        <v>7950</v>
      </c>
      <c r="H40" s="43" t="n">
        <v>10526</v>
      </c>
      <c r="I40" s="43" t="n"/>
      <c r="J40" s="43" t="n"/>
      <c r="K40" s="42" t="inlineStr">
        <is>
          <t>US Senate</t>
        </is>
      </c>
      <c r="L40" s="43" t="n">
        <v>247</v>
      </c>
      <c r="M40" s="43" t="n">
        <v>5445</v>
      </c>
      <c r="N40" s="43" t="n">
        <v>5707</v>
      </c>
      <c r="O40" s="44">
        <f>IFERROR((F40-G40)/(F40+G40),"")</f>
        <v/>
      </c>
      <c r="P40" s="44">
        <f>IFERROR((I40-J40)/(I40+J40),"")</f>
        <v/>
      </c>
      <c r="Q40" s="45">
        <f>IFERROR(O40-P40,"")</f>
        <v/>
      </c>
      <c r="R40" s="44">
        <f>IFERROR((L40-M40)/(L40+M40),"")</f>
        <v/>
      </c>
      <c r="S40" s="46">
        <f>H40/SUMIFS(Counties!$H$2:$H$1583,Counties!$A$2:$A$1583,$A40)</f>
        <v/>
      </c>
      <c r="T40" s="44">
        <f>O40+INDEX(Dashboard!$F$6:$F$22,MATCH($A40,Dashboard!$A$6:$A$22,0))</f>
        <v/>
      </c>
      <c r="U40" s="43">
        <f>AQ40*INDEX(Dashboard!$G$6:$G$22,MATCH($A40,Dashboard!$A$6:$A$22,0))</f>
        <v/>
      </c>
      <c r="V40" s="47" t="n"/>
      <c r="W40" s="47" t="n"/>
      <c r="X40" s="47" t="n"/>
      <c r="Y40" s="48" t="n"/>
      <c r="Z40" s="49" t="n"/>
      <c r="AA40" s="49" t="n"/>
      <c r="AB40" s="49" t="n"/>
      <c r="AC40" s="50" t="n"/>
      <c r="AD40" s="43">
        <f>IF(Z40&lt;&gt;"",Z40,N(V40))</f>
        <v/>
      </c>
      <c r="AE40" s="43">
        <f>IF(AA40&lt;&gt;"",AA40,N(W40))</f>
        <v/>
      </c>
      <c r="AF40" s="43">
        <f>AD40+AE40</f>
        <v/>
      </c>
      <c r="AG40" s="42">
        <f>IF(UPPER(AC40)="Y",1,IF(AF40=0,0,IF(AND(Z40="",Y40&lt;&gt;""),IF(Y40&gt;=0.999,1,0),IF(AF40&gt;=U40,1,0))))</f>
        <v/>
      </c>
      <c r="AH40" s="44">
        <f>IF(AF40&gt;0,(AD40-AE40)/AF40,"")</f>
        <v/>
      </c>
      <c r="AI40" s="45">
        <f>IF(AG40=1,AH40-O40,"")</f>
        <v/>
      </c>
      <c r="AJ40" s="44">
        <f>IF(AG40=1,AH40,MAX(-1,MIN(1,O40+INDEX(Types!$H:$H,MATCH($A40&amp;"|"&amp;$D40,Types!$A:$A,0)))))</f>
        <v/>
      </c>
      <c r="AK40" s="43">
        <f>IF(AG40=1,AF40,MAX(AQ40*AS40,AF40))</f>
        <v/>
      </c>
      <c r="AL40" s="43">
        <f>IF(AG40=1,AD40,AK40*(1+AJ40)/2)</f>
        <v/>
      </c>
      <c r="AM40" s="43">
        <f>IF(AG40=1,AE40,AK40*(1-AJ40)/2)</f>
        <v/>
      </c>
      <c r="AN40" s="45">
        <f>IF(AH40="","",AH40-T40)</f>
        <v/>
      </c>
      <c r="AO40" s="51">
        <f>IF(AG40=1,1,IF(U40&gt;0,MIN(AF40/U40,0.99),0))</f>
        <v/>
      </c>
      <c r="AP40" s="43">
        <f>IF(AG40=1,AI40*AF40,0)</f>
        <v/>
      </c>
      <c r="AQ40" s="43">
        <f>N40*(F40+G40)/H40</f>
        <v/>
      </c>
      <c r="AR40" s="43">
        <f>O40*AQ40</f>
        <v/>
      </c>
      <c r="AS40" s="52">
        <f>IF(AG40=1,IF(AQ40&gt;0,AF40/AQ40,1),IFERROR(INDEX(Types!$K:$K,MATCH($A40&amp;"|"&amp;$D40,Types!$A:$A,0)),INDEX(Dashboard!$X$6:$X$22,MATCH($A40,Dashboard!$A$6:$A$22,0))))</f>
        <v/>
      </c>
      <c r="AT40" s="43">
        <f>AQ40*INDEX(Dashboard!$Y$6:$Y$22,MATCH($A40,Dashboard!$A$6:$A$22,0))</f>
        <v/>
      </c>
      <c r="AU40" s="53">
        <f>IF(AND(AG40=1,AT40&gt;0,AF40&gt;0),100*AF40/AT40,"")</f>
        <v/>
      </c>
      <c r="AV40" s="44">
        <f>IF(AU40="","",T40/(AU40/100))</f>
        <v/>
      </c>
      <c r="AW40" s="53">
        <f>IF(AU40="","",IF(AND(ABS(AH40)&gt;=0.1,ABS(T40)&gt;=0.05,SIGN(AH40)=SIGN(T40)),100*T40/AH40,""))</f>
        <v/>
      </c>
      <c r="AX40" s="45">
        <f>IF(AU40="","",T40-AV40)</f>
        <v/>
      </c>
      <c r="AY40" s="45">
        <f>IF(AU40="","",AH40-AV40)</f>
        <v/>
      </c>
      <c r="AZ40" s="54">
        <f>(AL40-AM40)-T40*AT40</f>
        <v/>
      </c>
      <c r="BA40" s="43">
        <f>IF(AU40="",0,(AH40-T40)*AF40)</f>
        <v/>
      </c>
      <c r="BB40" s="43">
        <f>IF(AU40="",0,T40*(AF40-AT40))</f>
        <v/>
      </c>
      <c r="BC40" s="51" t="n"/>
      <c r="BD40" s="51" t="n"/>
      <c r="BE40" s="51" t="n"/>
      <c r="BF40" s="43" t="n"/>
    </row>
    <row r="41">
      <c r="A41" s="42" t="inlineStr">
        <is>
          <t>AK</t>
        </is>
      </c>
      <c r="B41" s="42" t="inlineStr">
        <is>
          <t>02009</t>
        </is>
      </c>
      <c r="C41" s="42" t="inlineStr">
        <is>
          <t>HD District 9</t>
        </is>
      </c>
      <c r="D41" s="42" t="inlineStr">
        <is>
          <t>Alaska district</t>
        </is>
      </c>
      <c r="E41" s="42" t="inlineStr"/>
      <c r="F41" s="43" t="n">
        <v>5849</v>
      </c>
      <c r="G41" s="43" t="n">
        <v>5581</v>
      </c>
      <c r="H41" s="43" t="n">
        <v>11430</v>
      </c>
      <c r="I41" s="43" t="n"/>
      <c r="J41" s="43" t="n"/>
      <c r="K41" s="42" t="inlineStr">
        <is>
          <t>US Senate</t>
        </is>
      </c>
      <c r="L41" s="43" t="n">
        <v>444</v>
      </c>
      <c r="M41" s="43" t="n">
        <v>5491</v>
      </c>
      <c r="N41" s="43" t="n">
        <v>5944</v>
      </c>
      <c r="O41" s="44">
        <f>IFERROR((F41-G41)/(F41+G41),"")</f>
        <v/>
      </c>
      <c r="P41" s="44">
        <f>IFERROR((I41-J41)/(I41+J41),"")</f>
        <v/>
      </c>
      <c r="Q41" s="45">
        <f>IFERROR(O41-P41,"")</f>
        <v/>
      </c>
      <c r="R41" s="44">
        <f>IFERROR((L41-M41)/(L41+M41),"")</f>
        <v/>
      </c>
      <c r="S41" s="46">
        <f>H41/SUMIFS(Counties!$H$2:$H$1583,Counties!$A$2:$A$1583,$A41)</f>
        <v/>
      </c>
      <c r="T41" s="44">
        <f>O41+INDEX(Dashboard!$F$6:$F$22,MATCH($A41,Dashboard!$A$6:$A$22,0))</f>
        <v/>
      </c>
      <c r="U41" s="43">
        <f>AQ41*INDEX(Dashboard!$G$6:$G$22,MATCH($A41,Dashboard!$A$6:$A$22,0))</f>
        <v/>
      </c>
      <c r="V41" s="47" t="n"/>
      <c r="W41" s="47" t="n"/>
      <c r="X41" s="47" t="n"/>
      <c r="Y41" s="48" t="n"/>
      <c r="Z41" s="49" t="n"/>
      <c r="AA41" s="49" t="n"/>
      <c r="AB41" s="49" t="n"/>
      <c r="AC41" s="50" t="n"/>
      <c r="AD41" s="43">
        <f>IF(Z41&lt;&gt;"",Z41,N(V41))</f>
        <v/>
      </c>
      <c r="AE41" s="43">
        <f>IF(AA41&lt;&gt;"",AA41,N(W41))</f>
        <v/>
      </c>
      <c r="AF41" s="43">
        <f>AD41+AE41</f>
        <v/>
      </c>
      <c r="AG41" s="42">
        <f>IF(UPPER(AC41)="Y",1,IF(AF41=0,0,IF(AND(Z41="",Y41&lt;&gt;""),IF(Y41&gt;=0.999,1,0),IF(AF41&gt;=U41,1,0))))</f>
        <v/>
      </c>
      <c r="AH41" s="44">
        <f>IF(AF41&gt;0,(AD41-AE41)/AF41,"")</f>
        <v/>
      </c>
      <c r="AI41" s="45">
        <f>IF(AG41=1,AH41-O41,"")</f>
        <v/>
      </c>
      <c r="AJ41" s="44">
        <f>IF(AG41=1,AH41,MAX(-1,MIN(1,O41+INDEX(Types!$H:$H,MATCH($A41&amp;"|"&amp;$D41,Types!$A:$A,0)))))</f>
        <v/>
      </c>
      <c r="AK41" s="43">
        <f>IF(AG41=1,AF41,MAX(AQ41*AS41,AF41))</f>
        <v/>
      </c>
      <c r="AL41" s="43">
        <f>IF(AG41=1,AD41,AK41*(1+AJ41)/2)</f>
        <v/>
      </c>
      <c r="AM41" s="43">
        <f>IF(AG41=1,AE41,AK41*(1-AJ41)/2)</f>
        <v/>
      </c>
      <c r="AN41" s="45">
        <f>IF(AH41="","",AH41-T41)</f>
        <v/>
      </c>
      <c r="AO41" s="51">
        <f>IF(AG41=1,1,IF(U41&gt;0,MIN(AF41/U41,0.99),0))</f>
        <v/>
      </c>
      <c r="AP41" s="43">
        <f>IF(AG41=1,AI41*AF41,0)</f>
        <v/>
      </c>
      <c r="AQ41" s="43">
        <f>N41*(F41+G41)/H41</f>
        <v/>
      </c>
      <c r="AR41" s="43">
        <f>O41*AQ41</f>
        <v/>
      </c>
      <c r="AS41" s="52">
        <f>IF(AG41=1,IF(AQ41&gt;0,AF41/AQ41,1),IFERROR(INDEX(Types!$K:$K,MATCH($A41&amp;"|"&amp;$D41,Types!$A:$A,0)),INDEX(Dashboard!$X$6:$X$22,MATCH($A41,Dashboard!$A$6:$A$22,0))))</f>
        <v/>
      </c>
      <c r="AT41" s="43">
        <f>AQ41*INDEX(Dashboard!$Y$6:$Y$22,MATCH($A41,Dashboard!$A$6:$A$22,0))</f>
        <v/>
      </c>
      <c r="AU41" s="53">
        <f>IF(AND(AG41=1,AT41&gt;0,AF41&gt;0),100*AF41/AT41,"")</f>
        <v/>
      </c>
      <c r="AV41" s="44">
        <f>IF(AU41="","",T41/(AU41/100))</f>
        <v/>
      </c>
      <c r="AW41" s="53">
        <f>IF(AU41="","",IF(AND(ABS(AH41)&gt;=0.1,ABS(T41)&gt;=0.05,SIGN(AH41)=SIGN(T41)),100*T41/AH41,""))</f>
        <v/>
      </c>
      <c r="AX41" s="45">
        <f>IF(AU41="","",T41-AV41)</f>
        <v/>
      </c>
      <c r="AY41" s="45">
        <f>IF(AU41="","",AH41-AV41)</f>
        <v/>
      </c>
      <c r="AZ41" s="54">
        <f>(AL41-AM41)-T41*AT41</f>
        <v/>
      </c>
      <c r="BA41" s="43">
        <f>IF(AU41="",0,(AH41-T41)*AF41)</f>
        <v/>
      </c>
      <c r="BB41" s="43">
        <f>IF(AU41="",0,T41*(AF41-AT41))</f>
        <v/>
      </c>
      <c r="BC41" s="51" t="n"/>
      <c r="BD41" s="51" t="n"/>
      <c r="BE41" s="51" t="n"/>
      <c r="BF41" s="43" t="n"/>
    </row>
    <row r="42">
      <c r="A42" s="42" t="inlineStr">
        <is>
          <t>GA</t>
        </is>
      </c>
      <c r="B42" s="42" t="inlineStr">
        <is>
          <t>13001</t>
        </is>
      </c>
      <c r="C42" s="42" t="inlineStr">
        <is>
          <t>Appling</t>
        </is>
      </c>
      <c r="D42" s="42" t="inlineStr">
        <is>
          <t>Small town &amp; rural</t>
        </is>
      </c>
      <c r="E42" s="42" t="inlineStr"/>
      <c r="F42" s="43" t="n">
        <v>1560</v>
      </c>
      <c r="G42" s="43" t="n">
        <v>6761</v>
      </c>
      <c r="H42" s="43" t="n">
        <v>8334</v>
      </c>
      <c r="I42" s="43" t="n">
        <v>1784</v>
      </c>
      <c r="J42" s="43" t="n">
        <v>6570</v>
      </c>
      <c r="K42" s="42" t="inlineStr">
        <is>
          <t>US Senate</t>
        </is>
      </c>
      <c r="L42" s="43" t="n">
        <v>1260</v>
      </c>
      <c r="M42" s="43" t="n">
        <v>5344</v>
      </c>
      <c r="N42" s="43" t="n">
        <v>6669</v>
      </c>
      <c r="O42" s="44">
        <f>IFERROR((F42-G42)/(F42+G42),"")</f>
        <v/>
      </c>
      <c r="P42" s="44">
        <f>IFERROR((I42-J42)/(I42+J42),"")</f>
        <v/>
      </c>
      <c r="Q42" s="45">
        <f>IFERROR(O42-P42,"")</f>
        <v/>
      </c>
      <c r="R42" s="44">
        <f>IFERROR((L42-M42)/(L42+M42),"")</f>
        <v/>
      </c>
      <c r="S42" s="46">
        <f>H42/SUMIFS(Counties!$H$2:$H$1583,Counties!$A$2:$A$1583,$A42)</f>
        <v/>
      </c>
      <c r="T42" s="44">
        <f>O42+INDEX(Dashboard!$F$6:$F$22,MATCH($A42,Dashboard!$A$6:$A$22,0))</f>
        <v/>
      </c>
      <c r="U42" s="43">
        <f>AQ42*INDEX(Dashboard!$G$6:$G$22,MATCH($A42,Dashboard!$A$6:$A$22,0))</f>
        <v/>
      </c>
      <c r="V42" s="47" t="n"/>
      <c r="W42" s="47" t="n"/>
      <c r="X42" s="47" t="n"/>
      <c r="Y42" s="48" t="n"/>
      <c r="Z42" s="49" t="n"/>
      <c r="AA42" s="49" t="n"/>
      <c r="AB42" s="49" t="n"/>
      <c r="AC42" s="50" t="n"/>
      <c r="AD42" s="43">
        <f>IF(Z42&lt;&gt;"",Z42,N(V42))</f>
        <v/>
      </c>
      <c r="AE42" s="43">
        <f>IF(AA42&lt;&gt;"",AA42,N(W42))</f>
        <v/>
      </c>
      <c r="AF42" s="43">
        <f>AD42+AE42</f>
        <v/>
      </c>
      <c r="AG42" s="42">
        <f>IF(UPPER(AC42)="Y",1,IF(AF42=0,0,IF(AND(Z42="",Y42&lt;&gt;""),IF(Y42&gt;=0.999,1,0),IF(AF42&gt;=U42,1,0))))</f>
        <v/>
      </c>
      <c r="AH42" s="44">
        <f>IF(AF42&gt;0,(AD42-AE42)/AF42,"")</f>
        <v/>
      </c>
      <c r="AI42" s="45">
        <f>IF(AG42=1,AH42-O42,"")</f>
        <v/>
      </c>
      <c r="AJ42" s="44">
        <f>IF(AG42=1,AH42,MAX(-1,MIN(1,O42+INDEX(Types!$H:$H,MATCH($A42&amp;"|"&amp;$D42,Types!$A:$A,0)))))</f>
        <v/>
      </c>
      <c r="AK42" s="43">
        <f>IF(AG42=1,AF42,MAX(AQ42*AS42,AF42))</f>
        <v/>
      </c>
      <c r="AL42" s="43">
        <f>IF(AG42=1,AD42,AK42*(1+AJ42)/2)</f>
        <v/>
      </c>
      <c r="AM42" s="43">
        <f>IF(AG42=1,AE42,AK42*(1-AJ42)/2)</f>
        <v/>
      </c>
      <c r="AN42" s="45">
        <f>IF(AH42="","",AH42-T42)</f>
        <v/>
      </c>
      <c r="AO42" s="51">
        <f>IF(AG42=1,1,IF(U42&gt;0,MIN(AF42/U42,0.99),0))</f>
        <v/>
      </c>
      <c r="AP42" s="43">
        <f>IF(AG42=1,AI42*AF42,0)</f>
        <v/>
      </c>
      <c r="AQ42" s="43">
        <f>N42*(F42+G42)/H42</f>
        <v/>
      </c>
      <c r="AR42" s="43">
        <f>O42*AQ42</f>
        <v/>
      </c>
      <c r="AS42" s="52">
        <f>IF(AG42=1,IF(AQ42&gt;0,AF42/AQ42,1),IFERROR(INDEX(Types!$K:$K,MATCH($A42&amp;"|"&amp;$D42,Types!$A:$A,0)),INDEX(Dashboard!$X$6:$X$22,MATCH($A42,Dashboard!$A$6:$A$22,0))))</f>
        <v/>
      </c>
      <c r="AT42" s="43">
        <f>AQ42*INDEX(Dashboard!$Y$6:$Y$22,MATCH($A42,Dashboard!$A$6:$A$22,0))</f>
        <v/>
      </c>
      <c r="AU42" s="53">
        <f>IF(AND(AG42=1,AT42&gt;0,AF42&gt;0),100*AF42/AT42,"")</f>
        <v/>
      </c>
      <c r="AV42" s="44">
        <f>IF(AU42="","",T42/(AU42/100))</f>
        <v/>
      </c>
      <c r="AW42" s="53">
        <f>IF(AU42="","",IF(AND(ABS(AH42)&gt;=0.1,ABS(T42)&gt;=0.05,SIGN(AH42)=SIGN(T42)),100*T42/AH42,""))</f>
        <v/>
      </c>
      <c r="AX42" s="45">
        <f>IF(AU42="","",T42-AV42)</f>
        <v/>
      </c>
      <c r="AY42" s="45">
        <f>IF(AU42="","",AH42-AV42)</f>
        <v/>
      </c>
      <c r="AZ42" s="54">
        <f>(AL42-AM42)-T42*AT42</f>
        <v/>
      </c>
      <c r="BA42" s="43">
        <f>IF(AU42="",0,(AH42-T42)*AF42)</f>
        <v/>
      </c>
      <c r="BB42" s="43">
        <f>IF(AU42="",0,T42*(AF42-AT42))</f>
        <v/>
      </c>
      <c r="BC42" s="51" t="n">
        <v>0.1849162919217641</v>
      </c>
      <c r="BD42" s="51" t="n">
        <v>0.1105271712629355</v>
      </c>
      <c r="BE42" s="51" t="n">
        <v>0.09948709598632256</v>
      </c>
      <c r="BF42" s="43" t="n">
        <v>18457</v>
      </c>
    </row>
    <row r="43">
      <c r="A43" s="42" t="inlineStr">
        <is>
          <t>GA</t>
        </is>
      </c>
      <c r="B43" s="42" t="inlineStr">
        <is>
          <t>13003</t>
        </is>
      </c>
      <c r="C43" s="42" t="inlineStr">
        <is>
          <t>Atkinson</t>
        </is>
      </c>
      <c r="D43" s="42" t="inlineStr">
        <is>
          <t>Small town &amp; rural</t>
        </is>
      </c>
      <c r="E43" s="42" t="inlineStr"/>
      <c r="F43" s="43" t="n">
        <v>700</v>
      </c>
      <c r="G43" s="43" t="n">
        <v>2350</v>
      </c>
      <c r="H43" s="43" t="n">
        <v>3057</v>
      </c>
      <c r="I43" s="43" t="n">
        <v>825</v>
      </c>
      <c r="J43" s="43" t="n">
        <v>2300</v>
      </c>
      <c r="K43" s="42" t="inlineStr">
        <is>
          <t>US Senate</t>
        </is>
      </c>
      <c r="L43" s="43" t="n">
        <v>502</v>
      </c>
      <c r="M43" s="43" t="n">
        <v>1709</v>
      </c>
      <c r="N43" s="43" t="n">
        <v>2238</v>
      </c>
      <c r="O43" s="44">
        <f>IFERROR((F43-G43)/(F43+G43),"")</f>
        <v/>
      </c>
      <c r="P43" s="44">
        <f>IFERROR((I43-J43)/(I43+J43),"")</f>
        <v/>
      </c>
      <c r="Q43" s="45">
        <f>IFERROR(O43-P43,"")</f>
        <v/>
      </c>
      <c r="R43" s="44">
        <f>IFERROR((L43-M43)/(L43+M43),"")</f>
        <v/>
      </c>
      <c r="S43" s="46">
        <f>H43/SUMIFS(Counties!$H$2:$H$1583,Counties!$A$2:$A$1583,$A43)</f>
        <v/>
      </c>
      <c r="T43" s="44">
        <f>O43+INDEX(Dashboard!$F$6:$F$22,MATCH($A43,Dashboard!$A$6:$A$22,0))</f>
        <v/>
      </c>
      <c r="U43" s="43">
        <f>AQ43*INDEX(Dashboard!$G$6:$G$22,MATCH($A43,Dashboard!$A$6:$A$22,0))</f>
        <v/>
      </c>
      <c r="V43" s="47" t="n"/>
      <c r="W43" s="47" t="n"/>
      <c r="X43" s="47" t="n"/>
      <c r="Y43" s="48" t="n"/>
      <c r="Z43" s="49" t="n"/>
      <c r="AA43" s="49" t="n"/>
      <c r="AB43" s="49" t="n"/>
      <c r="AC43" s="50" t="n"/>
      <c r="AD43" s="43">
        <f>IF(Z43&lt;&gt;"",Z43,N(V43))</f>
        <v/>
      </c>
      <c r="AE43" s="43">
        <f>IF(AA43&lt;&gt;"",AA43,N(W43))</f>
        <v/>
      </c>
      <c r="AF43" s="43">
        <f>AD43+AE43</f>
        <v/>
      </c>
      <c r="AG43" s="42">
        <f>IF(UPPER(AC43)="Y",1,IF(AF43=0,0,IF(AND(Z43="",Y43&lt;&gt;""),IF(Y43&gt;=0.999,1,0),IF(AF43&gt;=U43,1,0))))</f>
        <v/>
      </c>
      <c r="AH43" s="44">
        <f>IF(AF43&gt;0,(AD43-AE43)/AF43,"")</f>
        <v/>
      </c>
      <c r="AI43" s="45">
        <f>IF(AG43=1,AH43-O43,"")</f>
        <v/>
      </c>
      <c r="AJ43" s="44">
        <f>IF(AG43=1,AH43,MAX(-1,MIN(1,O43+INDEX(Types!$H:$H,MATCH($A43&amp;"|"&amp;$D43,Types!$A:$A,0)))))</f>
        <v/>
      </c>
      <c r="AK43" s="43">
        <f>IF(AG43=1,AF43,MAX(AQ43*AS43,AF43))</f>
        <v/>
      </c>
      <c r="AL43" s="43">
        <f>IF(AG43=1,AD43,AK43*(1+AJ43)/2)</f>
        <v/>
      </c>
      <c r="AM43" s="43">
        <f>IF(AG43=1,AE43,AK43*(1-AJ43)/2)</f>
        <v/>
      </c>
      <c r="AN43" s="45">
        <f>IF(AH43="","",AH43-T43)</f>
        <v/>
      </c>
      <c r="AO43" s="51">
        <f>IF(AG43=1,1,IF(U43&gt;0,MIN(AF43/U43,0.99),0))</f>
        <v/>
      </c>
      <c r="AP43" s="43">
        <f>IF(AG43=1,AI43*AF43,0)</f>
        <v/>
      </c>
      <c r="AQ43" s="43">
        <f>N43*(F43+G43)/H43</f>
        <v/>
      </c>
      <c r="AR43" s="43">
        <f>O43*AQ43</f>
        <v/>
      </c>
      <c r="AS43" s="52">
        <f>IF(AG43=1,IF(AQ43&gt;0,AF43/AQ43,1),IFERROR(INDEX(Types!$K:$K,MATCH($A43&amp;"|"&amp;$D43,Types!$A:$A,0)),INDEX(Dashboard!$X$6:$X$22,MATCH($A43,Dashboard!$A$6:$A$22,0))))</f>
        <v/>
      </c>
      <c r="AT43" s="43">
        <f>AQ43*INDEX(Dashboard!$Y$6:$Y$22,MATCH($A43,Dashboard!$A$6:$A$22,0))</f>
        <v/>
      </c>
      <c r="AU43" s="53">
        <f>IF(AND(AG43=1,AT43&gt;0,AF43&gt;0),100*AF43/AT43,"")</f>
        <v/>
      </c>
      <c r="AV43" s="44">
        <f>IF(AU43="","",T43/(AU43/100))</f>
        <v/>
      </c>
      <c r="AW43" s="53">
        <f>IF(AU43="","",IF(AND(ABS(AH43)&gt;=0.1,ABS(T43)&gt;=0.05,SIGN(AH43)=SIGN(T43)),100*T43/AH43,""))</f>
        <v/>
      </c>
      <c r="AX43" s="45">
        <f>IF(AU43="","",T43-AV43)</f>
        <v/>
      </c>
      <c r="AY43" s="45">
        <f>IF(AU43="","",AH43-AV43)</f>
        <v/>
      </c>
      <c r="AZ43" s="54">
        <f>(AL43-AM43)-T43*AT43</f>
        <v/>
      </c>
      <c r="BA43" s="43">
        <f>IF(AU43="",0,(AH43-T43)*AF43)</f>
        <v/>
      </c>
      <c r="BB43" s="43">
        <f>IF(AU43="",0,T43*(AF43-AT43))</f>
        <v/>
      </c>
      <c r="BC43" s="51" t="n">
        <v>0.1512118654286748</v>
      </c>
      <c r="BD43" s="51" t="n">
        <v>0.2859037742674545</v>
      </c>
      <c r="BE43" s="51" t="n">
        <v>0.09815390239444342</v>
      </c>
      <c r="BF43" s="43" t="n">
        <v>8293</v>
      </c>
    </row>
    <row r="44">
      <c r="A44" s="42" t="inlineStr">
        <is>
          <t>GA</t>
        </is>
      </c>
      <c r="B44" s="42" t="inlineStr">
        <is>
          <t>13005</t>
        </is>
      </c>
      <c r="C44" s="42" t="inlineStr">
        <is>
          <t>Bacon</t>
        </is>
      </c>
      <c r="D44" s="42" t="inlineStr">
        <is>
          <t>Small town &amp; rural</t>
        </is>
      </c>
      <c r="E44" s="42" t="inlineStr"/>
      <c r="F44" s="43" t="n">
        <v>645</v>
      </c>
      <c r="G44" s="43" t="n">
        <v>4186</v>
      </c>
      <c r="H44" s="43" t="n">
        <v>4839</v>
      </c>
      <c r="I44" s="43" t="n">
        <v>625</v>
      </c>
      <c r="J44" s="43" t="n">
        <v>4017</v>
      </c>
      <c r="K44" s="42" t="inlineStr">
        <is>
          <t>US Senate</t>
        </is>
      </c>
      <c r="L44" s="43" t="n">
        <v>458</v>
      </c>
      <c r="M44" s="43" t="n">
        <v>3204</v>
      </c>
      <c r="N44" s="43" t="n">
        <v>3710</v>
      </c>
      <c r="O44" s="44">
        <f>IFERROR((F44-G44)/(F44+G44),"")</f>
        <v/>
      </c>
      <c r="P44" s="44">
        <f>IFERROR((I44-J44)/(I44+J44),"")</f>
        <v/>
      </c>
      <c r="Q44" s="45">
        <f>IFERROR(O44-P44,"")</f>
        <v/>
      </c>
      <c r="R44" s="44">
        <f>IFERROR((L44-M44)/(L44+M44),"")</f>
        <v/>
      </c>
      <c r="S44" s="46">
        <f>H44/SUMIFS(Counties!$H$2:$H$1583,Counties!$A$2:$A$1583,$A44)</f>
        <v/>
      </c>
      <c r="T44" s="44">
        <f>O44+INDEX(Dashboard!$F$6:$F$22,MATCH($A44,Dashboard!$A$6:$A$22,0))</f>
        <v/>
      </c>
      <c r="U44" s="43">
        <f>AQ44*INDEX(Dashboard!$G$6:$G$22,MATCH($A44,Dashboard!$A$6:$A$22,0))</f>
        <v/>
      </c>
      <c r="V44" s="47" t="n"/>
      <c r="W44" s="47" t="n"/>
      <c r="X44" s="47" t="n"/>
      <c r="Y44" s="48" t="n"/>
      <c r="Z44" s="49" t="n"/>
      <c r="AA44" s="49" t="n"/>
      <c r="AB44" s="49" t="n"/>
      <c r="AC44" s="50" t="n"/>
      <c r="AD44" s="43">
        <f>IF(Z44&lt;&gt;"",Z44,N(V44))</f>
        <v/>
      </c>
      <c r="AE44" s="43">
        <f>IF(AA44&lt;&gt;"",AA44,N(W44))</f>
        <v/>
      </c>
      <c r="AF44" s="43">
        <f>AD44+AE44</f>
        <v/>
      </c>
      <c r="AG44" s="42">
        <f>IF(UPPER(AC44)="Y",1,IF(AF44=0,0,IF(AND(Z44="",Y44&lt;&gt;""),IF(Y44&gt;=0.999,1,0),IF(AF44&gt;=U44,1,0))))</f>
        <v/>
      </c>
      <c r="AH44" s="44">
        <f>IF(AF44&gt;0,(AD44-AE44)/AF44,"")</f>
        <v/>
      </c>
      <c r="AI44" s="45">
        <f>IF(AG44=1,AH44-O44,"")</f>
        <v/>
      </c>
      <c r="AJ44" s="44">
        <f>IF(AG44=1,AH44,MAX(-1,MIN(1,O44+INDEX(Types!$H:$H,MATCH($A44&amp;"|"&amp;$D44,Types!$A:$A,0)))))</f>
        <v/>
      </c>
      <c r="AK44" s="43">
        <f>IF(AG44=1,AF44,MAX(AQ44*AS44,AF44))</f>
        <v/>
      </c>
      <c r="AL44" s="43">
        <f>IF(AG44=1,AD44,AK44*(1+AJ44)/2)</f>
        <v/>
      </c>
      <c r="AM44" s="43">
        <f>IF(AG44=1,AE44,AK44*(1-AJ44)/2)</f>
        <v/>
      </c>
      <c r="AN44" s="45">
        <f>IF(AH44="","",AH44-T44)</f>
        <v/>
      </c>
      <c r="AO44" s="51">
        <f>IF(AG44=1,1,IF(U44&gt;0,MIN(AF44/U44,0.99),0))</f>
        <v/>
      </c>
      <c r="AP44" s="43">
        <f>IF(AG44=1,AI44*AF44,0)</f>
        <v/>
      </c>
      <c r="AQ44" s="43">
        <f>N44*(F44+G44)/H44</f>
        <v/>
      </c>
      <c r="AR44" s="43">
        <f>O44*AQ44</f>
        <v/>
      </c>
      <c r="AS44" s="52">
        <f>IF(AG44=1,IF(AQ44&gt;0,AF44/AQ44,1),IFERROR(INDEX(Types!$K:$K,MATCH($A44&amp;"|"&amp;$D44,Types!$A:$A,0)),INDEX(Dashboard!$X$6:$X$22,MATCH($A44,Dashboard!$A$6:$A$22,0))))</f>
        <v/>
      </c>
      <c r="AT44" s="43">
        <f>AQ44*INDEX(Dashboard!$Y$6:$Y$22,MATCH($A44,Dashboard!$A$6:$A$22,0))</f>
        <v/>
      </c>
      <c r="AU44" s="53">
        <f>IF(AND(AG44=1,AT44&gt;0,AF44&gt;0),100*AF44/AT44,"")</f>
        <v/>
      </c>
      <c r="AV44" s="44">
        <f>IF(AU44="","",T44/(AU44/100))</f>
        <v/>
      </c>
      <c r="AW44" s="53">
        <f>IF(AU44="","",IF(AND(ABS(AH44)&gt;=0.1,ABS(T44)&gt;=0.05,SIGN(AH44)=SIGN(T44)),100*T44/AH44,""))</f>
        <v/>
      </c>
      <c r="AX44" s="45">
        <f>IF(AU44="","",T44-AV44)</f>
        <v/>
      </c>
      <c r="AY44" s="45">
        <f>IF(AU44="","",AH44-AV44)</f>
        <v/>
      </c>
      <c r="AZ44" s="54">
        <f>(AL44-AM44)-T44*AT44</f>
        <v/>
      </c>
      <c r="BA44" s="43">
        <f>IF(AU44="",0,(AH44-T44)*AF44)</f>
        <v/>
      </c>
      <c r="BB44" s="43">
        <f>IF(AU44="",0,T44*(AF44-AT44))</f>
        <v/>
      </c>
      <c r="BC44" s="51" t="n">
        <v>0.168554476806904</v>
      </c>
      <c r="BD44" s="51" t="n">
        <v>0.08423229054297016</v>
      </c>
      <c r="BE44" s="51" t="n">
        <v>0.1102373068432671</v>
      </c>
      <c r="BF44" s="43" t="n">
        <v>11124</v>
      </c>
    </row>
    <row r="45">
      <c r="A45" s="42" t="inlineStr">
        <is>
          <t>GA</t>
        </is>
      </c>
      <c r="B45" s="42" t="inlineStr">
        <is>
          <t>13007</t>
        </is>
      </c>
      <c r="C45" s="42" t="inlineStr">
        <is>
          <t>Baker</t>
        </is>
      </c>
      <c r="D45" s="42" t="inlineStr">
        <is>
          <t>Black Belt</t>
        </is>
      </c>
      <c r="E45" s="42" t="inlineStr"/>
      <c r="F45" s="43" t="n">
        <v>590</v>
      </c>
      <c r="G45" s="43" t="n">
        <v>883</v>
      </c>
      <c r="H45" s="43" t="n">
        <v>1476</v>
      </c>
      <c r="I45" s="43" t="n">
        <v>652</v>
      </c>
      <c r="J45" s="43" t="n">
        <v>897</v>
      </c>
      <c r="K45" s="42" t="inlineStr">
        <is>
          <t>US Senate</t>
        </is>
      </c>
      <c r="L45" s="43" t="n">
        <v>526</v>
      </c>
      <c r="M45" s="43" t="n">
        <v>711</v>
      </c>
      <c r="N45" s="43" t="n">
        <v>1249</v>
      </c>
      <c r="O45" s="44">
        <f>IFERROR((F45-G45)/(F45+G45),"")</f>
        <v/>
      </c>
      <c r="P45" s="44">
        <f>IFERROR((I45-J45)/(I45+J45),"")</f>
        <v/>
      </c>
      <c r="Q45" s="45">
        <f>IFERROR(O45-P45,"")</f>
        <v/>
      </c>
      <c r="R45" s="44">
        <f>IFERROR((L45-M45)/(L45+M45),"")</f>
        <v/>
      </c>
      <c r="S45" s="46">
        <f>H45/SUMIFS(Counties!$H$2:$H$1583,Counties!$A$2:$A$1583,$A45)</f>
        <v/>
      </c>
      <c r="T45" s="44">
        <f>O45+INDEX(Dashboard!$F$6:$F$22,MATCH($A45,Dashboard!$A$6:$A$22,0))</f>
        <v/>
      </c>
      <c r="U45" s="43">
        <f>AQ45*INDEX(Dashboard!$G$6:$G$22,MATCH($A45,Dashboard!$A$6:$A$22,0))</f>
        <v/>
      </c>
      <c r="V45" s="47" t="n"/>
      <c r="W45" s="47" t="n"/>
      <c r="X45" s="47" t="n"/>
      <c r="Y45" s="48" t="n"/>
      <c r="Z45" s="49" t="n"/>
      <c r="AA45" s="49" t="n"/>
      <c r="AB45" s="49" t="n"/>
      <c r="AC45" s="50" t="n"/>
      <c r="AD45" s="43">
        <f>IF(Z45&lt;&gt;"",Z45,N(V45))</f>
        <v/>
      </c>
      <c r="AE45" s="43">
        <f>IF(AA45&lt;&gt;"",AA45,N(W45))</f>
        <v/>
      </c>
      <c r="AF45" s="43">
        <f>AD45+AE45</f>
        <v/>
      </c>
      <c r="AG45" s="42">
        <f>IF(UPPER(AC45)="Y",1,IF(AF45=0,0,IF(AND(Z45="",Y45&lt;&gt;""),IF(Y45&gt;=0.999,1,0),IF(AF45&gt;=U45,1,0))))</f>
        <v/>
      </c>
      <c r="AH45" s="44">
        <f>IF(AF45&gt;0,(AD45-AE45)/AF45,"")</f>
        <v/>
      </c>
      <c r="AI45" s="45">
        <f>IF(AG45=1,AH45-O45,"")</f>
        <v/>
      </c>
      <c r="AJ45" s="44">
        <f>IF(AG45=1,AH45,MAX(-1,MIN(1,O45+INDEX(Types!$H:$H,MATCH($A45&amp;"|"&amp;$D45,Types!$A:$A,0)))))</f>
        <v/>
      </c>
      <c r="AK45" s="43">
        <f>IF(AG45=1,AF45,MAX(AQ45*AS45,AF45))</f>
        <v/>
      </c>
      <c r="AL45" s="43">
        <f>IF(AG45=1,AD45,AK45*(1+AJ45)/2)</f>
        <v/>
      </c>
      <c r="AM45" s="43">
        <f>IF(AG45=1,AE45,AK45*(1-AJ45)/2)</f>
        <v/>
      </c>
      <c r="AN45" s="45">
        <f>IF(AH45="","",AH45-T45)</f>
        <v/>
      </c>
      <c r="AO45" s="51">
        <f>IF(AG45=1,1,IF(U45&gt;0,MIN(AF45/U45,0.99),0))</f>
        <v/>
      </c>
      <c r="AP45" s="43">
        <f>IF(AG45=1,AI45*AF45,0)</f>
        <v/>
      </c>
      <c r="AQ45" s="43">
        <f>N45*(F45+G45)/H45</f>
        <v/>
      </c>
      <c r="AR45" s="43">
        <f>O45*AQ45</f>
        <v/>
      </c>
      <c r="AS45" s="52">
        <f>IF(AG45=1,IF(AQ45&gt;0,AF45/AQ45,1),IFERROR(INDEX(Types!$K:$K,MATCH($A45&amp;"|"&amp;$D45,Types!$A:$A,0)),INDEX(Dashboard!$X$6:$X$22,MATCH($A45,Dashboard!$A$6:$A$22,0))))</f>
        <v/>
      </c>
      <c r="AT45" s="43">
        <f>AQ45*INDEX(Dashboard!$Y$6:$Y$22,MATCH($A45,Dashboard!$A$6:$A$22,0))</f>
        <v/>
      </c>
      <c r="AU45" s="53">
        <f>IF(AND(AG45=1,AT45&gt;0,AF45&gt;0),100*AF45/AT45,"")</f>
        <v/>
      </c>
      <c r="AV45" s="44">
        <f>IF(AU45="","",T45/(AU45/100))</f>
        <v/>
      </c>
      <c r="AW45" s="53">
        <f>IF(AU45="","",IF(AND(ABS(AH45)&gt;=0.1,ABS(T45)&gt;=0.05,SIGN(AH45)=SIGN(T45)),100*T45/AH45,""))</f>
        <v/>
      </c>
      <c r="AX45" s="45">
        <f>IF(AU45="","",T45-AV45)</f>
        <v/>
      </c>
      <c r="AY45" s="45">
        <f>IF(AU45="","",AH45-AV45)</f>
        <v/>
      </c>
      <c r="AZ45" s="54">
        <f>(AL45-AM45)-T45*AT45</f>
        <v/>
      </c>
      <c r="BA45" s="43">
        <f>IF(AU45="",0,(AH45-T45)*AF45)</f>
        <v/>
      </c>
      <c r="BB45" s="43">
        <f>IF(AU45="",0,T45*(AF45-AT45))</f>
        <v/>
      </c>
      <c r="BC45" s="51" t="n">
        <v>0.4126868392271236</v>
      </c>
      <c r="BD45" s="51" t="n">
        <v>0.06015311702515494</v>
      </c>
      <c r="BE45" s="51" t="n">
        <v>0.1687804878048781</v>
      </c>
      <c r="BF45" s="43" t="n">
        <v>2743</v>
      </c>
    </row>
    <row r="46">
      <c r="A46" s="42" t="inlineStr">
        <is>
          <t>GA</t>
        </is>
      </c>
      <c r="B46" s="42" t="inlineStr">
        <is>
          <t>13009</t>
        </is>
      </c>
      <c r="C46" s="42" t="inlineStr">
        <is>
          <t>Baldwin</t>
        </is>
      </c>
      <c r="D46" s="42" t="inlineStr">
        <is>
          <t>Black Belt</t>
        </is>
      </c>
      <c r="E46" s="42" t="inlineStr"/>
      <c r="F46" s="43" t="n">
        <v>9159</v>
      </c>
      <c r="G46" s="43" t="n">
        <v>9574</v>
      </c>
      <c r="H46" s="43" t="n">
        <v>18825</v>
      </c>
      <c r="I46" s="43" t="n">
        <v>9140</v>
      </c>
      <c r="J46" s="43" t="n">
        <v>8903</v>
      </c>
      <c r="K46" s="42" t="inlineStr">
        <is>
          <t>US Senate</t>
        </is>
      </c>
      <c r="L46" s="43" t="n">
        <v>7327</v>
      </c>
      <c r="M46" s="43" t="n">
        <v>7416</v>
      </c>
      <c r="N46" s="43" t="n">
        <v>14957</v>
      </c>
      <c r="O46" s="44">
        <f>IFERROR((F46-G46)/(F46+G46),"")</f>
        <v/>
      </c>
      <c r="P46" s="44">
        <f>IFERROR((I46-J46)/(I46+J46),"")</f>
        <v/>
      </c>
      <c r="Q46" s="45">
        <f>IFERROR(O46-P46,"")</f>
        <v/>
      </c>
      <c r="R46" s="44">
        <f>IFERROR((L46-M46)/(L46+M46),"")</f>
        <v/>
      </c>
      <c r="S46" s="46">
        <f>H46/SUMIFS(Counties!$H$2:$H$1583,Counties!$A$2:$A$1583,$A46)</f>
        <v/>
      </c>
      <c r="T46" s="44">
        <f>O46+INDEX(Dashboard!$F$6:$F$22,MATCH($A46,Dashboard!$A$6:$A$22,0))</f>
        <v/>
      </c>
      <c r="U46" s="43">
        <f>AQ46*INDEX(Dashboard!$G$6:$G$22,MATCH($A46,Dashboard!$A$6:$A$22,0))</f>
        <v/>
      </c>
      <c r="V46" s="47" t="n"/>
      <c r="W46" s="47" t="n"/>
      <c r="X46" s="47" t="n"/>
      <c r="Y46" s="48" t="n"/>
      <c r="Z46" s="49" t="n"/>
      <c r="AA46" s="49" t="n"/>
      <c r="AB46" s="49" t="n"/>
      <c r="AC46" s="50" t="n"/>
      <c r="AD46" s="43">
        <f>IF(Z46&lt;&gt;"",Z46,N(V46))</f>
        <v/>
      </c>
      <c r="AE46" s="43">
        <f>IF(AA46&lt;&gt;"",AA46,N(W46))</f>
        <v/>
      </c>
      <c r="AF46" s="43">
        <f>AD46+AE46</f>
        <v/>
      </c>
      <c r="AG46" s="42">
        <f>IF(UPPER(AC46)="Y",1,IF(AF46=0,0,IF(AND(Z46="",Y46&lt;&gt;""),IF(Y46&gt;=0.999,1,0),IF(AF46&gt;=U46,1,0))))</f>
        <v/>
      </c>
      <c r="AH46" s="44">
        <f>IF(AF46&gt;0,(AD46-AE46)/AF46,"")</f>
        <v/>
      </c>
      <c r="AI46" s="45">
        <f>IF(AG46=1,AH46-O46,"")</f>
        <v/>
      </c>
      <c r="AJ46" s="44">
        <f>IF(AG46=1,AH46,MAX(-1,MIN(1,O46+INDEX(Types!$H:$H,MATCH($A46&amp;"|"&amp;$D46,Types!$A:$A,0)))))</f>
        <v/>
      </c>
      <c r="AK46" s="43">
        <f>IF(AG46=1,AF46,MAX(AQ46*AS46,AF46))</f>
        <v/>
      </c>
      <c r="AL46" s="43">
        <f>IF(AG46=1,AD46,AK46*(1+AJ46)/2)</f>
        <v/>
      </c>
      <c r="AM46" s="43">
        <f>IF(AG46=1,AE46,AK46*(1-AJ46)/2)</f>
        <v/>
      </c>
      <c r="AN46" s="45">
        <f>IF(AH46="","",AH46-T46)</f>
        <v/>
      </c>
      <c r="AO46" s="51">
        <f>IF(AG46=1,1,IF(U46&gt;0,MIN(AF46/U46,0.99),0))</f>
        <v/>
      </c>
      <c r="AP46" s="43">
        <f>IF(AG46=1,AI46*AF46,0)</f>
        <v/>
      </c>
      <c r="AQ46" s="43">
        <f>N46*(F46+G46)/H46</f>
        <v/>
      </c>
      <c r="AR46" s="43">
        <f>O46*AQ46</f>
        <v/>
      </c>
      <c r="AS46" s="52">
        <f>IF(AG46=1,IF(AQ46&gt;0,AF46/AQ46,1),IFERROR(INDEX(Types!$K:$K,MATCH($A46&amp;"|"&amp;$D46,Types!$A:$A,0)),INDEX(Dashboard!$X$6:$X$22,MATCH($A46,Dashboard!$A$6:$A$22,0))))</f>
        <v/>
      </c>
      <c r="AT46" s="43">
        <f>AQ46*INDEX(Dashboard!$Y$6:$Y$22,MATCH($A46,Dashboard!$A$6:$A$22,0))</f>
        <v/>
      </c>
      <c r="AU46" s="53">
        <f>IF(AND(AG46=1,AT46&gt;0,AF46&gt;0),100*AF46/AT46,"")</f>
        <v/>
      </c>
      <c r="AV46" s="44">
        <f>IF(AU46="","",T46/(AU46/100))</f>
        <v/>
      </c>
      <c r="AW46" s="53">
        <f>IF(AU46="","",IF(AND(ABS(AH46)&gt;=0.1,ABS(T46)&gt;=0.05,SIGN(AH46)=SIGN(T46)),100*T46/AH46,""))</f>
        <v/>
      </c>
      <c r="AX46" s="45">
        <f>IF(AU46="","",T46-AV46)</f>
        <v/>
      </c>
      <c r="AY46" s="45">
        <f>IF(AU46="","",AH46-AV46)</f>
        <v/>
      </c>
      <c r="AZ46" s="54">
        <f>(AL46-AM46)-T46*AT46</f>
        <v/>
      </c>
      <c r="BA46" s="43">
        <f>IF(AU46="",0,(AH46-T46)*AF46)</f>
        <v/>
      </c>
      <c r="BB46" s="43">
        <f>IF(AU46="",0,T46*(AF46-AT46))</f>
        <v/>
      </c>
      <c r="BC46" s="51" t="n">
        <v>0.4175269610102313</v>
      </c>
      <c r="BD46" s="51" t="n">
        <v>0.03050972439856208</v>
      </c>
      <c r="BE46" s="51" t="n">
        <v>0.241283936239901</v>
      </c>
      <c r="BF46" s="43" t="n">
        <v>43396</v>
      </c>
    </row>
    <row r="47">
      <c r="A47" s="42" t="inlineStr">
        <is>
          <t>GA</t>
        </is>
      </c>
      <c r="B47" s="42" t="inlineStr">
        <is>
          <t>13011</t>
        </is>
      </c>
      <c r="C47" s="42" t="inlineStr">
        <is>
          <t>Banks</t>
        </is>
      </c>
      <c r="D47" s="42" t="inlineStr">
        <is>
          <t>Small town &amp; rural</t>
        </is>
      </c>
      <c r="E47" s="42" t="inlineStr"/>
      <c r="F47" s="43" t="n">
        <v>1136</v>
      </c>
      <c r="G47" s="43" t="n">
        <v>9358</v>
      </c>
      <c r="H47" s="43" t="n">
        <v>10519</v>
      </c>
      <c r="I47" s="43" t="n">
        <v>932</v>
      </c>
      <c r="J47" s="43" t="n">
        <v>7795</v>
      </c>
      <c r="K47" s="42" t="inlineStr">
        <is>
          <t>US Senate</t>
        </is>
      </c>
      <c r="L47" s="43" t="n">
        <v>772</v>
      </c>
      <c r="M47" s="43" t="n">
        <v>6362</v>
      </c>
      <c r="N47" s="43" t="n">
        <v>7293</v>
      </c>
      <c r="O47" s="44">
        <f>IFERROR((F47-G47)/(F47+G47),"")</f>
        <v/>
      </c>
      <c r="P47" s="44">
        <f>IFERROR((I47-J47)/(I47+J47),"")</f>
        <v/>
      </c>
      <c r="Q47" s="45">
        <f>IFERROR(O47-P47,"")</f>
        <v/>
      </c>
      <c r="R47" s="44">
        <f>IFERROR((L47-M47)/(L47+M47),"")</f>
        <v/>
      </c>
      <c r="S47" s="46">
        <f>H47/SUMIFS(Counties!$H$2:$H$1583,Counties!$A$2:$A$1583,$A47)</f>
        <v/>
      </c>
      <c r="T47" s="44">
        <f>O47+INDEX(Dashboard!$F$6:$F$22,MATCH($A47,Dashboard!$A$6:$A$22,0))</f>
        <v/>
      </c>
      <c r="U47" s="43">
        <f>AQ47*INDEX(Dashboard!$G$6:$G$22,MATCH($A47,Dashboard!$A$6:$A$22,0))</f>
        <v/>
      </c>
      <c r="V47" s="47" t="n"/>
      <c r="W47" s="47" t="n"/>
      <c r="X47" s="47" t="n"/>
      <c r="Y47" s="48" t="n"/>
      <c r="Z47" s="49" t="n"/>
      <c r="AA47" s="49" t="n"/>
      <c r="AB47" s="49" t="n"/>
      <c r="AC47" s="50" t="n"/>
      <c r="AD47" s="43">
        <f>IF(Z47&lt;&gt;"",Z47,N(V47))</f>
        <v/>
      </c>
      <c r="AE47" s="43">
        <f>IF(AA47&lt;&gt;"",AA47,N(W47))</f>
        <v/>
      </c>
      <c r="AF47" s="43">
        <f>AD47+AE47</f>
        <v/>
      </c>
      <c r="AG47" s="42">
        <f>IF(UPPER(AC47)="Y",1,IF(AF47=0,0,IF(AND(Z47="",Y47&lt;&gt;""),IF(Y47&gt;=0.999,1,0),IF(AF47&gt;=U47,1,0))))</f>
        <v/>
      </c>
      <c r="AH47" s="44">
        <f>IF(AF47&gt;0,(AD47-AE47)/AF47,"")</f>
        <v/>
      </c>
      <c r="AI47" s="45">
        <f>IF(AG47=1,AH47-O47,"")</f>
        <v/>
      </c>
      <c r="AJ47" s="44">
        <f>IF(AG47=1,AH47,MAX(-1,MIN(1,O47+INDEX(Types!$H:$H,MATCH($A47&amp;"|"&amp;$D47,Types!$A:$A,0)))))</f>
        <v/>
      </c>
      <c r="AK47" s="43">
        <f>IF(AG47=1,AF47,MAX(AQ47*AS47,AF47))</f>
        <v/>
      </c>
      <c r="AL47" s="43">
        <f>IF(AG47=1,AD47,AK47*(1+AJ47)/2)</f>
        <v/>
      </c>
      <c r="AM47" s="43">
        <f>IF(AG47=1,AE47,AK47*(1-AJ47)/2)</f>
        <v/>
      </c>
      <c r="AN47" s="45">
        <f>IF(AH47="","",AH47-T47)</f>
        <v/>
      </c>
      <c r="AO47" s="51">
        <f>IF(AG47=1,1,IF(U47&gt;0,MIN(AF47/U47,0.99),0))</f>
        <v/>
      </c>
      <c r="AP47" s="43">
        <f>IF(AG47=1,AI47*AF47,0)</f>
        <v/>
      </c>
      <c r="AQ47" s="43">
        <f>N47*(F47+G47)/H47</f>
        <v/>
      </c>
      <c r="AR47" s="43">
        <f>O47*AQ47</f>
        <v/>
      </c>
      <c r="AS47" s="52">
        <f>IF(AG47=1,IF(AQ47&gt;0,AF47/AQ47,1),IFERROR(INDEX(Types!$K:$K,MATCH($A47&amp;"|"&amp;$D47,Types!$A:$A,0)),INDEX(Dashboard!$X$6:$X$22,MATCH($A47,Dashboard!$A$6:$A$22,0))))</f>
        <v/>
      </c>
      <c r="AT47" s="43">
        <f>AQ47*INDEX(Dashboard!$Y$6:$Y$22,MATCH($A47,Dashboard!$A$6:$A$22,0))</f>
        <v/>
      </c>
      <c r="AU47" s="53">
        <f>IF(AND(AG47=1,AT47&gt;0,AF47&gt;0),100*AF47/AT47,"")</f>
        <v/>
      </c>
      <c r="AV47" s="44">
        <f>IF(AU47="","",T47/(AU47/100))</f>
        <v/>
      </c>
      <c r="AW47" s="53">
        <f>IF(AU47="","",IF(AND(ABS(AH47)&gt;=0.1,ABS(T47)&gt;=0.05,SIGN(AH47)=SIGN(T47)),100*T47/AH47,""))</f>
        <v/>
      </c>
      <c r="AX47" s="45">
        <f>IF(AU47="","",T47-AV47)</f>
        <v/>
      </c>
      <c r="AY47" s="45">
        <f>IF(AU47="","",AH47-AV47)</f>
        <v/>
      </c>
      <c r="AZ47" s="54">
        <f>(AL47-AM47)-T47*AT47</f>
        <v/>
      </c>
      <c r="BA47" s="43">
        <f>IF(AU47="",0,(AH47-T47)*AF47)</f>
        <v/>
      </c>
      <c r="BB47" s="43">
        <f>IF(AU47="",0,T47*(AF47-AT47))</f>
        <v/>
      </c>
      <c r="BC47" s="51" t="n">
        <v>0.03385719339026732</v>
      </c>
      <c r="BD47" s="51" t="n">
        <v>0.07559755419677598</v>
      </c>
      <c r="BE47" s="51" t="n">
        <v>0.1734147628741612</v>
      </c>
      <c r="BF47" s="43" t="n">
        <v>19789</v>
      </c>
    </row>
    <row r="48">
      <c r="A48" s="42" t="inlineStr">
        <is>
          <t>GA</t>
        </is>
      </c>
      <c r="B48" s="42" t="inlineStr">
        <is>
          <t>13013</t>
        </is>
      </c>
      <c r="C48" s="42" t="inlineStr">
        <is>
          <t>Barrow</t>
        </is>
      </c>
      <c r="D48" s="42" t="inlineStr">
        <is>
          <t>Small town &amp; rural</t>
        </is>
      </c>
      <c r="E48" s="42" t="inlineStr"/>
      <c r="F48" s="43" t="n">
        <v>12949</v>
      </c>
      <c r="G48" s="43" t="n">
        <v>30730</v>
      </c>
      <c r="H48" s="43" t="n">
        <v>43934</v>
      </c>
      <c r="I48" s="43" t="n">
        <v>10453</v>
      </c>
      <c r="J48" s="43" t="n">
        <v>26804</v>
      </c>
      <c r="K48" s="42" t="inlineStr">
        <is>
          <t>US Senate</t>
        </is>
      </c>
      <c r="L48" s="43" t="n">
        <v>8244</v>
      </c>
      <c r="M48" s="43" t="n">
        <v>20136</v>
      </c>
      <c r="N48" s="43" t="n">
        <v>29273</v>
      </c>
      <c r="O48" s="44">
        <f>IFERROR((F48-G48)/(F48+G48),"")</f>
        <v/>
      </c>
      <c r="P48" s="44">
        <f>IFERROR((I48-J48)/(I48+J48),"")</f>
        <v/>
      </c>
      <c r="Q48" s="45">
        <f>IFERROR(O48-P48,"")</f>
        <v/>
      </c>
      <c r="R48" s="44">
        <f>IFERROR((L48-M48)/(L48+M48),"")</f>
        <v/>
      </c>
      <c r="S48" s="46">
        <f>H48/SUMIFS(Counties!$H$2:$H$1583,Counties!$A$2:$A$1583,$A48)</f>
        <v/>
      </c>
      <c r="T48" s="44">
        <f>O48+INDEX(Dashboard!$F$6:$F$22,MATCH($A48,Dashboard!$A$6:$A$22,0))</f>
        <v/>
      </c>
      <c r="U48" s="43">
        <f>AQ48*INDEX(Dashboard!$G$6:$G$22,MATCH($A48,Dashboard!$A$6:$A$22,0))</f>
        <v/>
      </c>
      <c r="V48" s="47" t="n"/>
      <c r="W48" s="47" t="n"/>
      <c r="X48" s="47" t="n"/>
      <c r="Y48" s="48" t="n"/>
      <c r="Z48" s="49" t="n"/>
      <c r="AA48" s="49" t="n"/>
      <c r="AB48" s="49" t="n"/>
      <c r="AC48" s="50" t="n"/>
      <c r="AD48" s="43">
        <f>IF(Z48&lt;&gt;"",Z48,N(V48))</f>
        <v/>
      </c>
      <c r="AE48" s="43">
        <f>IF(AA48&lt;&gt;"",AA48,N(W48))</f>
        <v/>
      </c>
      <c r="AF48" s="43">
        <f>AD48+AE48</f>
        <v/>
      </c>
      <c r="AG48" s="42">
        <f>IF(UPPER(AC48)="Y",1,IF(AF48=0,0,IF(AND(Z48="",Y48&lt;&gt;""),IF(Y48&gt;=0.999,1,0),IF(AF48&gt;=U48,1,0))))</f>
        <v/>
      </c>
      <c r="AH48" s="44">
        <f>IF(AF48&gt;0,(AD48-AE48)/AF48,"")</f>
        <v/>
      </c>
      <c r="AI48" s="45">
        <f>IF(AG48=1,AH48-O48,"")</f>
        <v/>
      </c>
      <c r="AJ48" s="44">
        <f>IF(AG48=1,AH48,MAX(-1,MIN(1,O48+INDEX(Types!$H:$H,MATCH($A48&amp;"|"&amp;$D48,Types!$A:$A,0)))))</f>
        <v/>
      </c>
      <c r="AK48" s="43">
        <f>IF(AG48=1,AF48,MAX(AQ48*AS48,AF48))</f>
        <v/>
      </c>
      <c r="AL48" s="43">
        <f>IF(AG48=1,AD48,AK48*(1+AJ48)/2)</f>
        <v/>
      </c>
      <c r="AM48" s="43">
        <f>IF(AG48=1,AE48,AK48*(1-AJ48)/2)</f>
        <v/>
      </c>
      <c r="AN48" s="45">
        <f>IF(AH48="","",AH48-T48)</f>
        <v/>
      </c>
      <c r="AO48" s="51">
        <f>IF(AG48=1,1,IF(U48&gt;0,MIN(AF48/U48,0.99),0))</f>
        <v/>
      </c>
      <c r="AP48" s="43">
        <f>IF(AG48=1,AI48*AF48,0)</f>
        <v/>
      </c>
      <c r="AQ48" s="43">
        <f>N48*(F48+G48)/H48</f>
        <v/>
      </c>
      <c r="AR48" s="43">
        <f>O48*AQ48</f>
        <v/>
      </c>
      <c r="AS48" s="52">
        <f>IF(AG48=1,IF(AQ48&gt;0,AF48/AQ48,1),IFERROR(INDEX(Types!$K:$K,MATCH($A48&amp;"|"&amp;$D48,Types!$A:$A,0)),INDEX(Dashboard!$X$6:$X$22,MATCH($A48,Dashboard!$A$6:$A$22,0))))</f>
        <v/>
      </c>
      <c r="AT48" s="43">
        <f>AQ48*INDEX(Dashboard!$Y$6:$Y$22,MATCH($A48,Dashboard!$A$6:$A$22,0))</f>
        <v/>
      </c>
      <c r="AU48" s="53">
        <f>IF(AND(AG48=1,AT48&gt;0,AF48&gt;0),100*AF48/AT48,"")</f>
        <v/>
      </c>
      <c r="AV48" s="44">
        <f>IF(AU48="","",T48/(AU48/100))</f>
        <v/>
      </c>
      <c r="AW48" s="53">
        <f>IF(AU48="","",IF(AND(ABS(AH48)&gt;=0.1,ABS(T48)&gt;=0.05,SIGN(AH48)=SIGN(T48)),100*T48/AH48,""))</f>
        <v/>
      </c>
      <c r="AX48" s="45">
        <f>IF(AU48="","",T48-AV48)</f>
        <v/>
      </c>
      <c r="AY48" s="45">
        <f>IF(AU48="","",AH48-AV48)</f>
        <v/>
      </c>
      <c r="AZ48" s="54">
        <f>(AL48-AM48)-T48*AT48</f>
        <v/>
      </c>
      <c r="BA48" s="43">
        <f>IF(AU48="",0,(AH48-T48)*AF48)</f>
        <v/>
      </c>
      <c r="BB48" s="43">
        <f>IF(AU48="",0,T48*(AF48-AT48))</f>
        <v/>
      </c>
      <c r="BC48" s="51" t="n">
        <v>0.1493878782653677</v>
      </c>
      <c r="BD48" s="51" t="n">
        <v>0.1628480903526166</v>
      </c>
      <c r="BE48" s="51" t="n">
        <v>0.2102218604409498</v>
      </c>
      <c r="BF48" s="43" t="n">
        <v>92792</v>
      </c>
    </row>
    <row r="49">
      <c r="A49" s="42" t="inlineStr">
        <is>
          <t>GA</t>
        </is>
      </c>
      <c r="B49" s="42" t="inlineStr">
        <is>
          <t>13015</t>
        </is>
      </c>
      <c r="C49" s="42" t="inlineStr">
        <is>
          <t>Bartow</t>
        </is>
      </c>
      <c r="D49" s="42" t="inlineStr">
        <is>
          <t>Mid-size/working metro</t>
        </is>
      </c>
      <c r="E49" s="42" t="inlineStr">
        <is>
          <t>★</t>
        </is>
      </c>
      <c r="F49" s="43" t="n">
        <v>13942</v>
      </c>
      <c r="G49" s="43" t="n">
        <v>43271</v>
      </c>
      <c r="H49" s="43" t="n">
        <v>57547</v>
      </c>
      <c r="I49" s="43" t="n">
        <v>12091</v>
      </c>
      <c r="J49" s="43" t="n">
        <v>37672</v>
      </c>
      <c r="K49" s="42" t="inlineStr">
        <is>
          <t>US Senate</t>
        </is>
      </c>
      <c r="L49" s="43" t="n">
        <v>9349</v>
      </c>
      <c r="M49" s="43" t="n">
        <v>29361</v>
      </c>
      <c r="N49" s="43" t="n">
        <v>39763</v>
      </c>
      <c r="O49" s="44">
        <f>IFERROR((F49-G49)/(F49+G49),"")</f>
        <v/>
      </c>
      <c r="P49" s="44">
        <f>IFERROR((I49-J49)/(I49+J49),"")</f>
        <v/>
      </c>
      <c r="Q49" s="45">
        <f>IFERROR(O49-P49,"")</f>
        <v/>
      </c>
      <c r="R49" s="44">
        <f>IFERROR((L49-M49)/(L49+M49),"")</f>
        <v/>
      </c>
      <c r="S49" s="46">
        <f>H49/SUMIFS(Counties!$H$2:$H$1583,Counties!$A$2:$A$1583,$A49)</f>
        <v/>
      </c>
      <c r="T49" s="44">
        <f>O49+INDEX(Dashboard!$F$6:$F$22,MATCH($A49,Dashboard!$A$6:$A$22,0))</f>
        <v/>
      </c>
      <c r="U49" s="43">
        <f>AQ49*INDEX(Dashboard!$G$6:$G$22,MATCH($A49,Dashboard!$A$6:$A$22,0))</f>
        <v/>
      </c>
      <c r="V49" s="47" t="n"/>
      <c r="W49" s="47" t="n"/>
      <c r="X49" s="47" t="n"/>
      <c r="Y49" s="48" t="n"/>
      <c r="Z49" s="49" t="n"/>
      <c r="AA49" s="49" t="n"/>
      <c r="AB49" s="49" t="n"/>
      <c r="AC49" s="50" t="n"/>
      <c r="AD49" s="43">
        <f>IF(Z49&lt;&gt;"",Z49,N(V49))</f>
        <v/>
      </c>
      <c r="AE49" s="43">
        <f>IF(AA49&lt;&gt;"",AA49,N(W49))</f>
        <v/>
      </c>
      <c r="AF49" s="43">
        <f>AD49+AE49</f>
        <v/>
      </c>
      <c r="AG49" s="42">
        <f>IF(UPPER(AC49)="Y",1,IF(AF49=0,0,IF(AND(Z49="",Y49&lt;&gt;""),IF(Y49&gt;=0.999,1,0),IF(AF49&gt;=U49,1,0))))</f>
        <v/>
      </c>
      <c r="AH49" s="44">
        <f>IF(AF49&gt;0,(AD49-AE49)/AF49,"")</f>
        <v/>
      </c>
      <c r="AI49" s="45">
        <f>IF(AG49=1,AH49-O49,"")</f>
        <v/>
      </c>
      <c r="AJ49" s="44">
        <f>IF(AG49=1,AH49,MAX(-1,MIN(1,O49+INDEX(Types!$H:$H,MATCH($A49&amp;"|"&amp;$D49,Types!$A:$A,0)))))</f>
        <v/>
      </c>
      <c r="AK49" s="43">
        <f>IF(AG49=1,AF49,MAX(AQ49*AS49,AF49))</f>
        <v/>
      </c>
      <c r="AL49" s="43">
        <f>IF(AG49=1,AD49,AK49*(1+AJ49)/2)</f>
        <v/>
      </c>
      <c r="AM49" s="43">
        <f>IF(AG49=1,AE49,AK49*(1-AJ49)/2)</f>
        <v/>
      </c>
      <c r="AN49" s="45">
        <f>IF(AH49="","",AH49-T49)</f>
        <v/>
      </c>
      <c r="AO49" s="51">
        <f>IF(AG49=1,1,IF(U49&gt;0,MIN(AF49/U49,0.99),0))</f>
        <v/>
      </c>
      <c r="AP49" s="43">
        <f>IF(AG49=1,AI49*AF49,0)</f>
        <v/>
      </c>
      <c r="AQ49" s="43">
        <f>N49*(F49+G49)/H49</f>
        <v/>
      </c>
      <c r="AR49" s="43">
        <f>O49*AQ49</f>
        <v/>
      </c>
      <c r="AS49" s="52">
        <f>IF(AG49=1,IF(AQ49&gt;0,AF49/AQ49,1),IFERROR(INDEX(Types!$K:$K,MATCH($A49&amp;"|"&amp;$D49,Types!$A:$A,0)),INDEX(Dashboard!$X$6:$X$22,MATCH($A49,Dashboard!$A$6:$A$22,0))))</f>
        <v/>
      </c>
      <c r="AT49" s="43">
        <f>AQ49*INDEX(Dashboard!$Y$6:$Y$22,MATCH($A49,Dashboard!$A$6:$A$22,0))</f>
        <v/>
      </c>
      <c r="AU49" s="53">
        <f>IF(AND(AG49=1,AT49&gt;0,AF49&gt;0),100*AF49/AT49,"")</f>
        <v/>
      </c>
      <c r="AV49" s="44">
        <f>IF(AU49="","",T49/(AU49/100))</f>
        <v/>
      </c>
      <c r="AW49" s="53">
        <f>IF(AU49="","",IF(AND(ABS(AH49)&gt;=0.1,ABS(T49)&gt;=0.05,SIGN(AH49)=SIGN(T49)),100*T49/AH49,""))</f>
        <v/>
      </c>
      <c r="AX49" s="45">
        <f>IF(AU49="","",T49-AV49)</f>
        <v/>
      </c>
      <c r="AY49" s="45">
        <f>IF(AU49="","",AH49-AV49)</f>
        <v/>
      </c>
      <c r="AZ49" s="54">
        <f>(AL49-AM49)-T49*AT49</f>
        <v/>
      </c>
      <c r="BA49" s="43">
        <f>IF(AU49="",0,(AH49-T49)*AF49)</f>
        <v/>
      </c>
      <c r="BB49" s="43">
        <f>IF(AU49="",0,T49*(AF49-AT49))</f>
        <v/>
      </c>
      <c r="BC49" s="51" t="n">
        <v>0.1127945688928295</v>
      </c>
      <c r="BD49" s="51" t="n">
        <v>0.1089089976617032</v>
      </c>
      <c r="BE49" s="51" t="n">
        <v>0.2293848689457175</v>
      </c>
      <c r="BF49" s="43" t="n">
        <v>115041</v>
      </c>
    </row>
    <row r="50">
      <c r="A50" s="42" t="inlineStr">
        <is>
          <t>GA</t>
        </is>
      </c>
      <c r="B50" s="42" t="inlineStr">
        <is>
          <t>13017</t>
        </is>
      </c>
      <c r="C50" s="42" t="inlineStr">
        <is>
          <t>Ben Hill</t>
        </is>
      </c>
      <c r="D50" s="42" t="inlineStr">
        <is>
          <t>Small town &amp; rural</t>
        </is>
      </c>
      <c r="E50" s="42" t="inlineStr"/>
      <c r="F50" s="43" t="n">
        <v>2199</v>
      </c>
      <c r="G50" s="43" t="n">
        <v>4281</v>
      </c>
      <c r="H50" s="43" t="n">
        <v>6501</v>
      </c>
      <c r="I50" s="43" t="n">
        <v>2393</v>
      </c>
      <c r="J50" s="43" t="n">
        <v>4111</v>
      </c>
      <c r="K50" s="42" t="inlineStr">
        <is>
          <t>US Senate</t>
        </is>
      </c>
      <c r="L50" s="43" t="n">
        <v>1767</v>
      </c>
      <c r="M50" s="43" t="n">
        <v>3235</v>
      </c>
      <c r="N50" s="43" t="n">
        <v>5075</v>
      </c>
      <c r="O50" s="44">
        <f>IFERROR((F50-G50)/(F50+G50),"")</f>
        <v/>
      </c>
      <c r="P50" s="44">
        <f>IFERROR((I50-J50)/(I50+J50),"")</f>
        <v/>
      </c>
      <c r="Q50" s="45">
        <f>IFERROR(O50-P50,"")</f>
        <v/>
      </c>
      <c r="R50" s="44">
        <f>IFERROR((L50-M50)/(L50+M50),"")</f>
        <v/>
      </c>
      <c r="S50" s="46">
        <f>H50/SUMIFS(Counties!$H$2:$H$1583,Counties!$A$2:$A$1583,$A50)</f>
        <v/>
      </c>
      <c r="T50" s="44">
        <f>O50+INDEX(Dashboard!$F$6:$F$22,MATCH($A50,Dashboard!$A$6:$A$22,0))</f>
        <v/>
      </c>
      <c r="U50" s="43">
        <f>AQ50*INDEX(Dashboard!$G$6:$G$22,MATCH($A50,Dashboard!$A$6:$A$22,0))</f>
        <v/>
      </c>
      <c r="V50" s="47" t="n"/>
      <c r="W50" s="47" t="n"/>
      <c r="X50" s="47" t="n"/>
      <c r="Y50" s="48" t="n"/>
      <c r="Z50" s="49" t="n"/>
      <c r="AA50" s="49" t="n"/>
      <c r="AB50" s="49" t="n"/>
      <c r="AC50" s="50" t="n"/>
      <c r="AD50" s="43">
        <f>IF(Z50&lt;&gt;"",Z50,N(V50))</f>
        <v/>
      </c>
      <c r="AE50" s="43">
        <f>IF(AA50&lt;&gt;"",AA50,N(W50))</f>
        <v/>
      </c>
      <c r="AF50" s="43">
        <f>AD50+AE50</f>
        <v/>
      </c>
      <c r="AG50" s="42">
        <f>IF(UPPER(AC50)="Y",1,IF(AF50=0,0,IF(AND(Z50="",Y50&lt;&gt;""),IF(Y50&gt;=0.999,1,0),IF(AF50&gt;=U50,1,0))))</f>
        <v/>
      </c>
      <c r="AH50" s="44">
        <f>IF(AF50&gt;0,(AD50-AE50)/AF50,"")</f>
        <v/>
      </c>
      <c r="AI50" s="45">
        <f>IF(AG50=1,AH50-O50,"")</f>
        <v/>
      </c>
      <c r="AJ50" s="44">
        <f>IF(AG50=1,AH50,MAX(-1,MIN(1,O50+INDEX(Types!$H:$H,MATCH($A50&amp;"|"&amp;$D50,Types!$A:$A,0)))))</f>
        <v/>
      </c>
      <c r="AK50" s="43">
        <f>IF(AG50=1,AF50,MAX(AQ50*AS50,AF50))</f>
        <v/>
      </c>
      <c r="AL50" s="43">
        <f>IF(AG50=1,AD50,AK50*(1+AJ50)/2)</f>
        <v/>
      </c>
      <c r="AM50" s="43">
        <f>IF(AG50=1,AE50,AK50*(1-AJ50)/2)</f>
        <v/>
      </c>
      <c r="AN50" s="45">
        <f>IF(AH50="","",AH50-T50)</f>
        <v/>
      </c>
      <c r="AO50" s="51">
        <f>IF(AG50=1,1,IF(U50&gt;0,MIN(AF50/U50,0.99),0))</f>
        <v/>
      </c>
      <c r="AP50" s="43">
        <f>IF(AG50=1,AI50*AF50,0)</f>
        <v/>
      </c>
      <c r="AQ50" s="43">
        <f>N50*(F50+G50)/H50</f>
        <v/>
      </c>
      <c r="AR50" s="43">
        <f>O50*AQ50</f>
        <v/>
      </c>
      <c r="AS50" s="52">
        <f>IF(AG50=1,IF(AQ50&gt;0,AF50/AQ50,1),IFERROR(INDEX(Types!$K:$K,MATCH($A50&amp;"|"&amp;$D50,Types!$A:$A,0)),INDEX(Dashboard!$X$6:$X$22,MATCH($A50,Dashboard!$A$6:$A$22,0))))</f>
        <v/>
      </c>
      <c r="AT50" s="43">
        <f>AQ50*INDEX(Dashboard!$Y$6:$Y$22,MATCH($A50,Dashboard!$A$6:$A$22,0))</f>
        <v/>
      </c>
      <c r="AU50" s="53">
        <f>IF(AND(AG50=1,AT50&gt;0,AF50&gt;0),100*AF50/AT50,"")</f>
        <v/>
      </c>
      <c r="AV50" s="44">
        <f>IF(AU50="","",T50/(AU50/100))</f>
        <v/>
      </c>
      <c r="AW50" s="53">
        <f>IF(AU50="","",IF(AND(ABS(AH50)&gt;=0.1,ABS(T50)&gt;=0.05,SIGN(AH50)=SIGN(T50)),100*T50/AH50,""))</f>
        <v/>
      </c>
      <c r="AX50" s="45">
        <f>IF(AU50="","",T50-AV50)</f>
        <v/>
      </c>
      <c r="AY50" s="45">
        <f>IF(AU50="","",AH50-AV50)</f>
        <v/>
      </c>
      <c r="AZ50" s="54">
        <f>(AL50-AM50)-T50*AT50</f>
        <v/>
      </c>
      <c r="BA50" s="43">
        <f>IF(AU50="",0,(AH50-T50)*AF50)</f>
        <v/>
      </c>
      <c r="BB50" s="43">
        <f>IF(AU50="",0,T50*(AF50-AT50))</f>
        <v/>
      </c>
      <c r="BC50" s="51" t="n">
        <v>0.3705628211116301</v>
      </c>
      <c r="BD50" s="51" t="n">
        <v>0.06819243344231668</v>
      </c>
      <c r="BE50" s="51" t="n">
        <v>0.1210797588887918</v>
      </c>
      <c r="BF50" s="43" t="n">
        <v>17128</v>
      </c>
    </row>
    <row r="51">
      <c r="A51" s="42" t="inlineStr">
        <is>
          <t>GA</t>
        </is>
      </c>
      <c r="B51" s="42" t="inlineStr">
        <is>
          <t>13019</t>
        </is>
      </c>
      <c r="C51" s="42" t="inlineStr">
        <is>
          <t>Berrien</t>
        </is>
      </c>
      <c r="D51" s="42" t="inlineStr">
        <is>
          <t>Small town &amp; rural</t>
        </is>
      </c>
      <c r="E51" s="42" t="inlineStr"/>
      <c r="F51" s="43" t="n">
        <v>1209</v>
      </c>
      <c r="G51" s="43" t="n">
        <v>6841</v>
      </c>
      <c r="H51" s="43" t="n">
        <v>8068</v>
      </c>
      <c r="I51" s="43" t="n">
        <v>1269</v>
      </c>
      <c r="J51" s="43" t="n">
        <v>6419</v>
      </c>
      <c r="K51" s="42" t="inlineStr">
        <is>
          <t>US Senate</t>
        </is>
      </c>
      <c r="L51" s="43" t="n">
        <v>909</v>
      </c>
      <c r="M51" s="43" t="n">
        <v>5002</v>
      </c>
      <c r="N51" s="43" t="n">
        <v>5990</v>
      </c>
      <c r="O51" s="44">
        <f>IFERROR((F51-G51)/(F51+G51),"")</f>
        <v/>
      </c>
      <c r="P51" s="44">
        <f>IFERROR((I51-J51)/(I51+J51),"")</f>
        <v/>
      </c>
      <c r="Q51" s="45">
        <f>IFERROR(O51-P51,"")</f>
        <v/>
      </c>
      <c r="R51" s="44">
        <f>IFERROR((L51-M51)/(L51+M51),"")</f>
        <v/>
      </c>
      <c r="S51" s="46">
        <f>H51/SUMIFS(Counties!$H$2:$H$1583,Counties!$A$2:$A$1583,$A51)</f>
        <v/>
      </c>
      <c r="T51" s="44">
        <f>O51+INDEX(Dashboard!$F$6:$F$22,MATCH($A51,Dashboard!$A$6:$A$22,0))</f>
        <v/>
      </c>
      <c r="U51" s="43">
        <f>AQ51*INDEX(Dashboard!$G$6:$G$22,MATCH($A51,Dashboard!$A$6:$A$22,0))</f>
        <v/>
      </c>
      <c r="V51" s="47" t="n"/>
      <c r="W51" s="47" t="n"/>
      <c r="X51" s="47" t="n"/>
      <c r="Y51" s="48" t="n"/>
      <c r="Z51" s="49" t="n"/>
      <c r="AA51" s="49" t="n"/>
      <c r="AB51" s="49" t="n"/>
      <c r="AC51" s="50" t="n"/>
      <c r="AD51" s="43">
        <f>IF(Z51&lt;&gt;"",Z51,N(V51))</f>
        <v/>
      </c>
      <c r="AE51" s="43">
        <f>IF(AA51&lt;&gt;"",AA51,N(W51))</f>
        <v/>
      </c>
      <c r="AF51" s="43">
        <f>AD51+AE51</f>
        <v/>
      </c>
      <c r="AG51" s="42">
        <f>IF(UPPER(AC51)="Y",1,IF(AF51=0,0,IF(AND(Z51="",Y51&lt;&gt;""),IF(Y51&gt;=0.999,1,0),IF(AF51&gt;=U51,1,0))))</f>
        <v/>
      </c>
      <c r="AH51" s="44">
        <f>IF(AF51&gt;0,(AD51-AE51)/AF51,"")</f>
        <v/>
      </c>
      <c r="AI51" s="45">
        <f>IF(AG51=1,AH51-O51,"")</f>
        <v/>
      </c>
      <c r="AJ51" s="44">
        <f>IF(AG51=1,AH51,MAX(-1,MIN(1,O51+INDEX(Types!$H:$H,MATCH($A51&amp;"|"&amp;$D51,Types!$A:$A,0)))))</f>
        <v/>
      </c>
      <c r="AK51" s="43">
        <f>IF(AG51=1,AF51,MAX(AQ51*AS51,AF51))</f>
        <v/>
      </c>
      <c r="AL51" s="43">
        <f>IF(AG51=1,AD51,AK51*(1+AJ51)/2)</f>
        <v/>
      </c>
      <c r="AM51" s="43">
        <f>IF(AG51=1,AE51,AK51*(1-AJ51)/2)</f>
        <v/>
      </c>
      <c r="AN51" s="45">
        <f>IF(AH51="","",AH51-T51)</f>
        <v/>
      </c>
      <c r="AO51" s="51">
        <f>IF(AG51=1,1,IF(U51&gt;0,MIN(AF51/U51,0.99),0))</f>
        <v/>
      </c>
      <c r="AP51" s="43">
        <f>IF(AG51=1,AI51*AF51,0)</f>
        <v/>
      </c>
      <c r="AQ51" s="43">
        <f>N51*(F51+G51)/H51</f>
        <v/>
      </c>
      <c r="AR51" s="43">
        <f>O51*AQ51</f>
        <v/>
      </c>
      <c r="AS51" s="52">
        <f>IF(AG51=1,IF(AQ51&gt;0,AF51/AQ51,1),IFERROR(INDEX(Types!$K:$K,MATCH($A51&amp;"|"&amp;$D51,Types!$A:$A,0)),INDEX(Dashboard!$X$6:$X$22,MATCH($A51,Dashboard!$A$6:$A$22,0))))</f>
        <v/>
      </c>
      <c r="AT51" s="43">
        <f>AQ51*INDEX(Dashboard!$Y$6:$Y$22,MATCH($A51,Dashboard!$A$6:$A$22,0))</f>
        <v/>
      </c>
      <c r="AU51" s="53">
        <f>IF(AND(AG51=1,AT51&gt;0,AF51&gt;0),100*AF51/AT51,"")</f>
        <v/>
      </c>
      <c r="AV51" s="44">
        <f>IF(AU51="","",T51/(AU51/100))</f>
        <v/>
      </c>
      <c r="AW51" s="53">
        <f>IF(AU51="","",IF(AND(ABS(AH51)&gt;=0.1,ABS(T51)&gt;=0.05,SIGN(AH51)=SIGN(T51)),100*T51/AH51,""))</f>
        <v/>
      </c>
      <c r="AX51" s="45">
        <f>IF(AU51="","",T51-AV51)</f>
        <v/>
      </c>
      <c r="AY51" s="45">
        <f>IF(AU51="","",AH51-AV51)</f>
        <v/>
      </c>
      <c r="AZ51" s="54">
        <f>(AL51-AM51)-T51*AT51</f>
        <v/>
      </c>
      <c r="BA51" s="43">
        <f>IF(AU51="",0,(AH51-T51)*AF51)</f>
        <v/>
      </c>
      <c r="BB51" s="43">
        <f>IF(AU51="",0,T51*(AF51-AT51))</f>
        <v/>
      </c>
      <c r="BC51" s="51" t="n">
        <v>0.1138395261173936</v>
      </c>
      <c r="BD51" s="51" t="n">
        <v>0.06375875067312871</v>
      </c>
      <c r="BE51" s="51" t="n">
        <v>0.1279778393351801</v>
      </c>
      <c r="BF51" s="43" t="n">
        <v>18570</v>
      </c>
    </row>
    <row r="52">
      <c r="A52" s="42" t="inlineStr">
        <is>
          <t>GA</t>
        </is>
      </c>
      <c r="B52" s="42" t="inlineStr">
        <is>
          <t>13021</t>
        </is>
      </c>
      <c r="C52" s="42" t="inlineStr">
        <is>
          <t>Bibb</t>
        </is>
      </c>
      <c r="D52" s="42" t="inlineStr">
        <is>
          <t>Black Belt</t>
        </is>
      </c>
      <c r="E52" s="42" t="inlineStr"/>
      <c r="F52" s="43" t="n">
        <v>42172</v>
      </c>
      <c r="G52" s="43" t="n">
        <v>26658</v>
      </c>
      <c r="H52" s="43" t="n">
        <v>69181</v>
      </c>
      <c r="I52" s="43" t="n">
        <v>43408</v>
      </c>
      <c r="J52" s="43" t="n">
        <v>26559</v>
      </c>
      <c r="K52" s="42" t="inlineStr">
        <is>
          <t>US Senate</t>
        </is>
      </c>
      <c r="L52" s="43" t="n">
        <v>33105</v>
      </c>
      <c r="M52" s="43" t="n">
        <v>20203</v>
      </c>
      <c r="N52" s="43" t="n">
        <v>54007</v>
      </c>
      <c r="O52" s="44">
        <f>IFERROR((F52-G52)/(F52+G52),"")</f>
        <v/>
      </c>
      <c r="P52" s="44">
        <f>IFERROR((I52-J52)/(I52+J52),"")</f>
        <v/>
      </c>
      <c r="Q52" s="45">
        <f>IFERROR(O52-P52,"")</f>
        <v/>
      </c>
      <c r="R52" s="44">
        <f>IFERROR((L52-M52)/(L52+M52),"")</f>
        <v/>
      </c>
      <c r="S52" s="46">
        <f>H52/SUMIFS(Counties!$H$2:$H$1583,Counties!$A$2:$A$1583,$A52)</f>
        <v/>
      </c>
      <c r="T52" s="44">
        <f>O52+INDEX(Dashboard!$F$6:$F$22,MATCH($A52,Dashboard!$A$6:$A$22,0))</f>
        <v/>
      </c>
      <c r="U52" s="43">
        <f>AQ52*INDEX(Dashboard!$G$6:$G$22,MATCH($A52,Dashboard!$A$6:$A$22,0))</f>
        <v/>
      </c>
      <c r="V52" s="47" t="n"/>
      <c r="W52" s="47" t="n"/>
      <c r="X52" s="47" t="n"/>
      <c r="Y52" s="48" t="n"/>
      <c r="Z52" s="49" t="n"/>
      <c r="AA52" s="49" t="n"/>
      <c r="AB52" s="49" t="n"/>
      <c r="AC52" s="50" t="n"/>
      <c r="AD52" s="43">
        <f>IF(Z52&lt;&gt;"",Z52,N(V52))</f>
        <v/>
      </c>
      <c r="AE52" s="43">
        <f>IF(AA52&lt;&gt;"",AA52,N(W52))</f>
        <v/>
      </c>
      <c r="AF52" s="43">
        <f>AD52+AE52</f>
        <v/>
      </c>
      <c r="AG52" s="42">
        <f>IF(UPPER(AC52)="Y",1,IF(AF52=0,0,IF(AND(Z52="",Y52&lt;&gt;""),IF(Y52&gt;=0.999,1,0),IF(AF52&gt;=U52,1,0))))</f>
        <v/>
      </c>
      <c r="AH52" s="44">
        <f>IF(AF52&gt;0,(AD52-AE52)/AF52,"")</f>
        <v/>
      </c>
      <c r="AI52" s="45">
        <f>IF(AG52=1,AH52-O52,"")</f>
        <v/>
      </c>
      <c r="AJ52" s="44">
        <f>IF(AG52=1,AH52,MAX(-1,MIN(1,O52+INDEX(Types!$H:$H,MATCH($A52&amp;"|"&amp;$D52,Types!$A:$A,0)))))</f>
        <v/>
      </c>
      <c r="AK52" s="43">
        <f>IF(AG52=1,AF52,MAX(AQ52*AS52,AF52))</f>
        <v/>
      </c>
      <c r="AL52" s="43">
        <f>IF(AG52=1,AD52,AK52*(1+AJ52)/2)</f>
        <v/>
      </c>
      <c r="AM52" s="43">
        <f>IF(AG52=1,AE52,AK52*(1-AJ52)/2)</f>
        <v/>
      </c>
      <c r="AN52" s="45">
        <f>IF(AH52="","",AH52-T52)</f>
        <v/>
      </c>
      <c r="AO52" s="51">
        <f>IF(AG52=1,1,IF(U52&gt;0,MIN(AF52/U52,0.99),0))</f>
        <v/>
      </c>
      <c r="AP52" s="43">
        <f>IF(AG52=1,AI52*AF52,0)</f>
        <v/>
      </c>
      <c r="AQ52" s="43">
        <f>N52*(F52+G52)/H52</f>
        <v/>
      </c>
      <c r="AR52" s="43">
        <f>O52*AQ52</f>
        <v/>
      </c>
      <c r="AS52" s="52">
        <f>IF(AG52=1,IF(AQ52&gt;0,AF52/AQ52,1),IFERROR(INDEX(Types!$K:$K,MATCH($A52&amp;"|"&amp;$D52,Types!$A:$A,0)),INDEX(Dashboard!$X$6:$X$22,MATCH($A52,Dashboard!$A$6:$A$22,0))))</f>
        <v/>
      </c>
      <c r="AT52" s="43">
        <f>AQ52*INDEX(Dashboard!$Y$6:$Y$22,MATCH($A52,Dashboard!$A$6:$A$22,0))</f>
        <v/>
      </c>
      <c r="AU52" s="53">
        <f>IF(AND(AG52=1,AT52&gt;0,AF52&gt;0),100*AF52/AT52,"")</f>
        <v/>
      </c>
      <c r="AV52" s="44">
        <f>IF(AU52="","",T52/(AU52/100))</f>
        <v/>
      </c>
      <c r="AW52" s="53">
        <f>IF(AU52="","",IF(AND(ABS(AH52)&gt;=0.1,ABS(T52)&gt;=0.05,SIGN(AH52)=SIGN(T52)),100*T52/AH52,""))</f>
        <v/>
      </c>
      <c r="AX52" s="45">
        <f>IF(AU52="","",T52-AV52)</f>
        <v/>
      </c>
      <c r="AY52" s="45">
        <f>IF(AU52="","",AH52-AV52)</f>
        <v/>
      </c>
      <c r="AZ52" s="54">
        <f>(AL52-AM52)-T52*AT52</f>
        <v/>
      </c>
      <c r="BA52" s="43">
        <f>IF(AU52="",0,(AH52-T52)*AF52)</f>
        <v/>
      </c>
      <c r="BB52" s="43">
        <f>IF(AU52="",0,T52*(AF52-AT52))</f>
        <v/>
      </c>
      <c r="BC52" s="51" t="n">
        <v>0.5658735432426907</v>
      </c>
      <c r="BD52" s="51" t="n">
        <v>0.04804743406256389</v>
      </c>
      <c r="BE52" s="51" t="n">
        <v>0.2598713173044362</v>
      </c>
      <c r="BF52" s="43" t="n">
        <v>156512</v>
      </c>
    </row>
    <row r="53">
      <c r="A53" s="42" t="inlineStr">
        <is>
          <t>GA</t>
        </is>
      </c>
      <c r="B53" s="42" t="inlineStr">
        <is>
          <t>13023</t>
        </is>
      </c>
      <c r="C53" s="42" t="inlineStr">
        <is>
          <t>Bleckley</t>
        </is>
      </c>
      <c r="D53" s="42" t="inlineStr">
        <is>
          <t>Small town &amp; rural</t>
        </is>
      </c>
      <c r="E53" s="42" t="inlineStr"/>
      <c r="F53" s="43" t="n">
        <v>1339</v>
      </c>
      <c r="G53" s="43" t="n">
        <v>4685</v>
      </c>
      <c r="H53" s="43" t="n">
        <v>6044</v>
      </c>
      <c r="I53" s="43" t="n">
        <v>1312</v>
      </c>
      <c r="J53" s="43" t="n">
        <v>4329</v>
      </c>
      <c r="K53" s="42" t="inlineStr">
        <is>
          <t>US Senate</t>
        </is>
      </c>
      <c r="L53" s="43" t="n">
        <v>1039</v>
      </c>
      <c r="M53" s="43" t="n">
        <v>3675</v>
      </c>
      <c r="N53" s="43" t="n">
        <v>4791</v>
      </c>
      <c r="O53" s="44">
        <f>IFERROR((F53-G53)/(F53+G53),"")</f>
        <v/>
      </c>
      <c r="P53" s="44">
        <f>IFERROR((I53-J53)/(I53+J53),"")</f>
        <v/>
      </c>
      <c r="Q53" s="45">
        <f>IFERROR(O53-P53,"")</f>
        <v/>
      </c>
      <c r="R53" s="44">
        <f>IFERROR((L53-M53)/(L53+M53),"")</f>
        <v/>
      </c>
      <c r="S53" s="46">
        <f>H53/SUMIFS(Counties!$H$2:$H$1583,Counties!$A$2:$A$1583,$A53)</f>
        <v/>
      </c>
      <c r="T53" s="44">
        <f>O53+INDEX(Dashboard!$F$6:$F$22,MATCH($A53,Dashboard!$A$6:$A$22,0))</f>
        <v/>
      </c>
      <c r="U53" s="43">
        <f>AQ53*INDEX(Dashboard!$G$6:$G$22,MATCH($A53,Dashboard!$A$6:$A$22,0))</f>
        <v/>
      </c>
      <c r="V53" s="47" t="n"/>
      <c r="W53" s="47" t="n"/>
      <c r="X53" s="47" t="n"/>
      <c r="Y53" s="48" t="n"/>
      <c r="Z53" s="49" t="n"/>
      <c r="AA53" s="49" t="n"/>
      <c r="AB53" s="49" t="n"/>
      <c r="AC53" s="50" t="n"/>
      <c r="AD53" s="43">
        <f>IF(Z53&lt;&gt;"",Z53,N(V53))</f>
        <v/>
      </c>
      <c r="AE53" s="43">
        <f>IF(AA53&lt;&gt;"",AA53,N(W53))</f>
        <v/>
      </c>
      <c r="AF53" s="43">
        <f>AD53+AE53</f>
        <v/>
      </c>
      <c r="AG53" s="42">
        <f>IF(UPPER(AC53)="Y",1,IF(AF53=0,0,IF(AND(Z53="",Y53&lt;&gt;""),IF(Y53&gt;=0.999,1,0),IF(AF53&gt;=U53,1,0))))</f>
        <v/>
      </c>
      <c r="AH53" s="44">
        <f>IF(AF53&gt;0,(AD53-AE53)/AF53,"")</f>
        <v/>
      </c>
      <c r="AI53" s="45">
        <f>IF(AG53=1,AH53-O53,"")</f>
        <v/>
      </c>
      <c r="AJ53" s="44">
        <f>IF(AG53=1,AH53,MAX(-1,MIN(1,O53+INDEX(Types!$H:$H,MATCH($A53&amp;"|"&amp;$D53,Types!$A:$A,0)))))</f>
        <v/>
      </c>
      <c r="AK53" s="43">
        <f>IF(AG53=1,AF53,MAX(AQ53*AS53,AF53))</f>
        <v/>
      </c>
      <c r="AL53" s="43">
        <f>IF(AG53=1,AD53,AK53*(1+AJ53)/2)</f>
        <v/>
      </c>
      <c r="AM53" s="43">
        <f>IF(AG53=1,AE53,AK53*(1-AJ53)/2)</f>
        <v/>
      </c>
      <c r="AN53" s="45">
        <f>IF(AH53="","",AH53-T53)</f>
        <v/>
      </c>
      <c r="AO53" s="51">
        <f>IF(AG53=1,1,IF(U53&gt;0,MIN(AF53/U53,0.99),0))</f>
        <v/>
      </c>
      <c r="AP53" s="43">
        <f>IF(AG53=1,AI53*AF53,0)</f>
        <v/>
      </c>
      <c r="AQ53" s="43">
        <f>N53*(F53+G53)/H53</f>
        <v/>
      </c>
      <c r="AR53" s="43">
        <f>O53*AQ53</f>
        <v/>
      </c>
      <c r="AS53" s="52">
        <f>IF(AG53=1,IF(AQ53&gt;0,AF53/AQ53,1),IFERROR(INDEX(Types!$K:$K,MATCH($A53&amp;"|"&amp;$D53,Types!$A:$A,0)),INDEX(Dashboard!$X$6:$X$22,MATCH($A53,Dashboard!$A$6:$A$22,0))))</f>
        <v/>
      </c>
      <c r="AT53" s="43">
        <f>AQ53*INDEX(Dashboard!$Y$6:$Y$22,MATCH($A53,Dashboard!$A$6:$A$22,0))</f>
        <v/>
      </c>
      <c r="AU53" s="53">
        <f>IF(AND(AG53=1,AT53&gt;0,AF53&gt;0),100*AF53/AT53,"")</f>
        <v/>
      </c>
      <c r="AV53" s="44">
        <f>IF(AU53="","",T53/(AU53/100))</f>
        <v/>
      </c>
      <c r="AW53" s="53">
        <f>IF(AU53="","",IF(AND(ABS(AH53)&gt;=0.1,ABS(T53)&gt;=0.05,SIGN(AH53)=SIGN(T53)),100*T53/AH53,""))</f>
        <v/>
      </c>
      <c r="AX53" s="45">
        <f>IF(AU53="","",T53-AV53)</f>
        <v/>
      </c>
      <c r="AY53" s="45">
        <f>IF(AU53="","",AH53-AV53)</f>
        <v/>
      </c>
      <c r="AZ53" s="54">
        <f>(AL53-AM53)-T53*AT53</f>
        <v/>
      </c>
      <c r="BA53" s="43">
        <f>IF(AU53="",0,(AH53-T53)*AF53)</f>
        <v/>
      </c>
      <c r="BB53" s="43">
        <f>IF(AU53="",0,T53*(AF53-AT53))</f>
        <v/>
      </c>
      <c r="BC53" s="51" t="n">
        <v>0.2453269153630165</v>
      </c>
      <c r="BD53" s="51" t="n">
        <v>0.03730445246690734</v>
      </c>
      <c r="BE53" s="51" t="n">
        <v>0.1828543111992071</v>
      </c>
      <c r="BF53" s="43" t="n">
        <v>12465</v>
      </c>
    </row>
    <row r="54">
      <c r="A54" s="42" t="inlineStr">
        <is>
          <t>GA</t>
        </is>
      </c>
      <c r="B54" s="42" t="inlineStr">
        <is>
          <t>13025</t>
        </is>
      </c>
      <c r="C54" s="42" t="inlineStr">
        <is>
          <t>Brantley</t>
        </is>
      </c>
      <c r="D54" s="42" t="inlineStr">
        <is>
          <t>Small town &amp; rural</t>
        </is>
      </c>
      <c r="E54" s="42" t="inlineStr"/>
      <c r="F54" s="43" t="n">
        <v>736</v>
      </c>
      <c r="G54" s="43" t="n">
        <v>7744</v>
      </c>
      <c r="H54" s="43" t="n">
        <v>8500</v>
      </c>
      <c r="I54" s="43" t="n">
        <v>700</v>
      </c>
      <c r="J54" s="43" t="n">
        <v>6993</v>
      </c>
      <c r="K54" s="42" t="inlineStr">
        <is>
          <t>US Senate</t>
        </is>
      </c>
      <c r="L54" s="43" t="n">
        <v>477</v>
      </c>
      <c r="M54" s="43" t="n">
        <v>5275</v>
      </c>
      <c r="N54" s="43" t="n">
        <v>5846</v>
      </c>
      <c r="O54" s="44">
        <f>IFERROR((F54-G54)/(F54+G54),"")</f>
        <v/>
      </c>
      <c r="P54" s="44">
        <f>IFERROR((I54-J54)/(I54+J54),"")</f>
        <v/>
      </c>
      <c r="Q54" s="45">
        <f>IFERROR(O54-P54,"")</f>
        <v/>
      </c>
      <c r="R54" s="44">
        <f>IFERROR((L54-M54)/(L54+M54),"")</f>
        <v/>
      </c>
      <c r="S54" s="46">
        <f>H54/SUMIFS(Counties!$H$2:$H$1583,Counties!$A$2:$A$1583,$A54)</f>
        <v/>
      </c>
      <c r="T54" s="44">
        <f>O54+INDEX(Dashboard!$F$6:$F$22,MATCH($A54,Dashboard!$A$6:$A$22,0))</f>
        <v/>
      </c>
      <c r="U54" s="43">
        <f>AQ54*INDEX(Dashboard!$G$6:$G$22,MATCH($A54,Dashboard!$A$6:$A$22,0))</f>
        <v/>
      </c>
      <c r="V54" s="47" t="n"/>
      <c r="W54" s="47" t="n"/>
      <c r="X54" s="47" t="n"/>
      <c r="Y54" s="48" t="n"/>
      <c r="Z54" s="49" t="n"/>
      <c r="AA54" s="49" t="n"/>
      <c r="AB54" s="49" t="n"/>
      <c r="AC54" s="50" t="n"/>
      <c r="AD54" s="43">
        <f>IF(Z54&lt;&gt;"",Z54,N(V54))</f>
        <v/>
      </c>
      <c r="AE54" s="43">
        <f>IF(AA54&lt;&gt;"",AA54,N(W54))</f>
        <v/>
      </c>
      <c r="AF54" s="43">
        <f>AD54+AE54</f>
        <v/>
      </c>
      <c r="AG54" s="42">
        <f>IF(UPPER(AC54)="Y",1,IF(AF54=0,0,IF(AND(Z54="",Y54&lt;&gt;""),IF(Y54&gt;=0.999,1,0),IF(AF54&gt;=U54,1,0))))</f>
        <v/>
      </c>
      <c r="AH54" s="44">
        <f>IF(AF54&gt;0,(AD54-AE54)/AF54,"")</f>
        <v/>
      </c>
      <c r="AI54" s="45">
        <f>IF(AG54=1,AH54-O54,"")</f>
        <v/>
      </c>
      <c r="AJ54" s="44">
        <f>IF(AG54=1,AH54,MAX(-1,MIN(1,O54+INDEX(Types!$H:$H,MATCH($A54&amp;"|"&amp;$D54,Types!$A:$A,0)))))</f>
        <v/>
      </c>
      <c r="AK54" s="43">
        <f>IF(AG54=1,AF54,MAX(AQ54*AS54,AF54))</f>
        <v/>
      </c>
      <c r="AL54" s="43">
        <f>IF(AG54=1,AD54,AK54*(1+AJ54)/2)</f>
        <v/>
      </c>
      <c r="AM54" s="43">
        <f>IF(AG54=1,AE54,AK54*(1-AJ54)/2)</f>
        <v/>
      </c>
      <c r="AN54" s="45">
        <f>IF(AH54="","",AH54-T54)</f>
        <v/>
      </c>
      <c r="AO54" s="51">
        <f>IF(AG54=1,1,IF(U54&gt;0,MIN(AF54/U54,0.99),0))</f>
        <v/>
      </c>
      <c r="AP54" s="43">
        <f>IF(AG54=1,AI54*AF54,0)</f>
        <v/>
      </c>
      <c r="AQ54" s="43">
        <f>N54*(F54+G54)/H54</f>
        <v/>
      </c>
      <c r="AR54" s="43">
        <f>O54*AQ54</f>
        <v/>
      </c>
      <c r="AS54" s="52">
        <f>IF(AG54=1,IF(AQ54&gt;0,AF54/AQ54,1),IFERROR(INDEX(Types!$K:$K,MATCH($A54&amp;"|"&amp;$D54,Types!$A:$A,0)),INDEX(Dashboard!$X$6:$X$22,MATCH($A54,Dashboard!$A$6:$A$22,0))))</f>
        <v/>
      </c>
      <c r="AT54" s="43">
        <f>AQ54*INDEX(Dashboard!$Y$6:$Y$22,MATCH($A54,Dashboard!$A$6:$A$22,0))</f>
        <v/>
      </c>
      <c r="AU54" s="53">
        <f>IF(AND(AG54=1,AT54&gt;0,AF54&gt;0),100*AF54/AT54,"")</f>
        <v/>
      </c>
      <c r="AV54" s="44">
        <f>IF(AU54="","",T54/(AU54/100))</f>
        <v/>
      </c>
      <c r="AW54" s="53">
        <f>IF(AU54="","",IF(AND(ABS(AH54)&gt;=0.1,ABS(T54)&gt;=0.05,SIGN(AH54)=SIGN(T54)),100*T54/AH54,""))</f>
        <v/>
      </c>
      <c r="AX54" s="45">
        <f>IF(AU54="","",T54-AV54)</f>
        <v/>
      </c>
      <c r="AY54" s="45">
        <f>IF(AU54="","",AH54-AV54)</f>
        <v/>
      </c>
      <c r="AZ54" s="54">
        <f>(AL54-AM54)-T54*AT54</f>
        <v/>
      </c>
      <c r="BA54" s="43">
        <f>IF(AU54="",0,(AH54-T54)*AF54)</f>
        <v/>
      </c>
      <c r="BB54" s="43">
        <f>IF(AU54="",0,T54*(AF54-AT54))</f>
        <v/>
      </c>
      <c r="BC54" s="51" t="n">
        <v>0.04075865442095538</v>
      </c>
      <c r="BD54" s="51" t="n">
        <v>0.02510733112330852</v>
      </c>
      <c r="BE54" s="51" t="n">
        <v>0.1089799476896251</v>
      </c>
      <c r="BF54" s="43" t="n">
        <v>18401</v>
      </c>
    </row>
    <row r="55">
      <c r="A55" s="42" t="inlineStr">
        <is>
          <t>GA</t>
        </is>
      </c>
      <c r="B55" s="42" t="inlineStr">
        <is>
          <t>13027</t>
        </is>
      </c>
      <c r="C55" s="42" t="inlineStr">
        <is>
          <t>Brooks</t>
        </is>
      </c>
      <c r="D55" s="42" t="inlineStr">
        <is>
          <t>Small town &amp; rural</t>
        </is>
      </c>
      <c r="E55" s="42" t="inlineStr"/>
      <c r="F55" s="43" t="n">
        <v>2629</v>
      </c>
      <c r="G55" s="43" t="n">
        <v>4560</v>
      </c>
      <c r="H55" s="43" t="n">
        <v>7210</v>
      </c>
      <c r="I55" s="43" t="n">
        <v>2791</v>
      </c>
      <c r="J55" s="43" t="n">
        <v>4261</v>
      </c>
      <c r="K55" s="42" t="inlineStr">
        <is>
          <t>US Senate</t>
        </is>
      </c>
      <c r="L55" s="43" t="n">
        <v>1999</v>
      </c>
      <c r="M55" s="43" t="n">
        <v>3528</v>
      </c>
      <c r="N55" s="43" t="n">
        <v>5604</v>
      </c>
      <c r="O55" s="44">
        <f>IFERROR((F55-G55)/(F55+G55),"")</f>
        <v/>
      </c>
      <c r="P55" s="44">
        <f>IFERROR((I55-J55)/(I55+J55),"")</f>
        <v/>
      </c>
      <c r="Q55" s="45">
        <f>IFERROR(O55-P55,"")</f>
        <v/>
      </c>
      <c r="R55" s="44">
        <f>IFERROR((L55-M55)/(L55+M55),"")</f>
        <v/>
      </c>
      <c r="S55" s="46">
        <f>H55/SUMIFS(Counties!$H$2:$H$1583,Counties!$A$2:$A$1583,$A55)</f>
        <v/>
      </c>
      <c r="T55" s="44">
        <f>O55+INDEX(Dashboard!$F$6:$F$22,MATCH($A55,Dashboard!$A$6:$A$22,0))</f>
        <v/>
      </c>
      <c r="U55" s="43">
        <f>AQ55*INDEX(Dashboard!$G$6:$G$22,MATCH($A55,Dashboard!$A$6:$A$22,0))</f>
        <v/>
      </c>
      <c r="V55" s="47" t="n"/>
      <c r="W55" s="47" t="n"/>
      <c r="X55" s="47" t="n"/>
      <c r="Y55" s="48" t="n"/>
      <c r="Z55" s="49" t="n"/>
      <c r="AA55" s="49" t="n"/>
      <c r="AB55" s="49" t="n"/>
      <c r="AC55" s="50" t="n"/>
      <c r="AD55" s="43">
        <f>IF(Z55&lt;&gt;"",Z55,N(V55))</f>
        <v/>
      </c>
      <c r="AE55" s="43">
        <f>IF(AA55&lt;&gt;"",AA55,N(W55))</f>
        <v/>
      </c>
      <c r="AF55" s="43">
        <f>AD55+AE55</f>
        <v/>
      </c>
      <c r="AG55" s="42">
        <f>IF(UPPER(AC55)="Y",1,IF(AF55=0,0,IF(AND(Z55="",Y55&lt;&gt;""),IF(Y55&gt;=0.999,1,0),IF(AF55&gt;=U55,1,0))))</f>
        <v/>
      </c>
      <c r="AH55" s="44">
        <f>IF(AF55&gt;0,(AD55-AE55)/AF55,"")</f>
        <v/>
      </c>
      <c r="AI55" s="45">
        <f>IF(AG55=1,AH55-O55,"")</f>
        <v/>
      </c>
      <c r="AJ55" s="44">
        <f>IF(AG55=1,AH55,MAX(-1,MIN(1,O55+INDEX(Types!$H:$H,MATCH($A55&amp;"|"&amp;$D55,Types!$A:$A,0)))))</f>
        <v/>
      </c>
      <c r="AK55" s="43">
        <f>IF(AG55=1,AF55,MAX(AQ55*AS55,AF55))</f>
        <v/>
      </c>
      <c r="AL55" s="43">
        <f>IF(AG55=1,AD55,AK55*(1+AJ55)/2)</f>
        <v/>
      </c>
      <c r="AM55" s="43">
        <f>IF(AG55=1,AE55,AK55*(1-AJ55)/2)</f>
        <v/>
      </c>
      <c r="AN55" s="45">
        <f>IF(AH55="","",AH55-T55)</f>
        <v/>
      </c>
      <c r="AO55" s="51">
        <f>IF(AG55=1,1,IF(U55&gt;0,MIN(AF55/U55,0.99),0))</f>
        <v/>
      </c>
      <c r="AP55" s="43">
        <f>IF(AG55=1,AI55*AF55,0)</f>
        <v/>
      </c>
      <c r="AQ55" s="43">
        <f>N55*(F55+G55)/H55</f>
        <v/>
      </c>
      <c r="AR55" s="43">
        <f>O55*AQ55</f>
        <v/>
      </c>
      <c r="AS55" s="52">
        <f>IF(AG55=1,IF(AQ55&gt;0,AF55/AQ55,1),IFERROR(INDEX(Types!$K:$K,MATCH($A55&amp;"|"&amp;$D55,Types!$A:$A,0)),INDEX(Dashboard!$X$6:$X$22,MATCH($A55,Dashboard!$A$6:$A$22,0))))</f>
        <v/>
      </c>
      <c r="AT55" s="43">
        <f>AQ55*INDEX(Dashboard!$Y$6:$Y$22,MATCH($A55,Dashboard!$A$6:$A$22,0))</f>
        <v/>
      </c>
      <c r="AU55" s="53">
        <f>IF(AND(AG55=1,AT55&gt;0,AF55&gt;0),100*AF55/AT55,"")</f>
        <v/>
      </c>
      <c r="AV55" s="44">
        <f>IF(AU55="","",T55/(AU55/100))</f>
        <v/>
      </c>
      <c r="AW55" s="53">
        <f>IF(AU55="","",IF(AND(ABS(AH55)&gt;=0.1,ABS(T55)&gt;=0.05,SIGN(AH55)=SIGN(T55)),100*T55/AH55,""))</f>
        <v/>
      </c>
      <c r="AX55" s="45">
        <f>IF(AU55="","",T55-AV55)</f>
        <v/>
      </c>
      <c r="AY55" s="45">
        <f>IF(AU55="","",AH55-AV55)</f>
        <v/>
      </c>
      <c r="AZ55" s="54">
        <f>(AL55-AM55)-T55*AT55</f>
        <v/>
      </c>
      <c r="BA55" s="43">
        <f>IF(AU55="",0,(AH55-T55)*AF55)</f>
        <v/>
      </c>
      <c r="BB55" s="43">
        <f>IF(AU55="",0,T55*(AF55-AT55))</f>
        <v/>
      </c>
      <c r="BC55" s="51" t="n">
        <v>0.3431209602954755</v>
      </c>
      <c r="BD55" s="51" t="n">
        <v>0.07251461988304093</v>
      </c>
      <c r="BE55" s="51" t="n">
        <v>0.1356626296070402</v>
      </c>
      <c r="BF55" s="43" t="n">
        <v>16245</v>
      </c>
    </row>
    <row r="56">
      <c r="A56" s="42" t="inlineStr">
        <is>
          <t>GA</t>
        </is>
      </c>
      <c r="B56" s="42" t="inlineStr">
        <is>
          <t>13029</t>
        </is>
      </c>
      <c r="C56" s="42" t="inlineStr">
        <is>
          <t>Bryan</t>
        </is>
      </c>
      <c r="D56" s="42" t="inlineStr">
        <is>
          <t>Small town &amp; rural</t>
        </is>
      </c>
      <c r="E56" s="42" t="inlineStr"/>
      <c r="F56" s="43" t="n">
        <v>7779</v>
      </c>
      <c r="G56" s="43" t="n">
        <v>16738</v>
      </c>
      <c r="H56" s="43" t="n">
        <v>24651</v>
      </c>
      <c r="I56" s="43" t="n">
        <v>6738</v>
      </c>
      <c r="J56" s="43" t="n">
        <v>14240</v>
      </c>
      <c r="K56" s="42" t="inlineStr">
        <is>
          <t>US Senate</t>
        </is>
      </c>
      <c r="L56" s="43" t="n">
        <v>5404</v>
      </c>
      <c r="M56" s="43" t="n">
        <v>11143</v>
      </c>
      <c r="N56" s="43" t="n">
        <v>16926</v>
      </c>
      <c r="O56" s="44">
        <f>IFERROR((F56-G56)/(F56+G56),"")</f>
        <v/>
      </c>
      <c r="P56" s="44">
        <f>IFERROR((I56-J56)/(I56+J56),"")</f>
        <v/>
      </c>
      <c r="Q56" s="45">
        <f>IFERROR(O56-P56,"")</f>
        <v/>
      </c>
      <c r="R56" s="44">
        <f>IFERROR((L56-M56)/(L56+M56),"")</f>
        <v/>
      </c>
      <c r="S56" s="46">
        <f>H56/SUMIFS(Counties!$H$2:$H$1583,Counties!$A$2:$A$1583,$A56)</f>
        <v/>
      </c>
      <c r="T56" s="44">
        <f>O56+INDEX(Dashboard!$F$6:$F$22,MATCH($A56,Dashboard!$A$6:$A$22,0))</f>
        <v/>
      </c>
      <c r="U56" s="43">
        <f>AQ56*INDEX(Dashboard!$G$6:$G$22,MATCH($A56,Dashboard!$A$6:$A$22,0))</f>
        <v/>
      </c>
      <c r="V56" s="47" t="n"/>
      <c r="W56" s="47" t="n"/>
      <c r="X56" s="47" t="n"/>
      <c r="Y56" s="48" t="n"/>
      <c r="Z56" s="49" t="n"/>
      <c r="AA56" s="49" t="n"/>
      <c r="AB56" s="49" t="n"/>
      <c r="AC56" s="50" t="n"/>
      <c r="AD56" s="43">
        <f>IF(Z56&lt;&gt;"",Z56,N(V56))</f>
        <v/>
      </c>
      <c r="AE56" s="43">
        <f>IF(AA56&lt;&gt;"",AA56,N(W56))</f>
        <v/>
      </c>
      <c r="AF56" s="43">
        <f>AD56+AE56</f>
        <v/>
      </c>
      <c r="AG56" s="42">
        <f>IF(UPPER(AC56)="Y",1,IF(AF56=0,0,IF(AND(Z56="",Y56&lt;&gt;""),IF(Y56&gt;=0.999,1,0),IF(AF56&gt;=U56,1,0))))</f>
        <v/>
      </c>
      <c r="AH56" s="44">
        <f>IF(AF56&gt;0,(AD56-AE56)/AF56,"")</f>
        <v/>
      </c>
      <c r="AI56" s="45">
        <f>IF(AG56=1,AH56-O56,"")</f>
        <v/>
      </c>
      <c r="AJ56" s="44">
        <f>IF(AG56=1,AH56,MAX(-1,MIN(1,O56+INDEX(Types!$H:$H,MATCH($A56&amp;"|"&amp;$D56,Types!$A:$A,0)))))</f>
        <v/>
      </c>
      <c r="AK56" s="43">
        <f>IF(AG56=1,AF56,MAX(AQ56*AS56,AF56))</f>
        <v/>
      </c>
      <c r="AL56" s="43">
        <f>IF(AG56=1,AD56,AK56*(1+AJ56)/2)</f>
        <v/>
      </c>
      <c r="AM56" s="43">
        <f>IF(AG56=1,AE56,AK56*(1-AJ56)/2)</f>
        <v/>
      </c>
      <c r="AN56" s="45">
        <f>IF(AH56="","",AH56-T56)</f>
        <v/>
      </c>
      <c r="AO56" s="51">
        <f>IF(AG56=1,1,IF(U56&gt;0,MIN(AF56/U56,0.99),0))</f>
        <v/>
      </c>
      <c r="AP56" s="43">
        <f>IF(AG56=1,AI56*AF56,0)</f>
        <v/>
      </c>
      <c r="AQ56" s="43">
        <f>N56*(F56+G56)/H56</f>
        <v/>
      </c>
      <c r="AR56" s="43">
        <f>O56*AQ56</f>
        <v/>
      </c>
      <c r="AS56" s="52">
        <f>IF(AG56=1,IF(AQ56&gt;0,AF56/AQ56,1),IFERROR(INDEX(Types!$K:$K,MATCH($A56&amp;"|"&amp;$D56,Types!$A:$A,0)),INDEX(Dashboard!$X$6:$X$22,MATCH($A56,Dashboard!$A$6:$A$22,0))))</f>
        <v/>
      </c>
      <c r="AT56" s="43">
        <f>AQ56*INDEX(Dashboard!$Y$6:$Y$22,MATCH($A56,Dashboard!$A$6:$A$22,0))</f>
        <v/>
      </c>
      <c r="AU56" s="53">
        <f>IF(AND(AG56=1,AT56&gt;0,AF56&gt;0),100*AF56/AT56,"")</f>
        <v/>
      </c>
      <c r="AV56" s="44">
        <f>IF(AU56="","",T56/(AU56/100))</f>
        <v/>
      </c>
      <c r="AW56" s="53">
        <f>IF(AU56="","",IF(AND(ABS(AH56)&gt;=0.1,ABS(T56)&gt;=0.05,SIGN(AH56)=SIGN(T56)),100*T56/AH56,""))</f>
        <v/>
      </c>
      <c r="AX56" s="45">
        <f>IF(AU56="","",T56-AV56)</f>
        <v/>
      </c>
      <c r="AY56" s="45">
        <f>IF(AU56="","",AH56-AV56)</f>
        <v/>
      </c>
      <c r="AZ56" s="54">
        <f>(AL56-AM56)-T56*AT56</f>
        <v/>
      </c>
      <c r="BA56" s="43">
        <f>IF(AU56="",0,(AH56-T56)*AF56)</f>
        <v/>
      </c>
      <c r="BB56" s="43">
        <f>IF(AU56="",0,T56*(AF56-AT56))</f>
        <v/>
      </c>
      <c r="BC56" s="51" t="n">
        <v>0.1521140352640785</v>
      </c>
      <c r="BD56" s="51" t="n">
        <v>0.08452120066748427</v>
      </c>
      <c r="BE56" s="51" t="n">
        <v>0.3463673830852549</v>
      </c>
      <c r="BF56" s="43" t="n">
        <v>49739</v>
      </c>
    </row>
    <row r="57">
      <c r="A57" s="42" t="inlineStr">
        <is>
          <t>GA</t>
        </is>
      </c>
      <c r="B57" s="42" t="inlineStr">
        <is>
          <t>13031</t>
        </is>
      </c>
      <c r="C57" s="42" t="inlineStr">
        <is>
          <t>Bulloch</t>
        </is>
      </c>
      <c r="D57" s="42" t="inlineStr">
        <is>
          <t>Small town &amp; rural</t>
        </is>
      </c>
      <c r="E57" s="42" t="inlineStr"/>
      <c r="F57" s="43" t="n">
        <v>11514</v>
      </c>
      <c r="G57" s="43" t="n">
        <v>20985</v>
      </c>
      <c r="H57" s="43" t="n">
        <v>32657</v>
      </c>
      <c r="I57" s="43" t="n">
        <v>11248</v>
      </c>
      <c r="J57" s="43" t="n">
        <v>18387</v>
      </c>
      <c r="K57" s="42" t="inlineStr">
        <is>
          <t>US Senate</t>
        </is>
      </c>
      <c r="L57" s="43" t="n">
        <v>8195</v>
      </c>
      <c r="M57" s="43" t="n">
        <v>14858</v>
      </c>
      <c r="N57" s="43" t="n">
        <v>23469</v>
      </c>
      <c r="O57" s="44">
        <f>IFERROR((F57-G57)/(F57+G57),"")</f>
        <v/>
      </c>
      <c r="P57" s="44">
        <f>IFERROR((I57-J57)/(I57+J57),"")</f>
        <v/>
      </c>
      <c r="Q57" s="45">
        <f>IFERROR(O57-P57,"")</f>
        <v/>
      </c>
      <c r="R57" s="44">
        <f>IFERROR((L57-M57)/(L57+M57),"")</f>
        <v/>
      </c>
      <c r="S57" s="46">
        <f>H57/SUMIFS(Counties!$H$2:$H$1583,Counties!$A$2:$A$1583,$A57)</f>
        <v/>
      </c>
      <c r="T57" s="44">
        <f>O57+INDEX(Dashboard!$F$6:$F$22,MATCH($A57,Dashboard!$A$6:$A$22,0))</f>
        <v/>
      </c>
      <c r="U57" s="43">
        <f>AQ57*INDEX(Dashboard!$G$6:$G$22,MATCH($A57,Dashboard!$A$6:$A$22,0))</f>
        <v/>
      </c>
      <c r="V57" s="47" t="n"/>
      <c r="W57" s="47" t="n"/>
      <c r="X57" s="47" t="n"/>
      <c r="Y57" s="48" t="n"/>
      <c r="Z57" s="49" t="n"/>
      <c r="AA57" s="49" t="n"/>
      <c r="AB57" s="49" t="n"/>
      <c r="AC57" s="50" t="n"/>
      <c r="AD57" s="43">
        <f>IF(Z57&lt;&gt;"",Z57,N(V57))</f>
        <v/>
      </c>
      <c r="AE57" s="43">
        <f>IF(AA57&lt;&gt;"",AA57,N(W57))</f>
        <v/>
      </c>
      <c r="AF57" s="43">
        <f>AD57+AE57</f>
        <v/>
      </c>
      <c r="AG57" s="42">
        <f>IF(UPPER(AC57)="Y",1,IF(AF57=0,0,IF(AND(Z57="",Y57&lt;&gt;""),IF(Y57&gt;=0.999,1,0),IF(AF57&gt;=U57,1,0))))</f>
        <v/>
      </c>
      <c r="AH57" s="44">
        <f>IF(AF57&gt;0,(AD57-AE57)/AF57,"")</f>
        <v/>
      </c>
      <c r="AI57" s="45">
        <f>IF(AG57=1,AH57-O57,"")</f>
        <v/>
      </c>
      <c r="AJ57" s="44">
        <f>IF(AG57=1,AH57,MAX(-1,MIN(1,O57+INDEX(Types!$H:$H,MATCH($A57&amp;"|"&amp;$D57,Types!$A:$A,0)))))</f>
        <v/>
      </c>
      <c r="AK57" s="43">
        <f>IF(AG57=1,AF57,MAX(AQ57*AS57,AF57))</f>
        <v/>
      </c>
      <c r="AL57" s="43">
        <f>IF(AG57=1,AD57,AK57*(1+AJ57)/2)</f>
        <v/>
      </c>
      <c r="AM57" s="43">
        <f>IF(AG57=1,AE57,AK57*(1-AJ57)/2)</f>
        <v/>
      </c>
      <c r="AN57" s="45">
        <f>IF(AH57="","",AH57-T57)</f>
        <v/>
      </c>
      <c r="AO57" s="51">
        <f>IF(AG57=1,1,IF(U57&gt;0,MIN(AF57/U57,0.99),0))</f>
        <v/>
      </c>
      <c r="AP57" s="43">
        <f>IF(AG57=1,AI57*AF57,0)</f>
        <v/>
      </c>
      <c r="AQ57" s="43">
        <f>N57*(F57+G57)/H57</f>
        <v/>
      </c>
      <c r="AR57" s="43">
        <f>O57*AQ57</f>
        <v/>
      </c>
      <c r="AS57" s="52">
        <f>IF(AG57=1,IF(AQ57&gt;0,AF57/AQ57,1),IFERROR(INDEX(Types!$K:$K,MATCH($A57&amp;"|"&amp;$D57,Types!$A:$A,0)),INDEX(Dashboard!$X$6:$X$22,MATCH($A57,Dashboard!$A$6:$A$22,0))))</f>
        <v/>
      </c>
      <c r="AT57" s="43">
        <f>AQ57*INDEX(Dashboard!$Y$6:$Y$22,MATCH($A57,Dashboard!$A$6:$A$22,0))</f>
        <v/>
      </c>
      <c r="AU57" s="53">
        <f>IF(AND(AG57=1,AT57&gt;0,AF57&gt;0),100*AF57/AT57,"")</f>
        <v/>
      </c>
      <c r="AV57" s="44">
        <f>IF(AU57="","",T57/(AU57/100))</f>
        <v/>
      </c>
      <c r="AW57" s="53">
        <f>IF(AU57="","",IF(AND(ABS(AH57)&gt;=0.1,ABS(T57)&gt;=0.05,SIGN(AH57)=SIGN(T57)),100*T57/AH57,""))</f>
        <v/>
      </c>
      <c r="AX57" s="45">
        <f>IF(AU57="","",T57-AV57)</f>
        <v/>
      </c>
      <c r="AY57" s="45">
        <f>IF(AU57="","",AH57-AV57)</f>
        <v/>
      </c>
      <c r="AZ57" s="54">
        <f>(AL57-AM57)-T57*AT57</f>
        <v/>
      </c>
      <c r="BA57" s="43">
        <f>IF(AU57="",0,(AH57-T57)*AF57)</f>
        <v/>
      </c>
      <c r="BB57" s="43">
        <f>IF(AU57="",0,T57*(AF57-AT57))</f>
        <v/>
      </c>
      <c r="BC57" s="51" t="n">
        <v>0.2887212873694072</v>
      </c>
      <c r="BD57" s="51" t="n">
        <v>0.05196437677137809</v>
      </c>
      <c r="BE57" s="51" t="n">
        <v>0.3080114078299196</v>
      </c>
      <c r="BF57" s="43" t="n">
        <v>84327</v>
      </c>
    </row>
    <row r="58">
      <c r="A58" s="42" t="inlineStr">
        <is>
          <t>GA</t>
        </is>
      </c>
      <c r="B58" s="42" t="inlineStr">
        <is>
          <t>13033</t>
        </is>
      </c>
      <c r="C58" s="42" t="inlineStr">
        <is>
          <t>Burke</t>
        </is>
      </c>
      <c r="D58" s="42" t="inlineStr">
        <is>
          <t>Black Belt</t>
        </is>
      </c>
      <c r="E58" s="42" t="inlineStr"/>
      <c r="F58" s="43" t="n">
        <v>4994</v>
      </c>
      <c r="G58" s="43" t="n">
        <v>6027</v>
      </c>
      <c r="H58" s="43" t="n">
        <v>11070</v>
      </c>
      <c r="I58" s="43" t="n">
        <v>5208</v>
      </c>
      <c r="J58" s="43" t="n">
        <v>5400</v>
      </c>
      <c r="K58" s="42" t="inlineStr">
        <is>
          <t>US Senate</t>
        </is>
      </c>
      <c r="L58" s="43" t="n">
        <v>3885</v>
      </c>
      <c r="M58" s="43" t="n">
        <v>4462</v>
      </c>
      <c r="N58" s="43" t="n">
        <v>8449</v>
      </c>
      <c r="O58" s="44">
        <f>IFERROR((F58-G58)/(F58+G58),"")</f>
        <v/>
      </c>
      <c r="P58" s="44">
        <f>IFERROR((I58-J58)/(I58+J58),"")</f>
        <v/>
      </c>
      <c r="Q58" s="45">
        <f>IFERROR(O58-P58,"")</f>
        <v/>
      </c>
      <c r="R58" s="44">
        <f>IFERROR((L58-M58)/(L58+M58),"")</f>
        <v/>
      </c>
      <c r="S58" s="46">
        <f>H58/SUMIFS(Counties!$H$2:$H$1583,Counties!$A$2:$A$1583,$A58)</f>
        <v/>
      </c>
      <c r="T58" s="44">
        <f>O58+INDEX(Dashboard!$F$6:$F$22,MATCH($A58,Dashboard!$A$6:$A$22,0))</f>
        <v/>
      </c>
      <c r="U58" s="43">
        <f>AQ58*INDEX(Dashboard!$G$6:$G$22,MATCH($A58,Dashboard!$A$6:$A$22,0))</f>
        <v/>
      </c>
      <c r="V58" s="47" t="n"/>
      <c r="W58" s="47" t="n"/>
      <c r="X58" s="47" t="n"/>
      <c r="Y58" s="48" t="n"/>
      <c r="Z58" s="49" t="n"/>
      <c r="AA58" s="49" t="n"/>
      <c r="AB58" s="49" t="n"/>
      <c r="AC58" s="50" t="n"/>
      <c r="AD58" s="43">
        <f>IF(Z58&lt;&gt;"",Z58,N(V58))</f>
        <v/>
      </c>
      <c r="AE58" s="43">
        <f>IF(AA58&lt;&gt;"",AA58,N(W58))</f>
        <v/>
      </c>
      <c r="AF58" s="43">
        <f>AD58+AE58</f>
        <v/>
      </c>
      <c r="AG58" s="42">
        <f>IF(UPPER(AC58)="Y",1,IF(AF58=0,0,IF(AND(Z58="",Y58&lt;&gt;""),IF(Y58&gt;=0.999,1,0),IF(AF58&gt;=U58,1,0))))</f>
        <v/>
      </c>
      <c r="AH58" s="44">
        <f>IF(AF58&gt;0,(AD58-AE58)/AF58,"")</f>
        <v/>
      </c>
      <c r="AI58" s="45">
        <f>IF(AG58=1,AH58-O58,"")</f>
        <v/>
      </c>
      <c r="AJ58" s="44">
        <f>IF(AG58=1,AH58,MAX(-1,MIN(1,O58+INDEX(Types!$H:$H,MATCH($A58&amp;"|"&amp;$D58,Types!$A:$A,0)))))</f>
        <v/>
      </c>
      <c r="AK58" s="43">
        <f>IF(AG58=1,AF58,MAX(AQ58*AS58,AF58))</f>
        <v/>
      </c>
      <c r="AL58" s="43">
        <f>IF(AG58=1,AD58,AK58*(1+AJ58)/2)</f>
        <v/>
      </c>
      <c r="AM58" s="43">
        <f>IF(AG58=1,AE58,AK58*(1-AJ58)/2)</f>
        <v/>
      </c>
      <c r="AN58" s="45">
        <f>IF(AH58="","",AH58-T58)</f>
        <v/>
      </c>
      <c r="AO58" s="51">
        <f>IF(AG58=1,1,IF(U58&gt;0,MIN(AF58/U58,0.99),0))</f>
        <v/>
      </c>
      <c r="AP58" s="43">
        <f>IF(AG58=1,AI58*AF58,0)</f>
        <v/>
      </c>
      <c r="AQ58" s="43">
        <f>N58*(F58+G58)/H58</f>
        <v/>
      </c>
      <c r="AR58" s="43">
        <f>O58*AQ58</f>
        <v/>
      </c>
      <c r="AS58" s="52">
        <f>IF(AG58=1,IF(AQ58&gt;0,AF58/AQ58,1),IFERROR(INDEX(Types!$K:$K,MATCH($A58&amp;"|"&amp;$D58,Types!$A:$A,0)),INDEX(Dashboard!$X$6:$X$22,MATCH($A58,Dashboard!$A$6:$A$22,0))))</f>
        <v/>
      </c>
      <c r="AT58" s="43">
        <f>AQ58*INDEX(Dashboard!$Y$6:$Y$22,MATCH($A58,Dashboard!$A$6:$A$22,0))</f>
        <v/>
      </c>
      <c r="AU58" s="53">
        <f>IF(AND(AG58=1,AT58&gt;0,AF58&gt;0),100*AF58/AT58,"")</f>
        <v/>
      </c>
      <c r="AV58" s="44">
        <f>IF(AU58="","",T58/(AU58/100))</f>
        <v/>
      </c>
      <c r="AW58" s="53">
        <f>IF(AU58="","",IF(AND(ABS(AH58)&gt;=0.1,ABS(T58)&gt;=0.05,SIGN(AH58)=SIGN(T58)),100*T58/AH58,""))</f>
        <v/>
      </c>
      <c r="AX58" s="45">
        <f>IF(AU58="","",T58-AV58)</f>
        <v/>
      </c>
      <c r="AY58" s="45">
        <f>IF(AU58="","",AH58-AV58)</f>
        <v/>
      </c>
      <c r="AZ58" s="54">
        <f>(AL58-AM58)-T58*AT58</f>
        <v/>
      </c>
      <c r="BA58" s="43">
        <f>IF(AU58="",0,(AH58-T58)*AF58)</f>
        <v/>
      </c>
      <c r="BB58" s="43">
        <f>IF(AU58="",0,T58*(AF58-AT58))</f>
        <v/>
      </c>
      <c r="BC58" s="51" t="n">
        <v>0.4521646615926017</v>
      </c>
      <c r="BD58" s="51" t="n">
        <v>0.03605041329077666</v>
      </c>
      <c r="BE58" s="51" t="n">
        <v>0.1426007819009165</v>
      </c>
      <c r="BF58" s="43" t="n">
        <v>24438</v>
      </c>
    </row>
    <row r="59">
      <c r="A59" s="42" t="inlineStr">
        <is>
          <t>GA</t>
        </is>
      </c>
      <c r="B59" s="42" t="inlineStr">
        <is>
          <t>13035</t>
        </is>
      </c>
      <c r="C59" s="42" t="inlineStr">
        <is>
          <t>Butts</t>
        </is>
      </c>
      <c r="D59" s="42" t="inlineStr">
        <is>
          <t>Small town &amp; rural</t>
        </is>
      </c>
      <c r="E59" s="42" t="inlineStr"/>
      <c r="F59" s="43" t="n">
        <v>3544</v>
      </c>
      <c r="G59" s="43" t="n">
        <v>9424</v>
      </c>
      <c r="H59" s="43" t="n">
        <v>13019</v>
      </c>
      <c r="I59" s="43" t="n">
        <v>3274</v>
      </c>
      <c r="J59" s="43" t="n">
        <v>8406</v>
      </c>
      <c r="K59" s="42" t="inlineStr">
        <is>
          <t>US Senate</t>
        </is>
      </c>
      <c r="L59" s="43" t="n">
        <v>2666</v>
      </c>
      <c r="M59" s="43" t="n">
        <v>6784</v>
      </c>
      <c r="N59" s="43" t="n">
        <v>9632</v>
      </c>
      <c r="O59" s="44">
        <f>IFERROR((F59-G59)/(F59+G59),"")</f>
        <v/>
      </c>
      <c r="P59" s="44">
        <f>IFERROR((I59-J59)/(I59+J59),"")</f>
        <v/>
      </c>
      <c r="Q59" s="45">
        <f>IFERROR(O59-P59,"")</f>
        <v/>
      </c>
      <c r="R59" s="44">
        <f>IFERROR((L59-M59)/(L59+M59),"")</f>
        <v/>
      </c>
      <c r="S59" s="46">
        <f>H59/SUMIFS(Counties!$H$2:$H$1583,Counties!$A$2:$A$1583,$A59)</f>
        <v/>
      </c>
      <c r="T59" s="44">
        <f>O59+INDEX(Dashboard!$F$6:$F$22,MATCH($A59,Dashboard!$A$6:$A$22,0))</f>
        <v/>
      </c>
      <c r="U59" s="43">
        <f>AQ59*INDEX(Dashboard!$G$6:$G$22,MATCH($A59,Dashboard!$A$6:$A$22,0))</f>
        <v/>
      </c>
      <c r="V59" s="47" t="n"/>
      <c r="W59" s="47" t="n"/>
      <c r="X59" s="47" t="n"/>
      <c r="Y59" s="48" t="n"/>
      <c r="Z59" s="49" t="n"/>
      <c r="AA59" s="49" t="n"/>
      <c r="AB59" s="49" t="n"/>
      <c r="AC59" s="50" t="n"/>
      <c r="AD59" s="43">
        <f>IF(Z59&lt;&gt;"",Z59,N(V59))</f>
        <v/>
      </c>
      <c r="AE59" s="43">
        <f>IF(AA59&lt;&gt;"",AA59,N(W59))</f>
        <v/>
      </c>
      <c r="AF59" s="43">
        <f>AD59+AE59</f>
        <v/>
      </c>
      <c r="AG59" s="42">
        <f>IF(UPPER(AC59)="Y",1,IF(AF59=0,0,IF(AND(Z59="",Y59&lt;&gt;""),IF(Y59&gt;=0.999,1,0),IF(AF59&gt;=U59,1,0))))</f>
        <v/>
      </c>
      <c r="AH59" s="44">
        <f>IF(AF59&gt;0,(AD59-AE59)/AF59,"")</f>
        <v/>
      </c>
      <c r="AI59" s="45">
        <f>IF(AG59=1,AH59-O59,"")</f>
        <v/>
      </c>
      <c r="AJ59" s="44">
        <f>IF(AG59=1,AH59,MAX(-1,MIN(1,O59+INDEX(Types!$H:$H,MATCH($A59&amp;"|"&amp;$D59,Types!$A:$A,0)))))</f>
        <v/>
      </c>
      <c r="AK59" s="43">
        <f>IF(AG59=1,AF59,MAX(AQ59*AS59,AF59))</f>
        <v/>
      </c>
      <c r="AL59" s="43">
        <f>IF(AG59=1,AD59,AK59*(1+AJ59)/2)</f>
        <v/>
      </c>
      <c r="AM59" s="43">
        <f>IF(AG59=1,AE59,AK59*(1-AJ59)/2)</f>
        <v/>
      </c>
      <c r="AN59" s="45">
        <f>IF(AH59="","",AH59-T59)</f>
        <v/>
      </c>
      <c r="AO59" s="51">
        <f>IF(AG59=1,1,IF(U59&gt;0,MIN(AF59/U59,0.99),0))</f>
        <v/>
      </c>
      <c r="AP59" s="43">
        <f>IF(AG59=1,AI59*AF59,0)</f>
        <v/>
      </c>
      <c r="AQ59" s="43">
        <f>N59*(F59+G59)/H59</f>
        <v/>
      </c>
      <c r="AR59" s="43">
        <f>O59*AQ59</f>
        <v/>
      </c>
      <c r="AS59" s="52">
        <f>IF(AG59=1,IF(AQ59&gt;0,AF59/AQ59,1),IFERROR(INDEX(Types!$K:$K,MATCH($A59&amp;"|"&amp;$D59,Types!$A:$A,0)),INDEX(Dashboard!$X$6:$X$22,MATCH($A59,Dashboard!$A$6:$A$22,0))))</f>
        <v/>
      </c>
      <c r="AT59" s="43">
        <f>AQ59*INDEX(Dashboard!$Y$6:$Y$22,MATCH($A59,Dashboard!$A$6:$A$22,0))</f>
        <v/>
      </c>
      <c r="AU59" s="53">
        <f>IF(AND(AG59=1,AT59&gt;0,AF59&gt;0),100*AF59/AT59,"")</f>
        <v/>
      </c>
      <c r="AV59" s="44">
        <f>IF(AU59="","",T59/(AU59/100))</f>
        <v/>
      </c>
      <c r="AW59" s="53">
        <f>IF(AU59="","",IF(AND(ABS(AH59)&gt;=0.1,ABS(T59)&gt;=0.05,SIGN(AH59)=SIGN(T59)),100*T59/AH59,""))</f>
        <v/>
      </c>
      <c r="AX59" s="45">
        <f>IF(AU59="","",T59-AV59)</f>
        <v/>
      </c>
      <c r="AY59" s="45">
        <f>IF(AU59="","",AH59-AV59)</f>
        <v/>
      </c>
      <c r="AZ59" s="54">
        <f>(AL59-AM59)-T59*AT59</f>
        <v/>
      </c>
      <c r="BA59" s="43">
        <f>IF(AU59="",0,(AH59-T59)*AF59)</f>
        <v/>
      </c>
      <c r="BB59" s="43">
        <f>IF(AU59="",0,T59*(AF59-AT59))</f>
        <v/>
      </c>
      <c r="BC59" s="51" t="n">
        <v>0.2823297504370142</v>
      </c>
      <c r="BD59" s="51" t="n">
        <v>0.04143266262506044</v>
      </c>
      <c r="BE59" s="51" t="n">
        <v>0.1390271926464956</v>
      </c>
      <c r="BF59" s="43" t="n">
        <v>26887</v>
      </c>
    </row>
    <row r="60">
      <c r="A60" s="42" t="inlineStr">
        <is>
          <t>GA</t>
        </is>
      </c>
      <c r="B60" s="42" t="inlineStr">
        <is>
          <t>13037</t>
        </is>
      </c>
      <c r="C60" s="42" t="inlineStr">
        <is>
          <t>Calhoun</t>
        </is>
      </c>
      <c r="D60" s="42" t="inlineStr">
        <is>
          <t>Black Belt</t>
        </is>
      </c>
      <c r="E60" s="42" t="inlineStr"/>
      <c r="F60" s="43" t="n">
        <v>1153</v>
      </c>
      <c r="G60" s="43" t="n">
        <v>900</v>
      </c>
      <c r="H60" s="43" t="n">
        <v>2056</v>
      </c>
      <c r="I60" s="43" t="n">
        <v>1263</v>
      </c>
      <c r="J60" s="43" t="n">
        <v>923</v>
      </c>
      <c r="K60" s="42" t="inlineStr">
        <is>
          <t>US Senate</t>
        </is>
      </c>
      <c r="L60" s="43" t="n">
        <v>963</v>
      </c>
      <c r="M60" s="43" t="n">
        <v>724</v>
      </c>
      <c r="N60" s="43" t="n">
        <v>1698</v>
      </c>
      <c r="O60" s="44">
        <f>IFERROR((F60-G60)/(F60+G60),"")</f>
        <v/>
      </c>
      <c r="P60" s="44">
        <f>IFERROR((I60-J60)/(I60+J60),"")</f>
        <v/>
      </c>
      <c r="Q60" s="45">
        <f>IFERROR(O60-P60,"")</f>
        <v/>
      </c>
      <c r="R60" s="44">
        <f>IFERROR((L60-M60)/(L60+M60),"")</f>
        <v/>
      </c>
      <c r="S60" s="46">
        <f>H60/SUMIFS(Counties!$H$2:$H$1583,Counties!$A$2:$A$1583,$A60)</f>
        <v/>
      </c>
      <c r="T60" s="44">
        <f>O60+INDEX(Dashboard!$F$6:$F$22,MATCH($A60,Dashboard!$A$6:$A$22,0))</f>
        <v/>
      </c>
      <c r="U60" s="43">
        <f>AQ60*INDEX(Dashboard!$G$6:$G$22,MATCH($A60,Dashboard!$A$6:$A$22,0))</f>
        <v/>
      </c>
      <c r="V60" s="47" t="n"/>
      <c r="W60" s="47" t="n"/>
      <c r="X60" s="47" t="n"/>
      <c r="Y60" s="48" t="n"/>
      <c r="Z60" s="49" t="n"/>
      <c r="AA60" s="49" t="n"/>
      <c r="AB60" s="49" t="n"/>
      <c r="AC60" s="50" t="n"/>
      <c r="AD60" s="43">
        <f>IF(Z60&lt;&gt;"",Z60,N(V60))</f>
        <v/>
      </c>
      <c r="AE60" s="43">
        <f>IF(AA60&lt;&gt;"",AA60,N(W60))</f>
        <v/>
      </c>
      <c r="AF60" s="43">
        <f>AD60+AE60</f>
        <v/>
      </c>
      <c r="AG60" s="42">
        <f>IF(UPPER(AC60)="Y",1,IF(AF60=0,0,IF(AND(Z60="",Y60&lt;&gt;""),IF(Y60&gt;=0.999,1,0),IF(AF60&gt;=U60,1,0))))</f>
        <v/>
      </c>
      <c r="AH60" s="44">
        <f>IF(AF60&gt;0,(AD60-AE60)/AF60,"")</f>
        <v/>
      </c>
      <c r="AI60" s="45">
        <f>IF(AG60=1,AH60-O60,"")</f>
        <v/>
      </c>
      <c r="AJ60" s="44">
        <f>IF(AG60=1,AH60,MAX(-1,MIN(1,O60+INDEX(Types!$H:$H,MATCH($A60&amp;"|"&amp;$D60,Types!$A:$A,0)))))</f>
        <v/>
      </c>
      <c r="AK60" s="43">
        <f>IF(AG60=1,AF60,MAX(AQ60*AS60,AF60))</f>
        <v/>
      </c>
      <c r="AL60" s="43">
        <f>IF(AG60=1,AD60,AK60*(1+AJ60)/2)</f>
        <v/>
      </c>
      <c r="AM60" s="43">
        <f>IF(AG60=1,AE60,AK60*(1-AJ60)/2)</f>
        <v/>
      </c>
      <c r="AN60" s="45">
        <f>IF(AH60="","",AH60-T60)</f>
        <v/>
      </c>
      <c r="AO60" s="51">
        <f>IF(AG60=1,1,IF(U60&gt;0,MIN(AF60/U60,0.99),0))</f>
        <v/>
      </c>
      <c r="AP60" s="43">
        <f>IF(AG60=1,AI60*AF60,0)</f>
        <v/>
      </c>
      <c r="AQ60" s="43">
        <f>N60*(F60+G60)/H60</f>
        <v/>
      </c>
      <c r="AR60" s="43">
        <f>O60*AQ60</f>
        <v/>
      </c>
      <c r="AS60" s="52">
        <f>IF(AG60=1,IF(AQ60&gt;0,AF60/AQ60,1),IFERROR(INDEX(Types!$K:$K,MATCH($A60&amp;"|"&amp;$D60,Types!$A:$A,0)),INDEX(Dashboard!$X$6:$X$22,MATCH($A60,Dashboard!$A$6:$A$22,0))))</f>
        <v/>
      </c>
      <c r="AT60" s="43">
        <f>AQ60*INDEX(Dashboard!$Y$6:$Y$22,MATCH($A60,Dashboard!$A$6:$A$22,0))</f>
        <v/>
      </c>
      <c r="AU60" s="53">
        <f>IF(AND(AG60=1,AT60&gt;0,AF60&gt;0),100*AF60/AT60,"")</f>
        <v/>
      </c>
      <c r="AV60" s="44">
        <f>IF(AU60="","",T60/(AU60/100))</f>
        <v/>
      </c>
      <c r="AW60" s="53">
        <f>IF(AU60="","",IF(AND(ABS(AH60)&gt;=0.1,ABS(T60)&gt;=0.05,SIGN(AH60)=SIGN(T60)),100*T60/AH60,""))</f>
        <v/>
      </c>
      <c r="AX60" s="45">
        <f>IF(AU60="","",T60-AV60)</f>
        <v/>
      </c>
      <c r="AY60" s="45">
        <f>IF(AU60="","",AH60-AV60)</f>
        <v/>
      </c>
      <c r="AZ60" s="54">
        <f>(AL60-AM60)-T60*AT60</f>
        <v/>
      </c>
      <c r="BA60" s="43">
        <f>IF(AU60="",0,(AH60-T60)*AF60)</f>
        <v/>
      </c>
      <c r="BB60" s="43">
        <f>IF(AU60="",0,T60*(AF60-AT60))</f>
        <v/>
      </c>
      <c r="BC60" s="51" t="n">
        <v>0.6250687190764156</v>
      </c>
      <c r="BD60" s="51" t="n">
        <v>0.02363936228697086</v>
      </c>
      <c r="BE60" s="51" t="n">
        <v>0.12143536121673</v>
      </c>
      <c r="BF60" s="43" t="n">
        <v>5457</v>
      </c>
    </row>
    <row r="61">
      <c r="A61" s="42" t="inlineStr">
        <is>
          <t>GA</t>
        </is>
      </c>
      <c r="B61" s="42" t="inlineStr">
        <is>
          <t>13039</t>
        </is>
      </c>
      <c r="C61" s="42" t="inlineStr">
        <is>
          <t>Camden</t>
        </is>
      </c>
      <c r="D61" s="42" t="inlineStr">
        <is>
          <t>Small town &amp; rural</t>
        </is>
      </c>
      <c r="E61" s="42" t="inlineStr"/>
      <c r="F61" s="43" t="n">
        <v>8405</v>
      </c>
      <c r="G61" s="43" t="n">
        <v>17819</v>
      </c>
      <c r="H61" s="43" t="n">
        <v>26393</v>
      </c>
      <c r="I61" s="43" t="n">
        <v>7967</v>
      </c>
      <c r="J61" s="43" t="n">
        <v>15249</v>
      </c>
      <c r="K61" s="42" t="inlineStr">
        <is>
          <t>US Senate</t>
        </is>
      </c>
      <c r="L61" s="43" t="n">
        <v>5758</v>
      </c>
      <c r="M61" s="43" t="n">
        <v>11698</v>
      </c>
      <c r="N61" s="43" t="n">
        <v>17873</v>
      </c>
      <c r="O61" s="44">
        <f>IFERROR((F61-G61)/(F61+G61),"")</f>
        <v/>
      </c>
      <c r="P61" s="44">
        <f>IFERROR((I61-J61)/(I61+J61),"")</f>
        <v/>
      </c>
      <c r="Q61" s="45">
        <f>IFERROR(O61-P61,"")</f>
        <v/>
      </c>
      <c r="R61" s="44">
        <f>IFERROR((L61-M61)/(L61+M61),"")</f>
        <v/>
      </c>
      <c r="S61" s="46">
        <f>H61/SUMIFS(Counties!$H$2:$H$1583,Counties!$A$2:$A$1583,$A61)</f>
        <v/>
      </c>
      <c r="T61" s="44">
        <f>O61+INDEX(Dashboard!$F$6:$F$22,MATCH($A61,Dashboard!$A$6:$A$22,0))</f>
        <v/>
      </c>
      <c r="U61" s="43">
        <f>AQ61*INDEX(Dashboard!$G$6:$G$22,MATCH($A61,Dashboard!$A$6:$A$22,0))</f>
        <v/>
      </c>
      <c r="V61" s="47" t="n"/>
      <c r="W61" s="47" t="n"/>
      <c r="X61" s="47" t="n"/>
      <c r="Y61" s="48" t="n"/>
      <c r="Z61" s="49" t="n"/>
      <c r="AA61" s="49" t="n"/>
      <c r="AB61" s="49" t="n"/>
      <c r="AC61" s="50" t="n"/>
      <c r="AD61" s="43">
        <f>IF(Z61&lt;&gt;"",Z61,N(V61))</f>
        <v/>
      </c>
      <c r="AE61" s="43">
        <f>IF(AA61&lt;&gt;"",AA61,N(W61))</f>
        <v/>
      </c>
      <c r="AF61" s="43">
        <f>AD61+AE61</f>
        <v/>
      </c>
      <c r="AG61" s="42">
        <f>IF(UPPER(AC61)="Y",1,IF(AF61=0,0,IF(AND(Z61="",Y61&lt;&gt;""),IF(Y61&gt;=0.999,1,0),IF(AF61&gt;=U61,1,0))))</f>
        <v/>
      </c>
      <c r="AH61" s="44">
        <f>IF(AF61&gt;0,(AD61-AE61)/AF61,"")</f>
        <v/>
      </c>
      <c r="AI61" s="45">
        <f>IF(AG61=1,AH61-O61,"")</f>
        <v/>
      </c>
      <c r="AJ61" s="44">
        <f>IF(AG61=1,AH61,MAX(-1,MIN(1,O61+INDEX(Types!$H:$H,MATCH($A61&amp;"|"&amp;$D61,Types!$A:$A,0)))))</f>
        <v/>
      </c>
      <c r="AK61" s="43">
        <f>IF(AG61=1,AF61,MAX(AQ61*AS61,AF61))</f>
        <v/>
      </c>
      <c r="AL61" s="43">
        <f>IF(AG61=1,AD61,AK61*(1+AJ61)/2)</f>
        <v/>
      </c>
      <c r="AM61" s="43">
        <f>IF(AG61=1,AE61,AK61*(1-AJ61)/2)</f>
        <v/>
      </c>
      <c r="AN61" s="45">
        <f>IF(AH61="","",AH61-T61)</f>
        <v/>
      </c>
      <c r="AO61" s="51">
        <f>IF(AG61=1,1,IF(U61&gt;0,MIN(AF61/U61,0.99),0))</f>
        <v/>
      </c>
      <c r="AP61" s="43">
        <f>IF(AG61=1,AI61*AF61,0)</f>
        <v/>
      </c>
      <c r="AQ61" s="43">
        <f>N61*(F61+G61)/H61</f>
        <v/>
      </c>
      <c r="AR61" s="43">
        <f>O61*AQ61</f>
        <v/>
      </c>
      <c r="AS61" s="52">
        <f>IF(AG61=1,IF(AQ61&gt;0,AF61/AQ61,1),IFERROR(INDEX(Types!$K:$K,MATCH($A61&amp;"|"&amp;$D61,Types!$A:$A,0)),INDEX(Dashboard!$X$6:$X$22,MATCH($A61,Dashboard!$A$6:$A$22,0))))</f>
        <v/>
      </c>
      <c r="AT61" s="43">
        <f>AQ61*INDEX(Dashboard!$Y$6:$Y$22,MATCH($A61,Dashboard!$A$6:$A$22,0))</f>
        <v/>
      </c>
      <c r="AU61" s="53">
        <f>IF(AND(AG61=1,AT61&gt;0,AF61&gt;0),100*AF61/AT61,"")</f>
        <v/>
      </c>
      <c r="AV61" s="44">
        <f>IF(AU61="","",T61/(AU61/100))</f>
        <v/>
      </c>
      <c r="AW61" s="53">
        <f>IF(AU61="","",IF(AND(ABS(AH61)&gt;=0.1,ABS(T61)&gt;=0.05,SIGN(AH61)=SIGN(T61)),100*T61/AH61,""))</f>
        <v/>
      </c>
      <c r="AX61" s="45">
        <f>IF(AU61="","",T61-AV61)</f>
        <v/>
      </c>
      <c r="AY61" s="45">
        <f>IF(AU61="","",AH61-AV61)</f>
        <v/>
      </c>
      <c r="AZ61" s="54">
        <f>(AL61-AM61)-T61*AT61</f>
        <v/>
      </c>
      <c r="BA61" s="43">
        <f>IF(AU61="",0,(AH61-T61)*AF61)</f>
        <v/>
      </c>
      <c r="BB61" s="43">
        <f>IF(AU61="",0,T61*(AF61-AT61))</f>
        <v/>
      </c>
      <c r="BC61" s="51" t="n">
        <v>0.1788258370900582</v>
      </c>
      <c r="BD61" s="51" t="n">
        <v>0.08014728655493995</v>
      </c>
      <c r="BE61" s="51" t="n">
        <v>0.2243317718379719</v>
      </c>
      <c r="BF61" s="43" t="n">
        <v>58118</v>
      </c>
    </row>
    <row r="62">
      <c r="A62" s="42" t="inlineStr">
        <is>
          <t>GA</t>
        </is>
      </c>
      <c r="B62" s="42" t="inlineStr">
        <is>
          <t>13043</t>
        </is>
      </c>
      <c r="C62" s="42" t="inlineStr">
        <is>
          <t>Candler</t>
        </is>
      </c>
      <c r="D62" s="42" t="inlineStr">
        <is>
          <t>Small town &amp; rural</t>
        </is>
      </c>
      <c r="E62" s="42" t="inlineStr"/>
      <c r="F62" s="43" t="n">
        <v>1196</v>
      </c>
      <c r="G62" s="43" t="n">
        <v>3366</v>
      </c>
      <c r="H62" s="43" t="n">
        <v>4568</v>
      </c>
      <c r="I62" s="43" t="n">
        <v>1269</v>
      </c>
      <c r="J62" s="43" t="n">
        <v>3133</v>
      </c>
      <c r="K62" s="42" t="inlineStr">
        <is>
          <t>US Senate</t>
        </is>
      </c>
      <c r="L62" s="43" t="n">
        <v>950</v>
      </c>
      <c r="M62" s="43" t="n">
        <v>2552</v>
      </c>
      <c r="N62" s="43" t="n">
        <v>3553</v>
      </c>
      <c r="O62" s="44">
        <f>IFERROR((F62-G62)/(F62+G62),"")</f>
        <v/>
      </c>
      <c r="P62" s="44">
        <f>IFERROR((I62-J62)/(I62+J62),"")</f>
        <v/>
      </c>
      <c r="Q62" s="45">
        <f>IFERROR(O62-P62,"")</f>
        <v/>
      </c>
      <c r="R62" s="44">
        <f>IFERROR((L62-M62)/(L62+M62),"")</f>
        <v/>
      </c>
      <c r="S62" s="46">
        <f>H62/SUMIFS(Counties!$H$2:$H$1583,Counties!$A$2:$A$1583,$A62)</f>
        <v/>
      </c>
      <c r="T62" s="44">
        <f>O62+INDEX(Dashboard!$F$6:$F$22,MATCH($A62,Dashboard!$A$6:$A$22,0))</f>
        <v/>
      </c>
      <c r="U62" s="43">
        <f>AQ62*INDEX(Dashboard!$G$6:$G$22,MATCH($A62,Dashboard!$A$6:$A$22,0))</f>
        <v/>
      </c>
      <c r="V62" s="47" t="n"/>
      <c r="W62" s="47" t="n"/>
      <c r="X62" s="47" t="n"/>
      <c r="Y62" s="48" t="n"/>
      <c r="Z62" s="49" t="n"/>
      <c r="AA62" s="49" t="n"/>
      <c r="AB62" s="49" t="n"/>
      <c r="AC62" s="50" t="n"/>
      <c r="AD62" s="43">
        <f>IF(Z62&lt;&gt;"",Z62,N(V62))</f>
        <v/>
      </c>
      <c r="AE62" s="43">
        <f>IF(AA62&lt;&gt;"",AA62,N(W62))</f>
        <v/>
      </c>
      <c r="AF62" s="43">
        <f>AD62+AE62</f>
        <v/>
      </c>
      <c r="AG62" s="42">
        <f>IF(UPPER(AC62)="Y",1,IF(AF62=0,0,IF(AND(Z62="",Y62&lt;&gt;""),IF(Y62&gt;=0.999,1,0),IF(AF62&gt;=U62,1,0))))</f>
        <v/>
      </c>
      <c r="AH62" s="44">
        <f>IF(AF62&gt;0,(AD62-AE62)/AF62,"")</f>
        <v/>
      </c>
      <c r="AI62" s="45">
        <f>IF(AG62=1,AH62-O62,"")</f>
        <v/>
      </c>
      <c r="AJ62" s="44">
        <f>IF(AG62=1,AH62,MAX(-1,MIN(1,O62+INDEX(Types!$H:$H,MATCH($A62&amp;"|"&amp;$D62,Types!$A:$A,0)))))</f>
        <v/>
      </c>
      <c r="AK62" s="43">
        <f>IF(AG62=1,AF62,MAX(AQ62*AS62,AF62))</f>
        <v/>
      </c>
      <c r="AL62" s="43">
        <f>IF(AG62=1,AD62,AK62*(1+AJ62)/2)</f>
        <v/>
      </c>
      <c r="AM62" s="43">
        <f>IF(AG62=1,AE62,AK62*(1-AJ62)/2)</f>
        <v/>
      </c>
      <c r="AN62" s="45">
        <f>IF(AH62="","",AH62-T62)</f>
        <v/>
      </c>
      <c r="AO62" s="51">
        <f>IF(AG62=1,1,IF(U62&gt;0,MIN(AF62/U62,0.99),0))</f>
        <v/>
      </c>
      <c r="AP62" s="43">
        <f>IF(AG62=1,AI62*AF62,0)</f>
        <v/>
      </c>
      <c r="AQ62" s="43">
        <f>N62*(F62+G62)/H62</f>
        <v/>
      </c>
      <c r="AR62" s="43">
        <f>O62*AQ62</f>
        <v/>
      </c>
      <c r="AS62" s="52">
        <f>IF(AG62=1,IF(AQ62&gt;0,AF62/AQ62,1),IFERROR(INDEX(Types!$K:$K,MATCH($A62&amp;"|"&amp;$D62,Types!$A:$A,0)),INDEX(Dashboard!$X$6:$X$22,MATCH($A62,Dashboard!$A$6:$A$22,0))))</f>
        <v/>
      </c>
      <c r="AT62" s="43">
        <f>AQ62*INDEX(Dashboard!$Y$6:$Y$22,MATCH($A62,Dashboard!$A$6:$A$22,0))</f>
        <v/>
      </c>
      <c r="AU62" s="53">
        <f>IF(AND(AG62=1,AT62&gt;0,AF62&gt;0),100*AF62/AT62,"")</f>
        <v/>
      </c>
      <c r="AV62" s="44">
        <f>IF(AU62="","",T62/(AU62/100))</f>
        <v/>
      </c>
      <c r="AW62" s="53">
        <f>IF(AU62="","",IF(AND(ABS(AH62)&gt;=0.1,ABS(T62)&gt;=0.05,SIGN(AH62)=SIGN(T62)),100*T62/AH62,""))</f>
        <v/>
      </c>
      <c r="AX62" s="45">
        <f>IF(AU62="","",T62-AV62)</f>
        <v/>
      </c>
      <c r="AY62" s="45">
        <f>IF(AU62="","",AH62-AV62)</f>
        <v/>
      </c>
      <c r="AZ62" s="54">
        <f>(AL62-AM62)-T62*AT62</f>
        <v/>
      </c>
      <c r="BA62" s="43">
        <f>IF(AU62="",0,(AH62-T62)*AF62)</f>
        <v/>
      </c>
      <c r="BB62" s="43">
        <f>IF(AU62="",0,T62*(AF62-AT62))</f>
        <v/>
      </c>
      <c r="BC62" s="51" t="n">
        <v>0.2465864906411068</v>
      </c>
      <c r="BD62" s="51" t="n">
        <v>0.1313862012840221</v>
      </c>
      <c r="BE62" s="51" t="n">
        <v>0.1363573883161512</v>
      </c>
      <c r="BF62" s="43" t="n">
        <v>11059</v>
      </c>
    </row>
    <row r="63">
      <c r="A63" s="42" t="inlineStr">
        <is>
          <t>GA</t>
        </is>
      </c>
      <c r="B63" s="42" t="inlineStr">
        <is>
          <t>13045</t>
        </is>
      </c>
      <c r="C63" s="42" t="inlineStr">
        <is>
          <t>Carroll</t>
        </is>
      </c>
      <c r="D63" s="42" t="inlineStr">
        <is>
          <t>Mid-size/working metro</t>
        </is>
      </c>
      <c r="E63" s="42" t="inlineStr"/>
      <c r="F63" s="43" t="n">
        <v>17634</v>
      </c>
      <c r="G63" s="43" t="n">
        <v>42536</v>
      </c>
      <c r="H63" s="43" t="n">
        <v>60494</v>
      </c>
      <c r="I63" s="43" t="n">
        <v>16236</v>
      </c>
      <c r="J63" s="43" t="n">
        <v>37476</v>
      </c>
      <c r="K63" s="42" t="inlineStr">
        <is>
          <t>US Senate</t>
        </is>
      </c>
      <c r="L63" s="43" t="n">
        <v>12582</v>
      </c>
      <c r="M63" s="43" t="n">
        <v>29838</v>
      </c>
      <c r="N63" s="43" t="n">
        <v>43507</v>
      </c>
      <c r="O63" s="44">
        <f>IFERROR((F63-G63)/(F63+G63),"")</f>
        <v/>
      </c>
      <c r="P63" s="44">
        <f>IFERROR((I63-J63)/(I63+J63),"")</f>
        <v/>
      </c>
      <c r="Q63" s="45">
        <f>IFERROR(O63-P63,"")</f>
        <v/>
      </c>
      <c r="R63" s="44">
        <f>IFERROR((L63-M63)/(L63+M63),"")</f>
        <v/>
      </c>
      <c r="S63" s="46">
        <f>H63/SUMIFS(Counties!$H$2:$H$1583,Counties!$A$2:$A$1583,$A63)</f>
        <v/>
      </c>
      <c r="T63" s="44">
        <f>O63+INDEX(Dashboard!$F$6:$F$22,MATCH($A63,Dashboard!$A$6:$A$22,0))</f>
        <v/>
      </c>
      <c r="U63" s="43">
        <f>AQ63*INDEX(Dashboard!$G$6:$G$22,MATCH($A63,Dashboard!$A$6:$A$22,0))</f>
        <v/>
      </c>
      <c r="V63" s="47" t="n"/>
      <c r="W63" s="47" t="n"/>
      <c r="X63" s="47" t="n"/>
      <c r="Y63" s="48" t="n"/>
      <c r="Z63" s="49" t="n"/>
      <c r="AA63" s="49" t="n"/>
      <c r="AB63" s="49" t="n"/>
      <c r="AC63" s="50" t="n"/>
      <c r="AD63" s="43">
        <f>IF(Z63&lt;&gt;"",Z63,N(V63))</f>
        <v/>
      </c>
      <c r="AE63" s="43">
        <f>IF(AA63&lt;&gt;"",AA63,N(W63))</f>
        <v/>
      </c>
      <c r="AF63" s="43">
        <f>AD63+AE63</f>
        <v/>
      </c>
      <c r="AG63" s="42">
        <f>IF(UPPER(AC63)="Y",1,IF(AF63=0,0,IF(AND(Z63="",Y63&lt;&gt;""),IF(Y63&gt;=0.999,1,0),IF(AF63&gt;=U63,1,0))))</f>
        <v/>
      </c>
      <c r="AH63" s="44">
        <f>IF(AF63&gt;0,(AD63-AE63)/AF63,"")</f>
        <v/>
      </c>
      <c r="AI63" s="45">
        <f>IF(AG63=1,AH63-O63,"")</f>
        <v/>
      </c>
      <c r="AJ63" s="44">
        <f>IF(AG63=1,AH63,MAX(-1,MIN(1,O63+INDEX(Types!$H:$H,MATCH($A63&amp;"|"&amp;$D63,Types!$A:$A,0)))))</f>
        <v/>
      </c>
      <c r="AK63" s="43">
        <f>IF(AG63=1,AF63,MAX(AQ63*AS63,AF63))</f>
        <v/>
      </c>
      <c r="AL63" s="43">
        <f>IF(AG63=1,AD63,AK63*(1+AJ63)/2)</f>
        <v/>
      </c>
      <c r="AM63" s="43">
        <f>IF(AG63=1,AE63,AK63*(1-AJ63)/2)</f>
        <v/>
      </c>
      <c r="AN63" s="45">
        <f>IF(AH63="","",AH63-T63)</f>
        <v/>
      </c>
      <c r="AO63" s="51">
        <f>IF(AG63=1,1,IF(U63&gt;0,MIN(AF63/U63,0.99),0))</f>
        <v/>
      </c>
      <c r="AP63" s="43">
        <f>IF(AG63=1,AI63*AF63,0)</f>
        <v/>
      </c>
      <c r="AQ63" s="43">
        <f>N63*(F63+G63)/H63</f>
        <v/>
      </c>
      <c r="AR63" s="43">
        <f>O63*AQ63</f>
        <v/>
      </c>
      <c r="AS63" s="52">
        <f>IF(AG63=1,IF(AQ63&gt;0,AF63/AQ63,1),IFERROR(INDEX(Types!$K:$K,MATCH($A63&amp;"|"&amp;$D63,Types!$A:$A,0)),INDEX(Dashboard!$X$6:$X$22,MATCH($A63,Dashboard!$A$6:$A$22,0))))</f>
        <v/>
      </c>
      <c r="AT63" s="43">
        <f>AQ63*INDEX(Dashboard!$Y$6:$Y$22,MATCH($A63,Dashboard!$A$6:$A$22,0))</f>
        <v/>
      </c>
      <c r="AU63" s="53">
        <f>IF(AND(AG63=1,AT63&gt;0,AF63&gt;0),100*AF63/AT63,"")</f>
        <v/>
      </c>
      <c r="AV63" s="44">
        <f>IF(AU63="","",T63/(AU63/100))</f>
        <v/>
      </c>
      <c r="AW63" s="53">
        <f>IF(AU63="","",IF(AND(ABS(AH63)&gt;=0.1,ABS(T63)&gt;=0.05,SIGN(AH63)=SIGN(T63)),100*T63/AH63,""))</f>
        <v/>
      </c>
      <c r="AX63" s="45">
        <f>IF(AU63="","",T63-AV63)</f>
        <v/>
      </c>
      <c r="AY63" s="45">
        <f>IF(AU63="","",AH63-AV63)</f>
        <v/>
      </c>
      <c r="AZ63" s="54">
        <f>(AL63-AM63)-T63*AT63</f>
        <v/>
      </c>
      <c r="BA63" s="43">
        <f>IF(AU63="",0,(AH63-T63)*AF63)</f>
        <v/>
      </c>
      <c r="BB63" s="43">
        <f>IF(AU63="",0,T63*(AF63-AT63))</f>
        <v/>
      </c>
      <c r="BC63" s="51" t="n">
        <v>0.2018757179499284</v>
      </c>
      <c r="BD63" s="51" t="n">
        <v>0.08780625973658122</v>
      </c>
      <c r="BE63" s="51" t="n">
        <v>0.2243089961721141</v>
      </c>
      <c r="BF63" s="43" t="n">
        <v>127098</v>
      </c>
    </row>
    <row r="64">
      <c r="A64" s="42" t="inlineStr">
        <is>
          <t>GA</t>
        </is>
      </c>
      <c r="B64" s="42" t="inlineStr">
        <is>
          <t>13047</t>
        </is>
      </c>
      <c r="C64" s="42" t="inlineStr">
        <is>
          <t>Catoosa</t>
        </is>
      </c>
      <c r="D64" s="42" t="inlineStr">
        <is>
          <t>Small town &amp; rural</t>
        </is>
      </c>
      <c r="E64" s="42" t="inlineStr"/>
      <c r="F64" s="43" t="n">
        <v>7704</v>
      </c>
      <c r="G64" s="43" t="n">
        <v>27150</v>
      </c>
      <c r="H64" s="43" t="n">
        <v>35038</v>
      </c>
      <c r="I64" s="43" t="n">
        <v>6932</v>
      </c>
      <c r="J64" s="43" t="n">
        <v>25167</v>
      </c>
      <c r="K64" s="42" t="inlineStr">
        <is>
          <t>US Senate</t>
        </is>
      </c>
      <c r="L64" s="43" t="n">
        <v>5282</v>
      </c>
      <c r="M64" s="43" t="n">
        <v>18562</v>
      </c>
      <c r="N64" s="43" t="n">
        <v>24402</v>
      </c>
      <c r="O64" s="44">
        <f>IFERROR((F64-G64)/(F64+G64),"")</f>
        <v/>
      </c>
      <c r="P64" s="44">
        <f>IFERROR((I64-J64)/(I64+J64),"")</f>
        <v/>
      </c>
      <c r="Q64" s="45">
        <f>IFERROR(O64-P64,"")</f>
        <v/>
      </c>
      <c r="R64" s="44">
        <f>IFERROR((L64-M64)/(L64+M64),"")</f>
        <v/>
      </c>
      <c r="S64" s="46">
        <f>H64/SUMIFS(Counties!$H$2:$H$1583,Counties!$A$2:$A$1583,$A64)</f>
        <v/>
      </c>
      <c r="T64" s="44">
        <f>O64+INDEX(Dashboard!$F$6:$F$22,MATCH($A64,Dashboard!$A$6:$A$22,0))</f>
        <v/>
      </c>
      <c r="U64" s="43">
        <f>AQ64*INDEX(Dashboard!$G$6:$G$22,MATCH($A64,Dashboard!$A$6:$A$22,0))</f>
        <v/>
      </c>
      <c r="V64" s="47" t="n"/>
      <c r="W64" s="47" t="n"/>
      <c r="X64" s="47" t="n"/>
      <c r="Y64" s="48" t="n"/>
      <c r="Z64" s="49" t="n"/>
      <c r="AA64" s="49" t="n"/>
      <c r="AB64" s="49" t="n"/>
      <c r="AC64" s="50" t="n"/>
      <c r="AD64" s="43">
        <f>IF(Z64&lt;&gt;"",Z64,N(V64))</f>
        <v/>
      </c>
      <c r="AE64" s="43">
        <f>IF(AA64&lt;&gt;"",AA64,N(W64))</f>
        <v/>
      </c>
      <c r="AF64" s="43">
        <f>AD64+AE64</f>
        <v/>
      </c>
      <c r="AG64" s="42">
        <f>IF(UPPER(AC64)="Y",1,IF(AF64=0,0,IF(AND(Z64="",Y64&lt;&gt;""),IF(Y64&gt;=0.999,1,0),IF(AF64&gt;=U64,1,0))))</f>
        <v/>
      </c>
      <c r="AH64" s="44">
        <f>IF(AF64&gt;0,(AD64-AE64)/AF64,"")</f>
        <v/>
      </c>
      <c r="AI64" s="45">
        <f>IF(AG64=1,AH64-O64,"")</f>
        <v/>
      </c>
      <c r="AJ64" s="44">
        <f>IF(AG64=1,AH64,MAX(-1,MIN(1,O64+INDEX(Types!$H:$H,MATCH($A64&amp;"|"&amp;$D64,Types!$A:$A,0)))))</f>
        <v/>
      </c>
      <c r="AK64" s="43">
        <f>IF(AG64=1,AF64,MAX(AQ64*AS64,AF64))</f>
        <v/>
      </c>
      <c r="AL64" s="43">
        <f>IF(AG64=1,AD64,AK64*(1+AJ64)/2)</f>
        <v/>
      </c>
      <c r="AM64" s="43">
        <f>IF(AG64=1,AE64,AK64*(1-AJ64)/2)</f>
        <v/>
      </c>
      <c r="AN64" s="45">
        <f>IF(AH64="","",AH64-T64)</f>
        <v/>
      </c>
      <c r="AO64" s="51">
        <f>IF(AG64=1,1,IF(U64&gt;0,MIN(AF64/U64,0.99),0))</f>
        <v/>
      </c>
      <c r="AP64" s="43">
        <f>IF(AG64=1,AI64*AF64,0)</f>
        <v/>
      </c>
      <c r="AQ64" s="43">
        <f>N64*(F64+G64)/H64</f>
        <v/>
      </c>
      <c r="AR64" s="43">
        <f>O64*AQ64</f>
        <v/>
      </c>
      <c r="AS64" s="52">
        <f>IF(AG64=1,IF(AQ64&gt;0,AF64/AQ64,1),IFERROR(INDEX(Types!$K:$K,MATCH($A64&amp;"|"&amp;$D64,Types!$A:$A,0)),INDEX(Dashboard!$X$6:$X$22,MATCH($A64,Dashboard!$A$6:$A$22,0))))</f>
        <v/>
      </c>
      <c r="AT64" s="43">
        <f>AQ64*INDEX(Dashboard!$Y$6:$Y$22,MATCH($A64,Dashboard!$A$6:$A$22,0))</f>
        <v/>
      </c>
      <c r="AU64" s="53">
        <f>IF(AND(AG64=1,AT64&gt;0,AF64&gt;0),100*AF64/AT64,"")</f>
        <v/>
      </c>
      <c r="AV64" s="44">
        <f>IF(AU64="","",T64/(AU64/100))</f>
        <v/>
      </c>
      <c r="AW64" s="53">
        <f>IF(AU64="","",IF(AND(ABS(AH64)&gt;=0.1,ABS(T64)&gt;=0.05,SIGN(AH64)=SIGN(T64)),100*T64/AH64,""))</f>
        <v/>
      </c>
      <c r="AX64" s="45">
        <f>IF(AU64="","",T64-AV64)</f>
        <v/>
      </c>
      <c r="AY64" s="45">
        <f>IF(AU64="","",AH64-AV64)</f>
        <v/>
      </c>
      <c r="AZ64" s="54">
        <f>(AL64-AM64)-T64*AT64</f>
        <v/>
      </c>
      <c r="BA64" s="43">
        <f>IF(AU64="",0,(AH64-T64)*AF64)</f>
        <v/>
      </c>
      <c r="BB64" s="43">
        <f>IF(AU64="",0,T64*(AF64-AT64))</f>
        <v/>
      </c>
      <c r="BC64" s="51" t="n">
        <v>0.03334784501523726</v>
      </c>
      <c r="BD64" s="51" t="n">
        <v>0.04301262516325642</v>
      </c>
      <c r="BE64" s="51" t="n">
        <v>0.2447093827263965</v>
      </c>
      <c r="BF64" s="43" t="n">
        <v>68910</v>
      </c>
    </row>
    <row r="65">
      <c r="A65" s="42" t="inlineStr">
        <is>
          <t>GA</t>
        </is>
      </c>
      <c r="B65" s="42" t="inlineStr">
        <is>
          <t>13049</t>
        </is>
      </c>
      <c r="C65" s="42" t="inlineStr">
        <is>
          <t>Charlton</t>
        </is>
      </c>
      <c r="D65" s="42" t="inlineStr">
        <is>
          <t>Small town &amp; rural</t>
        </is>
      </c>
      <c r="E65" s="42" t="inlineStr"/>
      <c r="F65" s="43" t="n">
        <v>1007</v>
      </c>
      <c r="G65" s="43" t="n">
        <v>3607</v>
      </c>
      <c r="H65" s="43" t="n">
        <v>4628</v>
      </c>
      <c r="I65" s="43" t="n">
        <v>1105</v>
      </c>
      <c r="J65" s="43" t="n">
        <v>3419</v>
      </c>
      <c r="K65" s="42" t="inlineStr">
        <is>
          <t>US Senate</t>
        </is>
      </c>
      <c r="L65" s="43" t="n">
        <v>780</v>
      </c>
      <c r="M65" s="43" t="n">
        <v>2552</v>
      </c>
      <c r="N65" s="43" t="n">
        <v>3387</v>
      </c>
      <c r="O65" s="44">
        <f>IFERROR((F65-G65)/(F65+G65),"")</f>
        <v/>
      </c>
      <c r="P65" s="44">
        <f>IFERROR((I65-J65)/(I65+J65),"")</f>
        <v/>
      </c>
      <c r="Q65" s="45">
        <f>IFERROR(O65-P65,"")</f>
        <v/>
      </c>
      <c r="R65" s="44">
        <f>IFERROR((L65-M65)/(L65+M65),"")</f>
        <v/>
      </c>
      <c r="S65" s="46">
        <f>H65/SUMIFS(Counties!$H$2:$H$1583,Counties!$A$2:$A$1583,$A65)</f>
        <v/>
      </c>
      <c r="T65" s="44">
        <f>O65+INDEX(Dashboard!$F$6:$F$22,MATCH($A65,Dashboard!$A$6:$A$22,0))</f>
        <v/>
      </c>
      <c r="U65" s="43">
        <f>AQ65*INDEX(Dashboard!$G$6:$G$22,MATCH($A65,Dashboard!$A$6:$A$22,0))</f>
        <v/>
      </c>
      <c r="V65" s="47" t="n"/>
      <c r="W65" s="47" t="n"/>
      <c r="X65" s="47" t="n"/>
      <c r="Y65" s="48" t="n"/>
      <c r="Z65" s="49" t="n"/>
      <c r="AA65" s="49" t="n"/>
      <c r="AB65" s="49" t="n"/>
      <c r="AC65" s="50" t="n"/>
      <c r="AD65" s="43">
        <f>IF(Z65&lt;&gt;"",Z65,N(V65))</f>
        <v/>
      </c>
      <c r="AE65" s="43">
        <f>IF(AA65&lt;&gt;"",AA65,N(W65))</f>
        <v/>
      </c>
      <c r="AF65" s="43">
        <f>AD65+AE65</f>
        <v/>
      </c>
      <c r="AG65" s="42">
        <f>IF(UPPER(AC65)="Y",1,IF(AF65=0,0,IF(AND(Z65="",Y65&lt;&gt;""),IF(Y65&gt;=0.999,1,0),IF(AF65&gt;=U65,1,0))))</f>
        <v/>
      </c>
      <c r="AH65" s="44">
        <f>IF(AF65&gt;0,(AD65-AE65)/AF65,"")</f>
        <v/>
      </c>
      <c r="AI65" s="45">
        <f>IF(AG65=1,AH65-O65,"")</f>
        <v/>
      </c>
      <c r="AJ65" s="44">
        <f>IF(AG65=1,AH65,MAX(-1,MIN(1,O65+INDEX(Types!$H:$H,MATCH($A65&amp;"|"&amp;$D65,Types!$A:$A,0)))))</f>
        <v/>
      </c>
      <c r="AK65" s="43">
        <f>IF(AG65=1,AF65,MAX(AQ65*AS65,AF65))</f>
        <v/>
      </c>
      <c r="AL65" s="43">
        <f>IF(AG65=1,AD65,AK65*(1+AJ65)/2)</f>
        <v/>
      </c>
      <c r="AM65" s="43">
        <f>IF(AG65=1,AE65,AK65*(1-AJ65)/2)</f>
        <v/>
      </c>
      <c r="AN65" s="45">
        <f>IF(AH65="","",AH65-T65)</f>
        <v/>
      </c>
      <c r="AO65" s="51">
        <f>IF(AG65=1,1,IF(U65&gt;0,MIN(AF65/U65,0.99),0))</f>
        <v/>
      </c>
      <c r="AP65" s="43">
        <f>IF(AG65=1,AI65*AF65,0)</f>
        <v/>
      </c>
      <c r="AQ65" s="43">
        <f>N65*(F65+G65)/H65</f>
        <v/>
      </c>
      <c r="AR65" s="43">
        <f>O65*AQ65</f>
        <v/>
      </c>
      <c r="AS65" s="52">
        <f>IF(AG65=1,IF(AQ65&gt;0,AF65/AQ65,1),IFERROR(INDEX(Types!$K:$K,MATCH($A65&amp;"|"&amp;$D65,Types!$A:$A,0)),INDEX(Dashboard!$X$6:$X$22,MATCH($A65,Dashboard!$A$6:$A$22,0))))</f>
        <v/>
      </c>
      <c r="AT65" s="43">
        <f>AQ65*INDEX(Dashboard!$Y$6:$Y$22,MATCH($A65,Dashboard!$A$6:$A$22,0))</f>
        <v/>
      </c>
      <c r="AU65" s="53">
        <f>IF(AND(AG65=1,AT65&gt;0,AF65&gt;0),100*AF65/AT65,"")</f>
        <v/>
      </c>
      <c r="AV65" s="44">
        <f>IF(AU65="","",T65/(AU65/100))</f>
        <v/>
      </c>
      <c r="AW65" s="53">
        <f>IF(AU65="","",IF(AND(ABS(AH65)&gt;=0.1,ABS(T65)&gt;=0.05,SIGN(AH65)=SIGN(T65)),100*T65/AH65,""))</f>
        <v/>
      </c>
      <c r="AX65" s="45">
        <f>IF(AU65="","",T65-AV65)</f>
        <v/>
      </c>
      <c r="AY65" s="45">
        <f>IF(AU65="","",AH65-AV65)</f>
        <v/>
      </c>
      <c r="AZ65" s="54">
        <f>(AL65-AM65)-T65*AT65</f>
        <v/>
      </c>
      <c r="BA65" s="43">
        <f>IF(AU65="",0,(AH65-T65)*AF65)</f>
        <v/>
      </c>
      <c r="BB65" s="43">
        <f>IF(AU65="",0,T65*(AF65-AT65))</f>
        <v/>
      </c>
      <c r="BC65" s="51" t="n">
        <v>0.2501159734034328</v>
      </c>
      <c r="BD65" s="51" t="n">
        <v>0.1526209989175816</v>
      </c>
      <c r="BE65" s="51" t="n">
        <v>0.1139710144927536</v>
      </c>
      <c r="BF65" s="43" t="n">
        <v>12934</v>
      </c>
    </row>
    <row r="66">
      <c r="A66" s="42" t="inlineStr">
        <is>
          <t>GA</t>
        </is>
      </c>
      <c r="B66" s="42" t="inlineStr">
        <is>
          <t>13051</t>
        </is>
      </c>
      <c r="C66" s="42" t="inlineStr">
        <is>
          <t>Chatham</t>
        </is>
      </c>
      <c r="D66" s="42" t="inlineStr">
        <is>
          <t>Mid-size/working metro</t>
        </is>
      </c>
      <c r="E66" s="42" t="inlineStr">
        <is>
          <t>★</t>
        </is>
      </c>
      <c r="F66" s="43" t="n">
        <v>82758</v>
      </c>
      <c r="G66" s="43" t="n">
        <v>57336</v>
      </c>
      <c r="H66" s="43" t="n">
        <v>141109</v>
      </c>
      <c r="I66" s="43" t="n">
        <v>78247</v>
      </c>
      <c r="J66" s="43" t="n">
        <v>53232</v>
      </c>
      <c r="K66" s="42" t="inlineStr">
        <is>
          <t>US Senate</t>
        </is>
      </c>
      <c r="L66" s="43" t="n">
        <v>62996</v>
      </c>
      <c r="M66" s="43" t="n">
        <v>41189</v>
      </c>
      <c r="N66" s="43" t="n">
        <v>106001</v>
      </c>
      <c r="O66" s="44">
        <f>IFERROR((F66-G66)/(F66+G66),"")</f>
        <v/>
      </c>
      <c r="P66" s="44">
        <f>IFERROR((I66-J66)/(I66+J66),"")</f>
        <v/>
      </c>
      <c r="Q66" s="45">
        <f>IFERROR(O66-P66,"")</f>
        <v/>
      </c>
      <c r="R66" s="44">
        <f>IFERROR((L66-M66)/(L66+M66),"")</f>
        <v/>
      </c>
      <c r="S66" s="46">
        <f>H66/SUMIFS(Counties!$H$2:$H$1583,Counties!$A$2:$A$1583,$A66)</f>
        <v/>
      </c>
      <c r="T66" s="44">
        <f>O66+INDEX(Dashboard!$F$6:$F$22,MATCH($A66,Dashboard!$A$6:$A$22,0))</f>
        <v/>
      </c>
      <c r="U66" s="43">
        <f>AQ66*INDEX(Dashboard!$G$6:$G$22,MATCH($A66,Dashboard!$A$6:$A$22,0))</f>
        <v/>
      </c>
      <c r="V66" s="47" t="n"/>
      <c r="W66" s="47" t="n"/>
      <c r="X66" s="47" t="n"/>
      <c r="Y66" s="48" t="n"/>
      <c r="Z66" s="49" t="n"/>
      <c r="AA66" s="49" t="n"/>
      <c r="AB66" s="49" t="n"/>
      <c r="AC66" s="50" t="n"/>
      <c r="AD66" s="43">
        <f>IF(Z66&lt;&gt;"",Z66,N(V66))</f>
        <v/>
      </c>
      <c r="AE66" s="43">
        <f>IF(AA66&lt;&gt;"",AA66,N(W66))</f>
        <v/>
      </c>
      <c r="AF66" s="43">
        <f>AD66+AE66</f>
        <v/>
      </c>
      <c r="AG66" s="42">
        <f>IF(UPPER(AC66)="Y",1,IF(AF66=0,0,IF(AND(Z66="",Y66&lt;&gt;""),IF(Y66&gt;=0.999,1,0),IF(AF66&gt;=U66,1,0))))</f>
        <v/>
      </c>
      <c r="AH66" s="44">
        <f>IF(AF66&gt;0,(AD66-AE66)/AF66,"")</f>
        <v/>
      </c>
      <c r="AI66" s="45">
        <f>IF(AG66=1,AH66-O66,"")</f>
        <v/>
      </c>
      <c r="AJ66" s="44">
        <f>IF(AG66=1,AH66,MAX(-1,MIN(1,O66+INDEX(Types!$H:$H,MATCH($A66&amp;"|"&amp;$D66,Types!$A:$A,0)))))</f>
        <v/>
      </c>
      <c r="AK66" s="43">
        <f>IF(AG66=1,AF66,MAX(AQ66*AS66,AF66))</f>
        <v/>
      </c>
      <c r="AL66" s="43">
        <f>IF(AG66=1,AD66,AK66*(1+AJ66)/2)</f>
        <v/>
      </c>
      <c r="AM66" s="43">
        <f>IF(AG66=1,AE66,AK66*(1-AJ66)/2)</f>
        <v/>
      </c>
      <c r="AN66" s="45">
        <f>IF(AH66="","",AH66-T66)</f>
        <v/>
      </c>
      <c r="AO66" s="51">
        <f>IF(AG66=1,1,IF(U66&gt;0,MIN(AF66/U66,0.99),0))</f>
        <v/>
      </c>
      <c r="AP66" s="43">
        <f>IF(AG66=1,AI66*AF66,0)</f>
        <v/>
      </c>
      <c r="AQ66" s="43">
        <f>N66*(F66+G66)/H66</f>
        <v/>
      </c>
      <c r="AR66" s="43">
        <f>O66*AQ66</f>
        <v/>
      </c>
      <c r="AS66" s="52">
        <f>IF(AG66=1,IF(AQ66&gt;0,AF66/AQ66,1),IFERROR(INDEX(Types!$K:$K,MATCH($A66&amp;"|"&amp;$D66,Types!$A:$A,0)),INDEX(Dashboard!$X$6:$X$22,MATCH($A66,Dashboard!$A$6:$A$22,0))))</f>
        <v/>
      </c>
      <c r="AT66" s="43">
        <f>AQ66*INDEX(Dashboard!$Y$6:$Y$22,MATCH($A66,Dashboard!$A$6:$A$22,0))</f>
        <v/>
      </c>
      <c r="AU66" s="53">
        <f>IF(AND(AG66=1,AT66&gt;0,AF66&gt;0),100*AF66/AT66,"")</f>
        <v/>
      </c>
      <c r="AV66" s="44">
        <f>IF(AU66="","",T66/(AU66/100))</f>
        <v/>
      </c>
      <c r="AW66" s="53">
        <f>IF(AU66="","",IF(AND(ABS(AH66)&gt;=0.1,ABS(T66)&gt;=0.05,SIGN(AH66)=SIGN(T66)),100*T66/AH66,""))</f>
        <v/>
      </c>
      <c r="AX66" s="45">
        <f>IF(AU66="","",T66-AV66)</f>
        <v/>
      </c>
      <c r="AY66" s="45">
        <f>IF(AU66="","",AH66-AV66)</f>
        <v/>
      </c>
      <c r="AZ66" s="54">
        <f>(AL66-AM66)-T66*AT66</f>
        <v/>
      </c>
      <c r="BA66" s="43">
        <f>IF(AU66="",0,(AH66-T66)*AF66)</f>
        <v/>
      </c>
      <c r="BB66" s="43">
        <f>IF(AU66="",0,T66*(AF66-AT66))</f>
        <v/>
      </c>
      <c r="BC66" s="51" t="n">
        <v>0.3977968418106074</v>
      </c>
      <c r="BD66" s="51" t="n">
        <v>0.08231051686947358</v>
      </c>
      <c r="BE66" s="51" t="n">
        <v>0.3675391491215618</v>
      </c>
      <c r="BF66" s="43" t="n">
        <v>303655</v>
      </c>
    </row>
    <row r="67">
      <c r="A67" s="42" t="inlineStr">
        <is>
          <t>GA</t>
        </is>
      </c>
      <c r="B67" s="42" t="inlineStr">
        <is>
          <t>13053</t>
        </is>
      </c>
      <c r="C67" s="42" t="inlineStr">
        <is>
          <t>Chattahoochee</t>
        </is>
      </c>
      <c r="D67" s="42" t="inlineStr">
        <is>
          <t>Small town &amp; rural</t>
        </is>
      </c>
      <c r="E67" s="42" t="inlineStr"/>
      <c r="F67" s="43" t="n">
        <v>703</v>
      </c>
      <c r="G67" s="43" t="n">
        <v>982</v>
      </c>
      <c r="H67" s="43" t="n">
        <v>1694</v>
      </c>
      <c r="I67" s="43" t="n">
        <v>667</v>
      </c>
      <c r="J67" s="43" t="n">
        <v>880</v>
      </c>
      <c r="K67" s="42" t="inlineStr">
        <is>
          <t>US Senate</t>
        </is>
      </c>
      <c r="L67" s="43" t="n">
        <v>453</v>
      </c>
      <c r="M67" s="43" t="n">
        <v>538</v>
      </c>
      <c r="N67" s="43" t="n">
        <v>1015</v>
      </c>
      <c r="O67" s="44">
        <f>IFERROR((F67-G67)/(F67+G67),"")</f>
        <v/>
      </c>
      <c r="P67" s="44">
        <f>IFERROR((I67-J67)/(I67+J67),"")</f>
        <v/>
      </c>
      <c r="Q67" s="45">
        <f>IFERROR(O67-P67,"")</f>
        <v/>
      </c>
      <c r="R67" s="44">
        <f>IFERROR((L67-M67)/(L67+M67),"")</f>
        <v/>
      </c>
      <c r="S67" s="46">
        <f>H67/SUMIFS(Counties!$H$2:$H$1583,Counties!$A$2:$A$1583,$A67)</f>
        <v/>
      </c>
      <c r="T67" s="44">
        <f>O67+INDEX(Dashboard!$F$6:$F$22,MATCH($A67,Dashboard!$A$6:$A$22,0))</f>
        <v/>
      </c>
      <c r="U67" s="43">
        <f>AQ67*INDEX(Dashboard!$G$6:$G$22,MATCH($A67,Dashboard!$A$6:$A$22,0))</f>
        <v/>
      </c>
      <c r="V67" s="47" t="n"/>
      <c r="W67" s="47" t="n"/>
      <c r="X67" s="47" t="n"/>
      <c r="Y67" s="48" t="n"/>
      <c r="Z67" s="49" t="n"/>
      <c r="AA67" s="49" t="n"/>
      <c r="AB67" s="49" t="n"/>
      <c r="AC67" s="50" t="n"/>
      <c r="AD67" s="43">
        <f>IF(Z67&lt;&gt;"",Z67,N(V67))</f>
        <v/>
      </c>
      <c r="AE67" s="43">
        <f>IF(AA67&lt;&gt;"",AA67,N(W67))</f>
        <v/>
      </c>
      <c r="AF67" s="43">
        <f>AD67+AE67</f>
        <v/>
      </c>
      <c r="AG67" s="42">
        <f>IF(UPPER(AC67)="Y",1,IF(AF67=0,0,IF(AND(Z67="",Y67&lt;&gt;""),IF(Y67&gt;=0.999,1,0),IF(AF67&gt;=U67,1,0))))</f>
        <v/>
      </c>
      <c r="AH67" s="44">
        <f>IF(AF67&gt;0,(AD67-AE67)/AF67,"")</f>
        <v/>
      </c>
      <c r="AI67" s="45">
        <f>IF(AG67=1,AH67-O67,"")</f>
        <v/>
      </c>
      <c r="AJ67" s="44">
        <f>IF(AG67=1,AH67,MAX(-1,MIN(1,O67+INDEX(Types!$H:$H,MATCH($A67&amp;"|"&amp;$D67,Types!$A:$A,0)))))</f>
        <v/>
      </c>
      <c r="AK67" s="43">
        <f>IF(AG67=1,AF67,MAX(AQ67*AS67,AF67))</f>
        <v/>
      </c>
      <c r="AL67" s="43">
        <f>IF(AG67=1,AD67,AK67*(1+AJ67)/2)</f>
        <v/>
      </c>
      <c r="AM67" s="43">
        <f>IF(AG67=1,AE67,AK67*(1-AJ67)/2)</f>
        <v/>
      </c>
      <c r="AN67" s="45">
        <f>IF(AH67="","",AH67-T67)</f>
        <v/>
      </c>
      <c r="AO67" s="51">
        <f>IF(AG67=1,1,IF(U67&gt;0,MIN(AF67/U67,0.99),0))</f>
        <v/>
      </c>
      <c r="AP67" s="43">
        <f>IF(AG67=1,AI67*AF67,0)</f>
        <v/>
      </c>
      <c r="AQ67" s="43">
        <f>N67*(F67+G67)/H67</f>
        <v/>
      </c>
      <c r="AR67" s="43">
        <f>O67*AQ67</f>
        <v/>
      </c>
      <c r="AS67" s="52">
        <f>IF(AG67=1,IF(AQ67&gt;0,AF67/AQ67,1),IFERROR(INDEX(Types!$K:$K,MATCH($A67&amp;"|"&amp;$D67,Types!$A:$A,0)),INDEX(Dashboard!$X$6:$X$22,MATCH($A67,Dashboard!$A$6:$A$22,0))))</f>
        <v/>
      </c>
      <c r="AT67" s="43">
        <f>AQ67*INDEX(Dashboard!$Y$6:$Y$22,MATCH($A67,Dashboard!$A$6:$A$22,0))</f>
        <v/>
      </c>
      <c r="AU67" s="53">
        <f>IF(AND(AG67=1,AT67&gt;0,AF67&gt;0),100*AF67/AT67,"")</f>
        <v/>
      </c>
      <c r="AV67" s="44">
        <f>IF(AU67="","",T67/(AU67/100))</f>
        <v/>
      </c>
      <c r="AW67" s="53">
        <f>IF(AU67="","",IF(AND(ABS(AH67)&gt;=0.1,ABS(T67)&gt;=0.05,SIGN(AH67)=SIGN(T67)),100*T67/AH67,""))</f>
        <v/>
      </c>
      <c r="AX67" s="45">
        <f>IF(AU67="","",T67-AV67)</f>
        <v/>
      </c>
      <c r="AY67" s="45">
        <f>IF(AU67="","",AH67-AV67)</f>
        <v/>
      </c>
      <c r="AZ67" s="54">
        <f>(AL67-AM67)-T67*AT67</f>
        <v/>
      </c>
      <c r="BA67" s="43">
        <f>IF(AU67="",0,(AH67-T67)*AF67)</f>
        <v/>
      </c>
      <c r="BB67" s="43">
        <f>IF(AU67="",0,T67*(AF67-AT67))</f>
        <v/>
      </c>
      <c r="BC67" s="51" t="n">
        <v>0.1834661124581457</v>
      </c>
      <c r="BD67" s="51" t="n">
        <v>0.1832351922410807</v>
      </c>
      <c r="BE67" s="51" t="n">
        <v>0.2758053138960734</v>
      </c>
      <c r="BF67" s="43" t="n">
        <v>8661</v>
      </c>
    </row>
    <row r="68">
      <c r="A68" s="42" t="inlineStr">
        <is>
          <t>GA</t>
        </is>
      </c>
      <c r="B68" s="42" t="inlineStr">
        <is>
          <t>13055</t>
        </is>
      </c>
      <c r="C68" s="42" t="inlineStr">
        <is>
          <t>Chattooga</t>
        </is>
      </c>
      <c r="D68" s="42" t="inlineStr">
        <is>
          <t>Small town &amp; rural</t>
        </is>
      </c>
      <c r="E68" s="42" t="inlineStr"/>
      <c r="F68" s="43" t="n">
        <v>1896</v>
      </c>
      <c r="G68" s="43" t="n">
        <v>8769</v>
      </c>
      <c r="H68" s="43" t="n">
        <v>10706</v>
      </c>
      <c r="I68" s="43" t="n">
        <v>1854</v>
      </c>
      <c r="J68" s="43" t="n">
        <v>8064</v>
      </c>
      <c r="K68" s="42" t="inlineStr">
        <is>
          <t>US Senate</t>
        </is>
      </c>
      <c r="L68" s="43" t="n">
        <v>1514</v>
      </c>
      <c r="M68" s="43" t="n">
        <v>5977</v>
      </c>
      <c r="N68" s="43" t="n">
        <v>7663</v>
      </c>
      <c r="O68" s="44">
        <f>IFERROR((F68-G68)/(F68+G68),"")</f>
        <v/>
      </c>
      <c r="P68" s="44">
        <f>IFERROR((I68-J68)/(I68+J68),"")</f>
        <v/>
      </c>
      <c r="Q68" s="45">
        <f>IFERROR(O68-P68,"")</f>
        <v/>
      </c>
      <c r="R68" s="44">
        <f>IFERROR((L68-M68)/(L68+M68),"")</f>
        <v/>
      </c>
      <c r="S68" s="46">
        <f>H68/SUMIFS(Counties!$H$2:$H$1583,Counties!$A$2:$A$1583,$A68)</f>
        <v/>
      </c>
      <c r="T68" s="44">
        <f>O68+INDEX(Dashboard!$F$6:$F$22,MATCH($A68,Dashboard!$A$6:$A$22,0))</f>
        <v/>
      </c>
      <c r="U68" s="43">
        <f>AQ68*INDEX(Dashboard!$G$6:$G$22,MATCH($A68,Dashboard!$A$6:$A$22,0))</f>
        <v/>
      </c>
      <c r="V68" s="47" t="n"/>
      <c r="W68" s="47" t="n"/>
      <c r="X68" s="47" t="n"/>
      <c r="Y68" s="48" t="n"/>
      <c r="Z68" s="49" t="n"/>
      <c r="AA68" s="49" t="n"/>
      <c r="AB68" s="49" t="n"/>
      <c r="AC68" s="50" t="n"/>
      <c r="AD68" s="43">
        <f>IF(Z68&lt;&gt;"",Z68,N(V68))</f>
        <v/>
      </c>
      <c r="AE68" s="43">
        <f>IF(AA68&lt;&gt;"",AA68,N(W68))</f>
        <v/>
      </c>
      <c r="AF68" s="43">
        <f>AD68+AE68</f>
        <v/>
      </c>
      <c r="AG68" s="42">
        <f>IF(UPPER(AC68)="Y",1,IF(AF68=0,0,IF(AND(Z68="",Y68&lt;&gt;""),IF(Y68&gt;=0.999,1,0),IF(AF68&gt;=U68,1,0))))</f>
        <v/>
      </c>
      <c r="AH68" s="44">
        <f>IF(AF68&gt;0,(AD68-AE68)/AF68,"")</f>
        <v/>
      </c>
      <c r="AI68" s="45">
        <f>IF(AG68=1,AH68-O68,"")</f>
        <v/>
      </c>
      <c r="AJ68" s="44">
        <f>IF(AG68=1,AH68,MAX(-1,MIN(1,O68+INDEX(Types!$H:$H,MATCH($A68&amp;"|"&amp;$D68,Types!$A:$A,0)))))</f>
        <v/>
      </c>
      <c r="AK68" s="43">
        <f>IF(AG68=1,AF68,MAX(AQ68*AS68,AF68))</f>
        <v/>
      </c>
      <c r="AL68" s="43">
        <f>IF(AG68=1,AD68,AK68*(1+AJ68)/2)</f>
        <v/>
      </c>
      <c r="AM68" s="43">
        <f>IF(AG68=1,AE68,AK68*(1-AJ68)/2)</f>
        <v/>
      </c>
      <c r="AN68" s="45">
        <f>IF(AH68="","",AH68-T68)</f>
        <v/>
      </c>
      <c r="AO68" s="51">
        <f>IF(AG68=1,1,IF(U68&gt;0,MIN(AF68/U68,0.99),0))</f>
        <v/>
      </c>
      <c r="AP68" s="43">
        <f>IF(AG68=1,AI68*AF68,0)</f>
        <v/>
      </c>
      <c r="AQ68" s="43">
        <f>N68*(F68+G68)/H68</f>
        <v/>
      </c>
      <c r="AR68" s="43">
        <f>O68*AQ68</f>
        <v/>
      </c>
      <c r="AS68" s="52">
        <f>IF(AG68=1,IF(AQ68&gt;0,AF68/AQ68,1),IFERROR(INDEX(Types!$K:$K,MATCH($A68&amp;"|"&amp;$D68,Types!$A:$A,0)),INDEX(Dashboard!$X$6:$X$22,MATCH($A68,Dashboard!$A$6:$A$22,0))))</f>
        <v/>
      </c>
      <c r="AT68" s="43">
        <f>AQ68*INDEX(Dashboard!$Y$6:$Y$22,MATCH($A68,Dashboard!$A$6:$A$22,0))</f>
        <v/>
      </c>
      <c r="AU68" s="53">
        <f>IF(AND(AG68=1,AT68&gt;0,AF68&gt;0),100*AF68/AT68,"")</f>
        <v/>
      </c>
      <c r="AV68" s="44">
        <f>IF(AU68="","",T68/(AU68/100))</f>
        <v/>
      </c>
      <c r="AW68" s="53">
        <f>IF(AU68="","",IF(AND(ABS(AH68)&gt;=0.1,ABS(T68)&gt;=0.05,SIGN(AH68)=SIGN(T68)),100*T68/AH68,""))</f>
        <v/>
      </c>
      <c r="AX68" s="45">
        <f>IF(AU68="","",T68-AV68)</f>
        <v/>
      </c>
      <c r="AY68" s="45">
        <f>IF(AU68="","",AH68-AV68)</f>
        <v/>
      </c>
      <c r="AZ68" s="54">
        <f>(AL68-AM68)-T68*AT68</f>
        <v/>
      </c>
      <c r="BA68" s="43">
        <f>IF(AU68="",0,(AH68-T68)*AF68)</f>
        <v/>
      </c>
      <c r="BB68" s="43">
        <f>IF(AU68="",0,T68*(AF68-AT68))</f>
        <v/>
      </c>
      <c r="BC68" s="51" t="n">
        <v>0.09622551740543969</v>
      </c>
      <c r="BD68" s="51" t="n">
        <v>0.05681547855047181</v>
      </c>
      <c r="BE68" s="51" t="n">
        <v>0.1072692000456465</v>
      </c>
      <c r="BF68" s="43" t="n">
        <v>25222</v>
      </c>
    </row>
    <row r="69">
      <c r="A69" s="42" t="inlineStr">
        <is>
          <t>GA</t>
        </is>
      </c>
      <c r="B69" s="42" t="inlineStr">
        <is>
          <t>13057</t>
        </is>
      </c>
      <c r="C69" s="42" t="inlineStr">
        <is>
          <t>Cherokee</t>
        </is>
      </c>
      <c r="D69" s="42" t="inlineStr">
        <is>
          <t>Mid-size/working metro</t>
        </is>
      </c>
      <c r="E69" s="42" t="inlineStr">
        <is>
          <t>★</t>
        </is>
      </c>
      <c r="F69" s="43" t="n">
        <v>48838</v>
      </c>
      <c r="G69" s="43" t="n">
        <v>112142</v>
      </c>
      <c r="H69" s="43" t="n">
        <v>162281</v>
      </c>
      <c r="I69" s="43" t="n">
        <v>42779</v>
      </c>
      <c r="J69" s="43" t="n">
        <v>99585</v>
      </c>
      <c r="K69" s="42" t="inlineStr">
        <is>
          <t>US Senate</t>
        </is>
      </c>
      <c r="L69" s="43" t="n">
        <v>34987</v>
      </c>
      <c r="M69" s="43" t="n">
        <v>80811</v>
      </c>
      <c r="N69" s="43" t="n">
        <v>119631</v>
      </c>
      <c r="O69" s="44">
        <f>IFERROR((F69-G69)/(F69+G69),"")</f>
        <v/>
      </c>
      <c r="P69" s="44">
        <f>IFERROR((I69-J69)/(I69+J69),"")</f>
        <v/>
      </c>
      <c r="Q69" s="45">
        <f>IFERROR(O69-P69,"")</f>
        <v/>
      </c>
      <c r="R69" s="44">
        <f>IFERROR((L69-M69)/(L69+M69),"")</f>
        <v/>
      </c>
      <c r="S69" s="46">
        <f>H69/SUMIFS(Counties!$H$2:$H$1583,Counties!$A$2:$A$1583,$A69)</f>
        <v/>
      </c>
      <c r="T69" s="44">
        <f>O69+INDEX(Dashboard!$F$6:$F$22,MATCH($A69,Dashboard!$A$6:$A$22,0))</f>
        <v/>
      </c>
      <c r="U69" s="43">
        <f>AQ69*INDEX(Dashboard!$G$6:$G$22,MATCH($A69,Dashboard!$A$6:$A$22,0))</f>
        <v/>
      </c>
      <c r="V69" s="47" t="n"/>
      <c r="W69" s="47" t="n"/>
      <c r="X69" s="47" t="n"/>
      <c r="Y69" s="48" t="n"/>
      <c r="Z69" s="49" t="n"/>
      <c r="AA69" s="49" t="n"/>
      <c r="AB69" s="49" t="n"/>
      <c r="AC69" s="50" t="n"/>
      <c r="AD69" s="43">
        <f>IF(Z69&lt;&gt;"",Z69,N(V69))</f>
        <v/>
      </c>
      <c r="AE69" s="43">
        <f>IF(AA69&lt;&gt;"",AA69,N(W69))</f>
        <v/>
      </c>
      <c r="AF69" s="43">
        <f>AD69+AE69</f>
        <v/>
      </c>
      <c r="AG69" s="42">
        <f>IF(UPPER(AC69)="Y",1,IF(AF69=0,0,IF(AND(Z69="",Y69&lt;&gt;""),IF(Y69&gt;=0.999,1,0),IF(AF69&gt;=U69,1,0))))</f>
        <v/>
      </c>
      <c r="AH69" s="44">
        <f>IF(AF69&gt;0,(AD69-AE69)/AF69,"")</f>
        <v/>
      </c>
      <c r="AI69" s="45">
        <f>IF(AG69=1,AH69-O69,"")</f>
        <v/>
      </c>
      <c r="AJ69" s="44">
        <f>IF(AG69=1,AH69,MAX(-1,MIN(1,O69+INDEX(Types!$H:$H,MATCH($A69&amp;"|"&amp;$D69,Types!$A:$A,0)))))</f>
        <v/>
      </c>
      <c r="AK69" s="43">
        <f>IF(AG69=1,AF69,MAX(AQ69*AS69,AF69))</f>
        <v/>
      </c>
      <c r="AL69" s="43">
        <f>IF(AG69=1,AD69,AK69*(1+AJ69)/2)</f>
        <v/>
      </c>
      <c r="AM69" s="43">
        <f>IF(AG69=1,AE69,AK69*(1-AJ69)/2)</f>
        <v/>
      </c>
      <c r="AN69" s="45">
        <f>IF(AH69="","",AH69-T69)</f>
        <v/>
      </c>
      <c r="AO69" s="51">
        <f>IF(AG69=1,1,IF(U69&gt;0,MIN(AF69/U69,0.99),0))</f>
        <v/>
      </c>
      <c r="AP69" s="43">
        <f>IF(AG69=1,AI69*AF69,0)</f>
        <v/>
      </c>
      <c r="AQ69" s="43">
        <f>N69*(F69+G69)/H69</f>
        <v/>
      </c>
      <c r="AR69" s="43">
        <f>O69*AQ69</f>
        <v/>
      </c>
      <c r="AS69" s="52">
        <f>IF(AG69=1,IF(AQ69&gt;0,AF69/AQ69,1),IFERROR(INDEX(Types!$K:$K,MATCH($A69&amp;"|"&amp;$D69,Types!$A:$A,0)),INDEX(Dashboard!$X$6:$X$22,MATCH($A69,Dashboard!$A$6:$A$22,0))))</f>
        <v/>
      </c>
      <c r="AT69" s="43">
        <f>AQ69*INDEX(Dashboard!$Y$6:$Y$22,MATCH($A69,Dashboard!$A$6:$A$22,0))</f>
        <v/>
      </c>
      <c r="AU69" s="53">
        <f>IF(AND(AG69=1,AT69&gt;0,AF69&gt;0),100*AF69/AT69,"")</f>
        <v/>
      </c>
      <c r="AV69" s="44">
        <f>IF(AU69="","",T69/(AU69/100))</f>
        <v/>
      </c>
      <c r="AW69" s="53">
        <f>IF(AU69="","",IF(AND(ABS(AH69)&gt;=0.1,ABS(T69)&gt;=0.05,SIGN(AH69)=SIGN(T69)),100*T69/AH69,""))</f>
        <v/>
      </c>
      <c r="AX69" s="45">
        <f>IF(AU69="","",T69-AV69)</f>
        <v/>
      </c>
      <c r="AY69" s="45">
        <f>IF(AU69="","",AH69-AV69)</f>
        <v/>
      </c>
      <c r="AZ69" s="54">
        <f>(AL69-AM69)-T69*AT69</f>
        <v/>
      </c>
      <c r="BA69" s="43">
        <f>IF(AU69="",0,(AH69-T69)*AF69)</f>
        <v/>
      </c>
      <c r="BB69" s="43">
        <f>IF(AU69="",0,T69*(AF69-AT69))</f>
        <v/>
      </c>
      <c r="BC69" s="51" t="n">
        <v>0.07661844648676562</v>
      </c>
      <c r="BD69" s="51" t="n">
        <v>0.1251142699632243</v>
      </c>
      <c r="BE69" s="51" t="n">
        <v>0.3945306890885014</v>
      </c>
      <c r="BF69" s="43" t="n">
        <v>286602</v>
      </c>
    </row>
    <row r="70">
      <c r="A70" s="42" t="inlineStr">
        <is>
          <t>GA</t>
        </is>
      </c>
      <c r="B70" s="42" t="inlineStr">
        <is>
          <t>13059</t>
        </is>
      </c>
      <c r="C70" s="42" t="inlineStr">
        <is>
          <t>Clarke</t>
        </is>
      </c>
      <c r="D70" s="42" t="inlineStr">
        <is>
          <t>College suburb/metro</t>
        </is>
      </c>
      <c r="E70" s="42" t="inlineStr"/>
      <c r="F70" s="43" t="n">
        <v>36297</v>
      </c>
      <c r="G70" s="43" t="n">
        <v>16049</v>
      </c>
      <c r="H70" s="43" t="n">
        <v>52887</v>
      </c>
      <c r="I70" s="43" t="n">
        <v>36055</v>
      </c>
      <c r="J70" s="43" t="n">
        <v>14450</v>
      </c>
      <c r="K70" s="42" t="inlineStr">
        <is>
          <t>US Senate</t>
        </is>
      </c>
      <c r="L70" s="43" t="n">
        <v>28566</v>
      </c>
      <c r="M70" s="43" t="n">
        <v>10810</v>
      </c>
      <c r="N70" s="43" t="n">
        <v>40176</v>
      </c>
      <c r="O70" s="44">
        <f>IFERROR((F70-G70)/(F70+G70),"")</f>
        <v/>
      </c>
      <c r="P70" s="44">
        <f>IFERROR((I70-J70)/(I70+J70),"")</f>
        <v/>
      </c>
      <c r="Q70" s="45">
        <f>IFERROR(O70-P70,"")</f>
        <v/>
      </c>
      <c r="R70" s="44">
        <f>IFERROR((L70-M70)/(L70+M70),"")</f>
        <v/>
      </c>
      <c r="S70" s="46">
        <f>H70/SUMIFS(Counties!$H$2:$H$1583,Counties!$A$2:$A$1583,$A70)</f>
        <v/>
      </c>
      <c r="T70" s="44">
        <f>O70+INDEX(Dashboard!$F$6:$F$22,MATCH($A70,Dashboard!$A$6:$A$22,0))</f>
        <v/>
      </c>
      <c r="U70" s="43">
        <f>AQ70*INDEX(Dashboard!$G$6:$G$22,MATCH($A70,Dashboard!$A$6:$A$22,0))</f>
        <v/>
      </c>
      <c r="V70" s="47" t="n"/>
      <c r="W70" s="47" t="n"/>
      <c r="X70" s="47" t="n"/>
      <c r="Y70" s="48" t="n"/>
      <c r="Z70" s="49" t="n"/>
      <c r="AA70" s="49" t="n"/>
      <c r="AB70" s="49" t="n"/>
      <c r="AC70" s="50" t="n"/>
      <c r="AD70" s="43">
        <f>IF(Z70&lt;&gt;"",Z70,N(V70))</f>
        <v/>
      </c>
      <c r="AE70" s="43">
        <f>IF(AA70&lt;&gt;"",AA70,N(W70))</f>
        <v/>
      </c>
      <c r="AF70" s="43">
        <f>AD70+AE70</f>
        <v/>
      </c>
      <c r="AG70" s="42">
        <f>IF(UPPER(AC70)="Y",1,IF(AF70=0,0,IF(AND(Z70="",Y70&lt;&gt;""),IF(Y70&gt;=0.999,1,0),IF(AF70&gt;=U70,1,0))))</f>
        <v/>
      </c>
      <c r="AH70" s="44">
        <f>IF(AF70&gt;0,(AD70-AE70)/AF70,"")</f>
        <v/>
      </c>
      <c r="AI70" s="45">
        <f>IF(AG70=1,AH70-O70,"")</f>
        <v/>
      </c>
      <c r="AJ70" s="44">
        <f>IF(AG70=1,AH70,MAX(-1,MIN(1,O70+INDEX(Types!$H:$H,MATCH($A70&amp;"|"&amp;$D70,Types!$A:$A,0)))))</f>
        <v/>
      </c>
      <c r="AK70" s="43">
        <f>IF(AG70=1,AF70,MAX(AQ70*AS70,AF70))</f>
        <v/>
      </c>
      <c r="AL70" s="43">
        <f>IF(AG70=1,AD70,AK70*(1+AJ70)/2)</f>
        <v/>
      </c>
      <c r="AM70" s="43">
        <f>IF(AG70=1,AE70,AK70*(1-AJ70)/2)</f>
        <v/>
      </c>
      <c r="AN70" s="45">
        <f>IF(AH70="","",AH70-T70)</f>
        <v/>
      </c>
      <c r="AO70" s="51">
        <f>IF(AG70=1,1,IF(U70&gt;0,MIN(AF70/U70,0.99),0))</f>
        <v/>
      </c>
      <c r="AP70" s="43">
        <f>IF(AG70=1,AI70*AF70,0)</f>
        <v/>
      </c>
      <c r="AQ70" s="43">
        <f>N70*(F70+G70)/H70</f>
        <v/>
      </c>
      <c r="AR70" s="43">
        <f>O70*AQ70</f>
        <v/>
      </c>
      <c r="AS70" s="52">
        <f>IF(AG70=1,IF(AQ70&gt;0,AF70/AQ70,1),IFERROR(INDEX(Types!$K:$K,MATCH($A70&amp;"|"&amp;$D70,Types!$A:$A,0)),INDEX(Dashboard!$X$6:$X$22,MATCH($A70,Dashboard!$A$6:$A$22,0))))</f>
        <v/>
      </c>
      <c r="AT70" s="43">
        <f>AQ70*INDEX(Dashboard!$Y$6:$Y$22,MATCH($A70,Dashboard!$A$6:$A$22,0))</f>
        <v/>
      </c>
      <c r="AU70" s="53">
        <f>IF(AND(AG70=1,AT70&gt;0,AF70&gt;0),100*AF70/AT70,"")</f>
        <v/>
      </c>
      <c r="AV70" s="44">
        <f>IF(AU70="","",T70/(AU70/100))</f>
        <v/>
      </c>
      <c r="AW70" s="53">
        <f>IF(AU70="","",IF(AND(ABS(AH70)&gt;=0.1,ABS(T70)&gt;=0.05,SIGN(AH70)=SIGN(T70)),100*T70/AH70,""))</f>
        <v/>
      </c>
      <c r="AX70" s="45">
        <f>IF(AU70="","",T70-AV70)</f>
        <v/>
      </c>
      <c r="AY70" s="45">
        <f>IF(AU70="","",AH70-AV70)</f>
        <v/>
      </c>
      <c r="AZ70" s="54">
        <f>(AL70-AM70)-T70*AT70</f>
        <v/>
      </c>
      <c r="BA70" s="43">
        <f>IF(AU70="",0,(AH70-T70)*AF70)</f>
        <v/>
      </c>
      <c r="BB70" s="43">
        <f>IF(AU70="",0,T70*(AF70-AT70))</f>
        <v/>
      </c>
      <c r="BC70" s="51" t="n">
        <v>0.2675224923614478</v>
      </c>
      <c r="BD70" s="51" t="n">
        <v>0.1182686461483996</v>
      </c>
      <c r="BE70" s="51" t="n">
        <v>0.4867085027875784</v>
      </c>
      <c r="BF70" s="43" t="n">
        <v>129933</v>
      </c>
    </row>
    <row r="71">
      <c r="A71" s="42" t="inlineStr">
        <is>
          <t>GA</t>
        </is>
      </c>
      <c r="B71" s="42" t="inlineStr">
        <is>
          <t>13061</t>
        </is>
      </c>
      <c r="C71" s="42" t="inlineStr">
        <is>
          <t>Clay</t>
        </is>
      </c>
      <c r="D71" s="42" t="inlineStr">
        <is>
          <t>Black Belt</t>
        </is>
      </c>
      <c r="E71" s="42" t="inlineStr"/>
      <c r="F71" s="43" t="n">
        <v>771</v>
      </c>
      <c r="G71" s="43" t="n">
        <v>663</v>
      </c>
      <c r="H71" s="43" t="n">
        <v>1442</v>
      </c>
      <c r="I71" s="43" t="n">
        <v>791</v>
      </c>
      <c r="J71" s="43" t="n">
        <v>637</v>
      </c>
      <c r="K71" s="42" t="inlineStr">
        <is>
          <t>US Senate</t>
        </is>
      </c>
      <c r="L71" s="43" t="n">
        <v>572</v>
      </c>
      <c r="M71" s="43" t="n">
        <v>528</v>
      </c>
      <c r="N71" s="43" t="n">
        <v>1120</v>
      </c>
      <c r="O71" s="44">
        <f>IFERROR((F71-G71)/(F71+G71),"")</f>
        <v/>
      </c>
      <c r="P71" s="44">
        <f>IFERROR((I71-J71)/(I71+J71),"")</f>
        <v/>
      </c>
      <c r="Q71" s="45">
        <f>IFERROR(O71-P71,"")</f>
        <v/>
      </c>
      <c r="R71" s="44">
        <f>IFERROR((L71-M71)/(L71+M71),"")</f>
        <v/>
      </c>
      <c r="S71" s="46">
        <f>H71/SUMIFS(Counties!$H$2:$H$1583,Counties!$A$2:$A$1583,$A71)</f>
        <v/>
      </c>
      <c r="T71" s="44">
        <f>O71+INDEX(Dashboard!$F$6:$F$22,MATCH($A71,Dashboard!$A$6:$A$22,0))</f>
        <v/>
      </c>
      <c r="U71" s="43">
        <f>AQ71*INDEX(Dashboard!$G$6:$G$22,MATCH($A71,Dashboard!$A$6:$A$22,0))</f>
        <v/>
      </c>
      <c r="V71" s="47" t="n"/>
      <c r="W71" s="47" t="n"/>
      <c r="X71" s="47" t="n"/>
      <c r="Y71" s="48" t="n"/>
      <c r="Z71" s="49" t="n"/>
      <c r="AA71" s="49" t="n"/>
      <c r="AB71" s="49" t="n"/>
      <c r="AC71" s="50" t="n"/>
      <c r="AD71" s="43">
        <f>IF(Z71&lt;&gt;"",Z71,N(V71))</f>
        <v/>
      </c>
      <c r="AE71" s="43">
        <f>IF(AA71&lt;&gt;"",AA71,N(W71))</f>
        <v/>
      </c>
      <c r="AF71" s="43">
        <f>AD71+AE71</f>
        <v/>
      </c>
      <c r="AG71" s="42">
        <f>IF(UPPER(AC71)="Y",1,IF(AF71=0,0,IF(AND(Z71="",Y71&lt;&gt;""),IF(Y71&gt;=0.999,1,0),IF(AF71&gt;=U71,1,0))))</f>
        <v/>
      </c>
      <c r="AH71" s="44">
        <f>IF(AF71&gt;0,(AD71-AE71)/AF71,"")</f>
        <v/>
      </c>
      <c r="AI71" s="45">
        <f>IF(AG71=1,AH71-O71,"")</f>
        <v/>
      </c>
      <c r="AJ71" s="44">
        <f>IF(AG71=1,AH71,MAX(-1,MIN(1,O71+INDEX(Types!$H:$H,MATCH($A71&amp;"|"&amp;$D71,Types!$A:$A,0)))))</f>
        <v/>
      </c>
      <c r="AK71" s="43">
        <f>IF(AG71=1,AF71,MAX(AQ71*AS71,AF71))</f>
        <v/>
      </c>
      <c r="AL71" s="43">
        <f>IF(AG71=1,AD71,AK71*(1+AJ71)/2)</f>
        <v/>
      </c>
      <c r="AM71" s="43">
        <f>IF(AG71=1,AE71,AK71*(1-AJ71)/2)</f>
        <v/>
      </c>
      <c r="AN71" s="45">
        <f>IF(AH71="","",AH71-T71)</f>
        <v/>
      </c>
      <c r="AO71" s="51">
        <f>IF(AG71=1,1,IF(U71&gt;0,MIN(AF71/U71,0.99),0))</f>
        <v/>
      </c>
      <c r="AP71" s="43">
        <f>IF(AG71=1,AI71*AF71,0)</f>
        <v/>
      </c>
      <c r="AQ71" s="43">
        <f>N71*(F71+G71)/H71</f>
        <v/>
      </c>
      <c r="AR71" s="43">
        <f>O71*AQ71</f>
        <v/>
      </c>
      <c r="AS71" s="52">
        <f>IF(AG71=1,IF(AQ71&gt;0,AF71/AQ71,1),IFERROR(INDEX(Types!$K:$K,MATCH($A71&amp;"|"&amp;$D71,Types!$A:$A,0)),INDEX(Dashboard!$X$6:$X$22,MATCH($A71,Dashboard!$A$6:$A$22,0))))</f>
        <v/>
      </c>
      <c r="AT71" s="43">
        <f>AQ71*INDEX(Dashboard!$Y$6:$Y$22,MATCH($A71,Dashboard!$A$6:$A$22,0))</f>
        <v/>
      </c>
      <c r="AU71" s="53">
        <f>IF(AND(AG71=1,AT71&gt;0,AF71&gt;0),100*AF71/AT71,"")</f>
        <v/>
      </c>
      <c r="AV71" s="44">
        <f>IF(AU71="","",T71/(AU71/100))</f>
        <v/>
      </c>
      <c r="AW71" s="53">
        <f>IF(AU71="","",IF(AND(ABS(AH71)&gt;=0.1,ABS(T71)&gt;=0.05,SIGN(AH71)=SIGN(T71)),100*T71/AH71,""))</f>
        <v/>
      </c>
      <c r="AX71" s="45">
        <f>IF(AU71="","",T71-AV71)</f>
        <v/>
      </c>
      <c r="AY71" s="45">
        <f>IF(AU71="","",AH71-AV71)</f>
        <v/>
      </c>
      <c r="AZ71" s="54">
        <f>(AL71-AM71)-T71*AT71</f>
        <v/>
      </c>
      <c r="BA71" s="43">
        <f>IF(AU71="",0,(AH71-T71)*AF71)</f>
        <v/>
      </c>
      <c r="BB71" s="43">
        <f>IF(AU71="",0,T71*(AF71-AT71))</f>
        <v/>
      </c>
      <c r="BC71" s="51" t="n">
        <v>0.5825446898002103</v>
      </c>
      <c r="BD71" s="51" t="n">
        <v>0.01787592008412198</v>
      </c>
      <c r="BE71" s="51" t="n">
        <v>0.2255600814663951</v>
      </c>
      <c r="BF71" s="43" t="n">
        <v>2853</v>
      </c>
    </row>
    <row r="72">
      <c r="A72" s="42" t="inlineStr">
        <is>
          <t>GA</t>
        </is>
      </c>
      <c r="B72" s="42" t="inlineStr">
        <is>
          <t>13063</t>
        </is>
      </c>
      <c r="C72" s="42" t="inlineStr">
        <is>
          <t>Clayton</t>
        </is>
      </c>
      <c r="D72" s="42" t="inlineStr">
        <is>
          <t>Black Belt</t>
        </is>
      </c>
      <c r="E72" s="42" t="inlineStr">
        <is>
          <t>★</t>
        </is>
      </c>
      <c r="F72" s="43" t="n">
        <v>94203</v>
      </c>
      <c r="G72" s="43" t="n">
        <v>16877</v>
      </c>
      <c r="H72" s="43" t="n">
        <v>111729</v>
      </c>
      <c r="I72" s="43" t="n">
        <v>95466</v>
      </c>
      <c r="J72" s="43" t="n">
        <v>15811</v>
      </c>
      <c r="K72" s="42" t="inlineStr">
        <is>
          <t>US Senate</t>
        </is>
      </c>
      <c r="L72" s="43" t="n">
        <v>73412</v>
      </c>
      <c r="M72" s="43" t="n">
        <v>9450</v>
      </c>
      <c r="N72" s="43" t="n">
        <v>83952</v>
      </c>
      <c r="O72" s="44">
        <f>IFERROR((F72-G72)/(F72+G72),"")</f>
        <v/>
      </c>
      <c r="P72" s="44">
        <f>IFERROR((I72-J72)/(I72+J72),"")</f>
        <v/>
      </c>
      <c r="Q72" s="45">
        <f>IFERROR(O72-P72,"")</f>
        <v/>
      </c>
      <c r="R72" s="44">
        <f>IFERROR((L72-M72)/(L72+M72),"")</f>
        <v/>
      </c>
      <c r="S72" s="46">
        <f>H72/SUMIFS(Counties!$H$2:$H$1583,Counties!$A$2:$A$1583,$A72)</f>
        <v/>
      </c>
      <c r="T72" s="44">
        <f>O72+INDEX(Dashboard!$F$6:$F$22,MATCH($A72,Dashboard!$A$6:$A$22,0))</f>
        <v/>
      </c>
      <c r="U72" s="43">
        <f>AQ72*INDEX(Dashboard!$G$6:$G$22,MATCH($A72,Dashboard!$A$6:$A$22,0))</f>
        <v/>
      </c>
      <c r="V72" s="47" t="n"/>
      <c r="W72" s="47" t="n"/>
      <c r="X72" s="47" t="n"/>
      <c r="Y72" s="48" t="n"/>
      <c r="Z72" s="49" t="n"/>
      <c r="AA72" s="49" t="n"/>
      <c r="AB72" s="49" t="n"/>
      <c r="AC72" s="50" t="n"/>
      <c r="AD72" s="43">
        <f>IF(Z72&lt;&gt;"",Z72,N(V72))</f>
        <v/>
      </c>
      <c r="AE72" s="43">
        <f>IF(AA72&lt;&gt;"",AA72,N(W72))</f>
        <v/>
      </c>
      <c r="AF72" s="43">
        <f>AD72+AE72</f>
        <v/>
      </c>
      <c r="AG72" s="42">
        <f>IF(UPPER(AC72)="Y",1,IF(AF72=0,0,IF(AND(Z72="",Y72&lt;&gt;""),IF(Y72&gt;=0.999,1,0),IF(AF72&gt;=U72,1,0))))</f>
        <v/>
      </c>
      <c r="AH72" s="44">
        <f>IF(AF72&gt;0,(AD72-AE72)/AF72,"")</f>
        <v/>
      </c>
      <c r="AI72" s="45">
        <f>IF(AG72=1,AH72-O72,"")</f>
        <v/>
      </c>
      <c r="AJ72" s="44">
        <f>IF(AG72=1,AH72,MAX(-1,MIN(1,O72+INDEX(Types!$H:$H,MATCH($A72&amp;"|"&amp;$D72,Types!$A:$A,0)))))</f>
        <v/>
      </c>
      <c r="AK72" s="43">
        <f>IF(AG72=1,AF72,MAX(AQ72*AS72,AF72))</f>
        <v/>
      </c>
      <c r="AL72" s="43">
        <f>IF(AG72=1,AD72,AK72*(1+AJ72)/2)</f>
        <v/>
      </c>
      <c r="AM72" s="43">
        <f>IF(AG72=1,AE72,AK72*(1-AJ72)/2)</f>
        <v/>
      </c>
      <c r="AN72" s="45">
        <f>IF(AH72="","",AH72-T72)</f>
        <v/>
      </c>
      <c r="AO72" s="51">
        <f>IF(AG72=1,1,IF(U72&gt;0,MIN(AF72/U72,0.99),0))</f>
        <v/>
      </c>
      <c r="AP72" s="43">
        <f>IF(AG72=1,AI72*AF72,0)</f>
        <v/>
      </c>
      <c r="AQ72" s="43">
        <f>N72*(F72+G72)/H72</f>
        <v/>
      </c>
      <c r="AR72" s="43">
        <f>O72*AQ72</f>
        <v/>
      </c>
      <c r="AS72" s="52">
        <f>IF(AG72=1,IF(AQ72&gt;0,AF72/AQ72,1),IFERROR(INDEX(Types!$K:$K,MATCH($A72&amp;"|"&amp;$D72,Types!$A:$A,0)),INDEX(Dashboard!$X$6:$X$22,MATCH($A72,Dashboard!$A$6:$A$22,0))))</f>
        <v/>
      </c>
      <c r="AT72" s="43">
        <f>AQ72*INDEX(Dashboard!$Y$6:$Y$22,MATCH($A72,Dashboard!$A$6:$A$22,0))</f>
        <v/>
      </c>
      <c r="AU72" s="53">
        <f>IF(AND(AG72=1,AT72&gt;0,AF72&gt;0),100*AF72/AT72,"")</f>
        <v/>
      </c>
      <c r="AV72" s="44">
        <f>IF(AU72="","",T72/(AU72/100))</f>
        <v/>
      </c>
      <c r="AW72" s="53">
        <f>IF(AU72="","",IF(AND(ABS(AH72)&gt;=0.1,ABS(T72)&gt;=0.05,SIGN(AH72)=SIGN(T72)),100*T72/AH72,""))</f>
        <v/>
      </c>
      <c r="AX72" s="45">
        <f>IF(AU72="","",T72-AV72)</f>
        <v/>
      </c>
      <c r="AY72" s="45">
        <f>IF(AU72="","",AH72-AV72)</f>
        <v/>
      </c>
      <c r="AZ72" s="54">
        <f>(AL72-AM72)-T72*AT72</f>
        <v/>
      </c>
      <c r="BA72" s="43">
        <f>IF(AU72="",0,(AH72-T72)*AF72)</f>
        <v/>
      </c>
      <c r="BB72" s="43">
        <f>IF(AU72="",0,T72*(AF72-AT72))</f>
        <v/>
      </c>
      <c r="BC72" s="51" t="n">
        <v>0.7058397586322495</v>
      </c>
      <c r="BD72" s="51" t="n">
        <v>0.1445859872611465</v>
      </c>
      <c r="BE72" s="51" t="n">
        <v>0.213428480475382</v>
      </c>
      <c r="BF72" s="43" t="n">
        <v>298300</v>
      </c>
    </row>
    <row r="73">
      <c r="A73" s="42" t="inlineStr">
        <is>
          <t>GA</t>
        </is>
      </c>
      <c r="B73" s="42" t="inlineStr">
        <is>
          <t>13065</t>
        </is>
      </c>
      <c r="C73" s="42" t="inlineStr">
        <is>
          <t>Clinch</t>
        </is>
      </c>
      <c r="D73" s="42" t="inlineStr">
        <is>
          <t>Small town &amp; rural</t>
        </is>
      </c>
      <c r="E73" s="42" t="inlineStr"/>
      <c r="F73" s="43" t="n">
        <v>702</v>
      </c>
      <c r="G73" s="43" t="n">
        <v>2201</v>
      </c>
      <c r="H73" s="43" t="n">
        <v>2908</v>
      </c>
      <c r="I73" s="43" t="n">
        <v>744</v>
      </c>
      <c r="J73" s="43" t="n">
        <v>2105</v>
      </c>
      <c r="K73" s="42" t="inlineStr">
        <is>
          <t>US Senate</t>
        </is>
      </c>
      <c r="L73" s="43" t="n">
        <v>439</v>
      </c>
      <c r="M73" s="43" t="n">
        <v>1630</v>
      </c>
      <c r="N73" s="43" t="n">
        <v>2104</v>
      </c>
      <c r="O73" s="44">
        <f>IFERROR((F73-G73)/(F73+G73),"")</f>
        <v/>
      </c>
      <c r="P73" s="44">
        <f>IFERROR((I73-J73)/(I73+J73),"")</f>
        <v/>
      </c>
      <c r="Q73" s="45">
        <f>IFERROR(O73-P73,"")</f>
        <v/>
      </c>
      <c r="R73" s="44">
        <f>IFERROR((L73-M73)/(L73+M73),"")</f>
        <v/>
      </c>
      <c r="S73" s="46">
        <f>H73/SUMIFS(Counties!$H$2:$H$1583,Counties!$A$2:$A$1583,$A73)</f>
        <v/>
      </c>
      <c r="T73" s="44">
        <f>O73+INDEX(Dashboard!$F$6:$F$22,MATCH($A73,Dashboard!$A$6:$A$22,0))</f>
        <v/>
      </c>
      <c r="U73" s="43">
        <f>AQ73*INDEX(Dashboard!$G$6:$G$22,MATCH($A73,Dashboard!$A$6:$A$22,0))</f>
        <v/>
      </c>
      <c r="V73" s="47" t="n"/>
      <c r="W73" s="47" t="n"/>
      <c r="X73" s="47" t="n"/>
      <c r="Y73" s="48" t="n"/>
      <c r="Z73" s="49" t="n"/>
      <c r="AA73" s="49" t="n"/>
      <c r="AB73" s="49" t="n"/>
      <c r="AC73" s="50" t="n"/>
      <c r="AD73" s="43">
        <f>IF(Z73&lt;&gt;"",Z73,N(V73))</f>
        <v/>
      </c>
      <c r="AE73" s="43">
        <f>IF(AA73&lt;&gt;"",AA73,N(W73))</f>
        <v/>
      </c>
      <c r="AF73" s="43">
        <f>AD73+AE73</f>
        <v/>
      </c>
      <c r="AG73" s="42">
        <f>IF(UPPER(AC73)="Y",1,IF(AF73=0,0,IF(AND(Z73="",Y73&lt;&gt;""),IF(Y73&gt;=0.999,1,0),IF(AF73&gt;=U73,1,0))))</f>
        <v/>
      </c>
      <c r="AH73" s="44">
        <f>IF(AF73&gt;0,(AD73-AE73)/AF73,"")</f>
        <v/>
      </c>
      <c r="AI73" s="45">
        <f>IF(AG73=1,AH73-O73,"")</f>
        <v/>
      </c>
      <c r="AJ73" s="44">
        <f>IF(AG73=1,AH73,MAX(-1,MIN(1,O73+INDEX(Types!$H:$H,MATCH($A73&amp;"|"&amp;$D73,Types!$A:$A,0)))))</f>
        <v/>
      </c>
      <c r="AK73" s="43">
        <f>IF(AG73=1,AF73,MAX(AQ73*AS73,AF73))</f>
        <v/>
      </c>
      <c r="AL73" s="43">
        <f>IF(AG73=1,AD73,AK73*(1+AJ73)/2)</f>
        <v/>
      </c>
      <c r="AM73" s="43">
        <f>IF(AG73=1,AE73,AK73*(1-AJ73)/2)</f>
        <v/>
      </c>
      <c r="AN73" s="45">
        <f>IF(AH73="","",AH73-T73)</f>
        <v/>
      </c>
      <c r="AO73" s="51">
        <f>IF(AG73=1,1,IF(U73&gt;0,MIN(AF73/U73,0.99),0))</f>
        <v/>
      </c>
      <c r="AP73" s="43">
        <f>IF(AG73=1,AI73*AF73,0)</f>
        <v/>
      </c>
      <c r="AQ73" s="43">
        <f>N73*(F73+G73)/H73</f>
        <v/>
      </c>
      <c r="AR73" s="43">
        <f>O73*AQ73</f>
        <v/>
      </c>
      <c r="AS73" s="52">
        <f>IF(AG73=1,IF(AQ73&gt;0,AF73/AQ73,1),IFERROR(INDEX(Types!$K:$K,MATCH($A73&amp;"|"&amp;$D73,Types!$A:$A,0)),INDEX(Dashboard!$X$6:$X$22,MATCH($A73,Dashboard!$A$6:$A$22,0))))</f>
        <v/>
      </c>
      <c r="AT73" s="43">
        <f>AQ73*INDEX(Dashboard!$Y$6:$Y$22,MATCH($A73,Dashboard!$A$6:$A$22,0))</f>
        <v/>
      </c>
      <c r="AU73" s="53">
        <f>IF(AND(AG73=1,AT73&gt;0,AF73&gt;0),100*AF73/AT73,"")</f>
        <v/>
      </c>
      <c r="AV73" s="44">
        <f>IF(AU73="","",T73/(AU73/100))</f>
        <v/>
      </c>
      <c r="AW73" s="53">
        <f>IF(AU73="","",IF(AND(ABS(AH73)&gt;=0.1,ABS(T73)&gt;=0.05,SIGN(AH73)=SIGN(T73)),100*T73/AH73,""))</f>
        <v/>
      </c>
      <c r="AX73" s="45">
        <f>IF(AU73="","",T73-AV73)</f>
        <v/>
      </c>
      <c r="AY73" s="45">
        <f>IF(AU73="","",AH73-AV73)</f>
        <v/>
      </c>
      <c r="AZ73" s="54">
        <f>(AL73-AM73)-T73*AT73</f>
        <v/>
      </c>
      <c r="BA73" s="43">
        <f>IF(AU73="",0,(AH73-T73)*AF73)</f>
        <v/>
      </c>
      <c r="BB73" s="43">
        <f>IF(AU73="",0,T73*(AF73-AT73))</f>
        <v/>
      </c>
      <c r="BC73" s="51" t="n">
        <v>0.2724577527423658</v>
      </c>
      <c r="BD73" s="51" t="n">
        <v>0.04610139341832197</v>
      </c>
      <c r="BE73" s="51" t="n">
        <v>0.1302016302016302</v>
      </c>
      <c r="BF73" s="43" t="n">
        <v>6746</v>
      </c>
    </row>
    <row r="74">
      <c r="A74" s="42" t="inlineStr">
        <is>
          <t>GA</t>
        </is>
      </c>
      <c r="B74" s="42" t="inlineStr">
        <is>
          <t>13067</t>
        </is>
      </c>
      <c r="C74" s="42" t="inlineStr">
        <is>
          <t>Cobb</t>
        </is>
      </c>
      <c r="D74" s="42" t="inlineStr">
        <is>
          <t>Big metro core</t>
        </is>
      </c>
      <c r="E74" s="42" t="inlineStr">
        <is>
          <t>★</t>
        </is>
      </c>
      <c r="F74" s="43" t="n">
        <v>228404</v>
      </c>
      <c r="G74" s="43" t="n">
        <v>168679</v>
      </c>
      <c r="H74" s="43" t="n">
        <v>401369</v>
      </c>
      <c r="I74" s="43" t="n">
        <v>221847</v>
      </c>
      <c r="J74" s="43" t="n">
        <v>165436</v>
      </c>
      <c r="K74" s="42" t="inlineStr">
        <is>
          <t>US Senate</t>
        </is>
      </c>
      <c r="L74" s="43" t="n">
        <v>176385</v>
      </c>
      <c r="M74" s="43" t="n">
        <v>125795</v>
      </c>
      <c r="N74" s="43" t="n">
        <v>310652</v>
      </c>
      <c r="O74" s="44">
        <f>IFERROR((F74-G74)/(F74+G74),"")</f>
        <v/>
      </c>
      <c r="P74" s="44">
        <f>IFERROR((I74-J74)/(I74+J74),"")</f>
        <v/>
      </c>
      <c r="Q74" s="45">
        <f>IFERROR(O74-P74,"")</f>
        <v/>
      </c>
      <c r="R74" s="44">
        <f>IFERROR((L74-M74)/(L74+M74),"")</f>
        <v/>
      </c>
      <c r="S74" s="46">
        <f>H74/SUMIFS(Counties!$H$2:$H$1583,Counties!$A$2:$A$1583,$A74)</f>
        <v/>
      </c>
      <c r="T74" s="44">
        <f>O74+INDEX(Dashboard!$F$6:$F$22,MATCH($A74,Dashboard!$A$6:$A$22,0))</f>
        <v/>
      </c>
      <c r="U74" s="43">
        <f>AQ74*INDEX(Dashboard!$G$6:$G$22,MATCH($A74,Dashboard!$A$6:$A$22,0))</f>
        <v/>
      </c>
      <c r="V74" s="47" t="n"/>
      <c r="W74" s="47" t="n"/>
      <c r="X74" s="47" t="n"/>
      <c r="Y74" s="48" t="n"/>
      <c r="Z74" s="49" t="n"/>
      <c r="AA74" s="49" t="n"/>
      <c r="AB74" s="49" t="n"/>
      <c r="AC74" s="50" t="n"/>
      <c r="AD74" s="43">
        <f>IF(Z74&lt;&gt;"",Z74,N(V74))</f>
        <v/>
      </c>
      <c r="AE74" s="43">
        <f>IF(AA74&lt;&gt;"",AA74,N(W74))</f>
        <v/>
      </c>
      <c r="AF74" s="43">
        <f>AD74+AE74</f>
        <v/>
      </c>
      <c r="AG74" s="42">
        <f>IF(UPPER(AC74)="Y",1,IF(AF74=0,0,IF(AND(Z74="",Y74&lt;&gt;""),IF(Y74&gt;=0.999,1,0),IF(AF74&gt;=U74,1,0))))</f>
        <v/>
      </c>
      <c r="AH74" s="44">
        <f>IF(AF74&gt;0,(AD74-AE74)/AF74,"")</f>
        <v/>
      </c>
      <c r="AI74" s="45">
        <f>IF(AG74=1,AH74-O74,"")</f>
        <v/>
      </c>
      <c r="AJ74" s="44">
        <f>IF(AG74=1,AH74,MAX(-1,MIN(1,O74+INDEX(Types!$H:$H,MATCH($A74&amp;"|"&amp;$D74,Types!$A:$A,0)))))</f>
        <v/>
      </c>
      <c r="AK74" s="43">
        <f>IF(AG74=1,AF74,MAX(AQ74*AS74,AF74))</f>
        <v/>
      </c>
      <c r="AL74" s="43">
        <f>IF(AG74=1,AD74,AK74*(1+AJ74)/2)</f>
        <v/>
      </c>
      <c r="AM74" s="43">
        <f>IF(AG74=1,AE74,AK74*(1-AJ74)/2)</f>
        <v/>
      </c>
      <c r="AN74" s="45">
        <f>IF(AH74="","",AH74-T74)</f>
        <v/>
      </c>
      <c r="AO74" s="51">
        <f>IF(AG74=1,1,IF(U74&gt;0,MIN(AF74/U74,0.99),0))</f>
        <v/>
      </c>
      <c r="AP74" s="43">
        <f>IF(AG74=1,AI74*AF74,0)</f>
        <v/>
      </c>
      <c r="AQ74" s="43">
        <f>N74*(F74+G74)/H74</f>
        <v/>
      </c>
      <c r="AR74" s="43">
        <f>O74*AQ74</f>
        <v/>
      </c>
      <c r="AS74" s="52">
        <f>IF(AG74=1,IF(AQ74&gt;0,AF74/AQ74,1),IFERROR(INDEX(Types!$K:$K,MATCH($A74&amp;"|"&amp;$D74,Types!$A:$A,0)),INDEX(Dashboard!$X$6:$X$22,MATCH($A74,Dashboard!$A$6:$A$22,0))))</f>
        <v/>
      </c>
      <c r="AT74" s="43">
        <f>AQ74*INDEX(Dashboard!$Y$6:$Y$22,MATCH($A74,Dashboard!$A$6:$A$22,0))</f>
        <v/>
      </c>
      <c r="AU74" s="53">
        <f>IF(AND(AG74=1,AT74&gt;0,AF74&gt;0),100*AF74/AT74,"")</f>
        <v/>
      </c>
      <c r="AV74" s="44">
        <f>IF(AU74="","",T74/(AU74/100))</f>
        <v/>
      </c>
      <c r="AW74" s="53">
        <f>IF(AU74="","",IF(AND(ABS(AH74)&gt;=0.1,ABS(T74)&gt;=0.05,SIGN(AH74)=SIGN(T74)),100*T74/AH74,""))</f>
        <v/>
      </c>
      <c r="AX74" s="45">
        <f>IF(AU74="","",T74-AV74)</f>
        <v/>
      </c>
      <c r="AY74" s="45">
        <f>IF(AU74="","",AH74-AV74)</f>
        <v/>
      </c>
      <c r="AZ74" s="54">
        <f>(AL74-AM74)-T74*AT74</f>
        <v/>
      </c>
      <c r="BA74" s="43">
        <f>IF(AU74="",0,(AH74-T74)*AF74)</f>
        <v/>
      </c>
      <c r="BB74" s="43">
        <f>IF(AU74="",0,T74*(AF74-AT74))</f>
        <v/>
      </c>
      <c r="BC74" s="51" t="n">
        <v>0.2815860587092513</v>
      </c>
      <c r="BD74" s="51" t="n">
        <v>0.1513280454410275</v>
      </c>
      <c r="BE74" s="51" t="n">
        <v>0.5038274926438436</v>
      </c>
      <c r="BF74" s="43" t="n">
        <v>776743</v>
      </c>
    </row>
    <row r="75">
      <c r="A75" s="42" t="inlineStr">
        <is>
          <t>GA</t>
        </is>
      </c>
      <c r="B75" s="42" t="inlineStr">
        <is>
          <t>13069</t>
        </is>
      </c>
      <c r="C75" s="42" t="inlineStr">
        <is>
          <t>Coffee</t>
        </is>
      </c>
      <c r="D75" s="42" t="inlineStr">
        <is>
          <t>Small town &amp; rural</t>
        </is>
      </c>
      <c r="E75" s="42" t="inlineStr"/>
      <c r="F75" s="43" t="n">
        <v>4295</v>
      </c>
      <c r="G75" s="43" t="n">
        <v>11388</v>
      </c>
      <c r="H75" s="43" t="n">
        <v>15715</v>
      </c>
      <c r="I75" s="43" t="n">
        <v>4511</v>
      </c>
      <c r="J75" s="43" t="n">
        <v>10578</v>
      </c>
      <c r="K75" s="42" t="inlineStr">
        <is>
          <t>US Senate</t>
        </is>
      </c>
      <c r="L75" s="43" t="n">
        <v>3216</v>
      </c>
      <c r="M75" s="43" t="n">
        <v>8447</v>
      </c>
      <c r="N75" s="43" t="n">
        <v>11852</v>
      </c>
      <c r="O75" s="44">
        <f>IFERROR((F75-G75)/(F75+G75),"")</f>
        <v/>
      </c>
      <c r="P75" s="44">
        <f>IFERROR((I75-J75)/(I75+J75),"")</f>
        <v/>
      </c>
      <c r="Q75" s="45">
        <f>IFERROR(O75-P75,"")</f>
        <v/>
      </c>
      <c r="R75" s="44">
        <f>IFERROR((L75-M75)/(L75+M75),"")</f>
        <v/>
      </c>
      <c r="S75" s="46">
        <f>H75/SUMIFS(Counties!$H$2:$H$1583,Counties!$A$2:$A$1583,$A75)</f>
        <v/>
      </c>
      <c r="T75" s="44">
        <f>O75+INDEX(Dashboard!$F$6:$F$22,MATCH($A75,Dashboard!$A$6:$A$22,0))</f>
        <v/>
      </c>
      <c r="U75" s="43">
        <f>AQ75*INDEX(Dashboard!$G$6:$G$22,MATCH($A75,Dashboard!$A$6:$A$22,0))</f>
        <v/>
      </c>
      <c r="V75" s="47" t="n"/>
      <c r="W75" s="47" t="n"/>
      <c r="X75" s="47" t="n"/>
      <c r="Y75" s="48" t="n"/>
      <c r="Z75" s="49" t="n"/>
      <c r="AA75" s="49" t="n"/>
      <c r="AB75" s="49" t="n"/>
      <c r="AC75" s="50" t="n"/>
      <c r="AD75" s="43">
        <f>IF(Z75&lt;&gt;"",Z75,N(V75))</f>
        <v/>
      </c>
      <c r="AE75" s="43">
        <f>IF(AA75&lt;&gt;"",AA75,N(W75))</f>
        <v/>
      </c>
      <c r="AF75" s="43">
        <f>AD75+AE75</f>
        <v/>
      </c>
      <c r="AG75" s="42">
        <f>IF(UPPER(AC75)="Y",1,IF(AF75=0,0,IF(AND(Z75="",Y75&lt;&gt;""),IF(Y75&gt;=0.999,1,0),IF(AF75&gt;=U75,1,0))))</f>
        <v/>
      </c>
      <c r="AH75" s="44">
        <f>IF(AF75&gt;0,(AD75-AE75)/AF75,"")</f>
        <v/>
      </c>
      <c r="AI75" s="45">
        <f>IF(AG75=1,AH75-O75,"")</f>
        <v/>
      </c>
      <c r="AJ75" s="44">
        <f>IF(AG75=1,AH75,MAX(-1,MIN(1,O75+INDEX(Types!$H:$H,MATCH($A75&amp;"|"&amp;$D75,Types!$A:$A,0)))))</f>
        <v/>
      </c>
      <c r="AK75" s="43">
        <f>IF(AG75=1,AF75,MAX(AQ75*AS75,AF75))</f>
        <v/>
      </c>
      <c r="AL75" s="43">
        <f>IF(AG75=1,AD75,AK75*(1+AJ75)/2)</f>
        <v/>
      </c>
      <c r="AM75" s="43">
        <f>IF(AG75=1,AE75,AK75*(1-AJ75)/2)</f>
        <v/>
      </c>
      <c r="AN75" s="45">
        <f>IF(AH75="","",AH75-T75)</f>
        <v/>
      </c>
      <c r="AO75" s="51">
        <f>IF(AG75=1,1,IF(U75&gt;0,MIN(AF75/U75,0.99),0))</f>
        <v/>
      </c>
      <c r="AP75" s="43">
        <f>IF(AG75=1,AI75*AF75,0)</f>
        <v/>
      </c>
      <c r="AQ75" s="43">
        <f>N75*(F75+G75)/H75</f>
        <v/>
      </c>
      <c r="AR75" s="43">
        <f>O75*AQ75</f>
        <v/>
      </c>
      <c r="AS75" s="52">
        <f>IF(AG75=1,IF(AQ75&gt;0,AF75/AQ75,1),IFERROR(INDEX(Types!$K:$K,MATCH($A75&amp;"|"&amp;$D75,Types!$A:$A,0)),INDEX(Dashboard!$X$6:$X$22,MATCH($A75,Dashboard!$A$6:$A$22,0))))</f>
        <v/>
      </c>
      <c r="AT75" s="43">
        <f>AQ75*INDEX(Dashboard!$Y$6:$Y$22,MATCH($A75,Dashboard!$A$6:$A$22,0))</f>
        <v/>
      </c>
      <c r="AU75" s="53">
        <f>IF(AND(AG75=1,AT75&gt;0,AF75&gt;0),100*AF75/AT75,"")</f>
        <v/>
      </c>
      <c r="AV75" s="44">
        <f>IF(AU75="","",T75/(AU75/100))</f>
        <v/>
      </c>
      <c r="AW75" s="53">
        <f>IF(AU75="","",IF(AND(ABS(AH75)&gt;=0.1,ABS(T75)&gt;=0.05,SIGN(AH75)=SIGN(T75)),100*T75/AH75,""))</f>
        <v/>
      </c>
      <c r="AX75" s="45">
        <f>IF(AU75="","",T75-AV75)</f>
        <v/>
      </c>
      <c r="AY75" s="45">
        <f>IF(AU75="","",AH75-AV75)</f>
        <v/>
      </c>
      <c r="AZ75" s="54">
        <f>(AL75-AM75)-T75*AT75</f>
        <v/>
      </c>
      <c r="BA75" s="43">
        <f>IF(AU75="",0,(AH75-T75)*AF75)</f>
        <v/>
      </c>
      <c r="BB75" s="43">
        <f>IF(AU75="",0,T75*(AF75-AT75))</f>
        <v/>
      </c>
      <c r="BC75" s="51" t="n">
        <v>0.2779047487129764</v>
      </c>
      <c r="BD75" s="51" t="n">
        <v>0.13604358565921</v>
      </c>
      <c r="BE75" s="51" t="n">
        <v>0.1350843624978257</v>
      </c>
      <c r="BF75" s="43" t="n">
        <v>43317</v>
      </c>
    </row>
    <row r="76">
      <c r="A76" s="42" t="inlineStr">
        <is>
          <t>GA</t>
        </is>
      </c>
      <c r="B76" s="42" t="inlineStr">
        <is>
          <t>13071</t>
        </is>
      </c>
      <c r="C76" s="42" t="inlineStr">
        <is>
          <t>Colquitt</t>
        </is>
      </c>
      <c r="D76" s="42" t="inlineStr">
        <is>
          <t>Small town &amp; rural</t>
        </is>
      </c>
      <c r="E76" s="42" t="inlineStr"/>
      <c r="F76" s="43" t="n">
        <v>4114</v>
      </c>
      <c r="G76" s="43" t="n">
        <v>12451</v>
      </c>
      <c r="H76" s="43" t="n">
        <v>16611</v>
      </c>
      <c r="I76" s="43" t="n">
        <v>4190</v>
      </c>
      <c r="J76" s="43" t="n">
        <v>11777</v>
      </c>
      <c r="K76" s="42" t="inlineStr">
        <is>
          <t>US Senate</t>
        </is>
      </c>
      <c r="L76" s="43" t="n">
        <v>2966</v>
      </c>
      <c r="M76" s="43" t="n">
        <v>9390</v>
      </c>
      <c r="N76" s="43" t="n">
        <v>12548</v>
      </c>
      <c r="O76" s="44">
        <f>IFERROR((F76-G76)/(F76+G76),"")</f>
        <v/>
      </c>
      <c r="P76" s="44">
        <f>IFERROR((I76-J76)/(I76+J76),"")</f>
        <v/>
      </c>
      <c r="Q76" s="45">
        <f>IFERROR(O76-P76,"")</f>
        <v/>
      </c>
      <c r="R76" s="44">
        <f>IFERROR((L76-M76)/(L76+M76),"")</f>
        <v/>
      </c>
      <c r="S76" s="46">
        <f>H76/SUMIFS(Counties!$H$2:$H$1583,Counties!$A$2:$A$1583,$A76)</f>
        <v/>
      </c>
      <c r="T76" s="44">
        <f>O76+INDEX(Dashboard!$F$6:$F$22,MATCH($A76,Dashboard!$A$6:$A$22,0))</f>
        <v/>
      </c>
      <c r="U76" s="43">
        <f>AQ76*INDEX(Dashboard!$G$6:$G$22,MATCH($A76,Dashboard!$A$6:$A$22,0))</f>
        <v/>
      </c>
      <c r="V76" s="47" t="n"/>
      <c r="W76" s="47" t="n"/>
      <c r="X76" s="47" t="n"/>
      <c r="Y76" s="48" t="n"/>
      <c r="Z76" s="49" t="n"/>
      <c r="AA76" s="49" t="n"/>
      <c r="AB76" s="49" t="n"/>
      <c r="AC76" s="50" t="n"/>
      <c r="AD76" s="43">
        <f>IF(Z76&lt;&gt;"",Z76,N(V76))</f>
        <v/>
      </c>
      <c r="AE76" s="43">
        <f>IF(AA76&lt;&gt;"",AA76,N(W76))</f>
        <v/>
      </c>
      <c r="AF76" s="43">
        <f>AD76+AE76</f>
        <v/>
      </c>
      <c r="AG76" s="42">
        <f>IF(UPPER(AC76)="Y",1,IF(AF76=0,0,IF(AND(Z76="",Y76&lt;&gt;""),IF(Y76&gt;=0.999,1,0),IF(AF76&gt;=U76,1,0))))</f>
        <v/>
      </c>
      <c r="AH76" s="44">
        <f>IF(AF76&gt;0,(AD76-AE76)/AF76,"")</f>
        <v/>
      </c>
      <c r="AI76" s="45">
        <f>IF(AG76=1,AH76-O76,"")</f>
        <v/>
      </c>
      <c r="AJ76" s="44">
        <f>IF(AG76=1,AH76,MAX(-1,MIN(1,O76+INDEX(Types!$H:$H,MATCH($A76&amp;"|"&amp;$D76,Types!$A:$A,0)))))</f>
        <v/>
      </c>
      <c r="AK76" s="43">
        <f>IF(AG76=1,AF76,MAX(AQ76*AS76,AF76))</f>
        <v/>
      </c>
      <c r="AL76" s="43">
        <f>IF(AG76=1,AD76,AK76*(1+AJ76)/2)</f>
        <v/>
      </c>
      <c r="AM76" s="43">
        <f>IF(AG76=1,AE76,AK76*(1-AJ76)/2)</f>
        <v/>
      </c>
      <c r="AN76" s="45">
        <f>IF(AH76="","",AH76-T76)</f>
        <v/>
      </c>
      <c r="AO76" s="51">
        <f>IF(AG76=1,1,IF(U76&gt;0,MIN(AF76/U76,0.99),0))</f>
        <v/>
      </c>
      <c r="AP76" s="43">
        <f>IF(AG76=1,AI76*AF76,0)</f>
        <v/>
      </c>
      <c r="AQ76" s="43">
        <f>N76*(F76+G76)/H76</f>
        <v/>
      </c>
      <c r="AR76" s="43">
        <f>O76*AQ76</f>
        <v/>
      </c>
      <c r="AS76" s="52">
        <f>IF(AG76=1,IF(AQ76&gt;0,AF76/AQ76,1),IFERROR(INDEX(Types!$K:$K,MATCH($A76&amp;"|"&amp;$D76,Types!$A:$A,0)),INDEX(Dashboard!$X$6:$X$22,MATCH($A76,Dashboard!$A$6:$A$22,0))))</f>
        <v/>
      </c>
      <c r="AT76" s="43">
        <f>AQ76*INDEX(Dashboard!$Y$6:$Y$22,MATCH($A76,Dashboard!$A$6:$A$22,0))</f>
        <v/>
      </c>
      <c r="AU76" s="53">
        <f>IF(AND(AG76=1,AT76&gt;0,AF76&gt;0),100*AF76/AT76,"")</f>
        <v/>
      </c>
      <c r="AV76" s="44">
        <f>IF(AU76="","",T76/(AU76/100))</f>
        <v/>
      </c>
      <c r="AW76" s="53">
        <f>IF(AU76="","",IF(AND(ABS(AH76)&gt;=0.1,ABS(T76)&gt;=0.05,SIGN(AH76)=SIGN(T76)),100*T76/AH76,""))</f>
        <v/>
      </c>
      <c r="AX76" s="45">
        <f>IF(AU76="","",T76-AV76)</f>
        <v/>
      </c>
      <c r="AY76" s="45">
        <f>IF(AU76="","",AH76-AV76)</f>
        <v/>
      </c>
      <c r="AZ76" s="54">
        <f>(AL76-AM76)-T76*AT76</f>
        <v/>
      </c>
      <c r="BA76" s="43">
        <f>IF(AU76="",0,(AH76-T76)*AF76)</f>
        <v/>
      </c>
      <c r="BB76" s="43">
        <f>IF(AU76="",0,T76*(AF76-AT76))</f>
        <v/>
      </c>
      <c r="BC76" s="51" t="n">
        <v>0.2325470574219681</v>
      </c>
      <c r="BD76" s="51" t="n">
        <v>0.2086338726796196</v>
      </c>
      <c r="BE76" s="51" t="n">
        <v>0.1569647948020951</v>
      </c>
      <c r="BF76" s="43" t="n">
        <v>46167</v>
      </c>
    </row>
    <row r="77">
      <c r="A77" s="42" t="inlineStr">
        <is>
          <t>GA</t>
        </is>
      </c>
      <c r="B77" s="42" t="inlineStr">
        <is>
          <t>13073</t>
        </is>
      </c>
      <c r="C77" s="42" t="inlineStr">
        <is>
          <t>Columbia</t>
        </is>
      </c>
      <c r="D77" s="42" t="inlineStr">
        <is>
          <t>Mid-size/working metro</t>
        </is>
      </c>
      <c r="E77" s="42" t="inlineStr"/>
      <c r="F77" s="43" t="n">
        <v>31624</v>
      </c>
      <c r="G77" s="43" t="n">
        <v>53657</v>
      </c>
      <c r="H77" s="43" t="n">
        <v>85920</v>
      </c>
      <c r="I77" s="43" t="n">
        <v>29232</v>
      </c>
      <c r="J77" s="43" t="n">
        <v>50013</v>
      </c>
      <c r="K77" s="42" t="inlineStr">
        <is>
          <t>US Senate</t>
        </is>
      </c>
      <c r="L77" s="43" t="n">
        <v>22965</v>
      </c>
      <c r="M77" s="43" t="n">
        <v>40172</v>
      </c>
      <c r="N77" s="43" t="n">
        <v>64394</v>
      </c>
      <c r="O77" s="44">
        <f>IFERROR((F77-G77)/(F77+G77),"")</f>
        <v/>
      </c>
      <c r="P77" s="44">
        <f>IFERROR((I77-J77)/(I77+J77),"")</f>
        <v/>
      </c>
      <c r="Q77" s="45">
        <f>IFERROR(O77-P77,"")</f>
        <v/>
      </c>
      <c r="R77" s="44">
        <f>IFERROR((L77-M77)/(L77+M77),"")</f>
        <v/>
      </c>
      <c r="S77" s="46">
        <f>H77/SUMIFS(Counties!$H$2:$H$1583,Counties!$A$2:$A$1583,$A77)</f>
        <v/>
      </c>
      <c r="T77" s="44">
        <f>O77+INDEX(Dashboard!$F$6:$F$22,MATCH($A77,Dashboard!$A$6:$A$22,0))</f>
        <v/>
      </c>
      <c r="U77" s="43">
        <f>AQ77*INDEX(Dashboard!$G$6:$G$22,MATCH($A77,Dashboard!$A$6:$A$22,0))</f>
        <v/>
      </c>
      <c r="V77" s="47" t="n"/>
      <c r="W77" s="47" t="n"/>
      <c r="X77" s="47" t="n"/>
      <c r="Y77" s="48" t="n"/>
      <c r="Z77" s="49" t="n"/>
      <c r="AA77" s="49" t="n"/>
      <c r="AB77" s="49" t="n"/>
      <c r="AC77" s="50" t="n"/>
      <c r="AD77" s="43">
        <f>IF(Z77&lt;&gt;"",Z77,N(V77))</f>
        <v/>
      </c>
      <c r="AE77" s="43">
        <f>IF(AA77&lt;&gt;"",AA77,N(W77))</f>
        <v/>
      </c>
      <c r="AF77" s="43">
        <f>AD77+AE77</f>
        <v/>
      </c>
      <c r="AG77" s="42">
        <f>IF(UPPER(AC77)="Y",1,IF(AF77=0,0,IF(AND(Z77="",Y77&lt;&gt;""),IF(Y77&gt;=0.999,1,0),IF(AF77&gt;=U77,1,0))))</f>
        <v/>
      </c>
      <c r="AH77" s="44">
        <f>IF(AF77&gt;0,(AD77-AE77)/AF77,"")</f>
        <v/>
      </c>
      <c r="AI77" s="45">
        <f>IF(AG77=1,AH77-O77,"")</f>
        <v/>
      </c>
      <c r="AJ77" s="44">
        <f>IF(AG77=1,AH77,MAX(-1,MIN(1,O77+INDEX(Types!$H:$H,MATCH($A77&amp;"|"&amp;$D77,Types!$A:$A,0)))))</f>
        <v/>
      </c>
      <c r="AK77" s="43">
        <f>IF(AG77=1,AF77,MAX(AQ77*AS77,AF77))</f>
        <v/>
      </c>
      <c r="AL77" s="43">
        <f>IF(AG77=1,AD77,AK77*(1+AJ77)/2)</f>
        <v/>
      </c>
      <c r="AM77" s="43">
        <f>IF(AG77=1,AE77,AK77*(1-AJ77)/2)</f>
        <v/>
      </c>
      <c r="AN77" s="45">
        <f>IF(AH77="","",AH77-T77)</f>
        <v/>
      </c>
      <c r="AO77" s="51">
        <f>IF(AG77=1,1,IF(U77&gt;0,MIN(AF77/U77,0.99),0))</f>
        <v/>
      </c>
      <c r="AP77" s="43">
        <f>IF(AG77=1,AI77*AF77,0)</f>
        <v/>
      </c>
      <c r="AQ77" s="43">
        <f>N77*(F77+G77)/H77</f>
        <v/>
      </c>
      <c r="AR77" s="43">
        <f>O77*AQ77</f>
        <v/>
      </c>
      <c r="AS77" s="52">
        <f>IF(AG77=1,IF(AQ77&gt;0,AF77/AQ77,1),IFERROR(INDEX(Types!$K:$K,MATCH($A77&amp;"|"&amp;$D77,Types!$A:$A,0)),INDEX(Dashboard!$X$6:$X$22,MATCH($A77,Dashboard!$A$6:$A$22,0))))</f>
        <v/>
      </c>
      <c r="AT77" s="43">
        <f>AQ77*INDEX(Dashboard!$Y$6:$Y$22,MATCH($A77,Dashboard!$A$6:$A$22,0))</f>
        <v/>
      </c>
      <c r="AU77" s="53">
        <f>IF(AND(AG77=1,AT77&gt;0,AF77&gt;0),100*AF77/AT77,"")</f>
        <v/>
      </c>
      <c r="AV77" s="44">
        <f>IF(AU77="","",T77/(AU77/100))</f>
        <v/>
      </c>
      <c r="AW77" s="53">
        <f>IF(AU77="","",IF(AND(ABS(AH77)&gt;=0.1,ABS(T77)&gt;=0.05,SIGN(AH77)=SIGN(T77)),100*T77/AH77,""))</f>
        <v/>
      </c>
      <c r="AX77" s="45">
        <f>IF(AU77="","",T77-AV77)</f>
        <v/>
      </c>
      <c r="AY77" s="45">
        <f>IF(AU77="","",AH77-AV77)</f>
        <v/>
      </c>
      <c r="AZ77" s="54">
        <f>(AL77-AM77)-T77*AT77</f>
        <v/>
      </c>
      <c r="BA77" s="43">
        <f>IF(AU77="",0,(AH77-T77)*AF77)</f>
        <v/>
      </c>
      <c r="BB77" s="43">
        <f>IF(AU77="",0,T77*(AF77-AT77))</f>
        <v/>
      </c>
      <c r="BC77" s="51" t="n">
        <v>0.2031520567685061</v>
      </c>
      <c r="BD77" s="51" t="n">
        <v>0.08139886898923482</v>
      </c>
      <c r="BE77" s="51" t="n">
        <v>0.3783581740877447</v>
      </c>
      <c r="BF77" s="43" t="n">
        <v>165162</v>
      </c>
    </row>
    <row r="78">
      <c r="A78" s="42" t="inlineStr">
        <is>
          <t>GA</t>
        </is>
      </c>
      <c r="B78" s="42" t="inlineStr">
        <is>
          <t>13075</t>
        </is>
      </c>
      <c r="C78" s="42" t="inlineStr">
        <is>
          <t>Cook</t>
        </is>
      </c>
      <c r="D78" s="42" t="inlineStr">
        <is>
          <t>Small town &amp; rural</t>
        </is>
      </c>
      <c r="E78" s="42" t="inlineStr"/>
      <c r="F78" s="43" t="n">
        <v>1956</v>
      </c>
      <c r="G78" s="43" t="n">
        <v>5374</v>
      </c>
      <c r="H78" s="43" t="n">
        <v>7357</v>
      </c>
      <c r="I78" s="43" t="n">
        <v>2059</v>
      </c>
      <c r="J78" s="43" t="n">
        <v>4900</v>
      </c>
      <c r="K78" s="42" t="inlineStr">
        <is>
          <t>US Senate</t>
        </is>
      </c>
      <c r="L78" s="43" t="n">
        <v>1497</v>
      </c>
      <c r="M78" s="43" t="n">
        <v>3944</v>
      </c>
      <c r="N78" s="43" t="n">
        <v>5537</v>
      </c>
      <c r="O78" s="44">
        <f>IFERROR((F78-G78)/(F78+G78),"")</f>
        <v/>
      </c>
      <c r="P78" s="44">
        <f>IFERROR((I78-J78)/(I78+J78),"")</f>
        <v/>
      </c>
      <c r="Q78" s="45">
        <f>IFERROR(O78-P78,"")</f>
        <v/>
      </c>
      <c r="R78" s="44">
        <f>IFERROR((L78-M78)/(L78+M78),"")</f>
        <v/>
      </c>
      <c r="S78" s="46">
        <f>H78/SUMIFS(Counties!$H$2:$H$1583,Counties!$A$2:$A$1583,$A78)</f>
        <v/>
      </c>
      <c r="T78" s="44">
        <f>O78+INDEX(Dashboard!$F$6:$F$22,MATCH($A78,Dashboard!$A$6:$A$22,0))</f>
        <v/>
      </c>
      <c r="U78" s="43">
        <f>AQ78*INDEX(Dashboard!$G$6:$G$22,MATCH($A78,Dashboard!$A$6:$A$22,0))</f>
        <v/>
      </c>
      <c r="V78" s="47" t="n"/>
      <c r="W78" s="47" t="n"/>
      <c r="X78" s="47" t="n"/>
      <c r="Y78" s="48" t="n"/>
      <c r="Z78" s="49" t="n"/>
      <c r="AA78" s="49" t="n"/>
      <c r="AB78" s="49" t="n"/>
      <c r="AC78" s="50" t="n"/>
      <c r="AD78" s="43">
        <f>IF(Z78&lt;&gt;"",Z78,N(V78))</f>
        <v/>
      </c>
      <c r="AE78" s="43">
        <f>IF(AA78&lt;&gt;"",AA78,N(W78))</f>
        <v/>
      </c>
      <c r="AF78" s="43">
        <f>AD78+AE78</f>
        <v/>
      </c>
      <c r="AG78" s="42">
        <f>IF(UPPER(AC78)="Y",1,IF(AF78=0,0,IF(AND(Z78="",Y78&lt;&gt;""),IF(Y78&gt;=0.999,1,0),IF(AF78&gt;=U78,1,0))))</f>
        <v/>
      </c>
      <c r="AH78" s="44">
        <f>IF(AF78&gt;0,(AD78-AE78)/AF78,"")</f>
        <v/>
      </c>
      <c r="AI78" s="45">
        <f>IF(AG78=1,AH78-O78,"")</f>
        <v/>
      </c>
      <c r="AJ78" s="44">
        <f>IF(AG78=1,AH78,MAX(-1,MIN(1,O78+INDEX(Types!$H:$H,MATCH($A78&amp;"|"&amp;$D78,Types!$A:$A,0)))))</f>
        <v/>
      </c>
      <c r="AK78" s="43">
        <f>IF(AG78=1,AF78,MAX(AQ78*AS78,AF78))</f>
        <v/>
      </c>
      <c r="AL78" s="43">
        <f>IF(AG78=1,AD78,AK78*(1+AJ78)/2)</f>
        <v/>
      </c>
      <c r="AM78" s="43">
        <f>IF(AG78=1,AE78,AK78*(1-AJ78)/2)</f>
        <v/>
      </c>
      <c r="AN78" s="45">
        <f>IF(AH78="","",AH78-T78)</f>
        <v/>
      </c>
      <c r="AO78" s="51">
        <f>IF(AG78=1,1,IF(U78&gt;0,MIN(AF78/U78,0.99),0))</f>
        <v/>
      </c>
      <c r="AP78" s="43">
        <f>IF(AG78=1,AI78*AF78,0)</f>
        <v/>
      </c>
      <c r="AQ78" s="43">
        <f>N78*(F78+G78)/H78</f>
        <v/>
      </c>
      <c r="AR78" s="43">
        <f>O78*AQ78</f>
        <v/>
      </c>
      <c r="AS78" s="52">
        <f>IF(AG78=1,IF(AQ78&gt;0,AF78/AQ78,1),IFERROR(INDEX(Types!$K:$K,MATCH($A78&amp;"|"&amp;$D78,Types!$A:$A,0)),INDEX(Dashboard!$X$6:$X$22,MATCH($A78,Dashboard!$A$6:$A$22,0))))</f>
        <v/>
      </c>
      <c r="AT78" s="43">
        <f>AQ78*INDEX(Dashboard!$Y$6:$Y$22,MATCH($A78,Dashboard!$A$6:$A$22,0))</f>
        <v/>
      </c>
      <c r="AU78" s="53">
        <f>IF(AND(AG78=1,AT78&gt;0,AF78&gt;0),100*AF78/AT78,"")</f>
        <v/>
      </c>
      <c r="AV78" s="44">
        <f>IF(AU78="","",T78/(AU78/100))</f>
        <v/>
      </c>
      <c r="AW78" s="53">
        <f>IF(AU78="","",IF(AND(ABS(AH78)&gt;=0.1,ABS(T78)&gt;=0.05,SIGN(AH78)=SIGN(T78)),100*T78/AH78,""))</f>
        <v/>
      </c>
      <c r="AX78" s="45">
        <f>IF(AU78="","",T78-AV78)</f>
        <v/>
      </c>
      <c r="AY78" s="45">
        <f>IF(AU78="","",AH78-AV78)</f>
        <v/>
      </c>
      <c r="AZ78" s="54">
        <f>(AL78-AM78)-T78*AT78</f>
        <v/>
      </c>
      <c r="BA78" s="43">
        <f>IF(AU78="",0,(AH78-T78)*AF78)</f>
        <v/>
      </c>
      <c r="BB78" s="43">
        <f>IF(AU78="",0,T78*(AF78-AT78))</f>
        <v/>
      </c>
      <c r="BC78" s="51" t="n">
        <v>0.2773512476007677</v>
      </c>
      <c r="BD78" s="51" t="n">
        <v>0.0792028903691995</v>
      </c>
      <c r="BE78" s="51" t="n">
        <v>0.1674859550561798</v>
      </c>
      <c r="BF78" s="43" t="n">
        <v>17714</v>
      </c>
    </row>
    <row r="79">
      <c r="A79" s="42" t="inlineStr">
        <is>
          <t>GA</t>
        </is>
      </c>
      <c r="B79" s="42" t="inlineStr">
        <is>
          <t>13077</t>
        </is>
      </c>
      <c r="C79" s="42" t="inlineStr">
        <is>
          <t>Coweta</t>
        </is>
      </c>
      <c r="D79" s="42" t="inlineStr">
        <is>
          <t>Mid-size/working metro</t>
        </is>
      </c>
      <c r="E79" s="42" t="inlineStr"/>
      <c r="F79" s="43" t="n">
        <v>28111</v>
      </c>
      <c r="G79" s="43" t="n">
        <v>57204</v>
      </c>
      <c r="H79" s="43" t="n">
        <v>85916</v>
      </c>
      <c r="I79" s="43" t="n">
        <v>24210</v>
      </c>
      <c r="J79" s="43" t="n">
        <v>51501</v>
      </c>
      <c r="K79" s="42" t="inlineStr">
        <is>
          <t>US Senate</t>
        </is>
      </c>
      <c r="L79" s="43" t="n">
        <v>20169</v>
      </c>
      <c r="M79" s="43" t="n">
        <v>41512</v>
      </c>
      <c r="N79" s="43" t="n">
        <v>63355</v>
      </c>
      <c r="O79" s="44">
        <f>IFERROR((F79-G79)/(F79+G79),"")</f>
        <v/>
      </c>
      <c r="P79" s="44">
        <f>IFERROR((I79-J79)/(I79+J79),"")</f>
        <v/>
      </c>
      <c r="Q79" s="45">
        <f>IFERROR(O79-P79,"")</f>
        <v/>
      </c>
      <c r="R79" s="44">
        <f>IFERROR((L79-M79)/(L79+M79),"")</f>
        <v/>
      </c>
      <c r="S79" s="46">
        <f>H79/SUMIFS(Counties!$H$2:$H$1583,Counties!$A$2:$A$1583,$A79)</f>
        <v/>
      </c>
      <c r="T79" s="44">
        <f>O79+INDEX(Dashboard!$F$6:$F$22,MATCH($A79,Dashboard!$A$6:$A$22,0))</f>
        <v/>
      </c>
      <c r="U79" s="43">
        <f>AQ79*INDEX(Dashboard!$G$6:$G$22,MATCH($A79,Dashboard!$A$6:$A$22,0))</f>
        <v/>
      </c>
      <c r="V79" s="47" t="n"/>
      <c r="W79" s="47" t="n"/>
      <c r="X79" s="47" t="n"/>
      <c r="Y79" s="48" t="n"/>
      <c r="Z79" s="49" t="n"/>
      <c r="AA79" s="49" t="n"/>
      <c r="AB79" s="49" t="n"/>
      <c r="AC79" s="50" t="n"/>
      <c r="AD79" s="43">
        <f>IF(Z79&lt;&gt;"",Z79,N(V79))</f>
        <v/>
      </c>
      <c r="AE79" s="43">
        <f>IF(AA79&lt;&gt;"",AA79,N(W79))</f>
        <v/>
      </c>
      <c r="AF79" s="43">
        <f>AD79+AE79</f>
        <v/>
      </c>
      <c r="AG79" s="42">
        <f>IF(UPPER(AC79)="Y",1,IF(AF79=0,0,IF(AND(Z79="",Y79&lt;&gt;""),IF(Y79&gt;=0.999,1,0),IF(AF79&gt;=U79,1,0))))</f>
        <v/>
      </c>
      <c r="AH79" s="44">
        <f>IF(AF79&gt;0,(AD79-AE79)/AF79,"")</f>
        <v/>
      </c>
      <c r="AI79" s="45">
        <f>IF(AG79=1,AH79-O79,"")</f>
        <v/>
      </c>
      <c r="AJ79" s="44">
        <f>IF(AG79=1,AH79,MAX(-1,MIN(1,O79+INDEX(Types!$H:$H,MATCH($A79&amp;"|"&amp;$D79,Types!$A:$A,0)))))</f>
        <v/>
      </c>
      <c r="AK79" s="43">
        <f>IF(AG79=1,AF79,MAX(AQ79*AS79,AF79))</f>
        <v/>
      </c>
      <c r="AL79" s="43">
        <f>IF(AG79=1,AD79,AK79*(1+AJ79)/2)</f>
        <v/>
      </c>
      <c r="AM79" s="43">
        <f>IF(AG79=1,AE79,AK79*(1-AJ79)/2)</f>
        <v/>
      </c>
      <c r="AN79" s="45">
        <f>IF(AH79="","",AH79-T79)</f>
        <v/>
      </c>
      <c r="AO79" s="51">
        <f>IF(AG79=1,1,IF(U79&gt;0,MIN(AF79/U79,0.99),0))</f>
        <v/>
      </c>
      <c r="AP79" s="43">
        <f>IF(AG79=1,AI79*AF79,0)</f>
        <v/>
      </c>
      <c r="AQ79" s="43">
        <f>N79*(F79+G79)/H79</f>
        <v/>
      </c>
      <c r="AR79" s="43">
        <f>O79*AQ79</f>
        <v/>
      </c>
      <c r="AS79" s="52">
        <f>IF(AG79=1,IF(AQ79&gt;0,AF79/AQ79,1),IFERROR(INDEX(Types!$K:$K,MATCH($A79&amp;"|"&amp;$D79,Types!$A:$A,0)),INDEX(Dashboard!$X$6:$X$22,MATCH($A79,Dashboard!$A$6:$A$22,0))))</f>
        <v/>
      </c>
      <c r="AT79" s="43">
        <f>AQ79*INDEX(Dashboard!$Y$6:$Y$22,MATCH($A79,Dashboard!$A$6:$A$22,0))</f>
        <v/>
      </c>
      <c r="AU79" s="53">
        <f>IF(AND(AG79=1,AT79&gt;0,AF79&gt;0),100*AF79/AT79,"")</f>
        <v/>
      </c>
      <c r="AV79" s="44">
        <f>IF(AU79="","",T79/(AU79/100))</f>
        <v/>
      </c>
      <c r="AW79" s="53">
        <f>IF(AU79="","",IF(AND(ABS(AH79)&gt;=0.1,ABS(T79)&gt;=0.05,SIGN(AH79)=SIGN(T79)),100*T79/AH79,""))</f>
        <v/>
      </c>
      <c r="AX79" s="45">
        <f>IF(AU79="","",T79-AV79)</f>
        <v/>
      </c>
      <c r="AY79" s="45">
        <f>IF(AU79="","",AH79-AV79)</f>
        <v/>
      </c>
      <c r="AZ79" s="54">
        <f>(AL79-AM79)-T79*AT79</f>
        <v/>
      </c>
      <c r="BA79" s="43">
        <f>IF(AU79="",0,(AH79-T79)*AF79)</f>
        <v/>
      </c>
      <c r="BB79" s="43">
        <f>IF(AU79="",0,T79*(AF79-AT79))</f>
        <v/>
      </c>
      <c r="BC79" s="51" t="n">
        <v>0.1968863059040875</v>
      </c>
      <c r="BD79" s="51" t="n">
        <v>0.084160829292074</v>
      </c>
      <c r="BE79" s="51" t="n">
        <v>0.3465822784810126</v>
      </c>
      <c r="BF79" s="43" t="n">
        <v>155892</v>
      </c>
    </row>
    <row r="80">
      <c r="A80" s="42" t="inlineStr">
        <is>
          <t>GA</t>
        </is>
      </c>
      <c r="B80" s="42" t="inlineStr">
        <is>
          <t>13079</t>
        </is>
      </c>
      <c r="C80" s="42" t="inlineStr">
        <is>
          <t>Crawford</t>
        </is>
      </c>
      <c r="D80" s="42" t="inlineStr">
        <is>
          <t>Small town &amp; rural</t>
        </is>
      </c>
      <c r="E80" s="42" t="inlineStr"/>
      <c r="F80" s="43" t="n">
        <v>1582</v>
      </c>
      <c r="G80" s="43" t="n">
        <v>4742</v>
      </c>
      <c r="H80" s="43" t="n">
        <v>6340</v>
      </c>
      <c r="I80" s="43" t="n">
        <v>1615</v>
      </c>
      <c r="J80" s="43" t="n">
        <v>4428</v>
      </c>
      <c r="K80" s="42" t="inlineStr">
        <is>
          <t>US Senate</t>
        </is>
      </c>
      <c r="L80" s="43" t="n">
        <v>1298</v>
      </c>
      <c r="M80" s="43" t="n">
        <v>3440</v>
      </c>
      <c r="N80" s="43" t="n">
        <v>4816</v>
      </c>
      <c r="O80" s="44">
        <f>IFERROR((F80-G80)/(F80+G80),"")</f>
        <v/>
      </c>
      <c r="P80" s="44">
        <f>IFERROR((I80-J80)/(I80+J80),"")</f>
        <v/>
      </c>
      <c r="Q80" s="45">
        <f>IFERROR(O80-P80,"")</f>
        <v/>
      </c>
      <c r="R80" s="44">
        <f>IFERROR((L80-M80)/(L80+M80),"")</f>
        <v/>
      </c>
      <c r="S80" s="46">
        <f>H80/SUMIFS(Counties!$H$2:$H$1583,Counties!$A$2:$A$1583,$A80)</f>
        <v/>
      </c>
      <c r="T80" s="44">
        <f>O80+INDEX(Dashboard!$F$6:$F$22,MATCH($A80,Dashboard!$A$6:$A$22,0))</f>
        <v/>
      </c>
      <c r="U80" s="43">
        <f>AQ80*INDEX(Dashboard!$G$6:$G$22,MATCH($A80,Dashboard!$A$6:$A$22,0))</f>
        <v/>
      </c>
      <c r="V80" s="47" t="n"/>
      <c r="W80" s="47" t="n"/>
      <c r="X80" s="47" t="n"/>
      <c r="Y80" s="48" t="n"/>
      <c r="Z80" s="49" t="n"/>
      <c r="AA80" s="49" t="n"/>
      <c r="AB80" s="49" t="n"/>
      <c r="AC80" s="50" t="n"/>
      <c r="AD80" s="43">
        <f>IF(Z80&lt;&gt;"",Z80,N(V80))</f>
        <v/>
      </c>
      <c r="AE80" s="43">
        <f>IF(AA80&lt;&gt;"",AA80,N(W80))</f>
        <v/>
      </c>
      <c r="AF80" s="43">
        <f>AD80+AE80</f>
        <v/>
      </c>
      <c r="AG80" s="42">
        <f>IF(UPPER(AC80)="Y",1,IF(AF80=0,0,IF(AND(Z80="",Y80&lt;&gt;""),IF(Y80&gt;=0.999,1,0),IF(AF80&gt;=U80,1,0))))</f>
        <v/>
      </c>
      <c r="AH80" s="44">
        <f>IF(AF80&gt;0,(AD80-AE80)/AF80,"")</f>
        <v/>
      </c>
      <c r="AI80" s="45">
        <f>IF(AG80=1,AH80-O80,"")</f>
        <v/>
      </c>
      <c r="AJ80" s="44">
        <f>IF(AG80=1,AH80,MAX(-1,MIN(1,O80+INDEX(Types!$H:$H,MATCH($A80&amp;"|"&amp;$D80,Types!$A:$A,0)))))</f>
        <v/>
      </c>
      <c r="AK80" s="43">
        <f>IF(AG80=1,AF80,MAX(AQ80*AS80,AF80))</f>
        <v/>
      </c>
      <c r="AL80" s="43">
        <f>IF(AG80=1,AD80,AK80*(1+AJ80)/2)</f>
        <v/>
      </c>
      <c r="AM80" s="43">
        <f>IF(AG80=1,AE80,AK80*(1-AJ80)/2)</f>
        <v/>
      </c>
      <c r="AN80" s="45">
        <f>IF(AH80="","",AH80-T80)</f>
        <v/>
      </c>
      <c r="AO80" s="51">
        <f>IF(AG80=1,1,IF(U80&gt;0,MIN(AF80/U80,0.99),0))</f>
        <v/>
      </c>
      <c r="AP80" s="43">
        <f>IF(AG80=1,AI80*AF80,0)</f>
        <v/>
      </c>
      <c r="AQ80" s="43">
        <f>N80*(F80+G80)/H80</f>
        <v/>
      </c>
      <c r="AR80" s="43">
        <f>O80*AQ80</f>
        <v/>
      </c>
      <c r="AS80" s="52">
        <f>IF(AG80=1,IF(AQ80&gt;0,AF80/AQ80,1),IFERROR(INDEX(Types!$K:$K,MATCH($A80&amp;"|"&amp;$D80,Types!$A:$A,0)),INDEX(Dashboard!$X$6:$X$22,MATCH($A80,Dashboard!$A$6:$A$22,0))))</f>
        <v/>
      </c>
      <c r="AT80" s="43">
        <f>AQ80*INDEX(Dashboard!$Y$6:$Y$22,MATCH($A80,Dashboard!$A$6:$A$22,0))</f>
        <v/>
      </c>
      <c r="AU80" s="53">
        <f>IF(AND(AG80=1,AT80&gt;0,AF80&gt;0),100*AF80/AT80,"")</f>
        <v/>
      </c>
      <c r="AV80" s="44">
        <f>IF(AU80="","",T80/(AU80/100))</f>
        <v/>
      </c>
      <c r="AW80" s="53">
        <f>IF(AU80="","",IF(AND(ABS(AH80)&gt;=0.1,ABS(T80)&gt;=0.05,SIGN(AH80)=SIGN(T80)),100*T80/AH80,""))</f>
        <v/>
      </c>
      <c r="AX80" s="45">
        <f>IF(AU80="","",T80-AV80)</f>
        <v/>
      </c>
      <c r="AY80" s="45">
        <f>IF(AU80="","",AH80-AV80)</f>
        <v/>
      </c>
      <c r="AZ80" s="54">
        <f>(AL80-AM80)-T80*AT80</f>
        <v/>
      </c>
      <c r="BA80" s="43">
        <f>IF(AU80="",0,(AH80-T80)*AF80)</f>
        <v/>
      </c>
      <c r="BB80" s="43">
        <f>IF(AU80="",0,T80*(AF80-AT80))</f>
        <v/>
      </c>
      <c r="BC80" s="51" t="n">
        <v>0.205180418669056</v>
      </c>
      <c r="BD80" s="51" t="n">
        <v>0.04162254622464771</v>
      </c>
      <c r="BE80" s="51" t="n">
        <v>0.1401028277634961</v>
      </c>
      <c r="BF80" s="43" t="n">
        <v>12277</v>
      </c>
    </row>
    <row r="81">
      <c r="A81" s="42" t="inlineStr">
        <is>
          <t>GA</t>
        </is>
      </c>
      <c r="B81" s="42" t="inlineStr">
        <is>
          <t>13081</t>
        </is>
      </c>
      <c r="C81" s="42" t="inlineStr">
        <is>
          <t>Crisp</t>
        </is>
      </c>
      <c r="D81" s="42" t="inlineStr">
        <is>
          <t>Black Belt</t>
        </is>
      </c>
      <c r="E81" s="42" t="inlineStr"/>
      <c r="F81" s="43" t="n">
        <v>2993</v>
      </c>
      <c r="G81" s="43" t="n">
        <v>5099</v>
      </c>
      <c r="H81" s="43" t="n">
        <v>8116</v>
      </c>
      <c r="I81" s="43" t="n">
        <v>2982</v>
      </c>
      <c r="J81" s="43" t="n">
        <v>4985</v>
      </c>
      <c r="K81" s="42" t="inlineStr">
        <is>
          <t>US Senate</t>
        </is>
      </c>
      <c r="L81" s="43" t="n">
        <v>2164</v>
      </c>
      <c r="M81" s="43" t="n">
        <v>4058</v>
      </c>
      <c r="N81" s="43" t="n">
        <v>6306</v>
      </c>
      <c r="O81" s="44">
        <f>IFERROR((F81-G81)/(F81+G81),"")</f>
        <v/>
      </c>
      <c r="P81" s="44">
        <f>IFERROR((I81-J81)/(I81+J81),"")</f>
        <v/>
      </c>
      <c r="Q81" s="45">
        <f>IFERROR(O81-P81,"")</f>
        <v/>
      </c>
      <c r="R81" s="44">
        <f>IFERROR((L81-M81)/(L81+M81),"")</f>
        <v/>
      </c>
      <c r="S81" s="46">
        <f>H81/SUMIFS(Counties!$H$2:$H$1583,Counties!$A$2:$A$1583,$A81)</f>
        <v/>
      </c>
      <c r="T81" s="44">
        <f>O81+INDEX(Dashboard!$F$6:$F$22,MATCH($A81,Dashboard!$A$6:$A$22,0))</f>
        <v/>
      </c>
      <c r="U81" s="43">
        <f>AQ81*INDEX(Dashboard!$G$6:$G$22,MATCH($A81,Dashboard!$A$6:$A$22,0))</f>
        <v/>
      </c>
      <c r="V81" s="47" t="n"/>
      <c r="W81" s="47" t="n"/>
      <c r="X81" s="47" t="n"/>
      <c r="Y81" s="48" t="n"/>
      <c r="Z81" s="49" t="n"/>
      <c r="AA81" s="49" t="n"/>
      <c r="AB81" s="49" t="n"/>
      <c r="AC81" s="50" t="n"/>
      <c r="AD81" s="43">
        <f>IF(Z81&lt;&gt;"",Z81,N(V81))</f>
        <v/>
      </c>
      <c r="AE81" s="43">
        <f>IF(AA81&lt;&gt;"",AA81,N(W81))</f>
        <v/>
      </c>
      <c r="AF81" s="43">
        <f>AD81+AE81</f>
        <v/>
      </c>
      <c r="AG81" s="42">
        <f>IF(UPPER(AC81)="Y",1,IF(AF81=0,0,IF(AND(Z81="",Y81&lt;&gt;""),IF(Y81&gt;=0.999,1,0),IF(AF81&gt;=U81,1,0))))</f>
        <v/>
      </c>
      <c r="AH81" s="44">
        <f>IF(AF81&gt;0,(AD81-AE81)/AF81,"")</f>
        <v/>
      </c>
      <c r="AI81" s="45">
        <f>IF(AG81=1,AH81-O81,"")</f>
        <v/>
      </c>
      <c r="AJ81" s="44">
        <f>IF(AG81=1,AH81,MAX(-1,MIN(1,O81+INDEX(Types!$H:$H,MATCH($A81&amp;"|"&amp;$D81,Types!$A:$A,0)))))</f>
        <v/>
      </c>
      <c r="AK81" s="43">
        <f>IF(AG81=1,AF81,MAX(AQ81*AS81,AF81))</f>
        <v/>
      </c>
      <c r="AL81" s="43">
        <f>IF(AG81=1,AD81,AK81*(1+AJ81)/2)</f>
        <v/>
      </c>
      <c r="AM81" s="43">
        <f>IF(AG81=1,AE81,AK81*(1-AJ81)/2)</f>
        <v/>
      </c>
      <c r="AN81" s="45">
        <f>IF(AH81="","",AH81-T81)</f>
        <v/>
      </c>
      <c r="AO81" s="51">
        <f>IF(AG81=1,1,IF(U81&gt;0,MIN(AF81/U81,0.99),0))</f>
        <v/>
      </c>
      <c r="AP81" s="43">
        <f>IF(AG81=1,AI81*AF81,0)</f>
        <v/>
      </c>
      <c r="AQ81" s="43">
        <f>N81*(F81+G81)/H81</f>
        <v/>
      </c>
      <c r="AR81" s="43">
        <f>O81*AQ81</f>
        <v/>
      </c>
      <c r="AS81" s="52">
        <f>IF(AG81=1,IF(AQ81&gt;0,AF81/AQ81,1),IFERROR(INDEX(Types!$K:$K,MATCH($A81&amp;"|"&amp;$D81,Types!$A:$A,0)),INDEX(Dashboard!$X$6:$X$22,MATCH($A81,Dashboard!$A$6:$A$22,0))))</f>
        <v/>
      </c>
      <c r="AT81" s="43">
        <f>AQ81*INDEX(Dashboard!$Y$6:$Y$22,MATCH($A81,Dashboard!$A$6:$A$22,0))</f>
        <v/>
      </c>
      <c r="AU81" s="53">
        <f>IF(AND(AG81=1,AT81&gt;0,AF81&gt;0),100*AF81/AT81,"")</f>
        <v/>
      </c>
      <c r="AV81" s="44">
        <f>IF(AU81="","",T81/(AU81/100))</f>
        <v/>
      </c>
      <c r="AW81" s="53">
        <f>IF(AU81="","",IF(AND(ABS(AH81)&gt;=0.1,ABS(T81)&gt;=0.05,SIGN(AH81)=SIGN(T81)),100*T81/AH81,""))</f>
        <v/>
      </c>
      <c r="AX81" s="45">
        <f>IF(AU81="","",T81-AV81)</f>
        <v/>
      </c>
      <c r="AY81" s="45">
        <f>IF(AU81="","",AH81-AV81)</f>
        <v/>
      </c>
      <c r="AZ81" s="54">
        <f>(AL81-AM81)-T81*AT81</f>
        <v/>
      </c>
      <c r="BA81" s="43">
        <f>IF(AU81="",0,(AH81-T81)*AF81)</f>
        <v/>
      </c>
      <c r="BB81" s="43">
        <f>IF(AU81="",0,T81*(AF81-AT81))</f>
        <v/>
      </c>
      <c r="BC81" s="51" t="n">
        <v>0.44918750955122</v>
      </c>
      <c r="BD81" s="51" t="n">
        <v>0.03759360195608986</v>
      </c>
      <c r="BE81" s="51" t="n">
        <v>0.1551487083001664</v>
      </c>
      <c r="BF81" s="43" t="n">
        <v>19631</v>
      </c>
    </row>
    <row r="82">
      <c r="A82" s="42" t="inlineStr">
        <is>
          <t>GA</t>
        </is>
      </c>
      <c r="B82" s="42" t="inlineStr">
        <is>
          <t>13083</t>
        </is>
      </c>
      <c r="C82" s="42" t="inlineStr">
        <is>
          <t>Dade</t>
        </is>
      </c>
      <c r="D82" s="42" t="inlineStr">
        <is>
          <t>Small town &amp; rural</t>
        </is>
      </c>
      <c r="E82" s="42" t="inlineStr"/>
      <c r="F82" s="43" t="n">
        <v>1343</v>
      </c>
      <c r="G82" s="43" t="n">
        <v>6804</v>
      </c>
      <c r="H82" s="43" t="n">
        <v>8200</v>
      </c>
      <c r="I82" s="43" t="n">
        <v>1261</v>
      </c>
      <c r="J82" s="43" t="n">
        <v>6066</v>
      </c>
      <c r="K82" s="42" t="inlineStr">
        <is>
          <t>US Senate</t>
        </is>
      </c>
      <c r="L82" s="43" t="n">
        <v>996</v>
      </c>
      <c r="M82" s="43" t="n">
        <v>4698</v>
      </c>
      <c r="N82" s="43" t="n">
        <v>5821</v>
      </c>
      <c r="O82" s="44">
        <f>IFERROR((F82-G82)/(F82+G82),"")</f>
        <v/>
      </c>
      <c r="P82" s="44">
        <f>IFERROR((I82-J82)/(I82+J82),"")</f>
        <v/>
      </c>
      <c r="Q82" s="45">
        <f>IFERROR(O82-P82,"")</f>
        <v/>
      </c>
      <c r="R82" s="44">
        <f>IFERROR((L82-M82)/(L82+M82),"")</f>
        <v/>
      </c>
      <c r="S82" s="46">
        <f>H82/SUMIFS(Counties!$H$2:$H$1583,Counties!$A$2:$A$1583,$A82)</f>
        <v/>
      </c>
      <c r="T82" s="44">
        <f>O82+INDEX(Dashboard!$F$6:$F$22,MATCH($A82,Dashboard!$A$6:$A$22,0))</f>
        <v/>
      </c>
      <c r="U82" s="43">
        <f>AQ82*INDEX(Dashboard!$G$6:$G$22,MATCH($A82,Dashboard!$A$6:$A$22,0))</f>
        <v/>
      </c>
      <c r="V82" s="47" t="n"/>
      <c r="W82" s="47" t="n"/>
      <c r="X82" s="47" t="n"/>
      <c r="Y82" s="48" t="n"/>
      <c r="Z82" s="49" t="n"/>
      <c r="AA82" s="49" t="n"/>
      <c r="AB82" s="49" t="n"/>
      <c r="AC82" s="50" t="n"/>
      <c r="AD82" s="43">
        <f>IF(Z82&lt;&gt;"",Z82,N(V82))</f>
        <v/>
      </c>
      <c r="AE82" s="43">
        <f>IF(AA82&lt;&gt;"",AA82,N(W82))</f>
        <v/>
      </c>
      <c r="AF82" s="43">
        <f>AD82+AE82</f>
        <v/>
      </c>
      <c r="AG82" s="42">
        <f>IF(UPPER(AC82)="Y",1,IF(AF82=0,0,IF(AND(Z82="",Y82&lt;&gt;""),IF(Y82&gt;=0.999,1,0),IF(AF82&gt;=U82,1,0))))</f>
        <v/>
      </c>
      <c r="AH82" s="44">
        <f>IF(AF82&gt;0,(AD82-AE82)/AF82,"")</f>
        <v/>
      </c>
      <c r="AI82" s="45">
        <f>IF(AG82=1,AH82-O82,"")</f>
        <v/>
      </c>
      <c r="AJ82" s="44">
        <f>IF(AG82=1,AH82,MAX(-1,MIN(1,O82+INDEX(Types!$H:$H,MATCH($A82&amp;"|"&amp;$D82,Types!$A:$A,0)))))</f>
        <v/>
      </c>
      <c r="AK82" s="43">
        <f>IF(AG82=1,AF82,MAX(AQ82*AS82,AF82))</f>
        <v/>
      </c>
      <c r="AL82" s="43">
        <f>IF(AG82=1,AD82,AK82*(1+AJ82)/2)</f>
        <v/>
      </c>
      <c r="AM82" s="43">
        <f>IF(AG82=1,AE82,AK82*(1-AJ82)/2)</f>
        <v/>
      </c>
      <c r="AN82" s="45">
        <f>IF(AH82="","",AH82-T82)</f>
        <v/>
      </c>
      <c r="AO82" s="51">
        <f>IF(AG82=1,1,IF(U82&gt;0,MIN(AF82/U82,0.99),0))</f>
        <v/>
      </c>
      <c r="AP82" s="43">
        <f>IF(AG82=1,AI82*AF82,0)</f>
        <v/>
      </c>
      <c r="AQ82" s="43">
        <f>N82*(F82+G82)/H82</f>
        <v/>
      </c>
      <c r="AR82" s="43">
        <f>O82*AQ82</f>
        <v/>
      </c>
      <c r="AS82" s="52">
        <f>IF(AG82=1,IF(AQ82&gt;0,AF82/AQ82,1),IFERROR(INDEX(Types!$K:$K,MATCH($A82&amp;"|"&amp;$D82,Types!$A:$A,0)),INDEX(Dashboard!$X$6:$X$22,MATCH($A82,Dashboard!$A$6:$A$22,0))))</f>
        <v/>
      </c>
      <c r="AT82" s="43">
        <f>AQ82*INDEX(Dashboard!$Y$6:$Y$22,MATCH($A82,Dashboard!$A$6:$A$22,0))</f>
        <v/>
      </c>
      <c r="AU82" s="53">
        <f>IF(AND(AG82=1,AT82&gt;0,AF82&gt;0),100*AF82/AT82,"")</f>
        <v/>
      </c>
      <c r="AV82" s="44">
        <f>IF(AU82="","",T82/(AU82/100))</f>
        <v/>
      </c>
      <c r="AW82" s="53">
        <f>IF(AU82="","",IF(AND(ABS(AH82)&gt;=0.1,ABS(T82)&gt;=0.05,SIGN(AH82)=SIGN(T82)),100*T82/AH82,""))</f>
        <v/>
      </c>
      <c r="AX82" s="45">
        <f>IF(AU82="","",T82-AV82)</f>
        <v/>
      </c>
      <c r="AY82" s="45">
        <f>IF(AU82="","",AH82-AV82)</f>
        <v/>
      </c>
      <c r="AZ82" s="54">
        <f>(AL82-AM82)-T82*AT82</f>
        <v/>
      </c>
      <c r="BA82" s="43">
        <f>IF(AU82="",0,(AH82-T82)*AF82)</f>
        <v/>
      </c>
      <c r="BB82" s="43">
        <f>IF(AU82="",0,T82*(AF82-AT82))</f>
        <v/>
      </c>
      <c r="BC82" s="51" t="n">
        <v>0.01626971852768327</v>
      </c>
      <c r="BD82" s="51" t="n">
        <v>0.0321064027219301</v>
      </c>
      <c r="BE82" s="51" t="n">
        <v>0.1900884335872516</v>
      </c>
      <c r="BF82" s="43" t="n">
        <v>16165</v>
      </c>
    </row>
    <row r="83">
      <c r="A83" s="42" t="inlineStr">
        <is>
          <t>GA</t>
        </is>
      </c>
      <c r="B83" s="42" t="inlineStr">
        <is>
          <t>13085</t>
        </is>
      </c>
      <c r="C83" s="42" t="inlineStr">
        <is>
          <t>Dawson</t>
        </is>
      </c>
      <c r="D83" s="42" t="inlineStr">
        <is>
          <t>Small town &amp; rural</t>
        </is>
      </c>
      <c r="E83" s="42" t="inlineStr"/>
      <c r="F83" s="43" t="n">
        <v>3350</v>
      </c>
      <c r="G83" s="43" t="n">
        <v>16115</v>
      </c>
      <c r="H83" s="43" t="n">
        <v>19561</v>
      </c>
      <c r="I83" s="43" t="n">
        <v>2486</v>
      </c>
      <c r="J83" s="43" t="n">
        <v>13398</v>
      </c>
      <c r="K83" s="42" t="inlineStr">
        <is>
          <t>US Senate</t>
        </is>
      </c>
      <c r="L83" s="43" t="n">
        <v>2277</v>
      </c>
      <c r="M83" s="43" t="n">
        <v>11185</v>
      </c>
      <c r="N83" s="43" t="n">
        <v>13870</v>
      </c>
      <c r="O83" s="44">
        <f>IFERROR((F83-G83)/(F83+G83),"")</f>
        <v/>
      </c>
      <c r="P83" s="44">
        <f>IFERROR((I83-J83)/(I83+J83),"")</f>
        <v/>
      </c>
      <c r="Q83" s="45">
        <f>IFERROR(O83-P83,"")</f>
        <v/>
      </c>
      <c r="R83" s="44">
        <f>IFERROR((L83-M83)/(L83+M83),"")</f>
        <v/>
      </c>
      <c r="S83" s="46">
        <f>H83/SUMIFS(Counties!$H$2:$H$1583,Counties!$A$2:$A$1583,$A83)</f>
        <v/>
      </c>
      <c r="T83" s="44">
        <f>O83+INDEX(Dashboard!$F$6:$F$22,MATCH($A83,Dashboard!$A$6:$A$22,0))</f>
        <v/>
      </c>
      <c r="U83" s="43">
        <f>AQ83*INDEX(Dashboard!$G$6:$G$22,MATCH($A83,Dashboard!$A$6:$A$22,0))</f>
        <v/>
      </c>
      <c r="V83" s="47" t="n"/>
      <c r="W83" s="47" t="n"/>
      <c r="X83" s="47" t="n"/>
      <c r="Y83" s="48" t="n"/>
      <c r="Z83" s="49" t="n"/>
      <c r="AA83" s="49" t="n"/>
      <c r="AB83" s="49" t="n"/>
      <c r="AC83" s="50" t="n"/>
      <c r="AD83" s="43">
        <f>IF(Z83&lt;&gt;"",Z83,N(V83))</f>
        <v/>
      </c>
      <c r="AE83" s="43">
        <f>IF(AA83&lt;&gt;"",AA83,N(W83))</f>
        <v/>
      </c>
      <c r="AF83" s="43">
        <f>AD83+AE83</f>
        <v/>
      </c>
      <c r="AG83" s="42">
        <f>IF(UPPER(AC83)="Y",1,IF(AF83=0,0,IF(AND(Z83="",Y83&lt;&gt;""),IF(Y83&gt;=0.999,1,0),IF(AF83&gt;=U83,1,0))))</f>
        <v/>
      </c>
      <c r="AH83" s="44">
        <f>IF(AF83&gt;0,(AD83-AE83)/AF83,"")</f>
        <v/>
      </c>
      <c r="AI83" s="45">
        <f>IF(AG83=1,AH83-O83,"")</f>
        <v/>
      </c>
      <c r="AJ83" s="44">
        <f>IF(AG83=1,AH83,MAX(-1,MIN(1,O83+INDEX(Types!$H:$H,MATCH($A83&amp;"|"&amp;$D83,Types!$A:$A,0)))))</f>
        <v/>
      </c>
      <c r="AK83" s="43">
        <f>IF(AG83=1,AF83,MAX(AQ83*AS83,AF83))</f>
        <v/>
      </c>
      <c r="AL83" s="43">
        <f>IF(AG83=1,AD83,AK83*(1+AJ83)/2)</f>
        <v/>
      </c>
      <c r="AM83" s="43">
        <f>IF(AG83=1,AE83,AK83*(1-AJ83)/2)</f>
        <v/>
      </c>
      <c r="AN83" s="45">
        <f>IF(AH83="","",AH83-T83)</f>
        <v/>
      </c>
      <c r="AO83" s="51">
        <f>IF(AG83=1,1,IF(U83&gt;0,MIN(AF83/U83,0.99),0))</f>
        <v/>
      </c>
      <c r="AP83" s="43">
        <f>IF(AG83=1,AI83*AF83,0)</f>
        <v/>
      </c>
      <c r="AQ83" s="43">
        <f>N83*(F83+G83)/H83</f>
        <v/>
      </c>
      <c r="AR83" s="43">
        <f>O83*AQ83</f>
        <v/>
      </c>
      <c r="AS83" s="52">
        <f>IF(AG83=1,IF(AQ83&gt;0,AF83/AQ83,1),IFERROR(INDEX(Types!$K:$K,MATCH($A83&amp;"|"&amp;$D83,Types!$A:$A,0)),INDEX(Dashboard!$X$6:$X$22,MATCH($A83,Dashboard!$A$6:$A$22,0))))</f>
        <v/>
      </c>
      <c r="AT83" s="43">
        <f>AQ83*INDEX(Dashboard!$Y$6:$Y$22,MATCH($A83,Dashboard!$A$6:$A$22,0))</f>
        <v/>
      </c>
      <c r="AU83" s="53">
        <f>IF(AND(AG83=1,AT83&gt;0,AF83&gt;0),100*AF83/AT83,"")</f>
        <v/>
      </c>
      <c r="AV83" s="44">
        <f>IF(AU83="","",T83/(AU83/100))</f>
        <v/>
      </c>
      <c r="AW83" s="53">
        <f>IF(AU83="","",IF(AND(ABS(AH83)&gt;=0.1,ABS(T83)&gt;=0.05,SIGN(AH83)=SIGN(T83)),100*T83/AH83,""))</f>
        <v/>
      </c>
      <c r="AX83" s="45">
        <f>IF(AU83="","",T83-AV83)</f>
        <v/>
      </c>
      <c r="AY83" s="45">
        <f>IF(AU83="","",AH83-AV83)</f>
        <v/>
      </c>
      <c r="AZ83" s="54">
        <f>(AL83-AM83)-T83*AT83</f>
        <v/>
      </c>
      <c r="BA83" s="43">
        <f>IF(AU83="",0,(AH83-T83)*AF83)</f>
        <v/>
      </c>
      <c r="BB83" s="43">
        <f>IF(AU83="",0,T83*(AF83-AT83))</f>
        <v/>
      </c>
      <c r="BC83" s="51" t="n">
        <v>0.01846716248581873</v>
      </c>
      <c r="BD83" s="51" t="n">
        <v>0.07787091894617421</v>
      </c>
      <c r="BE83" s="51" t="n">
        <v>0.3575475809966585</v>
      </c>
      <c r="BF83" s="43" t="n">
        <v>31732</v>
      </c>
    </row>
    <row r="84">
      <c r="A84" s="42" t="inlineStr">
        <is>
          <t>GA</t>
        </is>
      </c>
      <c r="B84" s="42" t="inlineStr">
        <is>
          <t>13089</t>
        </is>
      </c>
      <c r="C84" s="42" t="inlineStr">
        <is>
          <t>DeKalb</t>
        </is>
      </c>
      <c r="D84" s="42" t="inlineStr">
        <is>
          <t>Big metro core</t>
        </is>
      </c>
      <c r="E84" s="42" t="inlineStr">
        <is>
          <t>★</t>
        </is>
      </c>
      <c r="F84" s="43" t="n">
        <v>299630</v>
      </c>
      <c r="G84" s="43" t="n">
        <v>62622</v>
      </c>
      <c r="H84" s="43" t="n">
        <v>366008</v>
      </c>
      <c r="I84" s="43" t="n">
        <v>308162</v>
      </c>
      <c r="J84" s="43" t="n">
        <v>58377</v>
      </c>
      <c r="K84" s="42" t="inlineStr">
        <is>
          <t>US Senate</t>
        </is>
      </c>
      <c r="L84" s="43" t="n">
        <v>250761</v>
      </c>
      <c r="M84" s="43" t="n">
        <v>41951</v>
      </c>
      <c r="N84" s="43" t="n">
        <v>297570</v>
      </c>
      <c r="O84" s="44">
        <f>IFERROR((F84-G84)/(F84+G84),"")</f>
        <v/>
      </c>
      <c r="P84" s="44">
        <f>IFERROR((I84-J84)/(I84+J84),"")</f>
        <v/>
      </c>
      <c r="Q84" s="45">
        <f>IFERROR(O84-P84,"")</f>
        <v/>
      </c>
      <c r="R84" s="44">
        <f>IFERROR((L84-M84)/(L84+M84),"")</f>
        <v/>
      </c>
      <c r="S84" s="46">
        <f>H84/SUMIFS(Counties!$H$2:$H$1583,Counties!$A$2:$A$1583,$A84)</f>
        <v/>
      </c>
      <c r="T84" s="44">
        <f>O84+INDEX(Dashboard!$F$6:$F$22,MATCH($A84,Dashboard!$A$6:$A$22,0))</f>
        <v/>
      </c>
      <c r="U84" s="43">
        <f>AQ84*INDEX(Dashboard!$G$6:$G$22,MATCH($A84,Dashboard!$A$6:$A$22,0))</f>
        <v/>
      </c>
      <c r="V84" s="47" t="n"/>
      <c r="W84" s="47" t="n"/>
      <c r="X84" s="47" t="n"/>
      <c r="Y84" s="48" t="n"/>
      <c r="Z84" s="49" t="n"/>
      <c r="AA84" s="49" t="n"/>
      <c r="AB84" s="49" t="n"/>
      <c r="AC84" s="50" t="n"/>
      <c r="AD84" s="43">
        <f>IF(Z84&lt;&gt;"",Z84,N(V84))</f>
        <v/>
      </c>
      <c r="AE84" s="43">
        <f>IF(AA84&lt;&gt;"",AA84,N(W84))</f>
        <v/>
      </c>
      <c r="AF84" s="43">
        <f>AD84+AE84</f>
        <v/>
      </c>
      <c r="AG84" s="42">
        <f>IF(UPPER(AC84)="Y",1,IF(AF84=0,0,IF(AND(Z84="",Y84&lt;&gt;""),IF(Y84&gt;=0.999,1,0),IF(AF84&gt;=U84,1,0))))</f>
        <v/>
      </c>
      <c r="AH84" s="44">
        <f>IF(AF84&gt;0,(AD84-AE84)/AF84,"")</f>
        <v/>
      </c>
      <c r="AI84" s="45">
        <f>IF(AG84=1,AH84-O84,"")</f>
        <v/>
      </c>
      <c r="AJ84" s="44">
        <f>IF(AG84=1,AH84,MAX(-1,MIN(1,O84+INDEX(Types!$H:$H,MATCH($A84&amp;"|"&amp;$D84,Types!$A:$A,0)))))</f>
        <v/>
      </c>
      <c r="AK84" s="43">
        <f>IF(AG84=1,AF84,MAX(AQ84*AS84,AF84))</f>
        <v/>
      </c>
      <c r="AL84" s="43">
        <f>IF(AG84=1,AD84,AK84*(1+AJ84)/2)</f>
        <v/>
      </c>
      <c r="AM84" s="43">
        <f>IF(AG84=1,AE84,AK84*(1-AJ84)/2)</f>
        <v/>
      </c>
      <c r="AN84" s="45">
        <f>IF(AH84="","",AH84-T84)</f>
        <v/>
      </c>
      <c r="AO84" s="51">
        <f>IF(AG84=1,1,IF(U84&gt;0,MIN(AF84/U84,0.99),0))</f>
        <v/>
      </c>
      <c r="AP84" s="43">
        <f>IF(AG84=1,AI84*AF84,0)</f>
        <v/>
      </c>
      <c r="AQ84" s="43">
        <f>N84*(F84+G84)/H84</f>
        <v/>
      </c>
      <c r="AR84" s="43">
        <f>O84*AQ84</f>
        <v/>
      </c>
      <c r="AS84" s="52">
        <f>IF(AG84=1,IF(AQ84&gt;0,AF84/AQ84,1),IFERROR(INDEX(Types!$K:$K,MATCH($A84&amp;"|"&amp;$D84,Types!$A:$A,0)),INDEX(Dashboard!$X$6:$X$22,MATCH($A84,Dashboard!$A$6:$A$22,0))))</f>
        <v/>
      </c>
      <c r="AT84" s="43">
        <f>AQ84*INDEX(Dashboard!$Y$6:$Y$22,MATCH($A84,Dashboard!$A$6:$A$22,0))</f>
        <v/>
      </c>
      <c r="AU84" s="53">
        <f>IF(AND(AG84=1,AT84&gt;0,AF84&gt;0),100*AF84/AT84,"")</f>
        <v/>
      </c>
      <c r="AV84" s="44">
        <f>IF(AU84="","",T84/(AU84/100))</f>
        <v/>
      </c>
      <c r="AW84" s="53">
        <f>IF(AU84="","",IF(AND(ABS(AH84)&gt;=0.1,ABS(T84)&gt;=0.05,SIGN(AH84)=SIGN(T84)),100*T84/AH84,""))</f>
        <v/>
      </c>
      <c r="AX84" s="45">
        <f>IF(AU84="","",T84-AV84)</f>
        <v/>
      </c>
      <c r="AY84" s="45">
        <f>IF(AU84="","",AH84-AV84)</f>
        <v/>
      </c>
      <c r="AZ84" s="54">
        <f>(AL84-AM84)-T84*AT84</f>
        <v/>
      </c>
      <c r="BA84" s="43">
        <f>IF(AU84="",0,(AH84-T84)*AF84)</f>
        <v/>
      </c>
      <c r="BB84" s="43">
        <f>IF(AU84="",0,T84*(AF84-AT84))</f>
        <v/>
      </c>
      <c r="BC84" s="51" t="n">
        <v>0.5228455868475685</v>
      </c>
      <c r="BD84" s="51" t="n">
        <v>0.1039342483276365</v>
      </c>
      <c r="BE84" s="51" t="n">
        <v>0.4674763068315542</v>
      </c>
      <c r="BF84" s="43" t="n">
        <v>762992</v>
      </c>
    </row>
    <row r="85">
      <c r="A85" s="42" t="inlineStr">
        <is>
          <t>GA</t>
        </is>
      </c>
      <c r="B85" s="42" t="inlineStr">
        <is>
          <t>13087</t>
        </is>
      </c>
      <c r="C85" s="42" t="inlineStr">
        <is>
          <t>Decatur</t>
        </is>
      </c>
      <c r="D85" s="42" t="inlineStr">
        <is>
          <t>Black Belt</t>
        </is>
      </c>
      <c r="E85" s="42" t="inlineStr"/>
      <c r="F85" s="43" t="n">
        <v>4372</v>
      </c>
      <c r="G85" s="43" t="n">
        <v>7140</v>
      </c>
      <c r="H85" s="43" t="n">
        <v>11549</v>
      </c>
      <c r="I85" s="43" t="n">
        <v>4782</v>
      </c>
      <c r="J85" s="43" t="n">
        <v>6755</v>
      </c>
      <c r="K85" s="42" t="inlineStr">
        <is>
          <t>US Senate</t>
        </is>
      </c>
      <c r="L85" s="43" t="n">
        <v>3303</v>
      </c>
      <c r="M85" s="43" t="n">
        <v>5433</v>
      </c>
      <c r="N85" s="43" t="n">
        <v>8839</v>
      </c>
      <c r="O85" s="44">
        <f>IFERROR((F85-G85)/(F85+G85),"")</f>
        <v/>
      </c>
      <c r="P85" s="44">
        <f>IFERROR((I85-J85)/(I85+J85),"")</f>
        <v/>
      </c>
      <c r="Q85" s="45">
        <f>IFERROR(O85-P85,"")</f>
        <v/>
      </c>
      <c r="R85" s="44">
        <f>IFERROR((L85-M85)/(L85+M85),"")</f>
        <v/>
      </c>
      <c r="S85" s="46">
        <f>H85/SUMIFS(Counties!$H$2:$H$1583,Counties!$A$2:$A$1583,$A85)</f>
        <v/>
      </c>
      <c r="T85" s="44">
        <f>O85+INDEX(Dashboard!$F$6:$F$22,MATCH($A85,Dashboard!$A$6:$A$22,0))</f>
        <v/>
      </c>
      <c r="U85" s="43">
        <f>AQ85*INDEX(Dashboard!$G$6:$G$22,MATCH($A85,Dashboard!$A$6:$A$22,0))</f>
        <v/>
      </c>
      <c r="V85" s="47" t="n"/>
      <c r="W85" s="47" t="n"/>
      <c r="X85" s="47" t="n"/>
      <c r="Y85" s="48" t="n"/>
      <c r="Z85" s="49" t="n"/>
      <c r="AA85" s="49" t="n"/>
      <c r="AB85" s="49" t="n"/>
      <c r="AC85" s="50" t="n"/>
      <c r="AD85" s="43">
        <f>IF(Z85&lt;&gt;"",Z85,N(V85))</f>
        <v/>
      </c>
      <c r="AE85" s="43">
        <f>IF(AA85&lt;&gt;"",AA85,N(W85))</f>
        <v/>
      </c>
      <c r="AF85" s="43">
        <f>AD85+AE85</f>
        <v/>
      </c>
      <c r="AG85" s="42">
        <f>IF(UPPER(AC85)="Y",1,IF(AF85=0,0,IF(AND(Z85="",Y85&lt;&gt;""),IF(Y85&gt;=0.999,1,0),IF(AF85&gt;=U85,1,0))))</f>
        <v/>
      </c>
      <c r="AH85" s="44">
        <f>IF(AF85&gt;0,(AD85-AE85)/AF85,"")</f>
        <v/>
      </c>
      <c r="AI85" s="45">
        <f>IF(AG85=1,AH85-O85,"")</f>
        <v/>
      </c>
      <c r="AJ85" s="44">
        <f>IF(AG85=1,AH85,MAX(-1,MIN(1,O85+INDEX(Types!$H:$H,MATCH($A85&amp;"|"&amp;$D85,Types!$A:$A,0)))))</f>
        <v/>
      </c>
      <c r="AK85" s="43">
        <f>IF(AG85=1,AF85,MAX(AQ85*AS85,AF85))</f>
        <v/>
      </c>
      <c r="AL85" s="43">
        <f>IF(AG85=1,AD85,AK85*(1+AJ85)/2)</f>
        <v/>
      </c>
      <c r="AM85" s="43">
        <f>IF(AG85=1,AE85,AK85*(1-AJ85)/2)</f>
        <v/>
      </c>
      <c r="AN85" s="45">
        <f>IF(AH85="","",AH85-T85)</f>
        <v/>
      </c>
      <c r="AO85" s="51">
        <f>IF(AG85=1,1,IF(U85&gt;0,MIN(AF85/U85,0.99),0))</f>
        <v/>
      </c>
      <c r="AP85" s="43">
        <f>IF(AG85=1,AI85*AF85,0)</f>
        <v/>
      </c>
      <c r="AQ85" s="43">
        <f>N85*(F85+G85)/H85</f>
        <v/>
      </c>
      <c r="AR85" s="43">
        <f>O85*AQ85</f>
        <v/>
      </c>
      <c r="AS85" s="52">
        <f>IF(AG85=1,IF(AQ85&gt;0,AF85/AQ85,1),IFERROR(INDEX(Types!$K:$K,MATCH($A85&amp;"|"&amp;$D85,Types!$A:$A,0)),INDEX(Dashboard!$X$6:$X$22,MATCH($A85,Dashboard!$A$6:$A$22,0))))</f>
        <v/>
      </c>
      <c r="AT85" s="43">
        <f>AQ85*INDEX(Dashboard!$Y$6:$Y$22,MATCH($A85,Dashboard!$A$6:$A$22,0))</f>
        <v/>
      </c>
      <c r="AU85" s="53">
        <f>IF(AND(AG85=1,AT85&gt;0,AF85&gt;0),100*AF85/AT85,"")</f>
        <v/>
      </c>
      <c r="AV85" s="44">
        <f>IF(AU85="","",T85/(AU85/100))</f>
        <v/>
      </c>
      <c r="AW85" s="53">
        <f>IF(AU85="","",IF(AND(ABS(AH85)&gt;=0.1,ABS(T85)&gt;=0.05,SIGN(AH85)=SIGN(T85)),100*T85/AH85,""))</f>
        <v/>
      </c>
      <c r="AX85" s="45">
        <f>IF(AU85="","",T85-AV85)</f>
        <v/>
      </c>
      <c r="AY85" s="45">
        <f>IF(AU85="","",AH85-AV85)</f>
        <v/>
      </c>
      <c r="AZ85" s="54">
        <f>(AL85-AM85)-T85*AT85</f>
        <v/>
      </c>
      <c r="BA85" s="43">
        <f>IF(AU85="",0,(AH85-T85)*AF85)</f>
        <v/>
      </c>
      <c r="BB85" s="43">
        <f>IF(AU85="",0,T85*(AF85-AT85))</f>
        <v/>
      </c>
      <c r="BC85" s="51" t="n">
        <v>0.4206002681610341</v>
      </c>
      <c r="BD85" s="51" t="n">
        <v>0.07023756317255131</v>
      </c>
      <c r="BE85" s="51" t="n">
        <v>0.1463666391412056</v>
      </c>
      <c r="BF85" s="43" t="n">
        <v>29087</v>
      </c>
    </row>
    <row r="86">
      <c r="A86" s="42" t="inlineStr">
        <is>
          <t>GA</t>
        </is>
      </c>
      <c r="B86" s="42" t="inlineStr">
        <is>
          <t>13091</t>
        </is>
      </c>
      <c r="C86" s="42" t="inlineStr">
        <is>
          <t>Dodge</t>
        </is>
      </c>
      <c r="D86" s="42" t="inlineStr">
        <is>
          <t>Small town &amp; rural</t>
        </is>
      </c>
      <c r="E86" s="42" t="inlineStr"/>
      <c r="F86" s="43" t="n">
        <v>2081</v>
      </c>
      <c r="G86" s="43" t="n">
        <v>6249</v>
      </c>
      <c r="H86" s="43" t="n">
        <v>8350</v>
      </c>
      <c r="I86" s="43" t="n">
        <v>2172</v>
      </c>
      <c r="J86" s="43" t="n">
        <v>5843</v>
      </c>
      <c r="K86" s="42" t="inlineStr">
        <is>
          <t>US Senate</t>
        </is>
      </c>
      <c r="L86" s="43" t="n">
        <v>1640</v>
      </c>
      <c r="M86" s="43" t="n">
        <v>4895</v>
      </c>
      <c r="N86" s="43" t="n">
        <v>6608</v>
      </c>
      <c r="O86" s="44">
        <f>IFERROR((F86-G86)/(F86+G86),"")</f>
        <v/>
      </c>
      <c r="P86" s="44">
        <f>IFERROR((I86-J86)/(I86+J86),"")</f>
        <v/>
      </c>
      <c r="Q86" s="45">
        <f>IFERROR(O86-P86,"")</f>
        <v/>
      </c>
      <c r="R86" s="44">
        <f>IFERROR((L86-M86)/(L86+M86),"")</f>
        <v/>
      </c>
      <c r="S86" s="46">
        <f>H86/SUMIFS(Counties!$H$2:$H$1583,Counties!$A$2:$A$1583,$A86)</f>
        <v/>
      </c>
      <c r="T86" s="44">
        <f>O86+INDEX(Dashboard!$F$6:$F$22,MATCH($A86,Dashboard!$A$6:$A$22,0))</f>
        <v/>
      </c>
      <c r="U86" s="43">
        <f>AQ86*INDEX(Dashboard!$G$6:$G$22,MATCH($A86,Dashboard!$A$6:$A$22,0))</f>
        <v/>
      </c>
      <c r="V86" s="47" t="n"/>
      <c r="W86" s="47" t="n"/>
      <c r="X86" s="47" t="n"/>
      <c r="Y86" s="48" t="n"/>
      <c r="Z86" s="49" t="n"/>
      <c r="AA86" s="49" t="n"/>
      <c r="AB86" s="49" t="n"/>
      <c r="AC86" s="50" t="n"/>
      <c r="AD86" s="43">
        <f>IF(Z86&lt;&gt;"",Z86,N(V86))</f>
        <v/>
      </c>
      <c r="AE86" s="43">
        <f>IF(AA86&lt;&gt;"",AA86,N(W86))</f>
        <v/>
      </c>
      <c r="AF86" s="43">
        <f>AD86+AE86</f>
        <v/>
      </c>
      <c r="AG86" s="42">
        <f>IF(UPPER(AC86)="Y",1,IF(AF86=0,0,IF(AND(Z86="",Y86&lt;&gt;""),IF(Y86&gt;=0.999,1,0),IF(AF86&gt;=U86,1,0))))</f>
        <v/>
      </c>
      <c r="AH86" s="44">
        <f>IF(AF86&gt;0,(AD86-AE86)/AF86,"")</f>
        <v/>
      </c>
      <c r="AI86" s="45">
        <f>IF(AG86=1,AH86-O86,"")</f>
        <v/>
      </c>
      <c r="AJ86" s="44">
        <f>IF(AG86=1,AH86,MAX(-1,MIN(1,O86+INDEX(Types!$H:$H,MATCH($A86&amp;"|"&amp;$D86,Types!$A:$A,0)))))</f>
        <v/>
      </c>
      <c r="AK86" s="43">
        <f>IF(AG86=1,AF86,MAX(AQ86*AS86,AF86))</f>
        <v/>
      </c>
      <c r="AL86" s="43">
        <f>IF(AG86=1,AD86,AK86*(1+AJ86)/2)</f>
        <v/>
      </c>
      <c r="AM86" s="43">
        <f>IF(AG86=1,AE86,AK86*(1-AJ86)/2)</f>
        <v/>
      </c>
      <c r="AN86" s="45">
        <f>IF(AH86="","",AH86-T86)</f>
        <v/>
      </c>
      <c r="AO86" s="51">
        <f>IF(AG86=1,1,IF(U86&gt;0,MIN(AF86/U86,0.99),0))</f>
        <v/>
      </c>
      <c r="AP86" s="43">
        <f>IF(AG86=1,AI86*AF86,0)</f>
        <v/>
      </c>
      <c r="AQ86" s="43">
        <f>N86*(F86+G86)/H86</f>
        <v/>
      </c>
      <c r="AR86" s="43">
        <f>O86*AQ86</f>
        <v/>
      </c>
      <c r="AS86" s="52">
        <f>IF(AG86=1,IF(AQ86&gt;0,AF86/AQ86,1),IFERROR(INDEX(Types!$K:$K,MATCH($A86&amp;"|"&amp;$D86,Types!$A:$A,0)),INDEX(Dashboard!$X$6:$X$22,MATCH($A86,Dashboard!$A$6:$A$22,0))))</f>
        <v/>
      </c>
      <c r="AT86" s="43">
        <f>AQ86*INDEX(Dashboard!$Y$6:$Y$22,MATCH($A86,Dashboard!$A$6:$A$22,0))</f>
        <v/>
      </c>
      <c r="AU86" s="53">
        <f>IF(AND(AG86=1,AT86&gt;0,AF86&gt;0),100*AF86/AT86,"")</f>
        <v/>
      </c>
      <c r="AV86" s="44">
        <f>IF(AU86="","",T86/(AU86/100))</f>
        <v/>
      </c>
      <c r="AW86" s="53">
        <f>IF(AU86="","",IF(AND(ABS(AH86)&gt;=0.1,ABS(T86)&gt;=0.05,SIGN(AH86)=SIGN(T86)),100*T86/AH86,""))</f>
        <v/>
      </c>
      <c r="AX86" s="45">
        <f>IF(AU86="","",T86-AV86)</f>
        <v/>
      </c>
      <c r="AY86" s="45">
        <f>IF(AU86="","",AH86-AV86)</f>
        <v/>
      </c>
      <c r="AZ86" s="54">
        <f>(AL86-AM86)-T86*AT86</f>
        <v/>
      </c>
      <c r="BA86" s="43">
        <f>IF(AU86="",0,(AH86-T86)*AF86)</f>
        <v/>
      </c>
      <c r="BB86" s="43">
        <f>IF(AU86="",0,T86*(AF86-AT86))</f>
        <v/>
      </c>
      <c r="BC86" s="51" t="n">
        <v>0.2985942556634304</v>
      </c>
      <c r="BD86" s="51" t="n">
        <v>0.03777305825242718</v>
      </c>
      <c r="BE86" s="51" t="n">
        <v>0.1523603653859563</v>
      </c>
      <c r="BF86" s="43" t="n">
        <v>19776</v>
      </c>
    </row>
    <row r="87">
      <c r="A87" s="42" t="inlineStr">
        <is>
          <t>GA</t>
        </is>
      </c>
      <c r="B87" s="42" t="inlineStr">
        <is>
          <t>13093</t>
        </is>
      </c>
      <c r="C87" s="42" t="inlineStr">
        <is>
          <t>Dooly</t>
        </is>
      </c>
      <c r="D87" s="42" t="inlineStr">
        <is>
          <t>Black Belt</t>
        </is>
      </c>
      <c r="E87" s="42" t="inlineStr"/>
      <c r="F87" s="43" t="n">
        <v>1921</v>
      </c>
      <c r="G87" s="43" t="n">
        <v>2243</v>
      </c>
      <c r="H87" s="43" t="n">
        <v>4177</v>
      </c>
      <c r="I87" s="43" t="n">
        <v>1911</v>
      </c>
      <c r="J87" s="43" t="n">
        <v>2159</v>
      </c>
      <c r="K87" s="42" t="inlineStr">
        <is>
          <t>US Senate</t>
        </is>
      </c>
      <c r="L87" s="43" t="n">
        <v>1461</v>
      </c>
      <c r="M87" s="43" t="n">
        <v>1784</v>
      </c>
      <c r="N87" s="43" t="n">
        <v>3277</v>
      </c>
      <c r="O87" s="44">
        <f>IFERROR((F87-G87)/(F87+G87),"")</f>
        <v/>
      </c>
      <c r="P87" s="44">
        <f>IFERROR((I87-J87)/(I87+J87),"")</f>
        <v/>
      </c>
      <c r="Q87" s="45">
        <f>IFERROR(O87-P87,"")</f>
        <v/>
      </c>
      <c r="R87" s="44">
        <f>IFERROR((L87-M87)/(L87+M87),"")</f>
        <v/>
      </c>
      <c r="S87" s="46">
        <f>H87/SUMIFS(Counties!$H$2:$H$1583,Counties!$A$2:$A$1583,$A87)</f>
        <v/>
      </c>
      <c r="T87" s="44">
        <f>O87+INDEX(Dashboard!$F$6:$F$22,MATCH($A87,Dashboard!$A$6:$A$22,0))</f>
        <v/>
      </c>
      <c r="U87" s="43">
        <f>AQ87*INDEX(Dashboard!$G$6:$G$22,MATCH($A87,Dashboard!$A$6:$A$22,0))</f>
        <v/>
      </c>
      <c r="V87" s="47" t="n"/>
      <c r="W87" s="47" t="n"/>
      <c r="X87" s="47" t="n"/>
      <c r="Y87" s="48" t="n"/>
      <c r="Z87" s="49" t="n"/>
      <c r="AA87" s="49" t="n"/>
      <c r="AB87" s="49" t="n"/>
      <c r="AC87" s="50" t="n"/>
      <c r="AD87" s="43">
        <f>IF(Z87&lt;&gt;"",Z87,N(V87))</f>
        <v/>
      </c>
      <c r="AE87" s="43">
        <f>IF(AA87&lt;&gt;"",AA87,N(W87))</f>
        <v/>
      </c>
      <c r="AF87" s="43">
        <f>AD87+AE87</f>
        <v/>
      </c>
      <c r="AG87" s="42">
        <f>IF(UPPER(AC87)="Y",1,IF(AF87=0,0,IF(AND(Z87="",Y87&lt;&gt;""),IF(Y87&gt;=0.999,1,0),IF(AF87&gt;=U87,1,0))))</f>
        <v/>
      </c>
      <c r="AH87" s="44">
        <f>IF(AF87&gt;0,(AD87-AE87)/AF87,"")</f>
        <v/>
      </c>
      <c r="AI87" s="45">
        <f>IF(AG87=1,AH87-O87,"")</f>
        <v/>
      </c>
      <c r="AJ87" s="44">
        <f>IF(AG87=1,AH87,MAX(-1,MIN(1,O87+INDEX(Types!$H:$H,MATCH($A87&amp;"|"&amp;$D87,Types!$A:$A,0)))))</f>
        <v/>
      </c>
      <c r="AK87" s="43">
        <f>IF(AG87=1,AF87,MAX(AQ87*AS87,AF87))</f>
        <v/>
      </c>
      <c r="AL87" s="43">
        <f>IF(AG87=1,AD87,AK87*(1+AJ87)/2)</f>
        <v/>
      </c>
      <c r="AM87" s="43">
        <f>IF(AG87=1,AE87,AK87*(1-AJ87)/2)</f>
        <v/>
      </c>
      <c r="AN87" s="45">
        <f>IF(AH87="","",AH87-T87)</f>
        <v/>
      </c>
      <c r="AO87" s="51">
        <f>IF(AG87=1,1,IF(U87&gt;0,MIN(AF87/U87,0.99),0))</f>
        <v/>
      </c>
      <c r="AP87" s="43">
        <f>IF(AG87=1,AI87*AF87,0)</f>
        <v/>
      </c>
      <c r="AQ87" s="43">
        <f>N87*(F87+G87)/H87</f>
        <v/>
      </c>
      <c r="AR87" s="43">
        <f>O87*AQ87</f>
        <v/>
      </c>
      <c r="AS87" s="52">
        <f>IF(AG87=1,IF(AQ87&gt;0,AF87/AQ87,1),IFERROR(INDEX(Types!$K:$K,MATCH($A87&amp;"|"&amp;$D87,Types!$A:$A,0)),INDEX(Dashboard!$X$6:$X$22,MATCH($A87,Dashboard!$A$6:$A$22,0))))</f>
        <v/>
      </c>
      <c r="AT87" s="43">
        <f>AQ87*INDEX(Dashboard!$Y$6:$Y$22,MATCH($A87,Dashboard!$A$6:$A$22,0))</f>
        <v/>
      </c>
      <c r="AU87" s="53">
        <f>IF(AND(AG87=1,AT87&gt;0,AF87&gt;0),100*AF87/AT87,"")</f>
        <v/>
      </c>
      <c r="AV87" s="44">
        <f>IF(AU87="","",T87/(AU87/100))</f>
        <v/>
      </c>
      <c r="AW87" s="53">
        <f>IF(AU87="","",IF(AND(ABS(AH87)&gt;=0.1,ABS(T87)&gt;=0.05,SIGN(AH87)=SIGN(T87)),100*T87/AH87,""))</f>
        <v/>
      </c>
      <c r="AX87" s="45">
        <f>IF(AU87="","",T87-AV87)</f>
        <v/>
      </c>
      <c r="AY87" s="45">
        <f>IF(AU87="","",AH87-AV87)</f>
        <v/>
      </c>
      <c r="AZ87" s="54">
        <f>(AL87-AM87)-T87*AT87</f>
        <v/>
      </c>
      <c r="BA87" s="43">
        <f>IF(AU87="",0,(AH87-T87)*AF87)</f>
        <v/>
      </c>
      <c r="BB87" s="43">
        <f>IF(AU87="",0,T87*(AF87-AT87))</f>
        <v/>
      </c>
      <c r="BC87" s="51" t="n">
        <v>0.4753665422092705</v>
      </c>
      <c r="BD87" s="51" t="n">
        <v>0.08687733357617704</v>
      </c>
      <c r="BE87" s="51" t="n">
        <v>0.1338407494145199</v>
      </c>
      <c r="BF87" s="43" t="n">
        <v>10981</v>
      </c>
    </row>
    <row r="88">
      <c r="A88" s="42" t="inlineStr">
        <is>
          <t>GA</t>
        </is>
      </c>
      <c r="B88" s="42" t="inlineStr">
        <is>
          <t>13095</t>
        </is>
      </c>
      <c r="C88" s="42" t="inlineStr">
        <is>
          <t>Dougherty</t>
        </is>
      </c>
      <c r="D88" s="42" t="inlineStr">
        <is>
          <t>Black Belt</t>
        </is>
      </c>
      <c r="E88" s="42" t="inlineStr"/>
      <c r="F88" s="43" t="n">
        <v>23831</v>
      </c>
      <c r="G88" s="43" t="n">
        <v>9904</v>
      </c>
      <c r="H88" s="43" t="n">
        <v>33850</v>
      </c>
      <c r="I88" s="43" t="n">
        <v>24568</v>
      </c>
      <c r="J88" s="43" t="n">
        <v>10441</v>
      </c>
      <c r="K88" s="42" t="inlineStr">
        <is>
          <t>US Senate</t>
        </is>
      </c>
      <c r="L88" s="43" t="n">
        <v>18603</v>
      </c>
      <c r="M88" s="43" t="n">
        <v>7755</v>
      </c>
      <c r="N88" s="43" t="n">
        <v>26614</v>
      </c>
      <c r="O88" s="44">
        <f>IFERROR((F88-G88)/(F88+G88),"")</f>
        <v/>
      </c>
      <c r="P88" s="44">
        <f>IFERROR((I88-J88)/(I88+J88),"")</f>
        <v/>
      </c>
      <c r="Q88" s="45">
        <f>IFERROR(O88-P88,"")</f>
        <v/>
      </c>
      <c r="R88" s="44">
        <f>IFERROR((L88-M88)/(L88+M88),"")</f>
        <v/>
      </c>
      <c r="S88" s="46">
        <f>H88/SUMIFS(Counties!$H$2:$H$1583,Counties!$A$2:$A$1583,$A88)</f>
        <v/>
      </c>
      <c r="T88" s="44">
        <f>O88+INDEX(Dashboard!$F$6:$F$22,MATCH($A88,Dashboard!$A$6:$A$22,0))</f>
        <v/>
      </c>
      <c r="U88" s="43">
        <f>AQ88*INDEX(Dashboard!$G$6:$G$22,MATCH($A88,Dashboard!$A$6:$A$22,0))</f>
        <v/>
      </c>
      <c r="V88" s="47" t="n"/>
      <c r="W88" s="47" t="n"/>
      <c r="X88" s="47" t="n"/>
      <c r="Y88" s="48" t="n"/>
      <c r="Z88" s="49" t="n"/>
      <c r="AA88" s="49" t="n"/>
      <c r="AB88" s="49" t="n"/>
      <c r="AC88" s="50" t="n"/>
      <c r="AD88" s="43">
        <f>IF(Z88&lt;&gt;"",Z88,N(V88))</f>
        <v/>
      </c>
      <c r="AE88" s="43">
        <f>IF(AA88&lt;&gt;"",AA88,N(W88))</f>
        <v/>
      </c>
      <c r="AF88" s="43">
        <f>AD88+AE88</f>
        <v/>
      </c>
      <c r="AG88" s="42">
        <f>IF(UPPER(AC88)="Y",1,IF(AF88=0,0,IF(AND(Z88="",Y88&lt;&gt;""),IF(Y88&gt;=0.999,1,0),IF(AF88&gt;=U88,1,0))))</f>
        <v/>
      </c>
      <c r="AH88" s="44">
        <f>IF(AF88&gt;0,(AD88-AE88)/AF88,"")</f>
        <v/>
      </c>
      <c r="AI88" s="45">
        <f>IF(AG88=1,AH88-O88,"")</f>
        <v/>
      </c>
      <c r="AJ88" s="44">
        <f>IF(AG88=1,AH88,MAX(-1,MIN(1,O88+INDEX(Types!$H:$H,MATCH($A88&amp;"|"&amp;$D88,Types!$A:$A,0)))))</f>
        <v/>
      </c>
      <c r="AK88" s="43">
        <f>IF(AG88=1,AF88,MAX(AQ88*AS88,AF88))</f>
        <v/>
      </c>
      <c r="AL88" s="43">
        <f>IF(AG88=1,AD88,AK88*(1+AJ88)/2)</f>
        <v/>
      </c>
      <c r="AM88" s="43">
        <f>IF(AG88=1,AE88,AK88*(1-AJ88)/2)</f>
        <v/>
      </c>
      <c r="AN88" s="45">
        <f>IF(AH88="","",AH88-T88)</f>
        <v/>
      </c>
      <c r="AO88" s="51">
        <f>IF(AG88=1,1,IF(U88&gt;0,MIN(AF88/U88,0.99),0))</f>
        <v/>
      </c>
      <c r="AP88" s="43">
        <f>IF(AG88=1,AI88*AF88,0)</f>
        <v/>
      </c>
      <c r="AQ88" s="43">
        <f>N88*(F88+G88)/H88</f>
        <v/>
      </c>
      <c r="AR88" s="43">
        <f>O88*AQ88</f>
        <v/>
      </c>
      <c r="AS88" s="52">
        <f>IF(AG88=1,IF(AQ88&gt;0,AF88/AQ88,1),IFERROR(INDEX(Types!$K:$K,MATCH($A88&amp;"|"&amp;$D88,Types!$A:$A,0)),INDEX(Dashboard!$X$6:$X$22,MATCH($A88,Dashboard!$A$6:$A$22,0))))</f>
        <v/>
      </c>
      <c r="AT88" s="43">
        <f>AQ88*INDEX(Dashboard!$Y$6:$Y$22,MATCH($A88,Dashboard!$A$6:$A$22,0))</f>
        <v/>
      </c>
      <c r="AU88" s="53">
        <f>IF(AND(AG88=1,AT88&gt;0,AF88&gt;0),100*AF88/AT88,"")</f>
        <v/>
      </c>
      <c r="AV88" s="44">
        <f>IF(AU88="","",T88/(AU88/100))</f>
        <v/>
      </c>
      <c r="AW88" s="53">
        <f>IF(AU88="","",IF(AND(ABS(AH88)&gt;=0.1,ABS(T88)&gt;=0.05,SIGN(AH88)=SIGN(T88)),100*T88/AH88,""))</f>
        <v/>
      </c>
      <c r="AX88" s="45">
        <f>IF(AU88="","",T88-AV88)</f>
        <v/>
      </c>
      <c r="AY88" s="45">
        <f>IF(AU88="","",AH88-AV88)</f>
        <v/>
      </c>
      <c r="AZ88" s="54">
        <f>(AL88-AM88)-T88*AT88</f>
        <v/>
      </c>
      <c r="BA88" s="43">
        <f>IF(AU88="",0,(AH88-T88)*AF88)</f>
        <v/>
      </c>
      <c r="BB88" s="43">
        <f>IF(AU88="",0,T88*(AF88-AT88))</f>
        <v/>
      </c>
      <c r="BC88" s="51" t="n">
        <v>0.7128198923104846</v>
      </c>
      <c r="BD88" s="51" t="n">
        <v>0.03448484481819832</v>
      </c>
      <c r="BE88" s="51" t="n">
        <v>0.2323826879271071</v>
      </c>
      <c r="BF88" s="43" t="n">
        <v>82645</v>
      </c>
    </row>
    <row r="89">
      <c r="A89" s="42" t="inlineStr">
        <is>
          <t>GA</t>
        </is>
      </c>
      <c r="B89" s="42" t="inlineStr">
        <is>
          <t>13097</t>
        </is>
      </c>
      <c r="C89" s="42" t="inlineStr">
        <is>
          <t>Douglas</t>
        </is>
      </c>
      <c r="D89" s="42" t="inlineStr">
        <is>
          <t>Black Belt</t>
        </is>
      </c>
      <c r="E89" s="42" t="inlineStr"/>
      <c r="F89" s="43" t="n">
        <v>46240</v>
      </c>
      <c r="G89" s="43" t="n">
        <v>23996</v>
      </c>
      <c r="H89" s="43" t="n">
        <v>70721</v>
      </c>
      <c r="I89" s="43" t="n">
        <v>42814</v>
      </c>
      <c r="J89" s="43" t="n">
        <v>25454</v>
      </c>
      <c r="K89" s="42" t="inlineStr">
        <is>
          <t>US Senate</t>
        </is>
      </c>
      <c r="L89" s="43" t="n">
        <v>34158</v>
      </c>
      <c r="M89" s="43" t="n">
        <v>17589</v>
      </c>
      <c r="N89" s="43" t="n">
        <v>52746</v>
      </c>
      <c r="O89" s="44">
        <f>IFERROR((F89-G89)/(F89+G89),"")</f>
        <v/>
      </c>
      <c r="P89" s="44">
        <f>IFERROR((I89-J89)/(I89+J89),"")</f>
        <v/>
      </c>
      <c r="Q89" s="45">
        <f>IFERROR(O89-P89,"")</f>
        <v/>
      </c>
      <c r="R89" s="44">
        <f>IFERROR((L89-M89)/(L89+M89),"")</f>
        <v/>
      </c>
      <c r="S89" s="46">
        <f>H89/SUMIFS(Counties!$H$2:$H$1583,Counties!$A$2:$A$1583,$A89)</f>
        <v/>
      </c>
      <c r="T89" s="44">
        <f>O89+INDEX(Dashboard!$F$6:$F$22,MATCH($A89,Dashboard!$A$6:$A$22,0))</f>
        <v/>
      </c>
      <c r="U89" s="43">
        <f>AQ89*INDEX(Dashboard!$G$6:$G$22,MATCH($A89,Dashboard!$A$6:$A$22,0))</f>
        <v/>
      </c>
      <c r="V89" s="47" t="n"/>
      <c r="W89" s="47" t="n"/>
      <c r="X89" s="47" t="n"/>
      <c r="Y89" s="48" t="n"/>
      <c r="Z89" s="49" t="n"/>
      <c r="AA89" s="49" t="n"/>
      <c r="AB89" s="49" t="n"/>
      <c r="AC89" s="50" t="n"/>
      <c r="AD89" s="43">
        <f>IF(Z89&lt;&gt;"",Z89,N(V89))</f>
        <v/>
      </c>
      <c r="AE89" s="43">
        <f>IF(AA89&lt;&gt;"",AA89,N(W89))</f>
        <v/>
      </c>
      <c r="AF89" s="43">
        <f>AD89+AE89</f>
        <v/>
      </c>
      <c r="AG89" s="42">
        <f>IF(UPPER(AC89)="Y",1,IF(AF89=0,0,IF(AND(Z89="",Y89&lt;&gt;""),IF(Y89&gt;=0.999,1,0),IF(AF89&gt;=U89,1,0))))</f>
        <v/>
      </c>
      <c r="AH89" s="44">
        <f>IF(AF89&gt;0,(AD89-AE89)/AF89,"")</f>
        <v/>
      </c>
      <c r="AI89" s="45">
        <f>IF(AG89=1,AH89-O89,"")</f>
        <v/>
      </c>
      <c r="AJ89" s="44">
        <f>IF(AG89=1,AH89,MAX(-1,MIN(1,O89+INDEX(Types!$H:$H,MATCH($A89&amp;"|"&amp;$D89,Types!$A:$A,0)))))</f>
        <v/>
      </c>
      <c r="AK89" s="43">
        <f>IF(AG89=1,AF89,MAX(AQ89*AS89,AF89))</f>
        <v/>
      </c>
      <c r="AL89" s="43">
        <f>IF(AG89=1,AD89,AK89*(1+AJ89)/2)</f>
        <v/>
      </c>
      <c r="AM89" s="43">
        <f>IF(AG89=1,AE89,AK89*(1-AJ89)/2)</f>
        <v/>
      </c>
      <c r="AN89" s="45">
        <f>IF(AH89="","",AH89-T89)</f>
        <v/>
      </c>
      <c r="AO89" s="51">
        <f>IF(AG89=1,1,IF(U89&gt;0,MIN(AF89/U89,0.99),0))</f>
        <v/>
      </c>
      <c r="AP89" s="43">
        <f>IF(AG89=1,AI89*AF89,0)</f>
        <v/>
      </c>
      <c r="AQ89" s="43">
        <f>N89*(F89+G89)/H89</f>
        <v/>
      </c>
      <c r="AR89" s="43">
        <f>O89*AQ89</f>
        <v/>
      </c>
      <c r="AS89" s="52">
        <f>IF(AG89=1,IF(AQ89&gt;0,AF89/AQ89,1),IFERROR(INDEX(Types!$K:$K,MATCH($A89&amp;"|"&amp;$D89,Types!$A:$A,0)),INDEX(Dashboard!$X$6:$X$22,MATCH($A89,Dashboard!$A$6:$A$22,0))))</f>
        <v/>
      </c>
      <c r="AT89" s="43">
        <f>AQ89*INDEX(Dashboard!$Y$6:$Y$22,MATCH($A89,Dashboard!$A$6:$A$22,0))</f>
        <v/>
      </c>
      <c r="AU89" s="53">
        <f>IF(AND(AG89=1,AT89&gt;0,AF89&gt;0),100*AF89/AT89,"")</f>
        <v/>
      </c>
      <c r="AV89" s="44">
        <f>IF(AU89="","",T89/(AU89/100))</f>
        <v/>
      </c>
      <c r="AW89" s="53">
        <f>IF(AU89="","",IF(AND(ABS(AH89)&gt;=0.1,ABS(T89)&gt;=0.05,SIGN(AH89)=SIGN(T89)),100*T89/AH89,""))</f>
        <v/>
      </c>
      <c r="AX89" s="45">
        <f>IF(AU89="","",T89-AV89)</f>
        <v/>
      </c>
      <c r="AY89" s="45">
        <f>IF(AU89="","",AH89-AV89)</f>
        <v/>
      </c>
      <c r="AZ89" s="54">
        <f>(AL89-AM89)-T89*AT89</f>
        <v/>
      </c>
      <c r="BA89" s="43">
        <f>IF(AU89="",0,(AH89-T89)*AF89)</f>
        <v/>
      </c>
      <c r="BB89" s="43">
        <f>IF(AU89="",0,T89*(AF89-AT89))</f>
        <v/>
      </c>
      <c r="BC89" s="51" t="n">
        <v>0.5261531241619737</v>
      </c>
      <c r="BD89" s="51" t="n">
        <v>0.1267095736122285</v>
      </c>
      <c r="BE89" s="51" t="n">
        <v>0.3080470153251473</v>
      </c>
      <c r="BF89" s="43" t="n">
        <v>149160</v>
      </c>
    </row>
    <row r="90">
      <c r="A90" s="42" t="inlineStr">
        <is>
          <t>GA</t>
        </is>
      </c>
      <c r="B90" s="42" t="inlineStr">
        <is>
          <t>13099</t>
        </is>
      </c>
      <c r="C90" s="42" t="inlineStr">
        <is>
          <t>Early</t>
        </is>
      </c>
      <c r="D90" s="42" t="inlineStr">
        <is>
          <t>Black Belt</t>
        </is>
      </c>
      <c r="E90" s="42" t="inlineStr"/>
      <c r="F90" s="43" t="n">
        <v>2158</v>
      </c>
      <c r="G90" s="43" t="n">
        <v>2718</v>
      </c>
      <c r="H90" s="43" t="n">
        <v>4879</v>
      </c>
      <c r="I90" s="43" t="n">
        <v>2450</v>
      </c>
      <c r="J90" s="43" t="n">
        <v>2710</v>
      </c>
      <c r="K90" s="42" t="inlineStr">
        <is>
          <t>US Senate</t>
        </is>
      </c>
      <c r="L90" s="43" t="n">
        <v>1650</v>
      </c>
      <c r="M90" s="43" t="n">
        <v>2209</v>
      </c>
      <c r="N90" s="43" t="n">
        <v>3887</v>
      </c>
      <c r="O90" s="44">
        <f>IFERROR((F90-G90)/(F90+G90),"")</f>
        <v/>
      </c>
      <c r="P90" s="44">
        <f>IFERROR((I90-J90)/(I90+J90),"")</f>
        <v/>
      </c>
      <c r="Q90" s="45">
        <f>IFERROR(O90-P90,"")</f>
        <v/>
      </c>
      <c r="R90" s="44">
        <f>IFERROR((L90-M90)/(L90+M90),"")</f>
        <v/>
      </c>
      <c r="S90" s="46">
        <f>H90/SUMIFS(Counties!$H$2:$H$1583,Counties!$A$2:$A$1583,$A90)</f>
        <v/>
      </c>
      <c r="T90" s="44">
        <f>O90+INDEX(Dashboard!$F$6:$F$22,MATCH($A90,Dashboard!$A$6:$A$22,0))</f>
        <v/>
      </c>
      <c r="U90" s="43">
        <f>AQ90*INDEX(Dashboard!$G$6:$G$22,MATCH($A90,Dashboard!$A$6:$A$22,0))</f>
        <v/>
      </c>
      <c r="V90" s="47" t="n"/>
      <c r="W90" s="47" t="n"/>
      <c r="X90" s="47" t="n"/>
      <c r="Y90" s="48" t="n"/>
      <c r="Z90" s="49" t="n"/>
      <c r="AA90" s="49" t="n"/>
      <c r="AB90" s="49" t="n"/>
      <c r="AC90" s="50" t="n"/>
      <c r="AD90" s="43">
        <f>IF(Z90&lt;&gt;"",Z90,N(V90))</f>
        <v/>
      </c>
      <c r="AE90" s="43">
        <f>IF(AA90&lt;&gt;"",AA90,N(W90))</f>
        <v/>
      </c>
      <c r="AF90" s="43">
        <f>AD90+AE90</f>
        <v/>
      </c>
      <c r="AG90" s="42">
        <f>IF(UPPER(AC90)="Y",1,IF(AF90=0,0,IF(AND(Z90="",Y90&lt;&gt;""),IF(Y90&gt;=0.999,1,0),IF(AF90&gt;=U90,1,0))))</f>
        <v/>
      </c>
      <c r="AH90" s="44">
        <f>IF(AF90&gt;0,(AD90-AE90)/AF90,"")</f>
        <v/>
      </c>
      <c r="AI90" s="45">
        <f>IF(AG90=1,AH90-O90,"")</f>
        <v/>
      </c>
      <c r="AJ90" s="44">
        <f>IF(AG90=1,AH90,MAX(-1,MIN(1,O90+INDEX(Types!$H:$H,MATCH($A90&amp;"|"&amp;$D90,Types!$A:$A,0)))))</f>
        <v/>
      </c>
      <c r="AK90" s="43">
        <f>IF(AG90=1,AF90,MAX(AQ90*AS90,AF90))</f>
        <v/>
      </c>
      <c r="AL90" s="43">
        <f>IF(AG90=1,AD90,AK90*(1+AJ90)/2)</f>
        <v/>
      </c>
      <c r="AM90" s="43">
        <f>IF(AG90=1,AE90,AK90*(1-AJ90)/2)</f>
        <v/>
      </c>
      <c r="AN90" s="45">
        <f>IF(AH90="","",AH90-T90)</f>
        <v/>
      </c>
      <c r="AO90" s="51">
        <f>IF(AG90=1,1,IF(U90&gt;0,MIN(AF90/U90,0.99),0))</f>
        <v/>
      </c>
      <c r="AP90" s="43">
        <f>IF(AG90=1,AI90*AF90,0)</f>
        <v/>
      </c>
      <c r="AQ90" s="43">
        <f>N90*(F90+G90)/H90</f>
        <v/>
      </c>
      <c r="AR90" s="43">
        <f>O90*AQ90</f>
        <v/>
      </c>
      <c r="AS90" s="52">
        <f>IF(AG90=1,IF(AQ90&gt;0,AF90/AQ90,1),IFERROR(INDEX(Types!$K:$K,MATCH($A90&amp;"|"&amp;$D90,Types!$A:$A,0)),INDEX(Dashboard!$X$6:$X$22,MATCH($A90,Dashboard!$A$6:$A$22,0))))</f>
        <v/>
      </c>
      <c r="AT90" s="43">
        <f>AQ90*INDEX(Dashboard!$Y$6:$Y$22,MATCH($A90,Dashboard!$A$6:$A$22,0))</f>
        <v/>
      </c>
      <c r="AU90" s="53">
        <f>IF(AND(AG90=1,AT90&gt;0,AF90&gt;0),100*AF90/AT90,"")</f>
        <v/>
      </c>
      <c r="AV90" s="44">
        <f>IF(AU90="","",T90/(AU90/100))</f>
        <v/>
      </c>
      <c r="AW90" s="53">
        <f>IF(AU90="","",IF(AND(ABS(AH90)&gt;=0.1,ABS(T90)&gt;=0.05,SIGN(AH90)=SIGN(T90)),100*T90/AH90,""))</f>
        <v/>
      </c>
      <c r="AX90" s="45">
        <f>IF(AU90="","",T90-AV90)</f>
        <v/>
      </c>
      <c r="AY90" s="45">
        <f>IF(AU90="","",AH90-AV90)</f>
        <v/>
      </c>
      <c r="AZ90" s="54">
        <f>(AL90-AM90)-T90*AT90</f>
        <v/>
      </c>
      <c r="BA90" s="43">
        <f>IF(AU90="",0,(AH90-T90)*AF90)</f>
        <v/>
      </c>
      <c r="BB90" s="43">
        <f>IF(AU90="",0,T90*(AF90-AT90))</f>
        <v/>
      </c>
      <c r="BC90" s="51" t="n">
        <v>0.5201173908927388</v>
      </c>
      <c r="BD90" s="51" t="n">
        <v>0.02253147779986746</v>
      </c>
      <c r="BE90" s="51" t="n">
        <v>0.1610508280982296</v>
      </c>
      <c r="BF90" s="43" t="n">
        <v>10563</v>
      </c>
    </row>
    <row r="91">
      <c r="A91" s="42" t="inlineStr">
        <is>
          <t>GA</t>
        </is>
      </c>
      <c r="B91" s="42" t="inlineStr">
        <is>
          <t>13101</t>
        </is>
      </c>
      <c r="C91" s="42" t="inlineStr">
        <is>
          <t>Echols</t>
        </is>
      </c>
      <c r="D91" s="42" t="inlineStr">
        <is>
          <t>Small town &amp; rural</t>
        </is>
      </c>
      <c r="E91" s="42" t="inlineStr"/>
      <c r="F91" s="43" t="n">
        <v>127</v>
      </c>
      <c r="G91" s="43" t="n">
        <v>1307</v>
      </c>
      <c r="H91" s="43" t="n">
        <v>1438</v>
      </c>
      <c r="I91" s="43" t="n">
        <v>167</v>
      </c>
      <c r="J91" s="43" t="n">
        <v>1256</v>
      </c>
      <c r="K91" s="42" t="inlineStr">
        <is>
          <t>US Senate</t>
        </is>
      </c>
      <c r="L91" s="43" t="n">
        <v>100</v>
      </c>
      <c r="M91" s="43" t="n">
        <v>937</v>
      </c>
      <c r="N91" s="43" t="n">
        <v>1060</v>
      </c>
      <c r="O91" s="44">
        <f>IFERROR((F91-G91)/(F91+G91),"")</f>
        <v/>
      </c>
      <c r="P91" s="44">
        <f>IFERROR((I91-J91)/(I91+J91),"")</f>
        <v/>
      </c>
      <c r="Q91" s="45">
        <f>IFERROR(O91-P91,"")</f>
        <v/>
      </c>
      <c r="R91" s="44">
        <f>IFERROR((L91-M91)/(L91+M91),"")</f>
        <v/>
      </c>
      <c r="S91" s="46">
        <f>H91/SUMIFS(Counties!$H$2:$H$1583,Counties!$A$2:$A$1583,$A91)</f>
        <v/>
      </c>
      <c r="T91" s="44">
        <f>O91+INDEX(Dashboard!$F$6:$F$22,MATCH($A91,Dashboard!$A$6:$A$22,0))</f>
        <v/>
      </c>
      <c r="U91" s="43">
        <f>AQ91*INDEX(Dashboard!$G$6:$G$22,MATCH($A91,Dashboard!$A$6:$A$22,0))</f>
        <v/>
      </c>
      <c r="V91" s="47" t="n"/>
      <c r="W91" s="47" t="n"/>
      <c r="X91" s="47" t="n"/>
      <c r="Y91" s="48" t="n"/>
      <c r="Z91" s="49" t="n"/>
      <c r="AA91" s="49" t="n"/>
      <c r="AB91" s="49" t="n"/>
      <c r="AC91" s="50" t="n"/>
      <c r="AD91" s="43">
        <f>IF(Z91&lt;&gt;"",Z91,N(V91))</f>
        <v/>
      </c>
      <c r="AE91" s="43">
        <f>IF(AA91&lt;&gt;"",AA91,N(W91))</f>
        <v/>
      </c>
      <c r="AF91" s="43">
        <f>AD91+AE91</f>
        <v/>
      </c>
      <c r="AG91" s="42">
        <f>IF(UPPER(AC91)="Y",1,IF(AF91=0,0,IF(AND(Z91="",Y91&lt;&gt;""),IF(Y91&gt;=0.999,1,0),IF(AF91&gt;=U91,1,0))))</f>
        <v/>
      </c>
      <c r="AH91" s="44">
        <f>IF(AF91&gt;0,(AD91-AE91)/AF91,"")</f>
        <v/>
      </c>
      <c r="AI91" s="45">
        <f>IF(AG91=1,AH91-O91,"")</f>
        <v/>
      </c>
      <c r="AJ91" s="44">
        <f>IF(AG91=1,AH91,MAX(-1,MIN(1,O91+INDEX(Types!$H:$H,MATCH($A91&amp;"|"&amp;$D91,Types!$A:$A,0)))))</f>
        <v/>
      </c>
      <c r="AK91" s="43">
        <f>IF(AG91=1,AF91,MAX(AQ91*AS91,AF91))</f>
        <v/>
      </c>
      <c r="AL91" s="43">
        <f>IF(AG91=1,AD91,AK91*(1+AJ91)/2)</f>
        <v/>
      </c>
      <c r="AM91" s="43">
        <f>IF(AG91=1,AE91,AK91*(1-AJ91)/2)</f>
        <v/>
      </c>
      <c r="AN91" s="45">
        <f>IF(AH91="","",AH91-T91)</f>
        <v/>
      </c>
      <c r="AO91" s="51">
        <f>IF(AG91=1,1,IF(U91&gt;0,MIN(AF91/U91,0.99),0))</f>
        <v/>
      </c>
      <c r="AP91" s="43">
        <f>IF(AG91=1,AI91*AF91,0)</f>
        <v/>
      </c>
      <c r="AQ91" s="43">
        <f>N91*(F91+G91)/H91</f>
        <v/>
      </c>
      <c r="AR91" s="43">
        <f>O91*AQ91</f>
        <v/>
      </c>
      <c r="AS91" s="52">
        <f>IF(AG91=1,IF(AQ91&gt;0,AF91/AQ91,1),IFERROR(INDEX(Types!$K:$K,MATCH($A91&amp;"|"&amp;$D91,Types!$A:$A,0)),INDEX(Dashboard!$X$6:$X$22,MATCH($A91,Dashboard!$A$6:$A$22,0))))</f>
        <v/>
      </c>
      <c r="AT91" s="43">
        <f>AQ91*INDEX(Dashboard!$Y$6:$Y$22,MATCH($A91,Dashboard!$A$6:$A$22,0))</f>
        <v/>
      </c>
      <c r="AU91" s="53">
        <f>IF(AND(AG91=1,AT91&gt;0,AF91&gt;0),100*AF91/AT91,"")</f>
        <v/>
      </c>
      <c r="AV91" s="44">
        <f>IF(AU91="","",T91/(AU91/100))</f>
        <v/>
      </c>
      <c r="AW91" s="53">
        <f>IF(AU91="","",IF(AND(ABS(AH91)&gt;=0.1,ABS(T91)&gt;=0.05,SIGN(AH91)=SIGN(T91)),100*T91/AH91,""))</f>
        <v/>
      </c>
      <c r="AX91" s="45">
        <f>IF(AU91="","",T91-AV91)</f>
        <v/>
      </c>
      <c r="AY91" s="45">
        <f>IF(AU91="","",AH91-AV91)</f>
        <v/>
      </c>
      <c r="AZ91" s="54">
        <f>(AL91-AM91)-T91*AT91</f>
        <v/>
      </c>
      <c r="BA91" s="43">
        <f>IF(AU91="",0,(AH91-T91)*AF91)</f>
        <v/>
      </c>
      <c r="BB91" s="43">
        <f>IF(AU91="",0,T91*(AF91-AT91))</f>
        <v/>
      </c>
      <c r="BC91" s="51" t="n">
        <v>0.06282016716095983</v>
      </c>
      <c r="BD91" s="51" t="n">
        <v>0.3043947155567538</v>
      </c>
      <c r="BE91" s="51" t="n">
        <v>0.1440972222222222</v>
      </c>
      <c r="BF91" s="43" t="n">
        <v>3709</v>
      </c>
    </row>
    <row r="92">
      <c r="A92" s="42" t="inlineStr">
        <is>
          <t>GA</t>
        </is>
      </c>
      <c r="B92" s="42" t="inlineStr">
        <is>
          <t>13103</t>
        </is>
      </c>
      <c r="C92" s="42" t="inlineStr">
        <is>
          <t>Effingham</t>
        </is>
      </c>
      <c r="D92" s="42" t="inlineStr">
        <is>
          <t>Small town &amp; rural</t>
        </is>
      </c>
      <c r="E92" s="42" t="inlineStr"/>
      <c r="F92" s="43" t="n">
        <v>9144</v>
      </c>
      <c r="G92" s="43" t="n">
        <v>26943</v>
      </c>
      <c r="H92" s="43" t="n">
        <v>36244</v>
      </c>
      <c r="I92" s="43" t="n">
        <v>7718</v>
      </c>
      <c r="J92" s="43" t="n">
        <v>23361</v>
      </c>
      <c r="K92" s="42" t="inlineStr">
        <is>
          <t>US Senate</t>
        </is>
      </c>
      <c r="L92" s="43" t="n">
        <v>6473</v>
      </c>
      <c r="M92" s="43" t="n">
        <v>18231</v>
      </c>
      <c r="N92" s="43" t="n">
        <v>25308</v>
      </c>
      <c r="O92" s="44">
        <f>IFERROR((F92-G92)/(F92+G92),"")</f>
        <v/>
      </c>
      <c r="P92" s="44">
        <f>IFERROR((I92-J92)/(I92+J92),"")</f>
        <v/>
      </c>
      <c r="Q92" s="45">
        <f>IFERROR(O92-P92,"")</f>
        <v/>
      </c>
      <c r="R92" s="44">
        <f>IFERROR((L92-M92)/(L92+M92),"")</f>
        <v/>
      </c>
      <c r="S92" s="46">
        <f>H92/SUMIFS(Counties!$H$2:$H$1583,Counties!$A$2:$A$1583,$A92)</f>
        <v/>
      </c>
      <c r="T92" s="44">
        <f>O92+INDEX(Dashboard!$F$6:$F$22,MATCH($A92,Dashboard!$A$6:$A$22,0))</f>
        <v/>
      </c>
      <c r="U92" s="43">
        <f>AQ92*INDEX(Dashboard!$G$6:$G$22,MATCH($A92,Dashboard!$A$6:$A$22,0))</f>
        <v/>
      </c>
      <c r="V92" s="47" t="n"/>
      <c r="W92" s="47" t="n"/>
      <c r="X92" s="47" t="n"/>
      <c r="Y92" s="48" t="n"/>
      <c r="Z92" s="49" t="n"/>
      <c r="AA92" s="49" t="n"/>
      <c r="AB92" s="49" t="n"/>
      <c r="AC92" s="50" t="n"/>
      <c r="AD92" s="43">
        <f>IF(Z92&lt;&gt;"",Z92,N(V92))</f>
        <v/>
      </c>
      <c r="AE92" s="43">
        <f>IF(AA92&lt;&gt;"",AA92,N(W92))</f>
        <v/>
      </c>
      <c r="AF92" s="43">
        <f>AD92+AE92</f>
        <v/>
      </c>
      <c r="AG92" s="42">
        <f>IF(UPPER(AC92)="Y",1,IF(AF92=0,0,IF(AND(Z92="",Y92&lt;&gt;""),IF(Y92&gt;=0.999,1,0),IF(AF92&gt;=U92,1,0))))</f>
        <v/>
      </c>
      <c r="AH92" s="44">
        <f>IF(AF92&gt;0,(AD92-AE92)/AF92,"")</f>
        <v/>
      </c>
      <c r="AI92" s="45">
        <f>IF(AG92=1,AH92-O92,"")</f>
        <v/>
      </c>
      <c r="AJ92" s="44">
        <f>IF(AG92=1,AH92,MAX(-1,MIN(1,O92+INDEX(Types!$H:$H,MATCH($A92&amp;"|"&amp;$D92,Types!$A:$A,0)))))</f>
        <v/>
      </c>
      <c r="AK92" s="43">
        <f>IF(AG92=1,AF92,MAX(AQ92*AS92,AF92))</f>
        <v/>
      </c>
      <c r="AL92" s="43">
        <f>IF(AG92=1,AD92,AK92*(1+AJ92)/2)</f>
        <v/>
      </c>
      <c r="AM92" s="43">
        <f>IF(AG92=1,AE92,AK92*(1-AJ92)/2)</f>
        <v/>
      </c>
      <c r="AN92" s="45">
        <f>IF(AH92="","",AH92-T92)</f>
        <v/>
      </c>
      <c r="AO92" s="51">
        <f>IF(AG92=1,1,IF(U92&gt;0,MIN(AF92/U92,0.99),0))</f>
        <v/>
      </c>
      <c r="AP92" s="43">
        <f>IF(AG92=1,AI92*AF92,0)</f>
        <v/>
      </c>
      <c r="AQ92" s="43">
        <f>N92*(F92+G92)/H92</f>
        <v/>
      </c>
      <c r="AR92" s="43">
        <f>O92*AQ92</f>
        <v/>
      </c>
      <c r="AS92" s="52">
        <f>IF(AG92=1,IF(AQ92&gt;0,AF92/AQ92,1),IFERROR(INDEX(Types!$K:$K,MATCH($A92&amp;"|"&amp;$D92,Types!$A:$A,0)),INDEX(Dashboard!$X$6:$X$22,MATCH($A92,Dashboard!$A$6:$A$22,0))))</f>
        <v/>
      </c>
      <c r="AT92" s="43">
        <f>AQ92*INDEX(Dashboard!$Y$6:$Y$22,MATCH($A92,Dashboard!$A$6:$A$22,0))</f>
        <v/>
      </c>
      <c r="AU92" s="53">
        <f>IF(AND(AG92=1,AT92&gt;0,AF92&gt;0),100*AF92/AT92,"")</f>
        <v/>
      </c>
      <c r="AV92" s="44">
        <f>IF(AU92="","",T92/(AU92/100))</f>
        <v/>
      </c>
      <c r="AW92" s="53">
        <f>IF(AU92="","",IF(AND(ABS(AH92)&gt;=0.1,ABS(T92)&gt;=0.05,SIGN(AH92)=SIGN(T92)),100*T92/AH92,""))</f>
        <v/>
      </c>
      <c r="AX92" s="45">
        <f>IF(AU92="","",T92-AV92)</f>
        <v/>
      </c>
      <c r="AY92" s="45">
        <f>IF(AU92="","",AH92-AV92)</f>
        <v/>
      </c>
      <c r="AZ92" s="54">
        <f>(AL92-AM92)-T92*AT92</f>
        <v/>
      </c>
      <c r="BA92" s="43">
        <f>IF(AU92="",0,(AH92-T92)*AF92)</f>
        <v/>
      </c>
      <c r="BB92" s="43">
        <f>IF(AU92="",0,T92*(AF92-AT92))</f>
        <v/>
      </c>
      <c r="BC92" s="51" t="n">
        <v>0.1580072965152849</v>
      </c>
      <c r="BD92" s="51" t="n">
        <v>0.07125983701653597</v>
      </c>
      <c r="BE92" s="51" t="n">
        <v>0.2679779985966183</v>
      </c>
      <c r="BF92" s="43" t="n">
        <v>71541</v>
      </c>
    </row>
    <row r="93">
      <c r="A93" s="42" t="inlineStr">
        <is>
          <t>GA</t>
        </is>
      </c>
      <c r="B93" s="42" t="inlineStr">
        <is>
          <t>13105</t>
        </is>
      </c>
      <c r="C93" s="42" t="inlineStr">
        <is>
          <t>Elbert</t>
        </is>
      </c>
      <c r="D93" s="42" t="inlineStr">
        <is>
          <t>Small town &amp; rural</t>
        </is>
      </c>
      <c r="E93" s="42" t="inlineStr"/>
      <c r="F93" s="43" t="n">
        <v>2700</v>
      </c>
      <c r="G93" s="43" t="n">
        <v>6860</v>
      </c>
      <c r="H93" s="43" t="n">
        <v>9589</v>
      </c>
      <c r="I93" s="43" t="n">
        <v>2879</v>
      </c>
      <c r="J93" s="43" t="n">
        <v>6226</v>
      </c>
      <c r="K93" s="42" t="inlineStr">
        <is>
          <t>US Senate</t>
        </is>
      </c>
      <c r="L93" s="43" t="n">
        <v>2077</v>
      </c>
      <c r="M93" s="43" t="n">
        <v>5135</v>
      </c>
      <c r="N93" s="43" t="n">
        <v>7302</v>
      </c>
      <c r="O93" s="44">
        <f>IFERROR((F93-G93)/(F93+G93),"")</f>
        <v/>
      </c>
      <c r="P93" s="44">
        <f>IFERROR((I93-J93)/(I93+J93),"")</f>
        <v/>
      </c>
      <c r="Q93" s="45">
        <f>IFERROR(O93-P93,"")</f>
        <v/>
      </c>
      <c r="R93" s="44">
        <f>IFERROR((L93-M93)/(L93+M93),"")</f>
        <v/>
      </c>
      <c r="S93" s="46">
        <f>H93/SUMIFS(Counties!$H$2:$H$1583,Counties!$A$2:$A$1583,$A93)</f>
        <v/>
      </c>
      <c r="T93" s="44">
        <f>O93+INDEX(Dashboard!$F$6:$F$22,MATCH($A93,Dashboard!$A$6:$A$22,0))</f>
        <v/>
      </c>
      <c r="U93" s="43">
        <f>AQ93*INDEX(Dashboard!$G$6:$G$22,MATCH($A93,Dashboard!$A$6:$A$22,0))</f>
        <v/>
      </c>
      <c r="V93" s="47" t="n"/>
      <c r="W93" s="47" t="n"/>
      <c r="X93" s="47" t="n"/>
      <c r="Y93" s="48" t="n"/>
      <c r="Z93" s="49" t="n"/>
      <c r="AA93" s="49" t="n"/>
      <c r="AB93" s="49" t="n"/>
      <c r="AC93" s="50" t="n"/>
      <c r="AD93" s="43">
        <f>IF(Z93&lt;&gt;"",Z93,N(V93))</f>
        <v/>
      </c>
      <c r="AE93" s="43">
        <f>IF(AA93&lt;&gt;"",AA93,N(W93))</f>
        <v/>
      </c>
      <c r="AF93" s="43">
        <f>AD93+AE93</f>
        <v/>
      </c>
      <c r="AG93" s="42">
        <f>IF(UPPER(AC93)="Y",1,IF(AF93=0,0,IF(AND(Z93="",Y93&lt;&gt;""),IF(Y93&gt;=0.999,1,0),IF(AF93&gt;=U93,1,0))))</f>
        <v/>
      </c>
      <c r="AH93" s="44">
        <f>IF(AF93&gt;0,(AD93-AE93)/AF93,"")</f>
        <v/>
      </c>
      <c r="AI93" s="45">
        <f>IF(AG93=1,AH93-O93,"")</f>
        <v/>
      </c>
      <c r="AJ93" s="44">
        <f>IF(AG93=1,AH93,MAX(-1,MIN(1,O93+INDEX(Types!$H:$H,MATCH($A93&amp;"|"&amp;$D93,Types!$A:$A,0)))))</f>
        <v/>
      </c>
      <c r="AK93" s="43">
        <f>IF(AG93=1,AF93,MAX(AQ93*AS93,AF93))</f>
        <v/>
      </c>
      <c r="AL93" s="43">
        <f>IF(AG93=1,AD93,AK93*(1+AJ93)/2)</f>
        <v/>
      </c>
      <c r="AM93" s="43">
        <f>IF(AG93=1,AE93,AK93*(1-AJ93)/2)</f>
        <v/>
      </c>
      <c r="AN93" s="45">
        <f>IF(AH93="","",AH93-T93)</f>
        <v/>
      </c>
      <c r="AO93" s="51">
        <f>IF(AG93=1,1,IF(U93&gt;0,MIN(AF93/U93,0.99),0))</f>
        <v/>
      </c>
      <c r="AP93" s="43">
        <f>IF(AG93=1,AI93*AF93,0)</f>
        <v/>
      </c>
      <c r="AQ93" s="43">
        <f>N93*(F93+G93)/H93</f>
        <v/>
      </c>
      <c r="AR93" s="43">
        <f>O93*AQ93</f>
        <v/>
      </c>
      <c r="AS93" s="52">
        <f>IF(AG93=1,IF(AQ93&gt;0,AF93/AQ93,1),IFERROR(INDEX(Types!$K:$K,MATCH($A93&amp;"|"&amp;$D93,Types!$A:$A,0)),INDEX(Dashboard!$X$6:$X$22,MATCH($A93,Dashboard!$A$6:$A$22,0))))</f>
        <v/>
      </c>
      <c r="AT93" s="43">
        <f>AQ93*INDEX(Dashboard!$Y$6:$Y$22,MATCH($A93,Dashboard!$A$6:$A$22,0))</f>
        <v/>
      </c>
      <c r="AU93" s="53">
        <f>IF(AND(AG93=1,AT93&gt;0,AF93&gt;0),100*AF93/AT93,"")</f>
        <v/>
      </c>
      <c r="AV93" s="44">
        <f>IF(AU93="","",T93/(AU93/100))</f>
        <v/>
      </c>
      <c r="AW93" s="53">
        <f>IF(AU93="","",IF(AND(ABS(AH93)&gt;=0.1,ABS(T93)&gt;=0.05,SIGN(AH93)=SIGN(T93)),100*T93/AH93,""))</f>
        <v/>
      </c>
      <c r="AX93" s="45">
        <f>IF(AU93="","",T93-AV93)</f>
        <v/>
      </c>
      <c r="AY93" s="45">
        <f>IF(AU93="","",AH93-AV93)</f>
        <v/>
      </c>
      <c r="AZ93" s="54">
        <f>(AL93-AM93)-T93*AT93</f>
        <v/>
      </c>
      <c r="BA93" s="43">
        <f>IF(AU93="",0,(AH93-T93)*AF93)</f>
        <v/>
      </c>
      <c r="BB93" s="43">
        <f>IF(AU93="",0,T93*(AF93-AT93))</f>
        <v/>
      </c>
      <c r="BC93" s="51" t="n">
        <v>0.2761205216609204</v>
      </c>
      <c r="BD93" s="51" t="n">
        <v>0.06265927147354219</v>
      </c>
      <c r="BE93" s="51" t="n">
        <v>0.1485955256950897</v>
      </c>
      <c r="BF93" s="43" t="n">
        <v>20013</v>
      </c>
    </row>
    <row r="94">
      <c r="A94" s="42" t="inlineStr">
        <is>
          <t>GA</t>
        </is>
      </c>
      <c r="B94" s="42" t="inlineStr">
        <is>
          <t>13107</t>
        </is>
      </c>
      <c r="C94" s="42" t="inlineStr">
        <is>
          <t>Emanuel</t>
        </is>
      </c>
      <c r="D94" s="42" t="inlineStr">
        <is>
          <t>Small town &amp; rural</t>
        </is>
      </c>
      <c r="E94" s="42" t="inlineStr"/>
      <c r="F94" s="43" t="n">
        <v>2673</v>
      </c>
      <c r="G94" s="43" t="n">
        <v>6919</v>
      </c>
      <c r="H94" s="43" t="n">
        <v>9619</v>
      </c>
      <c r="I94" s="43" t="n">
        <v>2886</v>
      </c>
      <c r="J94" s="43" t="n">
        <v>6553</v>
      </c>
      <c r="K94" s="42" t="inlineStr">
        <is>
          <t>US Senate</t>
        </is>
      </c>
      <c r="L94" s="43" t="n">
        <v>2157</v>
      </c>
      <c r="M94" s="43" t="n">
        <v>5329</v>
      </c>
      <c r="N94" s="43" t="n">
        <v>7544</v>
      </c>
      <c r="O94" s="44">
        <f>IFERROR((F94-G94)/(F94+G94),"")</f>
        <v/>
      </c>
      <c r="P94" s="44">
        <f>IFERROR((I94-J94)/(I94+J94),"")</f>
        <v/>
      </c>
      <c r="Q94" s="45">
        <f>IFERROR(O94-P94,"")</f>
        <v/>
      </c>
      <c r="R94" s="44">
        <f>IFERROR((L94-M94)/(L94+M94),"")</f>
        <v/>
      </c>
      <c r="S94" s="46">
        <f>H94/SUMIFS(Counties!$H$2:$H$1583,Counties!$A$2:$A$1583,$A94)</f>
        <v/>
      </c>
      <c r="T94" s="44">
        <f>O94+INDEX(Dashboard!$F$6:$F$22,MATCH($A94,Dashboard!$A$6:$A$22,0))</f>
        <v/>
      </c>
      <c r="U94" s="43">
        <f>AQ94*INDEX(Dashboard!$G$6:$G$22,MATCH($A94,Dashboard!$A$6:$A$22,0))</f>
        <v/>
      </c>
      <c r="V94" s="47" t="n"/>
      <c r="W94" s="47" t="n"/>
      <c r="X94" s="47" t="n"/>
      <c r="Y94" s="48" t="n"/>
      <c r="Z94" s="49" t="n"/>
      <c r="AA94" s="49" t="n"/>
      <c r="AB94" s="49" t="n"/>
      <c r="AC94" s="50" t="n"/>
      <c r="AD94" s="43">
        <f>IF(Z94&lt;&gt;"",Z94,N(V94))</f>
        <v/>
      </c>
      <c r="AE94" s="43">
        <f>IF(AA94&lt;&gt;"",AA94,N(W94))</f>
        <v/>
      </c>
      <c r="AF94" s="43">
        <f>AD94+AE94</f>
        <v/>
      </c>
      <c r="AG94" s="42">
        <f>IF(UPPER(AC94)="Y",1,IF(AF94=0,0,IF(AND(Z94="",Y94&lt;&gt;""),IF(Y94&gt;=0.999,1,0),IF(AF94&gt;=U94,1,0))))</f>
        <v/>
      </c>
      <c r="AH94" s="44">
        <f>IF(AF94&gt;0,(AD94-AE94)/AF94,"")</f>
        <v/>
      </c>
      <c r="AI94" s="45">
        <f>IF(AG94=1,AH94-O94,"")</f>
        <v/>
      </c>
      <c r="AJ94" s="44">
        <f>IF(AG94=1,AH94,MAX(-1,MIN(1,O94+INDEX(Types!$H:$H,MATCH($A94&amp;"|"&amp;$D94,Types!$A:$A,0)))))</f>
        <v/>
      </c>
      <c r="AK94" s="43">
        <f>IF(AG94=1,AF94,MAX(AQ94*AS94,AF94))</f>
        <v/>
      </c>
      <c r="AL94" s="43">
        <f>IF(AG94=1,AD94,AK94*(1+AJ94)/2)</f>
        <v/>
      </c>
      <c r="AM94" s="43">
        <f>IF(AG94=1,AE94,AK94*(1-AJ94)/2)</f>
        <v/>
      </c>
      <c r="AN94" s="45">
        <f>IF(AH94="","",AH94-T94)</f>
        <v/>
      </c>
      <c r="AO94" s="51">
        <f>IF(AG94=1,1,IF(U94&gt;0,MIN(AF94/U94,0.99),0))</f>
        <v/>
      </c>
      <c r="AP94" s="43">
        <f>IF(AG94=1,AI94*AF94,0)</f>
        <v/>
      </c>
      <c r="AQ94" s="43">
        <f>N94*(F94+G94)/H94</f>
        <v/>
      </c>
      <c r="AR94" s="43">
        <f>O94*AQ94</f>
        <v/>
      </c>
      <c r="AS94" s="52">
        <f>IF(AG94=1,IF(AQ94&gt;0,AF94/AQ94,1),IFERROR(INDEX(Types!$K:$K,MATCH($A94&amp;"|"&amp;$D94,Types!$A:$A,0)),INDEX(Dashboard!$X$6:$X$22,MATCH($A94,Dashboard!$A$6:$A$22,0))))</f>
        <v/>
      </c>
      <c r="AT94" s="43">
        <f>AQ94*INDEX(Dashboard!$Y$6:$Y$22,MATCH($A94,Dashboard!$A$6:$A$22,0))</f>
        <v/>
      </c>
      <c r="AU94" s="53">
        <f>IF(AND(AG94=1,AT94&gt;0,AF94&gt;0),100*AF94/AT94,"")</f>
        <v/>
      </c>
      <c r="AV94" s="44">
        <f>IF(AU94="","",T94/(AU94/100))</f>
        <v/>
      </c>
      <c r="AW94" s="53">
        <f>IF(AU94="","",IF(AND(ABS(AH94)&gt;=0.1,ABS(T94)&gt;=0.05,SIGN(AH94)=SIGN(T94)),100*T94/AH94,""))</f>
        <v/>
      </c>
      <c r="AX94" s="45">
        <f>IF(AU94="","",T94-AV94)</f>
        <v/>
      </c>
      <c r="AY94" s="45">
        <f>IF(AU94="","",AH94-AV94)</f>
        <v/>
      </c>
      <c r="AZ94" s="54">
        <f>(AL94-AM94)-T94*AT94</f>
        <v/>
      </c>
      <c r="BA94" s="43">
        <f>IF(AU94="",0,(AH94-T94)*AF94)</f>
        <v/>
      </c>
      <c r="BB94" s="43">
        <f>IF(AU94="",0,T94*(AF94-AT94))</f>
        <v/>
      </c>
      <c r="BC94" s="51" t="n">
        <v>0.3440460227518491</v>
      </c>
      <c r="BD94" s="51" t="n">
        <v>0.04883429214066352</v>
      </c>
      <c r="BE94" s="51" t="n">
        <v>0.1284211901495852</v>
      </c>
      <c r="BF94" s="43" t="n">
        <v>23119</v>
      </c>
    </row>
    <row r="95">
      <c r="A95" s="42" t="inlineStr">
        <is>
          <t>GA</t>
        </is>
      </c>
      <c r="B95" s="42" t="inlineStr">
        <is>
          <t>13109</t>
        </is>
      </c>
      <c r="C95" s="42" t="inlineStr">
        <is>
          <t>Evans</t>
        </is>
      </c>
      <c r="D95" s="42" t="inlineStr">
        <is>
          <t>Small town &amp; rural</t>
        </is>
      </c>
      <c r="E95" s="42" t="inlineStr"/>
      <c r="F95" s="43" t="n">
        <v>1214</v>
      </c>
      <c r="G95" s="43" t="n">
        <v>3011</v>
      </c>
      <c r="H95" s="43" t="n">
        <v>4244</v>
      </c>
      <c r="I95" s="43" t="n">
        <v>1324</v>
      </c>
      <c r="J95" s="43" t="n">
        <v>2888</v>
      </c>
      <c r="K95" s="42" t="inlineStr">
        <is>
          <t>US Senate</t>
        </is>
      </c>
      <c r="L95" s="43" t="n">
        <v>968</v>
      </c>
      <c r="M95" s="43" t="n">
        <v>2314</v>
      </c>
      <c r="N95" s="43" t="n">
        <v>3336</v>
      </c>
      <c r="O95" s="44">
        <f>IFERROR((F95-G95)/(F95+G95),"")</f>
        <v/>
      </c>
      <c r="P95" s="44">
        <f>IFERROR((I95-J95)/(I95+J95),"")</f>
        <v/>
      </c>
      <c r="Q95" s="45">
        <f>IFERROR(O95-P95,"")</f>
        <v/>
      </c>
      <c r="R95" s="44">
        <f>IFERROR((L95-M95)/(L95+M95),"")</f>
        <v/>
      </c>
      <c r="S95" s="46">
        <f>H95/SUMIFS(Counties!$H$2:$H$1583,Counties!$A$2:$A$1583,$A95)</f>
        <v/>
      </c>
      <c r="T95" s="44">
        <f>O95+INDEX(Dashboard!$F$6:$F$22,MATCH($A95,Dashboard!$A$6:$A$22,0))</f>
        <v/>
      </c>
      <c r="U95" s="43">
        <f>AQ95*INDEX(Dashboard!$G$6:$G$22,MATCH($A95,Dashboard!$A$6:$A$22,0))</f>
        <v/>
      </c>
      <c r="V95" s="47" t="n"/>
      <c r="W95" s="47" t="n"/>
      <c r="X95" s="47" t="n"/>
      <c r="Y95" s="48" t="n"/>
      <c r="Z95" s="49" t="n"/>
      <c r="AA95" s="49" t="n"/>
      <c r="AB95" s="49" t="n"/>
      <c r="AC95" s="50" t="n"/>
      <c r="AD95" s="43">
        <f>IF(Z95&lt;&gt;"",Z95,N(V95))</f>
        <v/>
      </c>
      <c r="AE95" s="43">
        <f>IF(AA95&lt;&gt;"",AA95,N(W95))</f>
        <v/>
      </c>
      <c r="AF95" s="43">
        <f>AD95+AE95</f>
        <v/>
      </c>
      <c r="AG95" s="42">
        <f>IF(UPPER(AC95)="Y",1,IF(AF95=0,0,IF(AND(Z95="",Y95&lt;&gt;""),IF(Y95&gt;=0.999,1,0),IF(AF95&gt;=U95,1,0))))</f>
        <v/>
      </c>
      <c r="AH95" s="44">
        <f>IF(AF95&gt;0,(AD95-AE95)/AF95,"")</f>
        <v/>
      </c>
      <c r="AI95" s="45">
        <f>IF(AG95=1,AH95-O95,"")</f>
        <v/>
      </c>
      <c r="AJ95" s="44">
        <f>IF(AG95=1,AH95,MAX(-1,MIN(1,O95+INDEX(Types!$H:$H,MATCH($A95&amp;"|"&amp;$D95,Types!$A:$A,0)))))</f>
        <v/>
      </c>
      <c r="AK95" s="43">
        <f>IF(AG95=1,AF95,MAX(AQ95*AS95,AF95))</f>
        <v/>
      </c>
      <c r="AL95" s="43">
        <f>IF(AG95=1,AD95,AK95*(1+AJ95)/2)</f>
        <v/>
      </c>
      <c r="AM95" s="43">
        <f>IF(AG95=1,AE95,AK95*(1-AJ95)/2)</f>
        <v/>
      </c>
      <c r="AN95" s="45">
        <f>IF(AH95="","",AH95-T95)</f>
        <v/>
      </c>
      <c r="AO95" s="51">
        <f>IF(AG95=1,1,IF(U95&gt;0,MIN(AF95/U95,0.99),0))</f>
        <v/>
      </c>
      <c r="AP95" s="43">
        <f>IF(AG95=1,AI95*AF95,0)</f>
        <v/>
      </c>
      <c r="AQ95" s="43">
        <f>N95*(F95+G95)/H95</f>
        <v/>
      </c>
      <c r="AR95" s="43">
        <f>O95*AQ95</f>
        <v/>
      </c>
      <c r="AS95" s="52">
        <f>IF(AG95=1,IF(AQ95&gt;0,AF95/AQ95,1),IFERROR(INDEX(Types!$K:$K,MATCH($A95&amp;"|"&amp;$D95,Types!$A:$A,0)),INDEX(Dashboard!$X$6:$X$22,MATCH($A95,Dashboard!$A$6:$A$22,0))))</f>
        <v/>
      </c>
      <c r="AT95" s="43">
        <f>AQ95*INDEX(Dashboard!$Y$6:$Y$22,MATCH($A95,Dashboard!$A$6:$A$22,0))</f>
        <v/>
      </c>
      <c r="AU95" s="53">
        <f>IF(AND(AG95=1,AT95&gt;0,AF95&gt;0),100*AF95/AT95,"")</f>
        <v/>
      </c>
      <c r="AV95" s="44">
        <f>IF(AU95="","",T95/(AU95/100))</f>
        <v/>
      </c>
      <c r="AW95" s="53">
        <f>IF(AU95="","",IF(AND(ABS(AH95)&gt;=0.1,ABS(T95)&gt;=0.05,SIGN(AH95)=SIGN(T95)),100*T95/AH95,""))</f>
        <v/>
      </c>
      <c r="AX95" s="45">
        <f>IF(AU95="","",T95-AV95)</f>
        <v/>
      </c>
      <c r="AY95" s="45">
        <f>IF(AU95="","",AH95-AV95)</f>
        <v/>
      </c>
      <c r="AZ95" s="54">
        <f>(AL95-AM95)-T95*AT95</f>
        <v/>
      </c>
      <c r="BA95" s="43">
        <f>IF(AU95="",0,(AH95-T95)*AF95)</f>
        <v/>
      </c>
      <c r="BB95" s="43">
        <f>IF(AU95="",0,T95*(AF95-AT95))</f>
        <v/>
      </c>
      <c r="BC95" s="51" t="n">
        <v>0.2988655384043147</v>
      </c>
      <c r="BD95" s="51" t="n">
        <v>0.1263715826669146</v>
      </c>
      <c r="BE95" s="51" t="n">
        <v>0.1509272467902996</v>
      </c>
      <c r="BF95" s="43" t="n">
        <v>10754</v>
      </c>
    </row>
    <row r="96">
      <c r="A96" s="42" t="inlineStr">
        <is>
          <t>GA</t>
        </is>
      </c>
      <c r="B96" s="42" t="inlineStr">
        <is>
          <t>13111</t>
        </is>
      </c>
      <c r="C96" s="42" t="inlineStr">
        <is>
          <t>Fannin</t>
        </is>
      </c>
      <c r="D96" s="42" t="inlineStr">
        <is>
          <t>Small town &amp; rural</t>
        </is>
      </c>
      <c r="E96" s="42" t="inlineStr"/>
      <c r="F96" s="43" t="n">
        <v>2807</v>
      </c>
      <c r="G96" s="43" t="n">
        <v>13232</v>
      </c>
      <c r="H96" s="43" t="n">
        <v>16096</v>
      </c>
      <c r="I96" s="43" t="n">
        <v>2570</v>
      </c>
      <c r="J96" s="43" t="n">
        <v>12169</v>
      </c>
      <c r="K96" s="42" t="inlineStr">
        <is>
          <t>US Senate</t>
        </is>
      </c>
      <c r="L96" s="43" t="n">
        <v>2230</v>
      </c>
      <c r="M96" s="43" t="n">
        <v>10036</v>
      </c>
      <c r="N96" s="43" t="n">
        <v>12556</v>
      </c>
      <c r="O96" s="44">
        <f>IFERROR((F96-G96)/(F96+G96),"")</f>
        <v/>
      </c>
      <c r="P96" s="44">
        <f>IFERROR((I96-J96)/(I96+J96),"")</f>
        <v/>
      </c>
      <c r="Q96" s="45">
        <f>IFERROR(O96-P96,"")</f>
        <v/>
      </c>
      <c r="R96" s="44">
        <f>IFERROR((L96-M96)/(L96+M96),"")</f>
        <v/>
      </c>
      <c r="S96" s="46">
        <f>H96/SUMIFS(Counties!$H$2:$H$1583,Counties!$A$2:$A$1583,$A96)</f>
        <v/>
      </c>
      <c r="T96" s="44">
        <f>O96+INDEX(Dashboard!$F$6:$F$22,MATCH($A96,Dashboard!$A$6:$A$22,0))</f>
        <v/>
      </c>
      <c r="U96" s="43">
        <f>AQ96*INDEX(Dashboard!$G$6:$G$22,MATCH($A96,Dashboard!$A$6:$A$22,0))</f>
        <v/>
      </c>
      <c r="V96" s="47" t="n"/>
      <c r="W96" s="47" t="n"/>
      <c r="X96" s="47" t="n"/>
      <c r="Y96" s="48" t="n"/>
      <c r="Z96" s="49" t="n"/>
      <c r="AA96" s="49" t="n"/>
      <c r="AB96" s="49" t="n"/>
      <c r="AC96" s="50" t="n"/>
      <c r="AD96" s="43">
        <f>IF(Z96&lt;&gt;"",Z96,N(V96))</f>
        <v/>
      </c>
      <c r="AE96" s="43">
        <f>IF(AA96&lt;&gt;"",AA96,N(W96))</f>
        <v/>
      </c>
      <c r="AF96" s="43">
        <f>AD96+AE96</f>
        <v/>
      </c>
      <c r="AG96" s="42">
        <f>IF(UPPER(AC96)="Y",1,IF(AF96=0,0,IF(AND(Z96="",Y96&lt;&gt;""),IF(Y96&gt;=0.999,1,0),IF(AF96&gt;=U96,1,0))))</f>
        <v/>
      </c>
      <c r="AH96" s="44">
        <f>IF(AF96&gt;0,(AD96-AE96)/AF96,"")</f>
        <v/>
      </c>
      <c r="AI96" s="45">
        <f>IF(AG96=1,AH96-O96,"")</f>
        <v/>
      </c>
      <c r="AJ96" s="44">
        <f>IF(AG96=1,AH96,MAX(-1,MIN(1,O96+INDEX(Types!$H:$H,MATCH($A96&amp;"|"&amp;$D96,Types!$A:$A,0)))))</f>
        <v/>
      </c>
      <c r="AK96" s="43">
        <f>IF(AG96=1,AF96,MAX(AQ96*AS96,AF96))</f>
        <v/>
      </c>
      <c r="AL96" s="43">
        <f>IF(AG96=1,AD96,AK96*(1+AJ96)/2)</f>
        <v/>
      </c>
      <c r="AM96" s="43">
        <f>IF(AG96=1,AE96,AK96*(1-AJ96)/2)</f>
        <v/>
      </c>
      <c r="AN96" s="45">
        <f>IF(AH96="","",AH96-T96)</f>
        <v/>
      </c>
      <c r="AO96" s="51">
        <f>IF(AG96=1,1,IF(U96&gt;0,MIN(AF96/U96,0.99),0))</f>
        <v/>
      </c>
      <c r="AP96" s="43">
        <f>IF(AG96=1,AI96*AF96,0)</f>
        <v/>
      </c>
      <c r="AQ96" s="43">
        <f>N96*(F96+G96)/H96</f>
        <v/>
      </c>
      <c r="AR96" s="43">
        <f>O96*AQ96</f>
        <v/>
      </c>
      <c r="AS96" s="52">
        <f>IF(AG96=1,IF(AQ96&gt;0,AF96/AQ96,1),IFERROR(INDEX(Types!$K:$K,MATCH($A96&amp;"|"&amp;$D96,Types!$A:$A,0)),INDEX(Dashboard!$X$6:$X$22,MATCH($A96,Dashboard!$A$6:$A$22,0))))</f>
        <v/>
      </c>
      <c r="AT96" s="43">
        <f>AQ96*INDEX(Dashboard!$Y$6:$Y$22,MATCH($A96,Dashboard!$A$6:$A$22,0))</f>
        <v/>
      </c>
      <c r="AU96" s="53">
        <f>IF(AND(AG96=1,AT96&gt;0,AF96&gt;0),100*AF96/AT96,"")</f>
        <v/>
      </c>
      <c r="AV96" s="44">
        <f>IF(AU96="","",T96/(AU96/100))</f>
        <v/>
      </c>
      <c r="AW96" s="53">
        <f>IF(AU96="","",IF(AND(ABS(AH96)&gt;=0.1,ABS(T96)&gt;=0.05,SIGN(AH96)=SIGN(T96)),100*T96/AH96,""))</f>
        <v/>
      </c>
      <c r="AX96" s="45">
        <f>IF(AU96="","",T96-AV96)</f>
        <v/>
      </c>
      <c r="AY96" s="45">
        <f>IF(AU96="","",AH96-AV96)</f>
        <v/>
      </c>
      <c r="AZ96" s="54">
        <f>(AL96-AM96)-T96*AT96</f>
        <v/>
      </c>
      <c r="BA96" s="43">
        <f>IF(AU96="",0,(AH96-T96)*AF96)</f>
        <v/>
      </c>
      <c r="BB96" s="43">
        <f>IF(AU96="",0,T96*(AF96-AT96))</f>
        <v/>
      </c>
      <c r="BC96" s="51" t="n">
        <v>0.009554999036794453</v>
      </c>
      <c r="BD96" s="51" t="n">
        <v>0.03586977460990175</v>
      </c>
      <c r="BE96" s="51" t="n">
        <v>0.225977402259774</v>
      </c>
      <c r="BF96" s="43" t="n">
        <v>25955</v>
      </c>
    </row>
    <row r="97">
      <c r="A97" s="42" t="inlineStr">
        <is>
          <t>GA</t>
        </is>
      </c>
      <c r="B97" s="42" t="inlineStr">
        <is>
          <t>13113</t>
        </is>
      </c>
      <c r="C97" s="42" t="inlineStr">
        <is>
          <t>Fayette</t>
        </is>
      </c>
      <c r="D97" s="42" t="inlineStr">
        <is>
          <t>College suburb/metro</t>
        </is>
      </c>
      <c r="E97" s="42" t="inlineStr"/>
      <c r="F97" s="43" t="n">
        <v>35822</v>
      </c>
      <c r="G97" s="43" t="n">
        <v>38177</v>
      </c>
      <c r="H97" s="43" t="n">
        <v>74633</v>
      </c>
      <c r="I97" s="43" t="n">
        <v>33062</v>
      </c>
      <c r="J97" s="43" t="n">
        <v>37956</v>
      </c>
      <c r="K97" s="42" t="inlineStr">
        <is>
          <t>US Senate</t>
        </is>
      </c>
      <c r="L97" s="43" t="n">
        <v>28284</v>
      </c>
      <c r="M97" s="43" t="n">
        <v>30178</v>
      </c>
      <c r="N97" s="43" t="n">
        <v>59958</v>
      </c>
      <c r="O97" s="44">
        <f>IFERROR((F97-G97)/(F97+G97),"")</f>
        <v/>
      </c>
      <c r="P97" s="44">
        <f>IFERROR((I97-J97)/(I97+J97),"")</f>
        <v/>
      </c>
      <c r="Q97" s="45">
        <f>IFERROR(O97-P97,"")</f>
        <v/>
      </c>
      <c r="R97" s="44">
        <f>IFERROR((L97-M97)/(L97+M97),"")</f>
        <v/>
      </c>
      <c r="S97" s="46">
        <f>H97/SUMIFS(Counties!$H$2:$H$1583,Counties!$A$2:$A$1583,$A97)</f>
        <v/>
      </c>
      <c r="T97" s="44">
        <f>O97+INDEX(Dashboard!$F$6:$F$22,MATCH($A97,Dashboard!$A$6:$A$22,0))</f>
        <v/>
      </c>
      <c r="U97" s="43">
        <f>AQ97*INDEX(Dashboard!$G$6:$G$22,MATCH($A97,Dashboard!$A$6:$A$22,0))</f>
        <v/>
      </c>
      <c r="V97" s="47" t="n"/>
      <c r="W97" s="47" t="n"/>
      <c r="X97" s="47" t="n"/>
      <c r="Y97" s="48" t="n"/>
      <c r="Z97" s="49" t="n"/>
      <c r="AA97" s="49" t="n"/>
      <c r="AB97" s="49" t="n"/>
      <c r="AC97" s="50" t="n"/>
      <c r="AD97" s="43">
        <f>IF(Z97&lt;&gt;"",Z97,N(V97))</f>
        <v/>
      </c>
      <c r="AE97" s="43">
        <f>IF(AA97&lt;&gt;"",AA97,N(W97))</f>
        <v/>
      </c>
      <c r="AF97" s="43">
        <f>AD97+AE97</f>
        <v/>
      </c>
      <c r="AG97" s="42">
        <f>IF(UPPER(AC97)="Y",1,IF(AF97=0,0,IF(AND(Z97="",Y97&lt;&gt;""),IF(Y97&gt;=0.999,1,0),IF(AF97&gt;=U97,1,0))))</f>
        <v/>
      </c>
      <c r="AH97" s="44">
        <f>IF(AF97&gt;0,(AD97-AE97)/AF97,"")</f>
        <v/>
      </c>
      <c r="AI97" s="45">
        <f>IF(AG97=1,AH97-O97,"")</f>
        <v/>
      </c>
      <c r="AJ97" s="44">
        <f>IF(AG97=1,AH97,MAX(-1,MIN(1,O97+INDEX(Types!$H:$H,MATCH($A97&amp;"|"&amp;$D97,Types!$A:$A,0)))))</f>
        <v/>
      </c>
      <c r="AK97" s="43">
        <f>IF(AG97=1,AF97,MAX(AQ97*AS97,AF97))</f>
        <v/>
      </c>
      <c r="AL97" s="43">
        <f>IF(AG97=1,AD97,AK97*(1+AJ97)/2)</f>
        <v/>
      </c>
      <c r="AM97" s="43">
        <f>IF(AG97=1,AE97,AK97*(1-AJ97)/2)</f>
        <v/>
      </c>
      <c r="AN97" s="45">
        <f>IF(AH97="","",AH97-T97)</f>
        <v/>
      </c>
      <c r="AO97" s="51">
        <f>IF(AG97=1,1,IF(U97&gt;0,MIN(AF97/U97,0.99),0))</f>
        <v/>
      </c>
      <c r="AP97" s="43">
        <f>IF(AG97=1,AI97*AF97,0)</f>
        <v/>
      </c>
      <c r="AQ97" s="43">
        <f>N97*(F97+G97)/H97</f>
        <v/>
      </c>
      <c r="AR97" s="43">
        <f>O97*AQ97</f>
        <v/>
      </c>
      <c r="AS97" s="52">
        <f>IF(AG97=1,IF(AQ97&gt;0,AF97/AQ97,1),IFERROR(INDEX(Types!$K:$K,MATCH($A97&amp;"|"&amp;$D97,Types!$A:$A,0)),INDEX(Dashboard!$X$6:$X$22,MATCH($A97,Dashboard!$A$6:$A$22,0))))</f>
        <v/>
      </c>
      <c r="AT97" s="43">
        <f>AQ97*INDEX(Dashboard!$Y$6:$Y$22,MATCH($A97,Dashboard!$A$6:$A$22,0))</f>
        <v/>
      </c>
      <c r="AU97" s="53">
        <f>IF(AND(AG97=1,AT97&gt;0,AF97&gt;0),100*AF97/AT97,"")</f>
        <v/>
      </c>
      <c r="AV97" s="44">
        <f>IF(AU97="","",T97/(AU97/100))</f>
        <v/>
      </c>
      <c r="AW97" s="53">
        <f>IF(AU97="","",IF(AND(ABS(AH97)&gt;=0.1,ABS(T97)&gt;=0.05,SIGN(AH97)=SIGN(T97)),100*T97/AH97,""))</f>
        <v/>
      </c>
      <c r="AX97" s="45">
        <f>IF(AU97="","",T97-AV97)</f>
        <v/>
      </c>
      <c r="AY97" s="45">
        <f>IF(AU97="","",AH97-AV97)</f>
        <v/>
      </c>
      <c r="AZ97" s="54">
        <f>(AL97-AM97)-T97*AT97</f>
        <v/>
      </c>
      <c r="BA97" s="43">
        <f>IF(AU97="",0,(AH97-T97)*AF97)</f>
        <v/>
      </c>
      <c r="BB97" s="43">
        <f>IF(AU97="",0,T97*(AF97-AT97))</f>
        <v/>
      </c>
      <c r="BC97" s="51" t="n">
        <v>0.2705936717172945</v>
      </c>
      <c r="BD97" s="51" t="n">
        <v>0.0887710679281076</v>
      </c>
      <c r="BE97" s="51" t="n">
        <v>0.4809078417665067</v>
      </c>
      <c r="BF97" s="43" t="n">
        <v>123351</v>
      </c>
    </row>
    <row r="98">
      <c r="A98" s="42" t="inlineStr">
        <is>
          <t>GA</t>
        </is>
      </c>
      <c r="B98" s="42" t="inlineStr">
        <is>
          <t>13115</t>
        </is>
      </c>
      <c r="C98" s="42" t="inlineStr">
        <is>
          <t>Floyd</t>
        </is>
      </c>
      <c r="D98" s="42" t="inlineStr">
        <is>
          <t>Mid-size/working metro</t>
        </is>
      </c>
      <c r="E98" s="42" t="inlineStr"/>
      <c r="F98" s="43" t="n">
        <v>12862</v>
      </c>
      <c r="G98" s="43" t="n">
        <v>31631</v>
      </c>
      <c r="H98" s="43" t="n">
        <v>44738</v>
      </c>
      <c r="I98" s="43" t="n">
        <v>11917</v>
      </c>
      <c r="J98" s="43" t="n">
        <v>28906</v>
      </c>
      <c r="K98" s="42" t="inlineStr">
        <is>
          <t>US Senate</t>
        </is>
      </c>
      <c r="L98" s="43" t="n">
        <v>9160</v>
      </c>
      <c r="M98" s="43" t="n">
        <v>21923</v>
      </c>
      <c r="N98" s="43" t="n">
        <v>31896</v>
      </c>
      <c r="O98" s="44">
        <f>IFERROR((F98-G98)/(F98+G98),"")</f>
        <v/>
      </c>
      <c r="P98" s="44">
        <f>IFERROR((I98-J98)/(I98+J98),"")</f>
        <v/>
      </c>
      <c r="Q98" s="45">
        <f>IFERROR(O98-P98,"")</f>
        <v/>
      </c>
      <c r="R98" s="44">
        <f>IFERROR((L98-M98)/(L98+M98),"")</f>
        <v/>
      </c>
      <c r="S98" s="46">
        <f>H98/SUMIFS(Counties!$H$2:$H$1583,Counties!$A$2:$A$1583,$A98)</f>
        <v/>
      </c>
      <c r="T98" s="44">
        <f>O98+INDEX(Dashboard!$F$6:$F$22,MATCH($A98,Dashboard!$A$6:$A$22,0))</f>
        <v/>
      </c>
      <c r="U98" s="43">
        <f>AQ98*INDEX(Dashboard!$G$6:$G$22,MATCH($A98,Dashboard!$A$6:$A$22,0))</f>
        <v/>
      </c>
      <c r="V98" s="47" t="n"/>
      <c r="W98" s="47" t="n"/>
      <c r="X98" s="47" t="n"/>
      <c r="Y98" s="48" t="n"/>
      <c r="Z98" s="49" t="n"/>
      <c r="AA98" s="49" t="n"/>
      <c r="AB98" s="49" t="n"/>
      <c r="AC98" s="50" t="n"/>
      <c r="AD98" s="43">
        <f>IF(Z98&lt;&gt;"",Z98,N(V98))</f>
        <v/>
      </c>
      <c r="AE98" s="43">
        <f>IF(AA98&lt;&gt;"",AA98,N(W98))</f>
        <v/>
      </c>
      <c r="AF98" s="43">
        <f>AD98+AE98</f>
        <v/>
      </c>
      <c r="AG98" s="42">
        <f>IF(UPPER(AC98)="Y",1,IF(AF98=0,0,IF(AND(Z98="",Y98&lt;&gt;""),IF(Y98&gt;=0.999,1,0),IF(AF98&gt;=U98,1,0))))</f>
        <v/>
      </c>
      <c r="AH98" s="44">
        <f>IF(AF98&gt;0,(AD98-AE98)/AF98,"")</f>
        <v/>
      </c>
      <c r="AI98" s="45">
        <f>IF(AG98=1,AH98-O98,"")</f>
        <v/>
      </c>
      <c r="AJ98" s="44">
        <f>IF(AG98=1,AH98,MAX(-1,MIN(1,O98+INDEX(Types!$H:$H,MATCH($A98&amp;"|"&amp;$D98,Types!$A:$A,0)))))</f>
        <v/>
      </c>
      <c r="AK98" s="43">
        <f>IF(AG98=1,AF98,MAX(AQ98*AS98,AF98))</f>
        <v/>
      </c>
      <c r="AL98" s="43">
        <f>IF(AG98=1,AD98,AK98*(1+AJ98)/2)</f>
        <v/>
      </c>
      <c r="AM98" s="43">
        <f>IF(AG98=1,AE98,AK98*(1-AJ98)/2)</f>
        <v/>
      </c>
      <c r="AN98" s="45">
        <f>IF(AH98="","",AH98-T98)</f>
        <v/>
      </c>
      <c r="AO98" s="51">
        <f>IF(AG98=1,1,IF(U98&gt;0,MIN(AF98/U98,0.99),0))</f>
        <v/>
      </c>
      <c r="AP98" s="43">
        <f>IF(AG98=1,AI98*AF98,0)</f>
        <v/>
      </c>
      <c r="AQ98" s="43">
        <f>N98*(F98+G98)/H98</f>
        <v/>
      </c>
      <c r="AR98" s="43">
        <f>O98*AQ98</f>
        <v/>
      </c>
      <c r="AS98" s="52">
        <f>IF(AG98=1,IF(AQ98&gt;0,AF98/AQ98,1),IFERROR(INDEX(Types!$K:$K,MATCH($A98&amp;"|"&amp;$D98,Types!$A:$A,0)),INDEX(Dashboard!$X$6:$X$22,MATCH($A98,Dashboard!$A$6:$A$22,0))))</f>
        <v/>
      </c>
      <c r="AT98" s="43">
        <f>AQ98*INDEX(Dashboard!$Y$6:$Y$22,MATCH($A98,Dashboard!$A$6:$A$22,0))</f>
        <v/>
      </c>
      <c r="AU98" s="53">
        <f>IF(AND(AG98=1,AT98&gt;0,AF98&gt;0),100*AF98/AT98,"")</f>
        <v/>
      </c>
      <c r="AV98" s="44">
        <f>IF(AU98="","",T98/(AU98/100))</f>
        <v/>
      </c>
      <c r="AW98" s="53">
        <f>IF(AU98="","",IF(AND(ABS(AH98)&gt;=0.1,ABS(T98)&gt;=0.05,SIGN(AH98)=SIGN(T98)),100*T98/AH98,""))</f>
        <v/>
      </c>
      <c r="AX98" s="45">
        <f>IF(AU98="","",T98-AV98)</f>
        <v/>
      </c>
      <c r="AY98" s="45">
        <f>IF(AU98="","",AH98-AV98)</f>
        <v/>
      </c>
      <c r="AZ98" s="54">
        <f>(AL98-AM98)-T98*AT98</f>
        <v/>
      </c>
      <c r="BA98" s="43">
        <f>IF(AU98="",0,(AH98-T98)*AF98)</f>
        <v/>
      </c>
      <c r="BB98" s="43">
        <f>IF(AU98="",0,T98*(AF98-AT98))</f>
        <v/>
      </c>
      <c r="BC98" s="51" t="n">
        <v>0.1442070460379771</v>
      </c>
      <c r="BD98" s="51" t="n">
        <v>0.1273161327699699</v>
      </c>
      <c r="BE98" s="51" t="n">
        <v>0.2494612559565363</v>
      </c>
      <c r="BF98" s="43" t="n">
        <v>100113</v>
      </c>
    </row>
    <row r="99">
      <c r="A99" s="42" t="inlineStr">
        <is>
          <t>GA</t>
        </is>
      </c>
      <c r="B99" s="42" t="inlineStr">
        <is>
          <t>13117</t>
        </is>
      </c>
      <c r="C99" s="42" t="inlineStr">
        <is>
          <t>Forsyth</t>
        </is>
      </c>
      <c r="D99" s="42" t="inlineStr">
        <is>
          <t>College suburb/metro</t>
        </is>
      </c>
      <c r="E99" s="42" t="inlineStr">
        <is>
          <t>★</t>
        </is>
      </c>
      <c r="F99" s="43" t="n">
        <v>45509</v>
      </c>
      <c r="G99" s="43" t="n">
        <v>91281</v>
      </c>
      <c r="H99" s="43" t="n">
        <v>138249</v>
      </c>
      <c r="I99" s="43" t="n">
        <v>42208</v>
      </c>
      <c r="J99" s="43" t="n">
        <v>85123</v>
      </c>
      <c r="K99" s="42" t="inlineStr">
        <is>
          <t>US Senate</t>
        </is>
      </c>
      <c r="L99" s="43" t="n">
        <v>32852</v>
      </c>
      <c r="M99" s="43" t="n">
        <v>66013</v>
      </c>
      <c r="N99" s="43" t="n">
        <v>101853</v>
      </c>
      <c r="O99" s="44">
        <f>IFERROR((F99-G99)/(F99+G99),"")</f>
        <v/>
      </c>
      <c r="P99" s="44">
        <f>IFERROR((I99-J99)/(I99+J99),"")</f>
        <v/>
      </c>
      <c r="Q99" s="45">
        <f>IFERROR(O99-P99,"")</f>
        <v/>
      </c>
      <c r="R99" s="44">
        <f>IFERROR((L99-M99)/(L99+M99),"")</f>
        <v/>
      </c>
      <c r="S99" s="46">
        <f>H99/SUMIFS(Counties!$H$2:$H$1583,Counties!$A$2:$A$1583,$A99)</f>
        <v/>
      </c>
      <c r="T99" s="44">
        <f>O99+INDEX(Dashboard!$F$6:$F$22,MATCH($A99,Dashboard!$A$6:$A$22,0))</f>
        <v/>
      </c>
      <c r="U99" s="43">
        <f>AQ99*INDEX(Dashboard!$G$6:$G$22,MATCH($A99,Dashboard!$A$6:$A$22,0))</f>
        <v/>
      </c>
      <c r="V99" s="47" t="n"/>
      <c r="W99" s="47" t="n"/>
      <c r="X99" s="47" t="n"/>
      <c r="Y99" s="48" t="n"/>
      <c r="Z99" s="49" t="n"/>
      <c r="AA99" s="49" t="n"/>
      <c r="AB99" s="49" t="n"/>
      <c r="AC99" s="50" t="n"/>
      <c r="AD99" s="43">
        <f>IF(Z99&lt;&gt;"",Z99,N(V99))</f>
        <v/>
      </c>
      <c r="AE99" s="43">
        <f>IF(AA99&lt;&gt;"",AA99,N(W99))</f>
        <v/>
      </c>
      <c r="AF99" s="43">
        <f>AD99+AE99</f>
        <v/>
      </c>
      <c r="AG99" s="42">
        <f>IF(UPPER(AC99)="Y",1,IF(AF99=0,0,IF(AND(Z99="",Y99&lt;&gt;""),IF(Y99&gt;=0.999,1,0),IF(AF99&gt;=U99,1,0))))</f>
        <v/>
      </c>
      <c r="AH99" s="44">
        <f>IF(AF99&gt;0,(AD99-AE99)/AF99,"")</f>
        <v/>
      </c>
      <c r="AI99" s="45">
        <f>IF(AG99=1,AH99-O99,"")</f>
        <v/>
      </c>
      <c r="AJ99" s="44">
        <f>IF(AG99=1,AH99,MAX(-1,MIN(1,O99+INDEX(Types!$H:$H,MATCH($A99&amp;"|"&amp;$D99,Types!$A:$A,0)))))</f>
        <v/>
      </c>
      <c r="AK99" s="43">
        <f>IF(AG99=1,AF99,MAX(AQ99*AS99,AF99))</f>
        <v/>
      </c>
      <c r="AL99" s="43">
        <f>IF(AG99=1,AD99,AK99*(1+AJ99)/2)</f>
        <v/>
      </c>
      <c r="AM99" s="43">
        <f>IF(AG99=1,AE99,AK99*(1-AJ99)/2)</f>
        <v/>
      </c>
      <c r="AN99" s="45">
        <f>IF(AH99="","",AH99-T99)</f>
        <v/>
      </c>
      <c r="AO99" s="51">
        <f>IF(AG99=1,1,IF(U99&gt;0,MIN(AF99/U99,0.99),0))</f>
        <v/>
      </c>
      <c r="AP99" s="43">
        <f>IF(AG99=1,AI99*AF99,0)</f>
        <v/>
      </c>
      <c r="AQ99" s="43">
        <f>N99*(F99+G99)/H99</f>
        <v/>
      </c>
      <c r="AR99" s="43">
        <f>O99*AQ99</f>
        <v/>
      </c>
      <c r="AS99" s="52">
        <f>IF(AG99=1,IF(AQ99&gt;0,AF99/AQ99,1),IFERROR(INDEX(Types!$K:$K,MATCH($A99&amp;"|"&amp;$D99,Types!$A:$A,0)),INDEX(Dashboard!$X$6:$X$22,MATCH($A99,Dashboard!$A$6:$A$22,0))))</f>
        <v/>
      </c>
      <c r="AT99" s="43">
        <f>AQ99*INDEX(Dashboard!$Y$6:$Y$22,MATCH($A99,Dashboard!$A$6:$A$22,0))</f>
        <v/>
      </c>
      <c r="AU99" s="53">
        <f>IF(AND(AG99=1,AT99&gt;0,AF99&gt;0),100*AF99/AT99,"")</f>
        <v/>
      </c>
      <c r="AV99" s="44">
        <f>IF(AU99="","",T99/(AU99/100))</f>
        <v/>
      </c>
      <c r="AW99" s="53">
        <f>IF(AU99="","",IF(AND(ABS(AH99)&gt;=0.1,ABS(T99)&gt;=0.05,SIGN(AH99)=SIGN(T99)),100*T99/AH99,""))</f>
        <v/>
      </c>
      <c r="AX99" s="45">
        <f>IF(AU99="","",T99-AV99)</f>
        <v/>
      </c>
      <c r="AY99" s="45">
        <f>IF(AU99="","",AH99-AV99)</f>
        <v/>
      </c>
      <c r="AZ99" s="54">
        <f>(AL99-AM99)-T99*AT99</f>
        <v/>
      </c>
      <c r="BA99" s="43">
        <f>IF(AU99="",0,(AH99-T99)*AF99)</f>
        <v/>
      </c>
      <c r="BB99" s="43">
        <f>IF(AU99="",0,T99*(AF99-AT99))</f>
        <v/>
      </c>
      <c r="BC99" s="51" t="n">
        <v>0.04560129284282505</v>
      </c>
      <c r="BD99" s="51" t="n">
        <v>0.1004481708546028</v>
      </c>
      <c r="BE99" s="51" t="n">
        <v>0.5660304720128795</v>
      </c>
      <c r="BF99" s="43" t="n">
        <v>272887</v>
      </c>
    </row>
    <row r="100">
      <c r="A100" s="42" t="inlineStr">
        <is>
          <t>GA</t>
        </is>
      </c>
      <c r="B100" s="42" t="inlineStr">
        <is>
          <t>13119</t>
        </is>
      </c>
      <c r="C100" s="42" t="inlineStr">
        <is>
          <t>Franklin</t>
        </is>
      </c>
      <c r="D100" s="42" t="inlineStr">
        <is>
          <t>Small town &amp; rural</t>
        </is>
      </c>
      <c r="E100" s="42" t="inlineStr"/>
      <c r="F100" s="43" t="n">
        <v>1647</v>
      </c>
      <c r="G100" s="43" t="n">
        <v>10459</v>
      </c>
      <c r="H100" s="43" t="n">
        <v>12140</v>
      </c>
      <c r="I100" s="43" t="n">
        <v>1593</v>
      </c>
      <c r="J100" s="43" t="n">
        <v>9069</v>
      </c>
      <c r="K100" s="42" t="inlineStr">
        <is>
          <t>US Senate</t>
        </is>
      </c>
      <c r="L100" s="43" t="n">
        <v>1166</v>
      </c>
      <c r="M100" s="43" t="n">
        <v>7374</v>
      </c>
      <c r="N100" s="43" t="n">
        <v>8704</v>
      </c>
      <c r="O100" s="44">
        <f>IFERROR((F100-G100)/(F100+G100),"")</f>
        <v/>
      </c>
      <c r="P100" s="44">
        <f>IFERROR((I100-J100)/(I100+J100),"")</f>
        <v/>
      </c>
      <c r="Q100" s="45">
        <f>IFERROR(O100-P100,"")</f>
        <v/>
      </c>
      <c r="R100" s="44">
        <f>IFERROR((L100-M100)/(L100+M100),"")</f>
        <v/>
      </c>
      <c r="S100" s="46">
        <f>H100/SUMIFS(Counties!$H$2:$H$1583,Counties!$A$2:$A$1583,$A100)</f>
        <v/>
      </c>
      <c r="T100" s="44">
        <f>O100+INDEX(Dashboard!$F$6:$F$22,MATCH($A100,Dashboard!$A$6:$A$22,0))</f>
        <v/>
      </c>
      <c r="U100" s="43">
        <f>AQ100*INDEX(Dashboard!$G$6:$G$22,MATCH($A100,Dashboard!$A$6:$A$22,0))</f>
        <v/>
      </c>
      <c r="V100" s="47" t="n"/>
      <c r="W100" s="47" t="n"/>
      <c r="X100" s="47" t="n"/>
      <c r="Y100" s="48" t="n"/>
      <c r="Z100" s="49" t="n"/>
      <c r="AA100" s="49" t="n"/>
      <c r="AB100" s="49" t="n"/>
      <c r="AC100" s="50" t="n"/>
      <c r="AD100" s="43">
        <f>IF(Z100&lt;&gt;"",Z100,N(V100))</f>
        <v/>
      </c>
      <c r="AE100" s="43">
        <f>IF(AA100&lt;&gt;"",AA100,N(W100))</f>
        <v/>
      </c>
      <c r="AF100" s="43">
        <f>AD100+AE100</f>
        <v/>
      </c>
      <c r="AG100" s="42">
        <f>IF(UPPER(AC100)="Y",1,IF(AF100=0,0,IF(AND(Z100="",Y100&lt;&gt;""),IF(Y100&gt;=0.999,1,0),IF(AF100&gt;=U100,1,0))))</f>
        <v/>
      </c>
      <c r="AH100" s="44">
        <f>IF(AF100&gt;0,(AD100-AE100)/AF100,"")</f>
        <v/>
      </c>
      <c r="AI100" s="45">
        <f>IF(AG100=1,AH100-O100,"")</f>
        <v/>
      </c>
      <c r="AJ100" s="44">
        <f>IF(AG100=1,AH100,MAX(-1,MIN(1,O100+INDEX(Types!$H:$H,MATCH($A100&amp;"|"&amp;$D100,Types!$A:$A,0)))))</f>
        <v/>
      </c>
      <c r="AK100" s="43">
        <f>IF(AG100=1,AF100,MAX(AQ100*AS100,AF100))</f>
        <v/>
      </c>
      <c r="AL100" s="43">
        <f>IF(AG100=1,AD100,AK100*(1+AJ100)/2)</f>
        <v/>
      </c>
      <c r="AM100" s="43">
        <f>IF(AG100=1,AE100,AK100*(1-AJ100)/2)</f>
        <v/>
      </c>
      <c r="AN100" s="45">
        <f>IF(AH100="","",AH100-T100)</f>
        <v/>
      </c>
      <c r="AO100" s="51">
        <f>IF(AG100=1,1,IF(U100&gt;0,MIN(AF100/U100,0.99),0))</f>
        <v/>
      </c>
      <c r="AP100" s="43">
        <f>IF(AG100=1,AI100*AF100,0)</f>
        <v/>
      </c>
      <c r="AQ100" s="43">
        <f>N100*(F100+G100)/H100</f>
        <v/>
      </c>
      <c r="AR100" s="43">
        <f>O100*AQ100</f>
        <v/>
      </c>
      <c r="AS100" s="52">
        <f>IF(AG100=1,IF(AQ100&gt;0,AF100/AQ100,1),IFERROR(INDEX(Types!$K:$K,MATCH($A100&amp;"|"&amp;$D100,Types!$A:$A,0)),INDEX(Dashboard!$X$6:$X$22,MATCH($A100,Dashboard!$A$6:$A$22,0))))</f>
        <v/>
      </c>
      <c r="AT100" s="43">
        <f>AQ100*INDEX(Dashboard!$Y$6:$Y$22,MATCH($A100,Dashboard!$A$6:$A$22,0))</f>
        <v/>
      </c>
      <c r="AU100" s="53">
        <f>IF(AND(AG100=1,AT100&gt;0,AF100&gt;0),100*AF100/AT100,"")</f>
        <v/>
      </c>
      <c r="AV100" s="44">
        <f>IF(AU100="","",T100/(AU100/100))</f>
        <v/>
      </c>
      <c r="AW100" s="53">
        <f>IF(AU100="","",IF(AND(ABS(AH100)&gt;=0.1,ABS(T100)&gt;=0.05,SIGN(AH100)=SIGN(T100)),100*T100/AH100,""))</f>
        <v/>
      </c>
      <c r="AX100" s="45">
        <f>IF(AU100="","",T100-AV100)</f>
        <v/>
      </c>
      <c r="AY100" s="45">
        <f>IF(AU100="","",AH100-AV100)</f>
        <v/>
      </c>
      <c r="AZ100" s="54">
        <f>(AL100-AM100)-T100*AT100</f>
        <v/>
      </c>
      <c r="BA100" s="43">
        <f>IF(AU100="",0,(AH100-T100)*AF100)</f>
        <v/>
      </c>
      <c r="BB100" s="43">
        <f>IF(AU100="",0,T100*(AF100-AT100))</f>
        <v/>
      </c>
      <c r="BC100" s="51" t="n">
        <v>0.09046888870954725</v>
      </c>
      <c r="BD100" s="51" t="n">
        <v>0.0574610604470987</v>
      </c>
      <c r="BE100" s="51" t="n">
        <v>0.1692659982671123</v>
      </c>
      <c r="BF100" s="43" t="n">
        <v>24782</v>
      </c>
    </row>
    <row r="101">
      <c r="A101" s="42" t="inlineStr">
        <is>
          <t>GA</t>
        </is>
      </c>
      <c r="B101" s="42" t="inlineStr">
        <is>
          <t>13121</t>
        </is>
      </c>
      <c r="C101" s="42" t="inlineStr">
        <is>
          <t>Fulton</t>
        </is>
      </c>
      <c r="D101" s="42" t="inlineStr">
        <is>
          <t>Big metro core</t>
        </is>
      </c>
      <c r="E101" s="42" t="inlineStr">
        <is>
          <t>★</t>
        </is>
      </c>
      <c r="F101" s="43" t="n">
        <v>384752</v>
      </c>
      <c r="G101" s="43" t="n">
        <v>144655</v>
      </c>
      <c r="H101" s="43" t="n">
        <v>535238</v>
      </c>
      <c r="I101" s="43" t="n">
        <v>380212</v>
      </c>
      <c r="J101" s="43" t="n">
        <v>137247</v>
      </c>
      <c r="K101" s="42" t="inlineStr">
        <is>
          <t>US Senate</t>
        </is>
      </c>
      <c r="L101" s="43" t="n">
        <v>307560</v>
      </c>
      <c r="M101" s="43" t="n">
        <v>102758</v>
      </c>
      <c r="N101" s="43" t="n">
        <v>418172</v>
      </c>
      <c r="O101" s="44">
        <f>IFERROR((F101-G101)/(F101+G101),"")</f>
        <v/>
      </c>
      <c r="P101" s="44">
        <f>IFERROR((I101-J101)/(I101+J101),"")</f>
        <v/>
      </c>
      <c r="Q101" s="45">
        <f>IFERROR(O101-P101,"")</f>
        <v/>
      </c>
      <c r="R101" s="44">
        <f>IFERROR((L101-M101)/(L101+M101),"")</f>
        <v/>
      </c>
      <c r="S101" s="46">
        <f>H101/SUMIFS(Counties!$H$2:$H$1583,Counties!$A$2:$A$1583,$A101)</f>
        <v/>
      </c>
      <c r="T101" s="44">
        <f>O101+INDEX(Dashboard!$F$6:$F$22,MATCH($A101,Dashboard!$A$6:$A$22,0))</f>
        <v/>
      </c>
      <c r="U101" s="43">
        <f>AQ101*INDEX(Dashboard!$G$6:$G$22,MATCH($A101,Dashboard!$A$6:$A$22,0))</f>
        <v/>
      </c>
      <c r="V101" s="47" t="n"/>
      <c r="W101" s="47" t="n"/>
      <c r="X101" s="47" t="n"/>
      <c r="Y101" s="48" t="n"/>
      <c r="Z101" s="49" t="n"/>
      <c r="AA101" s="49" t="n"/>
      <c r="AB101" s="49" t="n"/>
      <c r="AC101" s="50" t="n"/>
      <c r="AD101" s="43">
        <f>IF(Z101&lt;&gt;"",Z101,N(V101))</f>
        <v/>
      </c>
      <c r="AE101" s="43">
        <f>IF(AA101&lt;&gt;"",AA101,N(W101))</f>
        <v/>
      </c>
      <c r="AF101" s="43">
        <f>AD101+AE101</f>
        <v/>
      </c>
      <c r="AG101" s="42">
        <f>IF(UPPER(AC101)="Y",1,IF(AF101=0,0,IF(AND(Z101="",Y101&lt;&gt;""),IF(Y101&gt;=0.999,1,0),IF(AF101&gt;=U101,1,0))))</f>
        <v/>
      </c>
      <c r="AH101" s="44">
        <f>IF(AF101&gt;0,(AD101-AE101)/AF101,"")</f>
        <v/>
      </c>
      <c r="AI101" s="45">
        <f>IF(AG101=1,AH101-O101,"")</f>
        <v/>
      </c>
      <c r="AJ101" s="44">
        <f>IF(AG101=1,AH101,MAX(-1,MIN(1,O101+INDEX(Types!$H:$H,MATCH($A101&amp;"|"&amp;$D101,Types!$A:$A,0)))))</f>
        <v/>
      </c>
      <c r="AK101" s="43">
        <f>IF(AG101=1,AF101,MAX(AQ101*AS101,AF101))</f>
        <v/>
      </c>
      <c r="AL101" s="43">
        <f>IF(AG101=1,AD101,AK101*(1+AJ101)/2)</f>
        <v/>
      </c>
      <c r="AM101" s="43">
        <f>IF(AG101=1,AE101,AK101*(1-AJ101)/2)</f>
        <v/>
      </c>
      <c r="AN101" s="45">
        <f>IF(AH101="","",AH101-T101)</f>
        <v/>
      </c>
      <c r="AO101" s="51">
        <f>IF(AG101=1,1,IF(U101&gt;0,MIN(AF101/U101,0.99),0))</f>
        <v/>
      </c>
      <c r="AP101" s="43">
        <f>IF(AG101=1,AI101*AF101,0)</f>
        <v/>
      </c>
      <c r="AQ101" s="43">
        <f>N101*(F101+G101)/H101</f>
        <v/>
      </c>
      <c r="AR101" s="43">
        <f>O101*AQ101</f>
        <v/>
      </c>
      <c r="AS101" s="52">
        <f>IF(AG101=1,IF(AQ101&gt;0,AF101/AQ101,1),IFERROR(INDEX(Types!$K:$K,MATCH($A101&amp;"|"&amp;$D101,Types!$A:$A,0)),INDEX(Dashboard!$X$6:$X$22,MATCH($A101,Dashboard!$A$6:$A$22,0))))</f>
        <v/>
      </c>
      <c r="AT101" s="43">
        <f>AQ101*INDEX(Dashboard!$Y$6:$Y$22,MATCH($A101,Dashboard!$A$6:$A$22,0))</f>
        <v/>
      </c>
      <c r="AU101" s="53">
        <f>IF(AND(AG101=1,AT101&gt;0,AF101&gt;0),100*AF101/AT101,"")</f>
        <v/>
      </c>
      <c r="AV101" s="44">
        <f>IF(AU101="","",T101/(AU101/100))</f>
        <v/>
      </c>
      <c r="AW101" s="53">
        <f>IF(AU101="","",IF(AND(ABS(AH101)&gt;=0.1,ABS(T101)&gt;=0.05,SIGN(AH101)=SIGN(T101)),100*T101/AH101,""))</f>
        <v/>
      </c>
      <c r="AX101" s="45">
        <f>IF(AU101="","",T101-AV101)</f>
        <v/>
      </c>
      <c r="AY101" s="45">
        <f>IF(AU101="","",AH101-AV101)</f>
        <v/>
      </c>
      <c r="AZ101" s="54">
        <f>(AL101-AM101)-T101*AT101</f>
        <v/>
      </c>
      <c r="BA101" s="43">
        <f>IF(AU101="",0,(AH101-T101)*AF101)</f>
        <v/>
      </c>
      <c r="BB101" s="43">
        <f>IF(AU101="",0,T101*(AF101-AT101))</f>
        <v/>
      </c>
      <c r="BC101" s="51" t="n">
        <v>0.4400572696818196</v>
      </c>
      <c r="BD101" s="51" t="n">
        <v>0.0816231970012186</v>
      </c>
      <c r="BE101" s="51" t="n">
        <v>0.5799513887761123</v>
      </c>
      <c r="BF101" s="43" t="n">
        <v>1079105</v>
      </c>
    </row>
    <row r="102">
      <c r="A102" s="42" t="inlineStr">
        <is>
          <t>GA</t>
        </is>
      </c>
      <c r="B102" s="42" t="inlineStr">
        <is>
          <t>13123</t>
        </is>
      </c>
      <c r="C102" s="42" t="inlineStr">
        <is>
          <t>Gilmer</t>
        </is>
      </c>
      <c r="D102" s="42" t="inlineStr">
        <is>
          <t>Small town &amp; rural</t>
        </is>
      </c>
      <c r="E102" s="42" t="inlineStr"/>
      <c r="F102" s="43" t="n">
        <v>3413</v>
      </c>
      <c r="G102" s="43" t="n">
        <v>14976</v>
      </c>
      <c r="H102" s="43" t="n">
        <v>18481</v>
      </c>
      <c r="I102" s="43" t="n">
        <v>2932</v>
      </c>
      <c r="J102" s="43" t="n">
        <v>13429</v>
      </c>
      <c r="K102" s="42" t="inlineStr">
        <is>
          <t>US Senate</t>
        </is>
      </c>
      <c r="L102" s="43" t="n">
        <v>2523</v>
      </c>
      <c r="M102" s="43" t="n">
        <v>11159</v>
      </c>
      <c r="N102" s="43" t="n">
        <v>14007</v>
      </c>
      <c r="O102" s="44">
        <f>IFERROR((F102-G102)/(F102+G102),"")</f>
        <v/>
      </c>
      <c r="P102" s="44">
        <f>IFERROR((I102-J102)/(I102+J102),"")</f>
        <v/>
      </c>
      <c r="Q102" s="45">
        <f>IFERROR(O102-P102,"")</f>
        <v/>
      </c>
      <c r="R102" s="44">
        <f>IFERROR((L102-M102)/(L102+M102),"")</f>
        <v/>
      </c>
      <c r="S102" s="46">
        <f>H102/SUMIFS(Counties!$H$2:$H$1583,Counties!$A$2:$A$1583,$A102)</f>
        <v/>
      </c>
      <c r="T102" s="44">
        <f>O102+INDEX(Dashboard!$F$6:$F$22,MATCH($A102,Dashboard!$A$6:$A$22,0))</f>
        <v/>
      </c>
      <c r="U102" s="43">
        <f>AQ102*INDEX(Dashboard!$G$6:$G$22,MATCH($A102,Dashboard!$A$6:$A$22,0))</f>
        <v/>
      </c>
      <c r="V102" s="47" t="n"/>
      <c r="W102" s="47" t="n"/>
      <c r="X102" s="47" t="n"/>
      <c r="Y102" s="48" t="n"/>
      <c r="Z102" s="49" t="n"/>
      <c r="AA102" s="49" t="n"/>
      <c r="AB102" s="49" t="n"/>
      <c r="AC102" s="50" t="n"/>
      <c r="AD102" s="43">
        <f>IF(Z102&lt;&gt;"",Z102,N(V102))</f>
        <v/>
      </c>
      <c r="AE102" s="43">
        <f>IF(AA102&lt;&gt;"",AA102,N(W102))</f>
        <v/>
      </c>
      <c r="AF102" s="43">
        <f>AD102+AE102</f>
        <v/>
      </c>
      <c r="AG102" s="42">
        <f>IF(UPPER(AC102)="Y",1,IF(AF102=0,0,IF(AND(Z102="",Y102&lt;&gt;""),IF(Y102&gt;=0.999,1,0),IF(AF102&gt;=U102,1,0))))</f>
        <v/>
      </c>
      <c r="AH102" s="44">
        <f>IF(AF102&gt;0,(AD102-AE102)/AF102,"")</f>
        <v/>
      </c>
      <c r="AI102" s="45">
        <f>IF(AG102=1,AH102-O102,"")</f>
        <v/>
      </c>
      <c r="AJ102" s="44">
        <f>IF(AG102=1,AH102,MAX(-1,MIN(1,O102+INDEX(Types!$H:$H,MATCH($A102&amp;"|"&amp;$D102,Types!$A:$A,0)))))</f>
        <v/>
      </c>
      <c r="AK102" s="43">
        <f>IF(AG102=1,AF102,MAX(AQ102*AS102,AF102))</f>
        <v/>
      </c>
      <c r="AL102" s="43">
        <f>IF(AG102=1,AD102,AK102*(1+AJ102)/2)</f>
        <v/>
      </c>
      <c r="AM102" s="43">
        <f>IF(AG102=1,AE102,AK102*(1-AJ102)/2)</f>
        <v/>
      </c>
      <c r="AN102" s="45">
        <f>IF(AH102="","",AH102-T102)</f>
        <v/>
      </c>
      <c r="AO102" s="51">
        <f>IF(AG102=1,1,IF(U102&gt;0,MIN(AF102/U102,0.99),0))</f>
        <v/>
      </c>
      <c r="AP102" s="43">
        <f>IF(AG102=1,AI102*AF102,0)</f>
        <v/>
      </c>
      <c r="AQ102" s="43">
        <f>N102*(F102+G102)/H102</f>
        <v/>
      </c>
      <c r="AR102" s="43">
        <f>O102*AQ102</f>
        <v/>
      </c>
      <c r="AS102" s="52">
        <f>IF(AG102=1,IF(AQ102&gt;0,AF102/AQ102,1),IFERROR(INDEX(Types!$K:$K,MATCH($A102&amp;"|"&amp;$D102,Types!$A:$A,0)),INDEX(Dashboard!$X$6:$X$22,MATCH($A102,Dashboard!$A$6:$A$22,0))))</f>
        <v/>
      </c>
      <c r="AT102" s="43">
        <f>AQ102*INDEX(Dashboard!$Y$6:$Y$22,MATCH($A102,Dashboard!$A$6:$A$22,0))</f>
        <v/>
      </c>
      <c r="AU102" s="53">
        <f>IF(AND(AG102=1,AT102&gt;0,AF102&gt;0),100*AF102/AT102,"")</f>
        <v/>
      </c>
      <c r="AV102" s="44">
        <f>IF(AU102="","",T102/(AU102/100))</f>
        <v/>
      </c>
      <c r="AW102" s="53">
        <f>IF(AU102="","",IF(AND(ABS(AH102)&gt;=0.1,ABS(T102)&gt;=0.05,SIGN(AH102)=SIGN(T102)),100*T102/AH102,""))</f>
        <v/>
      </c>
      <c r="AX102" s="45">
        <f>IF(AU102="","",T102-AV102)</f>
        <v/>
      </c>
      <c r="AY102" s="45">
        <f>IF(AU102="","",AH102-AV102)</f>
        <v/>
      </c>
      <c r="AZ102" s="54">
        <f>(AL102-AM102)-T102*AT102</f>
        <v/>
      </c>
      <c r="BA102" s="43">
        <f>IF(AU102="",0,(AH102-T102)*AF102)</f>
        <v/>
      </c>
      <c r="BB102" s="43">
        <f>IF(AU102="",0,T102*(AF102-AT102))</f>
        <v/>
      </c>
      <c r="BC102" s="51" t="n">
        <v>0.009951308581862446</v>
      </c>
      <c r="BD102" s="51" t="n">
        <v>0.1267194157029823</v>
      </c>
      <c r="BE102" s="51" t="n">
        <v>0.2273276904474003</v>
      </c>
      <c r="BF102" s="43" t="n">
        <v>32860</v>
      </c>
    </row>
    <row r="103">
      <c r="A103" s="42" t="inlineStr">
        <is>
          <t>GA</t>
        </is>
      </c>
      <c r="B103" s="42" t="inlineStr">
        <is>
          <t>13125</t>
        </is>
      </c>
      <c r="C103" s="42" t="inlineStr">
        <is>
          <t>Glascock</t>
        </is>
      </c>
      <c r="D103" s="42" t="inlineStr">
        <is>
          <t>Small town &amp; rural</t>
        </is>
      </c>
      <c r="E103" s="42" t="inlineStr"/>
      <c r="F103" s="43" t="n">
        <v>133</v>
      </c>
      <c r="G103" s="43" t="n">
        <v>1534</v>
      </c>
      <c r="H103" s="43" t="n">
        <v>1670</v>
      </c>
      <c r="I103" s="43" t="n">
        <v>155</v>
      </c>
      <c r="J103" s="43" t="n">
        <v>1402</v>
      </c>
      <c r="K103" s="42" t="inlineStr">
        <is>
          <t>US Senate</t>
        </is>
      </c>
      <c r="L103" s="43" t="n">
        <v>113</v>
      </c>
      <c r="M103" s="43" t="n">
        <v>1171</v>
      </c>
      <c r="N103" s="43" t="n">
        <v>1295</v>
      </c>
      <c r="O103" s="44">
        <f>IFERROR((F103-G103)/(F103+G103),"")</f>
        <v/>
      </c>
      <c r="P103" s="44">
        <f>IFERROR((I103-J103)/(I103+J103),"")</f>
        <v/>
      </c>
      <c r="Q103" s="45">
        <f>IFERROR(O103-P103,"")</f>
        <v/>
      </c>
      <c r="R103" s="44">
        <f>IFERROR((L103-M103)/(L103+M103),"")</f>
        <v/>
      </c>
      <c r="S103" s="46">
        <f>H103/SUMIFS(Counties!$H$2:$H$1583,Counties!$A$2:$A$1583,$A103)</f>
        <v/>
      </c>
      <c r="T103" s="44">
        <f>O103+INDEX(Dashboard!$F$6:$F$22,MATCH($A103,Dashboard!$A$6:$A$22,0))</f>
        <v/>
      </c>
      <c r="U103" s="43">
        <f>AQ103*INDEX(Dashboard!$G$6:$G$22,MATCH($A103,Dashboard!$A$6:$A$22,0))</f>
        <v/>
      </c>
      <c r="V103" s="47" t="n"/>
      <c r="W103" s="47" t="n"/>
      <c r="X103" s="47" t="n"/>
      <c r="Y103" s="48" t="n"/>
      <c r="Z103" s="49" t="n"/>
      <c r="AA103" s="49" t="n"/>
      <c r="AB103" s="49" t="n"/>
      <c r="AC103" s="50" t="n"/>
      <c r="AD103" s="43">
        <f>IF(Z103&lt;&gt;"",Z103,N(V103))</f>
        <v/>
      </c>
      <c r="AE103" s="43">
        <f>IF(AA103&lt;&gt;"",AA103,N(W103))</f>
        <v/>
      </c>
      <c r="AF103" s="43">
        <f>AD103+AE103</f>
        <v/>
      </c>
      <c r="AG103" s="42">
        <f>IF(UPPER(AC103)="Y",1,IF(AF103=0,0,IF(AND(Z103="",Y103&lt;&gt;""),IF(Y103&gt;=0.999,1,0),IF(AF103&gt;=U103,1,0))))</f>
        <v/>
      </c>
      <c r="AH103" s="44">
        <f>IF(AF103&gt;0,(AD103-AE103)/AF103,"")</f>
        <v/>
      </c>
      <c r="AI103" s="45">
        <f>IF(AG103=1,AH103-O103,"")</f>
        <v/>
      </c>
      <c r="AJ103" s="44">
        <f>IF(AG103=1,AH103,MAX(-1,MIN(1,O103+INDEX(Types!$H:$H,MATCH($A103&amp;"|"&amp;$D103,Types!$A:$A,0)))))</f>
        <v/>
      </c>
      <c r="AK103" s="43">
        <f>IF(AG103=1,AF103,MAX(AQ103*AS103,AF103))</f>
        <v/>
      </c>
      <c r="AL103" s="43">
        <f>IF(AG103=1,AD103,AK103*(1+AJ103)/2)</f>
        <v/>
      </c>
      <c r="AM103" s="43">
        <f>IF(AG103=1,AE103,AK103*(1-AJ103)/2)</f>
        <v/>
      </c>
      <c r="AN103" s="45">
        <f>IF(AH103="","",AH103-T103)</f>
        <v/>
      </c>
      <c r="AO103" s="51">
        <f>IF(AG103=1,1,IF(U103&gt;0,MIN(AF103/U103,0.99),0))</f>
        <v/>
      </c>
      <c r="AP103" s="43">
        <f>IF(AG103=1,AI103*AF103,0)</f>
        <v/>
      </c>
      <c r="AQ103" s="43">
        <f>N103*(F103+G103)/H103</f>
        <v/>
      </c>
      <c r="AR103" s="43">
        <f>O103*AQ103</f>
        <v/>
      </c>
      <c r="AS103" s="52">
        <f>IF(AG103=1,IF(AQ103&gt;0,AF103/AQ103,1),IFERROR(INDEX(Types!$K:$K,MATCH($A103&amp;"|"&amp;$D103,Types!$A:$A,0)),INDEX(Dashboard!$X$6:$X$22,MATCH($A103,Dashboard!$A$6:$A$22,0))))</f>
        <v/>
      </c>
      <c r="AT103" s="43">
        <f>AQ103*INDEX(Dashboard!$Y$6:$Y$22,MATCH($A103,Dashboard!$A$6:$A$22,0))</f>
        <v/>
      </c>
      <c r="AU103" s="53">
        <f>IF(AND(AG103=1,AT103&gt;0,AF103&gt;0),100*AF103/AT103,"")</f>
        <v/>
      </c>
      <c r="AV103" s="44">
        <f>IF(AU103="","",T103/(AU103/100))</f>
        <v/>
      </c>
      <c r="AW103" s="53">
        <f>IF(AU103="","",IF(AND(ABS(AH103)&gt;=0.1,ABS(T103)&gt;=0.05,SIGN(AH103)=SIGN(T103)),100*T103/AH103,""))</f>
        <v/>
      </c>
      <c r="AX103" s="45">
        <f>IF(AU103="","",T103-AV103)</f>
        <v/>
      </c>
      <c r="AY103" s="45">
        <f>IF(AU103="","",AH103-AV103)</f>
        <v/>
      </c>
      <c r="AZ103" s="54">
        <f>(AL103-AM103)-T103*AT103</f>
        <v/>
      </c>
      <c r="BA103" s="43">
        <f>IF(AU103="",0,(AH103-T103)*AF103)</f>
        <v/>
      </c>
      <c r="BB103" s="43">
        <f>IF(AU103="",0,T103*(AF103-AT103))</f>
        <v/>
      </c>
      <c r="BC103" s="51" t="n">
        <v>0.08463100880162491</v>
      </c>
      <c r="BD103" s="51" t="n">
        <v>0.02200406228842248</v>
      </c>
      <c r="BE103" s="51" t="n">
        <v>0.1486005089058524</v>
      </c>
      <c r="BF103" s="43" t="n">
        <v>2954</v>
      </c>
    </row>
    <row r="104">
      <c r="A104" s="42" t="inlineStr">
        <is>
          <t>GA</t>
        </is>
      </c>
      <c r="B104" s="42" t="inlineStr">
        <is>
          <t>13127</t>
        </is>
      </c>
      <c r="C104" s="42" t="inlineStr">
        <is>
          <t>Glynn</t>
        </is>
      </c>
      <c r="D104" s="42" t="inlineStr">
        <is>
          <t>Small town &amp; rural</t>
        </is>
      </c>
      <c r="E104" s="42" t="inlineStr"/>
      <c r="F104" s="43" t="n">
        <v>16144</v>
      </c>
      <c r="G104" s="43" t="n">
        <v>27558</v>
      </c>
      <c r="H104" s="43" t="n">
        <v>43912</v>
      </c>
      <c r="I104" s="43" t="n">
        <v>15882</v>
      </c>
      <c r="J104" s="43" t="n">
        <v>25617</v>
      </c>
      <c r="K104" s="42" t="inlineStr">
        <is>
          <t>US Senate</t>
        </is>
      </c>
      <c r="L104" s="43" t="n">
        <v>11812</v>
      </c>
      <c r="M104" s="43" t="n">
        <v>20735</v>
      </c>
      <c r="N104" s="43" t="n">
        <v>33144</v>
      </c>
      <c r="O104" s="44">
        <f>IFERROR((F104-G104)/(F104+G104),"")</f>
        <v/>
      </c>
      <c r="P104" s="44">
        <f>IFERROR((I104-J104)/(I104+J104),"")</f>
        <v/>
      </c>
      <c r="Q104" s="45">
        <f>IFERROR(O104-P104,"")</f>
        <v/>
      </c>
      <c r="R104" s="44">
        <f>IFERROR((L104-M104)/(L104+M104),"")</f>
        <v/>
      </c>
      <c r="S104" s="46">
        <f>H104/SUMIFS(Counties!$H$2:$H$1583,Counties!$A$2:$A$1583,$A104)</f>
        <v/>
      </c>
      <c r="T104" s="44">
        <f>O104+INDEX(Dashboard!$F$6:$F$22,MATCH($A104,Dashboard!$A$6:$A$22,0))</f>
        <v/>
      </c>
      <c r="U104" s="43">
        <f>AQ104*INDEX(Dashboard!$G$6:$G$22,MATCH($A104,Dashboard!$A$6:$A$22,0))</f>
        <v/>
      </c>
      <c r="V104" s="47" t="n"/>
      <c r="W104" s="47" t="n"/>
      <c r="X104" s="47" t="n"/>
      <c r="Y104" s="48" t="n"/>
      <c r="Z104" s="49" t="n"/>
      <c r="AA104" s="49" t="n"/>
      <c r="AB104" s="49" t="n"/>
      <c r="AC104" s="50" t="n"/>
      <c r="AD104" s="43">
        <f>IF(Z104&lt;&gt;"",Z104,N(V104))</f>
        <v/>
      </c>
      <c r="AE104" s="43">
        <f>IF(AA104&lt;&gt;"",AA104,N(W104))</f>
        <v/>
      </c>
      <c r="AF104" s="43">
        <f>AD104+AE104</f>
        <v/>
      </c>
      <c r="AG104" s="42">
        <f>IF(UPPER(AC104)="Y",1,IF(AF104=0,0,IF(AND(Z104="",Y104&lt;&gt;""),IF(Y104&gt;=0.999,1,0),IF(AF104&gt;=U104,1,0))))</f>
        <v/>
      </c>
      <c r="AH104" s="44">
        <f>IF(AF104&gt;0,(AD104-AE104)/AF104,"")</f>
        <v/>
      </c>
      <c r="AI104" s="45">
        <f>IF(AG104=1,AH104-O104,"")</f>
        <v/>
      </c>
      <c r="AJ104" s="44">
        <f>IF(AG104=1,AH104,MAX(-1,MIN(1,O104+INDEX(Types!$H:$H,MATCH($A104&amp;"|"&amp;$D104,Types!$A:$A,0)))))</f>
        <v/>
      </c>
      <c r="AK104" s="43">
        <f>IF(AG104=1,AF104,MAX(AQ104*AS104,AF104))</f>
        <v/>
      </c>
      <c r="AL104" s="43">
        <f>IF(AG104=1,AD104,AK104*(1+AJ104)/2)</f>
        <v/>
      </c>
      <c r="AM104" s="43">
        <f>IF(AG104=1,AE104,AK104*(1-AJ104)/2)</f>
        <v/>
      </c>
      <c r="AN104" s="45">
        <f>IF(AH104="","",AH104-T104)</f>
        <v/>
      </c>
      <c r="AO104" s="51">
        <f>IF(AG104=1,1,IF(U104&gt;0,MIN(AF104/U104,0.99),0))</f>
        <v/>
      </c>
      <c r="AP104" s="43">
        <f>IF(AG104=1,AI104*AF104,0)</f>
        <v/>
      </c>
      <c r="AQ104" s="43">
        <f>N104*(F104+G104)/H104</f>
        <v/>
      </c>
      <c r="AR104" s="43">
        <f>O104*AQ104</f>
        <v/>
      </c>
      <c r="AS104" s="52">
        <f>IF(AG104=1,IF(AQ104&gt;0,AF104/AQ104,1),IFERROR(INDEX(Types!$K:$K,MATCH($A104&amp;"|"&amp;$D104,Types!$A:$A,0)),INDEX(Dashboard!$X$6:$X$22,MATCH($A104,Dashboard!$A$6:$A$22,0))))</f>
        <v/>
      </c>
      <c r="AT104" s="43">
        <f>AQ104*INDEX(Dashboard!$Y$6:$Y$22,MATCH($A104,Dashboard!$A$6:$A$22,0))</f>
        <v/>
      </c>
      <c r="AU104" s="53">
        <f>IF(AND(AG104=1,AT104&gt;0,AF104&gt;0),100*AF104/AT104,"")</f>
        <v/>
      </c>
      <c r="AV104" s="44">
        <f>IF(AU104="","",T104/(AU104/100))</f>
        <v/>
      </c>
      <c r="AW104" s="53">
        <f>IF(AU104="","",IF(AND(ABS(AH104)&gt;=0.1,ABS(T104)&gt;=0.05,SIGN(AH104)=SIGN(T104)),100*T104/AH104,""))</f>
        <v/>
      </c>
      <c r="AX104" s="45">
        <f>IF(AU104="","",T104-AV104)</f>
        <v/>
      </c>
      <c r="AY104" s="45">
        <f>IF(AU104="","",AH104-AV104)</f>
        <v/>
      </c>
      <c r="AZ104" s="54">
        <f>(AL104-AM104)-T104*AT104</f>
        <v/>
      </c>
      <c r="BA104" s="43">
        <f>IF(AU104="",0,(AH104-T104)*AF104)</f>
        <v/>
      </c>
      <c r="BB104" s="43">
        <f>IF(AU104="",0,T104*(AF104-AT104))</f>
        <v/>
      </c>
      <c r="BC104" s="51" t="n">
        <v>0.2547579260084482</v>
      </c>
      <c r="BD104" s="51" t="n">
        <v>0.07816924290952977</v>
      </c>
      <c r="BE104" s="51" t="n">
        <v>0.3044181746136574</v>
      </c>
      <c r="BF104" s="43" t="n">
        <v>86172</v>
      </c>
    </row>
    <row r="105">
      <c r="A105" s="42" t="inlineStr">
        <is>
          <t>GA</t>
        </is>
      </c>
      <c r="B105" s="42" t="inlineStr">
        <is>
          <t>13129</t>
        </is>
      </c>
      <c r="C105" s="42" t="inlineStr">
        <is>
          <t>Gordon</t>
        </is>
      </c>
      <c r="D105" s="42" t="inlineStr">
        <is>
          <t>Small town &amp; rural</t>
        </is>
      </c>
      <c r="E105" s="42" t="inlineStr"/>
      <c r="F105" s="43" t="n">
        <v>4982</v>
      </c>
      <c r="G105" s="43" t="n">
        <v>22495</v>
      </c>
      <c r="H105" s="43" t="n">
        <v>27606</v>
      </c>
      <c r="I105" s="43" t="n">
        <v>4384</v>
      </c>
      <c r="J105" s="43" t="n">
        <v>19405</v>
      </c>
      <c r="K105" s="42" t="inlineStr">
        <is>
          <t>US Senate</t>
        </is>
      </c>
      <c r="L105" s="43" t="n">
        <v>3357</v>
      </c>
      <c r="M105" s="43" t="n">
        <v>14955</v>
      </c>
      <c r="N105" s="43" t="n">
        <v>18787</v>
      </c>
      <c r="O105" s="44">
        <f>IFERROR((F105-G105)/(F105+G105),"")</f>
        <v/>
      </c>
      <c r="P105" s="44">
        <f>IFERROR((I105-J105)/(I105+J105),"")</f>
        <v/>
      </c>
      <c r="Q105" s="45">
        <f>IFERROR(O105-P105,"")</f>
        <v/>
      </c>
      <c r="R105" s="44">
        <f>IFERROR((L105-M105)/(L105+M105),"")</f>
        <v/>
      </c>
      <c r="S105" s="46">
        <f>H105/SUMIFS(Counties!$H$2:$H$1583,Counties!$A$2:$A$1583,$A105)</f>
        <v/>
      </c>
      <c r="T105" s="44">
        <f>O105+INDEX(Dashboard!$F$6:$F$22,MATCH($A105,Dashboard!$A$6:$A$22,0))</f>
        <v/>
      </c>
      <c r="U105" s="43">
        <f>AQ105*INDEX(Dashboard!$G$6:$G$22,MATCH($A105,Dashboard!$A$6:$A$22,0))</f>
        <v/>
      </c>
      <c r="V105" s="47" t="n"/>
      <c r="W105" s="47" t="n"/>
      <c r="X105" s="47" t="n"/>
      <c r="Y105" s="48" t="n"/>
      <c r="Z105" s="49" t="n"/>
      <c r="AA105" s="49" t="n"/>
      <c r="AB105" s="49" t="n"/>
      <c r="AC105" s="50" t="n"/>
      <c r="AD105" s="43">
        <f>IF(Z105&lt;&gt;"",Z105,N(V105))</f>
        <v/>
      </c>
      <c r="AE105" s="43">
        <f>IF(AA105&lt;&gt;"",AA105,N(W105))</f>
        <v/>
      </c>
      <c r="AF105" s="43">
        <f>AD105+AE105</f>
        <v/>
      </c>
      <c r="AG105" s="42">
        <f>IF(UPPER(AC105)="Y",1,IF(AF105=0,0,IF(AND(Z105="",Y105&lt;&gt;""),IF(Y105&gt;=0.999,1,0),IF(AF105&gt;=U105,1,0))))</f>
        <v/>
      </c>
      <c r="AH105" s="44">
        <f>IF(AF105&gt;0,(AD105-AE105)/AF105,"")</f>
        <v/>
      </c>
      <c r="AI105" s="45">
        <f>IF(AG105=1,AH105-O105,"")</f>
        <v/>
      </c>
      <c r="AJ105" s="44">
        <f>IF(AG105=1,AH105,MAX(-1,MIN(1,O105+INDEX(Types!$H:$H,MATCH($A105&amp;"|"&amp;$D105,Types!$A:$A,0)))))</f>
        <v/>
      </c>
      <c r="AK105" s="43">
        <f>IF(AG105=1,AF105,MAX(AQ105*AS105,AF105))</f>
        <v/>
      </c>
      <c r="AL105" s="43">
        <f>IF(AG105=1,AD105,AK105*(1+AJ105)/2)</f>
        <v/>
      </c>
      <c r="AM105" s="43">
        <f>IF(AG105=1,AE105,AK105*(1-AJ105)/2)</f>
        <v/>
      </c>
      <c r="AN105" s="45">
        <f>IF(AH105="","",AH105-T105)</f>
        <v/>
      </c>
      <c r="AO105" s="51">
        <f>IF(AG105=1,1,IF(U105&gt;0,MIN(AF105/U105,0.99),0))</f>
        <v/>
      </c>
      <c r="AP105" s="43">
        <f>IF(AG105=1,AI105*AF105,0)</f>
        <v/>
      </c>
      <c r="AQ105" s="43">
        <f>N105*(F105+G105)/H105</f>
        <v/>
      </c>
      <c r="AR105" s="43">
        <f>O105*AQ105</f>
        <v/>
      </c>
      <c r="AS105" s="52">
        <f>IF(AG105=1,IF(AQ105&gt;0,AF105/AQ105,1),IFERROR(INDEX(Types!$K:$K,MATCH($A105&amp;"|"&amp;$D105,Types!$A:$A,0)),INDEX(Dashboard!$X$6:$X$22,MATCH($A105,Dashboard!$A$6:$A$22,0))))</f>
        <v/>
      </c>
      <c r="AT105" s="43">
        <f>AQ105*INDEX(Dashboard!$Y$6:$Y$22,MATCH($A105,Dashboard!$A$6:$A$22,0))</f>
        <v/>
      </c>
      <c r="AU105" s="53">
        <f>IF(AND(AG105=1,AT105&gt;0,AF105&gt;0),100*AF105/AT105,"")</f>
        <v/>
      </c>
      <c r="AV105" s="44">
        <f>IF(AU105="","",T105/(AU105/100))</f>
        <v/>
      </c>
      <c r="AW105" s="53">
        <f>IF(AU105="","",IF(AND(ABS(AH105)&gt;=0.1,ABS(T105)&gt;=0.05,SIGN(AH105)=SIGN(T105)),100*T105/AH105,""))</f>
        <v/>
      </c>
      <c r="AX105" s="45">
        <f>IF(AU105="","",T105-AV105)</f>
        <v/>
      </c>
      <c r="AY105" s="45">
        <f>IF(AU105="","",AH105-AV105)</f>
        <v/>
      </c>
      <c r="AZ105" s="54">
        <f>(AL105-AM105)-T105*AT105</f>
        <v/>
      </c>
      <c r="BA105" s="43">
        <f>IF(AU105="",0,(AH105-T105)*AF105)</f>
        <v/>
      </c>
      <c r="BB105" s="43">
        <f>IF(AU105="",0,T105*(AF105-AT105))</f>
        <v/>
      </c>
      <c r="BC105" s="51" t="n">
        <v>0.04387770470405141</v>
      </c>
      <c r="BD105" s="51" t="n">
        <v>0.1653530130361296</v>
      </c>
      <c r="BE105" s="51" t="n">
        <v>0.1765194622085704</v>
      </c>
      <c r="BF105" s="43" t="n">
        <v>59757</v>
      </c>
    </row>
    <row r="106">
      <c r="A106" s="42" t="inlineStr">
        <is>
          <t>GA</t>
        </is>
      </c>
      <c r="B106" s="42" t="inlineStr">
        <is>
          <t>13131</t>
        </is>
      </c>
      <c r="C106" s="42" t="inlineStr">
        <is>
          <t>Grady</t>
        </is>
      </c>
      <c r="D106" s="42" t="inlineStr">
        <is>
          <t>Small town &amp; rural</t>
        </is>
      </c>
      <c r="E106" s="42" t="inlineStr"/>
      <c r="F106" s="43" t="n">
        <v>3290</v>
      </c>
      <c r="G106" s="43" t="n">
        <v>7385</v>
      </c>
      <c r="H106" s="43" t="n">
        <v>10718</v>
      </c>
      <c r="I106" s="43" t="n">
        <v>3619</v>
      </c>
      <c r="J106" s="43" t="n">
        <v>7034</v>
      </c>
      <c r="K106" s="42" t="inlineStr">
        <is>
          <t>US Senate</t>
        </is>
      </c>
      <c r="L106" s="43" t="n">
        <v>2573</v>
      </c>
      <c r="M106" s="43" t="n">
        <v>5638</v>
      </c>
      <c r="N106" s="43" t="n">
        <v>8311</v>
      </c>
      <c r="O106" s="44">
        <f>IFERROR((F106-G106)/(F106+G106),"")</f>
        <v/>
      </c>
      <c r="P106" s="44">
        <f>IFERROR((I106-J106)/(I106+J106),"")</f>
        <v/>
      </c>
      <c r="Q106" s="45">
        <f>IFERROR(O106-P106,"")</f>
        <v/>
      </c>
      <c r="R106" s="44">
        <f>IFERROR((L106-M106)/(L106+M106),"")</f>
        <v/>
      </c>
      <c r="S106" s="46">
        <f>H106/SUMIFS(Counties!$H$2:$H$1583,Counties!$A$2:$A$1583,$A106)</f>
        <v/>
      </c>
      <c r="T106" s="44">
        <f>O106+INDEX(Dashboard!$F$6:$F$22,MATCH($A106,Dashboard!$A$6:$A$22,0))</f>
        <v/>
      </c>
      <c r="U106" s="43">
        <f>AQ106*INDEX(Dashboard!$G$6:$G$22,MATCH($A106,Dashboard!$A$6:$A$22,0))</f>
        <v/>
      </c>
      <c r="V106" s="47" t="n"/>
      <c r="W106" s="47" t="n"/>
      <c r="X106" s="47" t="n"/>
      <c r="Y106" s="48" t="n"/>
      <c r="Z106" s="49" t="n"/>
      <c r="AA106" s="49" t="n"/>
      <c r="AB106" s="49" t="n"/>
      <c r="AC106" s="50" t="n"/>
      <c r="AD106" s="43">
        <f>IF(Z106&lt;&gt;"",Z106,N(V106))</f>
        <v/>
      </c>
      <c r="AE106" s="43">
        <f>IF(AA106&lt;&gt;"",AA106,N(W106))</f>
        <v/>
      </c>
      <c r="AF106" s="43">
        <f>AD106+AE106</f>
        <v/>
      </c>
      <c r="AG106" s="42">
        <f>IF(UPPER(AC106)="Y",1,IF(AF106=0,0,IF(AND(Z106="",Y106&lt;&gt;""),IF(Y106&gt;=0.999,1,0),IF(AF106&gt;=U106,1,0))))</f>
        <v/>
      </c>
      <c r="AH106" s="44">
        <f>IF(AF106&gt;0,(AD106-AE106)/AF106,"")</f>
        <v/>
      </c>
      <c r="AI106" s="45">
        <f>IF(AG106=1,AH106-O106,"")</f>
        <v/>
      </c>
      <c r="AJ106" s="44">
        <f>IF(AG106=1,AH106,MAX(-1,MIN(1,O106+INDEX(Types!$H:$H,MATCH($A106&amp;"|"&amp;$D106,Types!$A:$A,0)))))</f>
        <v/>
      </c>
      <c r="AK106" s="43">
        <f>IF(AG106=1,AF106,MAX(AQ106*AS106,AF106))</f>
        <v/>
      </c>
      <c r="AL106" s="43">
        <f>IF(AG106=1,AD106,AK106*(1+AJ106)/2)</f>
        <v/>
      </c>
      <c r="AM106" s="43">
        <f>IF(AG106=1,AE106,AK106*(1-AJ106)/2)</f>
        <v/>
      </c>
      <c r="AN106" s="45">
        <f>IF(AH106="","",AH106-T106)</f>
        <v/>
      </c>
      <c r="AO106" s="51">
        <f>IF(AG106=1,1,IF(U106&gt;0,MIN(AF106/U106,0.99),0))</f>
        <v/>
      </c>
      <c r="AP106" s="43">
        <f>IF(AG106=1,AI106*AF106,0)</f>
        <v/>
      </c>
      <c r="AQ106" s="43">
        <f>N106*(F106+G106)/H106</f>
        <v/>
      </c>
      <c r="AR106" s="43">
        <f>O106*AQ106</f>
        <v/>
      </c>
      <c r="AS106" s="52">
        <f>IF(AG106=1,IF(AQ106&gt;0,AF106/AQ106,1),IFERROR(INDEX(Types!$K:$K,MATCH($A106&amp;"|"&amp;$D106,Types!$A:$A,0)),INDEX(Dashboard!$X$6:$X$22,MATCH($A106,Dashboard!$A$6:$A$22,0))))</f>
        <v/>
      </c>
      <c r="AT106" s="43">
        <f>AQ106*INDEX(Dashboard!$Y$6:$Y$22,MATCH($A106,Dashboard!$A$6:$A$22,0))</f>
        <v/>
      </c>
      <c r="AU106" s="53">
        <f>IF(AND(AG106=1,AT106&gt;0,AF106&gt;0),100*AF106/AT106,"")</f>
        <v/>
      </c>
      <c r="AV106" s="44">
        <f>IF(AU106="","",T106/(AU106/100))</f>
        <v/>
      </c>
      <c r="AW106" s="53">
        <f>IF(AU106="","",IF(AND(ABS(AH106)&gt;=0.1,ABS(T106)&gt;=0.05,SIGN(AH106)=SIGN(T106)),100*T106/AH106,""))</f>
        <v/>
      </c>
      <c r="AX106" s="45">
        <f>IF(AU106="","",T106-AV106)</f>
        <v/>
      </c>
      <c r="AY106" s="45">
        <f>IF(AU106="","",AH106-AV106)</f>
        <v/>
      </c>
      <c r="AZ106" s="54">
        <f>(AL106-AM106)-T106*AT106</f>
        <v/>
      </c>
      <c r="BA106" s="43">
        <f>IF(AU106="",0,(AH106-T106)*AF106)</f>
        <v/>
      </c>
      <c r="BB106" s="43">
        <f>IF(AU106="",0,T106*(AF106-AT106))</f>
        <v/>
      </c>
      <c r="BC106" s="51" t="n">
        <v>0.2817847003759687</v>
      </c>
      <c r="BD106" s="51" t="n">
        <v>0.1373436660784163</v>
      </c>
      <c r="BE106" s="51" t="n">
        <v>0.1529438431461438</v>
      </c>
      <c r="BF106" s="43" t="n">
        <v>26066</v>
      </c>
    </row>
    <row r="107">
      <c r="A107" s="42" t="inlineStr">
        <is>
          <t>GA</t>
        </is>
      </c>
      <c r="B107" s="42" t="inlineStr">
        <is>
          <t>13133</t>
        </is>
      </c>
      <c r="C107" s="42" t="inlineStr">
        <is>
          <t>Greene</t>
        </is>
      </c>
      <c r="D107" s="42" t="inlineStr">
        <is>
          <t>Small town &amp; rural</t>
        </is>
      </c>
      <c r="E107" s="42" t="inlineStr"/>
      <c r="F107" s="43" t="n">
        <v>4514</v>
      </c>
      <c r="G107" s="43" t="n">
        <v>8215</v>
      </c>
      <c r="H107" s="43" t="n">
        <v>12786</v>
      </c>
      <c r="I107" s="43" t="n">
        <v>4087</v>
      </c>
      <c r="J107" s="43" t="n">
        <v>7066</v>
      </c>
      <c r="K107" s="42" t="inlineStr">
        <is>
          <t>US Senate</t>
        </is>
      </c>
      <c r="L107" s="43" t="n">
        <v>3527</v>
      </c>
      <c r="M107" s="43" t="n">
        <v>6741</v>
      </c>
      <c r="N107" s="43" t="n">
        <v>10424</v>
      </c>
      <c r="O107" s="44">
        <f>IFERROR((F107-G107)/(F107+G107),"")</f>
        <v/>
      </c>
      <c r="P107" s="44">
        <f>IFERROR((I107-J107)/(I107+J107),"")</f>
        <v/>
      </c>
      <c r="Q107" s="45">
        <f>IFERROR(O107-P107,"")</f>
        <v/>
      </c>
      <c r="R107" s="44">
        <f>IFERROR((L107-M107)/(L107+M107),"")</f>
        <v/>
      </c>
      <c r="S107" s="46">
        <f>H107/SUMIFS(Counties!$H$2:$H$1583,Counties!$A$2:$A$1583,$A107)</f>
        <v/>
      </c>
      <c r="T107" s="44">
        <f>O107+INDEX(Dashboard!$F$6:$F$22,MATCH($A107,Dashboard!$A$6:$A$22,0))</f>
        <v/>
      </c>
      <c r="U107" s="43">
        <f>AQ107*INDEX(Dashboard!$G$6:$G$22,MATCH($A107,Dashboard!$A$6:$A$22,0))</f>
        <v/>
      </c>
      <c r="V107" s="47" t="n"/>
      <c r="W107" s="47" t="n"/>
      <c r="X107" s="47" t="n"/>
      <c r="Y107" s="48" t="n"/>
      <c r="Z107" s="49" t="n"/>
      <c r="AA107" s="49" t="n"/>
      <c r="AB107" s="49" t="n"/>
      <c r="AC107" s="50" t="n"/>
      <c r="AD107" s="43">
        <f>IF(Z107&lt;&gt;"",Z107,N(V107))</f>
        <v/>
      </c>
      <c r="AE107" s="43">
        <f>IF(AA107&lt;&gt;"",AA107,N(W107))</f>
        <v/>
      </c>
      <c r="AF107" s="43">
        <f>AD107+AE107</f>
        <v/>
      </c>
      <c r="AG107" s="42">
        <f>IF(UPPER(AC107)="Y",1,IF(AF107=0,0,IF(AND(Z107="",Y107&lt;&gt;""),IF(Y107&gt;=0.999,1,0),IF(AF107&gt;=U107,1,0))))</f>
        <v/>
      </c>
      <c r="AH107" s="44">
        <f>IF(AF107&gt;0,(AD107-AE107)/AF107,"")</f>
        <v/>
      </c>
      <c r="AI107" s="45">
        <f>IF(AG107=1,AH107-O107,"")</f>
        <v/>
      </c>
      <c r="AJ107" s="44">
        <f>IF(AG107=1,AH107,MAX(-1,MIN(1,O107+INDEX(Types!$H:$H,MATCH($A107&amp;"|"&amp;$D107,Types!$A:$A,0)))))</f>
        <v/>
      </c>
      <c r="AK107" s="43">
        <f>IF(AG107=1,AF107,MAX(AQ107*AS107,AF107))</f>
        <v/>
      </c>
      <c r="AL107" s="43">
        <f>IF(AG107=1,AD107,AK107*(1+AJ107)/2)</f>
        <v/>
      </c>
      <c r="AM107" s="43">
        <f>IF(AG107=1,AE107,AK107*(1-AJ107)/2)</f>
        <v/>
      </c>
      <c r="AN107" s="45">
        <f>IF(AH107="","",AH107-T107)</f>
        <v/>
      </c>
      <c r="AO107" s="51">
        <f>IF(AG107=1,1,IF(U107&gt;0,MIN(AF107/U107,0.99),0))</f>
        <v/>
      </c>
      <c r="AP107" s="43">
        <f>IF(AG107=1,AI107*AF107,0)</f>
        <v/>
      </c>
      <c r="AQ107" s="43">
        <f>N107*(F107+G107)/H107</f>
        <v/>
      </c>
      <c r="AR107" s="43">
        <f>O107*AQ107</f>
        <v/>
      </c>
      <c r="AS107" s="52">
        <f>IF(AG107=1,IF(AQ107&gt;0,AF107/AQ107,1),IFERROR(INDEX(Types!$K:$K,MATCH($A107&amp;"|"&amp;$D107,Types!$A:$A,0)),INDEX(Dashboard!$X$6:$X$22,MATCH($A107,Dashboard!$A$6:$A$22,0))))</f>
        <v/>
      </c>
      <c r="AT107" s="43">
        <f>AQ107*INDEX(Dashboard!$Y$6:$Y$22,MATCH($A107,Dashboard!$A$6:$A$22,0))</f>
        <v/>
      </c>
      <c r="AU107" s="53">
        <f>IF(AND(AG107=1,AT107&gt;0,AF107&gt;0),100*AF107/AT107,"")</f>
        <v/>
      </c>
      <c r="AV107" s="44">
        <f>IF(AU107="","",T107/(AU107/100))</f>
        <v/>
      </c>
      <c r="AW107" s="53">
        <f>IF(AU107="","",IF(AND(ABS(AH107)&gt;=0.1,ABS(T107)&gt;=0.05,SIGN(AH107)=SIGN(T107)),100*T107/AH107,""))</f>
        <v/>
      </c>
      <c r="AX107" s="45">
        <f>IF(AU107="","",T107-AV107)</f>
        <v/>
      </c>
      <c r="AY107" s="45">
        <f>IF(AU107="","",AH107-AV107)</f>
        <v/>
      </c>
      <c r="AZ107" s="54">
        <f>(AL107-AM107)-T107*AT107</f>
        <v/>
      </c>
      <c r="BA107" s="43">
        <f>IF(AU107="",0,(AH107-T107)*AF107)</f>
        <v/>
      </c>
      <c r="BB107" s="43">
        <f>IF(AU107="",0,T107*(AF107-AT107))</f>
        <v/>
      </c>
      <c r="BC107" s="51" t="n">
        <v>0.2890647620886015</v>
      </c>
      <c r="BD107" s="51" t="n">
        <v>0.07204903001640768</v>
      </c>
      <c r="BE107" s="51" t="n">
        <v>0.3642420495913181</v>
      </c>
      <c r="BF107" s="43" t="n">
        <v>20722</v>
      </c>
    </row>
    <row r="108">
      <c r="A108" s="42" t="inlineStr">
        <is>
          <t>GA</t>
        </is>
      </c>
      <c r="B108" s="42" t="inlineStr">
        <is>
          <t>13135</t>
        </is>
      </c>
      <c r="C108" s="42" t="inlineStr">
        <is>
          <t>Gwinnett</t>
        </is>
      </c>
      <c r="D108" s="42" t="inlineStr">
        <is>
          <t>Big metro core</t>
        </is>
      </c>
      <c r="E108" s="42" t="inlineStr">
        <is>
          <t>★</t>
        </is>
      </c>
      <c r="F108" s="43" t="n">
        <v>242507</v>
      </c>
      <c r="G108" s="43" t="n">
        <v>173041</v>
      </c>
      <c r="H108" s="43" t="n">
        <v>420681</v>
      </c>
      <c r="I108" s="43" t="n">
        <v>241994</v>
      </c>
      <c r="J108" s="43" t="n">
        <v>166400</v>
      </c>
      <c r="K108" s="42" t="inlineStr">
        <is>
          <t>US Senate</t>
        </is>
      </c>
      <c r="L108" s="43" t="n">
        <v>175688</v>
      </c>
      <c r="M108" s="43" t="n">
        <v>115024</v>
      </c>
      <c r="N108" s="43" t="n">
        <v>298036</v>
      </c>
      <c r="O108" s="44">
        <f>IFERROR((F108-G108)/(F108+G108),"")</f>
        <v/>
      </c>
      <c r="P108" s="44">
        <f>IFERROR((I108-J108)/(I108+J108),"")</f>
        <v/>
      </c>
      <c r="Q108" s="45">
        <f>IFERROR(O108-P108,"")</f>
        <v/>
      </c>
      <c r="R108" s="44">
        <f>IFERROR((L108-M108)/(L108+M108),"")</f>
        <v/>
      </c>
      <c r="S108" s="46">
        <f>H108/SUMIFS(Counties!$H$2:$H$1583,Counties!$A$2:$A$1583,$A108)</f>
        <v/>
      </c>
      <c r="T108" s="44">
        <f>O108+INDEX(Dashboard!$F$6:$F$22,MATCH($A108,Dashboard!$A$6:$A$22,0))</f>
        <v/>
      </c>
      <c r="U108" s="43">
        <f>AQ108*INDEX(Dashboard!$G$6:$G$22,MATCH($A108,Dashboard!$A$6:$A$22,0))</f>
        <v/>
      </c>
      <c r="V108" s="47" t="n"/>
      <c r="W108" s="47" t="n"/>
      <c r="X108" s="47" t="n"/>
      <c r="Y108" s="48" t="n"/>
      <c r="Z108" s="49" t="n"/>
      <c r="AA108" s="49" t="n"/>
      <c r="AB108" s="49" t="n"/>
      <c r="AC108" s="50" t="n"/>
      <c r="AD108" s="43">
        <f>IF(Z108&lt;&gt;"",Z108,N(V108))</f>
        <v/>
      </c>
      <c r="AE108" s="43">
        <f>IF(AA108&lt;&gt;"",AA108,N(W108))</f>
        <v/>
      </c>
      <c r="AF108" s="43">
        <f>AD108+AE108</f>
        <v/>
      </c>
      <c r="AG108" s="42">
        <f>IF(UPPER(AC108)="Y",1,IF(AF108=0,0,IF(AND(Z108="",Y108&lt;&gt;""),IF(Y108&gt;=0.999,1,0),IF(AF108&gt;=U108,1,0))))</f>
        <v/>
      </c>
      <c r="AH108" s="44">
        <f>IF(AF108&gt;0,(AD108-AE108)/AF108,"")</f>
        <v/>
      </c>
      <c r="AI108" s="45">
        <f>IF(AG108=1,AH108-O108,"")</f>
        <v/>
      </c>
      <c r="AJ108" s="44">
        <f>IF(AG108=1,AH108,MAX(-1,MIN(1,O108+INDEX(Types!$H:$H,MATCH($A108&amp;"|"&amp;$D108,Types!$A:$A,0)))))</f>
        <v/>
      </c>
      <c r="AK108" s="43">
        <f>IF(AG108=1,AF108,MAX(AQ108*AS108,AF108))</f>
        <v/>
      </c>
      <c r="AL108" s="43">
        <f>IF(AG108=1,AD108,AK108*(1+AJ108)/2)</f>
        <v/>
      </c>
      <c r="AM108" s="43">
        <f>IF(AG108=1,AE108,AK108*(1-AJ108)/2)</f>
        <v/>
      </c>
      <c r="AN108" s="45">
        <f>IF(AH108="","",AH108-T108)</f>
        <v/>
      </c>
      <c r="AO108" s="51">
        <f>IF(AG108=1,1,IF(U108&gt;0,MIN(AF108/U108,0.99),0))</f>
        <v/>
      </c>
      <c r="AP108" s="43">
        <f>IF(AG108=1,AI108*AF108,0)</f>
        <v/>
      </c>
      <c r="AQ108" s="43">
        <f>N108*(F108+G108)/H108</f>
        <v/>
      </c>
      <c r="AR108" s="43">
        <f>O108*AQ108</f>
        <v/>
      </c>
      <c r="AS108" s="52">
        <f>IF(AG108=1,IF(AQ108&gt;0,AF108/AQ108,1),IFERROR(INDEX(Types!$K:$K,MATCH($A108&amp;"|"&amp;$D108,Types!$A:$A,0)),INDEX(Dashboard!$X$6:$X$22,MATCH($A108,Dashboard!$A$6:$A$22,0))))</f>
        <v/>
      </c>
      <c r="AT108" s="43">
        <f>AQ108*INDEX(Dashboard!$Y$6:$Y$22,MATCH($A108,Dashboard!$A$6:$A$22,0))</f>
        <v/>
      </c>
      <c r="AU108" s="53">
        <f>IF(AND(AG108=1,AT108&gt;0,AF108&gt;0),100*AF108/AT108,"")</f>
        <v/>
      </c>
      <c r="AV108" s="44">
        <f>IF(AU108="","",T108/(AU108/100))</f>
        <v/>
      </c>
      <c r="AW108" s="53">
        <f>IF(AU108="","",IF(AND(ABS(AH108)&gt;=0.1,ABS(T108)&gt;=0.05,SIGN(AH108)=SIGN(T108)),100*T108/AH108,""))</f>
        <v/>
      </c>
      <c r="AX108" s="45">
        <f>IF(AU108="","",T108-AV108)</f>
        <v/>
      </c>
      <c r="AY108" s="45">
        <f>IF(AU108="","",AH108-AV108)</f>
        <v/>
      </c>
      <c r="AZ108" s="54">
        <f>(AL108-AM108)-T108*AT108</f>
        <v/>
      </c>
      <c r="BA108" s="43">
        <f>IF(AU108="",0,(AH108-T108)*AF108)</f>
        <v/>
      </c>
      <c r="BB108" s="43">
        <f>IF(AU108="",0,T108*(AF108-AT108))</f>
        <v/>
      </c>
      <c r="BC108" s="51" t="n">
        <v>0.2933516755022236</v>
      </c>
      <c r="BD108" s="51" t="n">
        <v>0.2375971758753709</v>
      </c>
      <c r="BE108" s="51" t="n">
        <v>0.3872829859016251</v>
      </c>
      <c r="BF108" s="43" t="n">
        <v>983526</v>
      </c>
    </row>
    <row r="109">
      <c r="A109" s="42" t="inlineStr">
        <is>
          <t>GA</t>
        </is>
      </c>
      <c r="B109" s="42" t="inlineStr">
        <is>
          <t>13137</t>
        </is>
      </c>
      <c r="C109" s="42" t="inlineStr">
        <is>
          <t>Habersham</t>
        </is>
      </c>
      <c r="D109" s="42" t="inlineStr">
        <is>
          <t>Small town &amp; rural</t>
        </is>
      </c>
      <c r="E109" s="42" t="inlineStr"/>
      <c r="F109" s="43" t="n">
        <v>4036</v>
      </c>
      <c r="G109" s="43" t="n">
        <v>19142</v>
      </c>
      <c r="H109" s="43" t="n">
        <v>23280</v>
      </c>
      <c r="I109" s="43" t="n">
        <v>3562</v>
      </c>
      <c r="J109" s="43" t="n">
        <v>16637</v>
      </c>
      <c r="K109" s="42" t="inlineStr">
        <is>
          <t>US Senate</t>
        </is>
      </c>
      <c r="L109" s="43" t="n">
        <v>2887</v>
      </c>
      <c r="M109" s="43" t="n">
        <v>13509</v>
      </c>
      <c r="N109" s="43" t="n">
        <v>16874</v>
      </c>
      <c r="O109" s="44">
        <f>IFERROR((F109-G109)/(F109+G109),"")</f>
        <v/>
      </c>
      <c r="P109" s="44">
        <f>IFERROR((I109-J109)/(I109+J109),"")</f>
        <v/>
      </c>
      <c r="Q109" s="45">
        <f>IFERROR(O109-P109,"")</f>
        <v/>
      </c>
      <c r="R109" s="44">
        <f>IFERROR((L109-M109)/(L109+M109),"")</f>
        <v/>
      </c>
      <c r="S109" s="46">
        <f>H109/SUMIFS(Counties!$H$2:$H$1583,Counties!$A$2:$A$1583,$A109)</f>
        <v/>
      </c>
      <c r="T109" s="44">
        <f>O109+INDEX(Dashboard!$F$6:$F$22,MATCH($A109,Dashboard!$A$6:$A$22,0))</f>
        <v/>
      </c>
      <c r="U109" s="43">
        <f>AQ109*INDEX(Dashboard!$G$6:$G$22,MATCH($A109,Dashboard!$A$6:$A$22,0))</f>
        <v/>
      </c>
      <c r="V109" s="47" t="n"/>
      <c r="W109" s="47" t="n"/>
      <c r="X109" s="47" t="n"/>
      <c r="Y109" s="48" t="n"/>
      <c r="Z109" s="49" t="n"/>
      <c r="AA109" s="49" t="n"/>
      <c r="AB109" s="49" t="n"/>
      <c r="AC109" s="50" t="n"/>
      <c r="AD109" s="43">
        <f>IF(Z109&lt;&gt;"",Z109,N(V109))</f>
        <v/>
      </c>
      <c r="AE109" s="43">
        <f>IF(AA109&lt;&gt;"",AA109,N(W109))</f>
        <v/>
      </c>
      <c r="AF109" s="43">
        <f>AD109+AE109</f>
        <v/>
      </c>
      <c r="AG109" s="42">
        <f>IF(UPPER(AC109)="Y",1,IF(AF109=0,0,IF(AND(Z109="",Y109&lt;&gt;""),IF(Y109&gt;=0.999,1,0),IF(AF109&gt;=U109,1,0))))</f>
        <v/>
      </c>
      <c r="AH109" s="44">
        <f>IF(AF109&gt;0,(AD109-AE109)/AF109,"")</f>
        <v/>
      </c>
      <c r="AI109" s="45">
        <f>IF(AG109=1,AH109-O109,"")</f>
        <v/>
      </c>
      <c r="AJ109" s="44">
        <f>IF(AG109=1,AH109,MAX(-1,MIN(1,O109+INDEX(Types!$H:$H,MATCH($A109&amp;"|"&amp;$D109,Types!$A:$A,0)))))</f>
        <v/>
      </c>
      <c r="AK109" s="43">
        <f>IF(AG109=1,AF109,MAX(AQ109*AS109,AF109))</f>
        <v/>
      </c>
      <c r="AL109" s="43">
        <f>IF(AG109=1,AD109,AK109*(1+AJ109)/2)</f>
        <v/>
      </c>
      <c r="AM109" s="43">
        <f>IF(AG109=1,AE109,AK109*(1-AJ109)/2)</f>
        <v/>
      </c>
      <c r="AN109" s="45">
        <f>IF(AH109="","",AH109-T109)</f>
        <v/>
      </c>
      <c r="AO109" s="51">
        <f>IF(AG109=1,1,IF(U109&gt;0,MIN(AF109/U109,0.99),0))</f>
        <v/>
      </c>
      <c r="AP109" s="43">
        <f>IF(AG109=1,AI109*AF109,0)</f>
        <v/>
      </c>
      <c r="AQ109" s="43">
        <f>N109*(F109+G109)/H109</f>
        <v/>
      </c>
      <c r="AR109" s="43">
        <f>O109*AQ109</f>
        <v/>
      </c>
      <c r="AS109" s="52">
        <f>IF(AG109=1,IF(AQ109&gt;0,AF109/AQ109,1),IFERROR(INDEX(Types!$K:$K,MATCH($A109&amp;"|"&amp;$D109,Types!$A:$A,0)),INDEX(Dashboard!$X$6:$X$22,MATCH($A109,Dashboard!$A$6:$A$22,0))))</f>
        <v/>
      </c>
      <c r="AT109" s="43">
        <f>AQ109*INDEX(Dashboard!$Y$6:$Y$22,MATCH($A109,Dashboard!$A$6:$A$22,0))</f>
        <v/>
      </c>
      <c r="AU109" s="53">
        <f>IF(AND(AG109=1,AT109&gt;0,AF109&gt;0),100*AF109/AT109,"")</f>
        <v/>
      </c>
      <c r="AV109" s="44">
        <f>IF(AU109="","",T109/(AU109/100))</f>
        <v/>
      </c>
      <c r="AW109" s="53">
        <f>IF(AU109="","",IF(AND(ABS(AH109)&gt;=0.1,ABS(T109)&gt;=0.05,SIGN(AH109)=SIGN(T109)),100*T109/AH109,""))</f>
        <v/>
      </c>
      <c r="AX109" s="45">
        <f>IF(AU109="","",T109-AV109)</f>
        <v/>
      </c>
      <c r="AY109" s="45">
        <f>IF(AU109="","",AH109-AV109)</f>
        <v/>
      </c>
      <c r="AZ109" s="54">
        <f>(AL109-AM109)-T109*AT109</f>
        <v/>
      </c>
      <c r="BA109" s="43">
        <f>IF(AU109="",0,(AH109-T109)*AF109)</f>
        <v/>
      </c>
      <c r="BB109" s="43">
        <f>IF(AU109="",0,T109*(AF109-AT109))</f>
        <v/>
      </c>
      <c r="BC109" s="51" t="n">
        <v>0.03851754619849457</v>
      </c>
      <c r="BD109" s="51" t="n">
        <v>0.1633611583977685</v>
      </c>
      <c r="BE109" s="51" t="n">
        <v>0.2424563591022444</v>
      </c>
      <c r="BF109" s="43" t="n">
        <v>48757</v>
      </c>
    </row>
    <row r="110">
      <c r="A110" s="42" t="inlineStr">
        <is>
          <t>GA</t>
        </is>
      </c>
      <c r="B110" s="42" t="inlineStr">
        <is>
          <t>13139</t>
        </is>
      </c>
      <c r="C110" s="42" t="inlineStr">
        <is>
          <t>Hall</t>
        </is>
      </c>
      <c r="D110" s="42" t="inlineStr">
        <is>
          <t>Mid-size/working metro</t>
        </is>
      </c>
      <c r="E110" s="42" t="inlineStr">
        <is>
          <t>★</t>
        </is>
      </c>
      <c r="F110" s="43" t="n">
        <v>28347</v>
      </c>
      <c r="G110" s="43" t="n">
        <v>72991</v>
      </c>
      <c r="H110" s="43" t="n">
        <v>101973</v>
      </c>
      <c r="I110" s="43" t="n">
        <v>25033</v>
      </c>
      <c r="J110" s="43" t="n">
        <v>64183</v>
      </c>
      <c r="K110" s="42" t="inlineStr">
        <is>
          <t>US Senate</t>
        </is>
      </c>
      <c r="L110" s="43" t="n">
        <v>19196</v>
      </c>
      <c r="M110" s="43" t="n">
        <v>51643</v>
      </c>
      <c r="N110" s="43" t="n">
        <v>73005</v>
      </c>
      <c r="O110" s="44">
        <f>IFERROR((F110-G110)/(F110+G110),"")</f>
        <v/>
      </c>
      <c r="P110" s="44">
        <f>IFERROR((I110-J110)/(I110+J110),"")</f>
        <v/>
      </c>
      <c r="Q110" s="45">
        <f>IFERROR(O110-P110,"")</f>
        <v/>
      </c>
      <c r="R110" s="44">
        <f>IFERROR((L110-M110)/(L110+M110),"")</f>
        <v/>
      </c>
      <c r="S110" s="46">
        <f>H110/SUMIFS(Counties!$H$2:$H$1583,Counties!$A$2:$A$1583,$A110)</f>
        <v/>
      </c>
      <c r="T110" s="44">
        <f>O110+INDEX(Dashboard!$F$6:$F$22,MATCH($A110,Dashboard!$A$6:$A$22,0))</f>
        <v/>
      </c>
      <c r="U110" s="43">
        <f>AQ110*INDEX(Dashboard!$G$6:$G$22,MATCH($A110,Dashboard!$A$6:$A$22,0))</f>
        <v/>
      </c>
      <c r="V110" s="47" t="n"/>
      <c r="W110" s="47" t="n"/>
      <c r="X110" s="47" t="n"/>
      <c r="Y110" s="48" t="n"/>
      <c r="Z110" s="49" t="n"/>
      <c r="AA110" s="49" t="n"/>
      <c r="AB110" s="49" t="n"/>
      <c r="AC110" s="50" t="n"/>
      <c r="AD110" s="43">
        <f>IF(Z110&lt;&gt;"",Z110,N(V110))</f>
        <v/>
      </c>
      <c r="AE110" s="43">
        <f>IF(AA110&lt;&gt;"",AA110,N(W110))</f>
        <v/>
      </c>
      <c r="AF110" s="43">
        <f>AD110+AE110</f>
        <v/>
      </c>
      <c r="AG110" s="42">
        <f>IF(UPPER(AC110)="Y",1,IF(AF110=0,0,IF(AND(Z110="",Y110&lt;&gt;""),IF(Y110&gt;=0.999,1,0),IF(AF110&gt;=U110,1,0))))</f>
        <v/>
      </c>
      <c r="AH110" s="44">
        <f>IF(AF110&gt;0,(AD110-AE110)/AF110,"")</f>
        <v/>
      </c>
      <c r="AI110" s="45">
        <f>IF(AG110=1,AH110-O110,"")</f>
        <v/>
      </c>
      <c r="AJ110" s="44">
        <f>IF(AG110=1,AH110,MAX(-1,MIN(1,O110+INDEX(Types!$H:$H,MATCH($A110&amp;"|"&amp;$D110,Types!$A:$A,0)))))</f>
        <v/>
      </c>
      <c r="AK110" s="43">
        <f>IF(AG110=1,AF110,MAX(AQ110*AS110,AF110))</f>
        <v/>
      </c>
      <c r="AL110" s="43">
        <f>IF(AG110=1,AD110,AK110*(1+AJ110)/2)</f>
        <v/>
      </c>
      <c r="AM110" s="43">
        <f>IF(AG110=1,AE110,AK110*(1-AJ110)/2)</f>
        <v/>
      </c>
      <c r="AN110" s="45">
        <f>IF(AH110="","",AH110-T110)</f>
        <v/>
      </c>
      <c r="AO110" s="51">
        <f>IF(AG110=1,1,IF(U110&gt;0,MIN(AF110/U110,0.99),0))</f>
        <v/>
      </c>
      <c r="AP110" s="43">
        <f>IF(AG110=1,AI110*AF110,0)</f>
        <v/>
      </c>
      <c r="AQ110" s="43">
        <f>N110*(F110+G110)/H110</f>
        <v/>
      </c>
      <c r="AR110" s="43">
        <f>O110*AQ110</f>
        <v/>
      </c>
      <c r="AS110" s="52">
        <f>IF(AG110=1,IF(AQ110&gt;0,AF110/AQ110,1),IFERROR(INDEX(Types!$K:$K,MATCH($A110&amp;"|"&amp;$D110,Types!$A:$A,0)),INDEX(Dashboard!$X$6:$X$22,MATCH($A110,Dashboard!$A$6:$A$22,0))))</f>
        <v/>
      </c>
      <c r="AT110" s="43">
        <f>AQ110*INDEX(Dashboard!$Y$6:$Y$22,MATCH($A110,Dashboard!$A$6:$A$22,0))</f>
        <v/>
      </c>
      <c r="AU110" s="53">
        <f>IF(AND(AG110=1,AT110&gt;0,AF110&gt;0),100*AF110/AT110,"")</f>
        <v/>
      </c>
      <c r="AV110" s="44">
        <f>IF(AU110="","",T110/(AU110/100))</f>
        <v/>
      </c>
      <c r="AW110" s="53">
        <f>IF(AU110="","",IF(AND(ABS(AH110)&gt;=0.1,ABS(T110)&gt;=0.05,SIGN(AH110)=SIGN(T110)),100*T110/AH110,""))</f>
        <v/>
      </c>
      <c r="AX110" s="45">
        <f>IF(AU110="","",T110-AV110)</f>
        <v/>
      </c>
      <c r="AY110" s="45">
        <f>IF(AU110="","",AH110-AV110)</f>
        <v/>
      </c>
      <c r="AZ110" s="54">
        <f>(AL110-AM110)-T110*AT110</f>
        <v/>
      </c>
      <c r="BA110" s="43">
        <f>IF(AU110="",0,(AH110-T110)*AF110)</f>
        <v/>
      </c>
      <c r="BB110" s="43">
        <f>IF(AU110="",0,T110*(AF110-AT110))</f>
        <v/>
      </c>
      <c r="BC110" s="51" t="n">
        <v>0.07921129301734732</v>
      </c>
      <c r="BD110" s="51" t="n">
        <v>0.2938412184086861</v>
      </c>
      <c r="BE110" s="51" t="n">
        <v>0.2673172557232406</v>
      </c>
      <c r="BF110" s="43" t="n">
        <v>217267</v>
      </c>
    </row>
    <row r="111">
      <c r="A111" s="42" t="inlineStr">
        <is>
          <t>GA</t>
        </is>
      </c>
      <c r="B111" s="42" t="inlineStr">
        <is>
          <t>13141</t>
        </is>
      </c>
      <c r="C111" s="42" t="inlineStr">
        <is>
          <t>Hancock</t>
        </is>
      </c>
      <c r="D111" s="42" t="inlineStr">
        <is>
          <t>Black Belt</t>
        </is>
      </c>
      <c r="E111" s="42" t="inlineStr"/>
      <c r="F111" s="43" t="n">
        <v>2864</v>
      </c>
      <c r="G111" s="43" t="n">
        <v>1364</v>
      </c>
      <c r="H111" s="43" t="n">
        <v>4240</v>
      </c>
      <c r="I111" s="43" t="n">
        <v>2976</v>
      </c>
      <c r="J111" s="43" t="n">
        <v>1154</v>
      </c>
      <c r="K111" s="42" t="inlineStr">
        <is>
          <t>US Senate</t>
        </is>
      </c>
      <c r="L111" s="43" t="n">
        <v>2373</v>
      </c>
      <c r="M111" s="43" t="n">
        <v>989</v>
      </c>
      <c r="N111" s="43" t="n">
        <v>3392</v>
      </c>
      <c r="O111" s="44">
        <f>IFERROR((F111-G111)/(F111+G111),"")</f>
        <v/>
      </c>
      <c r="P111" s="44">
        <f>IFERROR((I111-J111)/(I111+J111),"")</f>
        <v/>
      </c>
      <c r="Q111" s="45">
        <f>IFERROR(O111-P111,"")</f>
        <v/>
      </c>
      <c r="R111" s="44">
        <f>IFERROR((L111-M111)/(L111+M111),"")</f>
        <v/>
      </c>
      <c r="S111" s="46">
        <f>H111/SUMIFS(Counties!$H$2:$H$1583,Counties!$A$2:$A$1583,$A111)</f>
        <v/>
      </c>
      <c r="T111" s="44">
        <f>O111+INDEX(Dashboard!$F$6:$F$22,MATCH($A111,Dashboard!$A$6:$A$22,0))</f>
        <v/>
      </c>
      <c r="U111" s="43">
        <f>AQ111*INDEX(Dashboard!$G$6:$G$22,MATCH($A111,Dashboard!$A$6:$A$22,0))</f>
        <v/>
      </c>
      <c r="V111" s="47" t="n"/>
      <c r="W111" s="47" t="n"/>
      <c r="X111" s="47" t="n"/>
      <c r="Y111" s="48" t="n"/>
      <c r="Z111" s="49" t="n"/>
      <c r="AA111" s="49" t="n"/>
      <c r="AB111" s="49" t="n"/>
      <c r="AC111" s="50" t="n"/>
      <c r="AD111" s="43">
        <f>IF(Z111&lt;&gt;"",Z111,N(V111))</f>
        <v/>
      </c>
      <c r="AE111" s="43">
        <f>IF(AA111&lt;&gt;"",AA111,N(W111))</f>
        <v/>
      </c>
      <c r="AF111" s="43">
        <f>AD111+AE111</f>
        <v/>
      </c>
      <c r="AG111" s="42">
        <f>IF(UPPER(AC111)="Y",1,IF(AF111=0,0,IF(AND(Z111="",Y111&lt;&gt;""),IF(Y111&gt;=0.999,1,0),IF(AF111&gt;=U111,1,0))))</f>
        <v/>
      </c>
      <c r="AH111" s="44">
        <f>IF(AF111&gt;0,(AD111-AE111)/AF111,"")</f>
        <v/>
      </c>
      <c r="AI111" s="45">
        <f>IF(AG111=1,AH111-O111,"")</f>
        <v/>
      </c>
      <c r="AJ111" s="44">
        <f>IF(AG111=1,AH111,MAX(-1,MIN(1,O111+INDEX(Types!$H:$H,MATCH($A111&amp;"|"&amp;$D111,Types!$A:$A,0)))))</f>
        <v/>
      </c>
      <c r="AK111" s="43">
        <f>IF(AG111=1,AF111,MAX(AQ111*AS111,AF111))</f>
        <v/>
      </c>
      <c r="AL111" s="43">
        <f>IF(AG111=1,AD111,AK111*(1+AJ111)/2)</f>
        <v/>
      </c>
      <c r="AM111" s="43">
        <f>IF(AG111=1,AE111,AK111*(1-AJ111)/2)</f>
        <v/>
      </c>
      <c r="AN111" s="45">
        <f>IF(AH111="","",AH111-T111)</f>
        <v/>
      </c>
      <c r="AO111" s="51">
        <f>IF(AG111=1,1,IF(U111&gt;0,MIN(AF111/U111,0.99),0))</f>
        <v/>
      </c>
      <c r="AP111" s="43">
        <f>IF(AG111=1,AI111*AF111,0)</f>
        <v/>
      </c>
      <c r="AQ111" s="43">
        <f>N111*(F111+G111)/H111</f>
        <v/>
      </c>
      <c r="AR111" s="43">
        <f>O111*AQ111</f>
        <v/>
      </c>
      <c r="AS111" s="52">
        <f>IF(AG111=1,IF(AQ111&gt;0,AF111/AQ111,1),IFERROR(INDEX(Types!$K:$K,MATCH($A111&amp;"|"&amp;$D111,Types!$A:$A,0)),INDEX(Dashboard!$X$6:$X$22,MATCH($A111,Dashboard!$A$6:$A$22,0))))</f>
        <v/>
      </c>
      <c r="AT111" s="43">
        <f>AQ111*INDEX(Dashboard!$Y$6:$Y$22,MATCH($A111,Dashboard!$A$6:$A$22,0))</f>
        <v/>
      </c>
      <c r="AU111" s="53">
        <f>IF(AND(AG111=1,AT111&gt;0,AF111&gt;0),100*AF111/AT111,"")</f>
        <v/>
      </c>
      <c r="AV111" s="44">
        <f>IF(AU111="","",T111/(AU111/100))</f>
        <v/>
      </c>
      <c r="AW111" s="53">
        <f>IF(AU111="","",IF(AND(ABS(AH111)&gt;=0.1,ABS(T111)&gt;=0.05,SIGN(AH111)=SIGN(T111)),100*T111/AH111,""))</f>
        <v/>
      </c>
      <c r="AX111" s="45">
        <f>IF(AU111="","",T111-AV111)</f>
        <v/>
      </c>
      <c r="AY111" s="45">
        <f>IF(AU111="","",AH111-AV111)</f>
        <v/>
      </c>
      <c r="AZ111" s="54">
        <f>(AL111-AM111)-T111*AT111</f>
        <v/>
      </c>
      <c r="BA111" s="43">
        <f>IF(AU111="",0,(AH111-T111)*AF111)</f>
        <v/>
      </c>
      <c r="BB111" s="43">
        <f>IF(AU111="",0,T111*(AF111-AT111))</f>
        <v/>
      </c>
      <c r="BC111" s="51" t="n">
        <v>0.685799907791609</v>
      </c>
      <c r="BD111" s="51" t="n">
        <v>0.01060396496081143</v>
      </c>
      <c r="BE111" s="51" t="n">
        <v>0.08364903773298984</v>
      </c>
      <c r="BF111" s="43" t="n">
        <v>8676</v>
      </c>
    </row>
    <row r="112">
      <c r="A112" s="42" t="inlineStr">
        <is>
          <t>GA</t>
        </is>
      </c>
      <c r="B112" s="42" t="inlineStr">
        <is>
          <t>13143</t>
        </is>
      </c>
      <c r="C112" s="42" t="inlineStr">
        <is>
          <t>Haralson</t>
        </is>
      </c>
      <c r="D112" s="42" t="inlineStr">
        <is>
          <t>Small town &amp; rural</t>
        </is>
      </c>
      <c r="E112" s="42" t="inlineStr"/>
      <c r="F112" s="43" t="n">
        <v>2065</v>
      </c>
      <c r="G112" s="43" t="n">
        <v>14239</v>
      </c>
      <c r="H112" s="43" t="n">
        <v>16364</v>
      </c>
      <c r="I112" s="43" t="n">
        <v>1791</v>
      </c>
      <c r="J112" s="43" t="n">
        <v>12330</v>
      </c>
      <c r="K112" s="42" t="inlineStr">
        <is>
          <t>US Senate</t>
        </is>
      </c>
      <c r="L112" s="43" t="n">
        <v>1498</v>
      </c>
      <c r="M112" s="43" t="n">
        <v>9789</v>
      </c>
      <c r="N112" s="43" t="n">
        <v>11595</v>
      </c>
      <c r="O112" s="44">
        <f>IFERROR((F112-G112)/(F112+G112),"")</f>
        <v/>
      </c>
      <c r="P112" s="44">
        <f>IFERROR((I112-J112)/(I112+J112),"")</f>
        <v/>
      </c>
      <c r="Q112" s="45">
        <f>IFERROR(O112-P112,"")</f>
        <v/>
      </c>
      <c r="R112" s="44">
        <f>IFERROR((L112-M112)/(L112+M112),"")</f>
        <v/>
      </c>
      <c r="S112" s="46">
        <f>H112/SUMIFS(Counties!$H$2:$H$1583,Counties!$A$2:$A$1583,$A112)</f>
        <v/>
      </c>
      <c r="T112" s="44">
        <f>O112+INDEX(Dashboard!$F$6:$F$22,MATCH($A112,Dashboard!$A$6:$A$22,0))</f>
        <v/>
      </c>
      <c r="U112" s="43">
        <f>AQ112*INDEX(Dashboard!$G$6:$G$22,MATCH($A112,Dashboard!$A$6:$A$22,0))</f>
        <v/>
      </c>
      <c r="V112" s="47" t="n"/>
      <c r="W112" s="47" t="n"/>
      <c r="X112" s="47" t="n"/>
      <c r="Y112" s="48" t="n"/>
      <c r="Z112" s="49" t="n"/>
      <c r="AA112" s="49" t="n"/>
      <c r="AB112" s="49" t="n"/>
      <c r="AC112" s="50" t="n"/>
      <c r="AD112" s="43">
        <f>IF(Z112&lt;&gt;"",Z112,N(V112))</f>
        <v/>
      </c>
      <c r="AE112" s="43">
        <f>IF(AA112&lt;&gt;"",AA112,N(W112))</f>
        <v/>
      </c>
      <c r="AF112" s="43">
        <f>AD112+AE112</f>
        <v/>
      </c>
      <c r="AG112" s="42">
        <f>IF(UPPER(AC112)="Y",1,IF(AF112=0,0,IF(AND(Z112="",Y112&lt;&gt;""),IF(Y112&gt;=0.999,1,0),IF(AF112&gt;=U112,1,0))))</f>
        <v/>
      </c>
      <c r="AH112" s="44">
        <f>IF(AF112&gt;0,(AD112-AE112)/AF112,"")</f>
        <v/>
      </c>
      <c r="AI112" s="45">
        <f>IF(AG112=1,AH112-O112,"")</f>
        <v/>
      </c>
      <c r="AJ112" s="44">
        <f>IF(AG112=1,AH112,MAX(-1,MIN(1,O112+INDEX(Types!$H:$H,MATCH($A112&amp;"|"&amp;$D112,Types!$A:$A,0)))))</f>
        <v/>
      </c>
      <c r="AK112" s="43">
        <f>IF(AG112=1,AF112,MAX(AQ112*AS112,AF112))</f>
        <v/>
      </c>
      <c r="AL112" s="43">
        <f>IF(AG112=1,AD112,AK112*(1+AJ112)/2)</f>
        <v/>
      </c>
      <c r="AM112" s="43">
        <f>IF(AG112=1,AE112,AK112*(1-AJ112)/2)</f>
        <v/>
      </c>
      <c r="AN112" s="45">
        <f>IF(AH112="","",AH112-T112)</f>
        <v/>
      </c>
      <c r="AO112" s="51">
        <f>IF(AG112=1,1,IF(U112&gt;0,MIN(AF112/U112,0.99),0))</f>
        <v/>
      </c>
      <c r="AP112" s="43">
        <f>IF(AG112=1,AI112*AF112,0)</f>
        <v/>
      </c>
      <c r="AQ112" s="43">
        <f>N112*(F112+G112)/H112</f>
        <v/>
      </c>
      <c r="AR112" s="43">
        <f>O112*AQ112</f>
        <v/>
      </c>
      <c r="AS112" s="52">
        <f>IF(AG112=1,IF(AQ112&gt;0,AF112/AQ112,1),IFERROR(INDEX(Types!$K:$K,MATCH($A112&amp;"|"&amp;$D112,Types!$A:$A,0)),INDEX(Dashboard!$X$6:$X$22,MATCH($A112,Dashboard!$A$6:$A$22,0))))</f>
        <v/>
      </c>
      <c r="AT112" s="43">
        <f>AQ112*INDEX(Dashboard!$Y$6:$Y$22,MATCH($A112,Dashboard!$A$6:$A$22,0))</f>
        <v/>
      </c>
      <c r="AU112" s="53">
        <f>IF(AND(AG112=1,AT112&gt;0,AF112&gt;0),100*AF112/AT112,"")</f>
        <v/>
      </c>
      <c r="AV112" s="44">
        <f>IF(AU112="","",T112/(AU112/100))</f>
        <v/>
      </c>
      <c r="AW112" s="53">
        <f>IF(AU112="","",IF(AND(ABS(AH112)&gt;=0.1,ABS(T112)&gt;=0.05,SIGN(AH112)=SIGN(T112)),100*T112/AH112,""))</f>
        <v/>
      </c>
      <c r="AX112" s="45">
        <f>IF(AU112="","",T112-AV112)</f>
        <v/>
      </c>
      <c r="AY112" s="45">
        <f>IF(AU112="","",AH112-AV112)</f>
        <v/>
      </c>
      <c r="AZ112" s="54">
        <f>(AL112-AM112)-T112*AT112</f>
        <v/>
      </c>
      <c r="BA112" s="43">
        <f>IF(AU112="",0,(AH112-T112)*AF112)</f>
        <v/>
      </c>
      <c r="BB112" s="43">
        <f>IF(AU112="",0,T112*(AF112-AT112))</f>
        <v/>
      </c>
      <c r="BC112" s="51" t="n">
        <v>0.05193832324115114</v>
      </c>
      <c r="BD112" s="51" t="n">
        <v>0.02284786815656408</v>
      </c>
      <c r="BE112" s="51" t="n">
        <v>0.1742503074448964</v>
      </c>
      <c r="BF112" s="43" t="n">
        <v>32038</v>
      </c>
    </row>
    <row r="113">
      <c r="A113" s="42" t="inlineStr">
        <is>
          <t>GA</t>
        </is>
      </c>
      <c r="B113" s="42" t="inlineStr">
        <is>
          <t>13145</t>
        </is>
      </c>
      <c r="C113" s="42" t="inlineStr">
        <is>
          <t>Harris</t>
        </is>
      </c>
      <c r="D113" s="42" t="inlineStr">
        <is>
          <t>Small town &amp; rural</t>
        </is>
      </c>
      <c r="E113" s="42" t="inlineStr"/>
      <c r="F113" s="43" t="n">
        <v>5976</v>
      </c>
      <c r="G113" s="43" t="n">
        <v>16283</v>
      </c>
      <c r="H113" s="43" t="n">
        <v>22353</v>
      </c>
      <c r="I113" s="43" t="n">
        <v>5457</v>
      </c>
      <c r="J113" s="43" t="n">
        <v>14319</v>
      </c>
      <c r="K113" s="42" t="inlineStr">
        <is>
          <t>US Senate</t>
        </is>
      </c>
      <c r="L113" s="43" t="n">
        <v>4546</v>
      </c>
      <c r="M113" s="43" t="n">
        <v>12072</v>
      </c>
      <c r="N113" s="43" t="n">
        <v>16956</v>
      </c>
      <c r="O113" s="44">
        <f>IFERROR((F113-G113)/(F113+G113),"")</f>
        <v/>
      </c>
      <c r="P113" s="44">
        <f>IFERROR((I113-J113)/(I113+J113),"")</f>
        <v/>
      </c>
      <c r="Q113" s="45">
        <f>IFERROR(O113-P113,"")</f>
        <v/>
      </c>
      <c r="R113" s="44">
        <f>IFERROR((L113-M113)/(L113+M113),"")</f>
        <v/>
      </c>
      <c r="S113" s="46">
        <f>H113/SUMIFS(Counties!$H$2:$H$1583,Counties!$A$2:$A$1583,$A113)</f>
        <v/>
      </c>
      <c r="T113" s="44">
        <f>O113+INDEX(Dashboard!$F$6:$F$22,MATCH($A113,Dashboard!$A$6:$A$22,0))</f>
        <v/>
      </c>
      <c r="U113" s="43">
        <f>AQ113*INDEX(Dashboard!$G$6:$G$22,MATCH($A113,Dashboard!$A$6:$A$22,0))</f>
        <v/>
      </c>
      <c r="V113" s="47" t="n"/>
      <c r="W113" s="47" t="n"/>
      <c r="X113" s="47" t="n"/>
      <c r="Y113" s="48" t="n"/>
      <c r="Z113" s="49" t="n"/>
      <c r="AA113" s="49" t="n"/>
      <c r="AB113" s="49" t="n"/>
      <c r="AC113" s="50" t="n"/>
      <c r="AD113" s="43">
        <f>IF(Z113&lt;&gt;"",Z113,N(V113))</f>
        <v/>
      </c>
      <c r="AE113" s="43">
        <f>IF(AA113&lt;&gt;"",AA113,N(W113))</f>
        <v/>
      </c>
      <c r="AF113" s="43">
        <f>AD113+AE113</f>
        <v/>
      </c>
      <c r="AG113" s="42">
        <f>IF(UPPER(AC113)="Y",1,IF(AF113=0,0,IF(AND(Z113="",Y113&lt;&gt;""),IF(Y113&gt;=0.999,1,0),IF(AF113&gt;=U113,1,0))))</f>
        <v/>
      </c>
      <c r="AH113" s="44">
        <f>IF(AF113&gt;0,(AD113-AE113)/AF113,"")</f>
        <v/>
      </c>
      <c r="AI113" s="45">
        <f>IF(AG113=1,AH113-O113,"")</f>
        <v/>
      </c>
      <c r="AJ113" s="44">
        <f>IF(AG113=1,AH113,MAX(-1,MIN(1,O113+INDEX(Types!$H:$H,MATCH($A113&amp;"|"&amp;$D113,Types!$A:$A,0)))))</f>
        <v/>
      </c>
      <c r="AK113" s="43">
        <f>IF(AG113=1,AF113,MAX(AQ113*AS113,AF113))</f>
        <v/>
      </c>
      <c r="AL113" s="43">
        <f>IF(AG113=1,AD113,AK113*(1+AJ113)/2)</f>
        <v/>
      </c>
      <c r="AM113" s="43">
        <f>IF(AG113=1,AE113,AK113*(1-AJ113)/2)</f>
        <v/>
      </c>
      <c r="AN113" s="45">
        <f>IF(AH113="","",AH113-T113)</f>
        <v/>
      </c>
      <c r="AO113" s="51">
        <f>IF(AG113=1,1,IF(U113&gt;0,MIN(AF113/U113,0.99),0))</f>
        <v/>
      </c>
      <c r="AP113" s="43">
        <f>IF(AG113=1,AI113*AF113,0)</f>
        <v/>
      </c>
      <c r="AQ113" s="43">
        <f>N113*(F113+G113)/H113</f>
        <v/>
      </c>
      <c r="AR113" s="43">
        <f>O113*AQ113</f>
        <v/>
      </c>
      <c r="AS113" s="52">
        <f>IF(AG113=1,IF(AQ113&gt;0,AF113/AQ113,1),IFERROR(INDEX(Types!$K:$K,MATCH($A113&amp;"|"&amp;$D113,Types!$A:$A,0)),INDEX(Dashboard!$X$6:$X$22,MATCH($A113,Dashboard!$A$6:$A$22,0))))</f>
        <v/>
      </c>
      <c r="AT113" s="43">
        <f>AQ113*INDEX(Dashboard!$Y$6:$Y$22,MATCH($A113,Dashboard!$A$6:$A$22,0))</f>
        <v/>
      </c>
      <c r="AU113" s="53">
        <f>IF(AND(AG113=1,AT113&gt;0,AF113&gt;0),100*AF113/AT113,"")</f>
        <v/>
      </c>
      <c r="AV113" s="44">
        <f>IF(AU113="","",T113/(AU113/100))</f>
        <v/>
      </c>
      <c r="AW113" s="53">
        <f>IF(AU113="","",IF(AND(ABS(AH113)&gt;=0.1,ABS(T113)&gt;=0.05,SIGN(AH113)=SIGN(T113)),100*T113/AH113,""))</f>
        <v/>
      </c>
      <c r="AX113" s="45">
        <f>IF(AU113="","",T113-AV113)</f>
        <v/>
      </c>
      <c r="AY113" s="45">
        <f>IF(AU113="","",AH113-AV113)</f>
        <v/>
      </c>
      <c r="AZ113" s="54">
        <f>(AL113-AM113)-T113*AT113</f>
        <v/>
      </c>
      <c r="BA113" s="43">
        <f>IF(AU113="",0,(AH113-T113)*AF113)</f>
        <v/>
      </c>
      <c r="BB113" s="43">
        <f>IF(AU113="",0,T113*(AF113-AT113))</f>
        <v/>
      </c>
      <c r="BC113" s="51" t="n">
        <v>0.1615921863916626</v>
      </c>
      <c r="BD113" s="51" t="n">
        <v>0.05210891035084848</v>
      </c>
      <c r="BE113" s="51" t="n">
        <v>0.3465207631874299</v>
      </c>
      <c r="BF113" s="43" t="n">
        <v>36654</v>
      </c>
    </row>
    <row r="114">
      <c r="A114" s="42" t="inlineStr">
        <is>
          <t>GA</t>
        </is>
      </c>
      <c r="B114" s="42" t="inlineStr">
        <is>
          <t>13147</t>
        </is>
      </c>
      <c r="C114" s="42" t="inlineStr">
        <is>
          <t>Hart</t>
        </is>
      </c>
      <c r="D114" s="42" t="inlineStr">
        <is>
          <t>Small town &amp; rural</t>
        </is>
      </c>
      <c r="E114" s="42" t="inlineStr"/>
      <c r="F114" s="43" t="n">
        <v>3210</v>
      </c>
      <c r="G114" s="43" t="n">
        <v>11064</v>
      </c>
      <c r="H114" s="43" t="n">
        <v>14331</v>
      </c>
      <c r="I114" s="43" t="n">
        <v>3157</v>
      </c>
      <c r="J114" s="43" t="n">
        <v>9465</v>
      </c>
      <c r="K114" s="42" t="inlineStr">
        <is>
          <t>US Senate</t>
        </is>
      </c>
      <c r="L114" s="43" t="n">
        <v>2322</v>
      </c>
      <c r="M114" s="43" t="n">
        <v>7979</v>
      </c>
      <c r="N114" s="43" t="n">
        <v>10495</v>
      </c>
      <c r="O114" s="44">
        <f>IFERROR((F114-G114)/(F114+G114),"")</f>
        <v/>
      </c>
      <c r="P114" s="44">
        <f>IFERROR((I114-J114)/(I114+J114),"")</f>
        <v/>
      </c>
      <c r="Q114" s="45">
        <f>IFERROR(O114-P114,"")</f>
        <v/>
      </c>
      <c r="R114" s="44">
        <f>IFERROR((L114-M114)/(L114+M114),"")</f>
        <v/>
      </c>
      <c r="S114" s="46">
        <f>H114/SUMIFS(Counties!$H$2:$H$1583,Counties!$A$2:$A$1583,$A114)</f>
        <v/>
      </c>
      <c r="T114" s="44">
        <f>O114+INDEX(Dashboard!$F$6:$F$22,MATCH($A114,Dashboard!$A$6:$A$22,0))</f>
        <v/>
      </c>
      <c r="U114" s="43">
        <f>AQ114*INDEX(Dashboard!$G$6:$G$22,MATCH($A114,Dashboard!$A$6:$A$22,0))</f>
        <v/>
      </c>
      <c r="V114" s="47" t="n"/>
      <c r="W114" s="47" t="n"/>
      <c r="X114" s="47" t="n"/>
      <c r="Y114" s="48" t="n"/>
      <c r="Z114" s="49" t="n"/>
      <c r="AA114" s="49" t="n"/>
      <c r="AB114" s="49" t="n"/>
      <c r="AC114" s="50" t="n"/>
      <c r="AD114" s="43">
        <f>IF(Z114&lt;&gt;"",Z114,N(V114))</f>
        <v/>
      </c>
      <c r="AE114" s="43">
        <f>IF(AA114&lt;&gt;"",AA114,N(W114))</f>
        <v/>
      </c>
      <c r="AF114" s="43">
        <f>AD114+AE114</f>
        <v/>
      </c>
      <c r="AG114" s="42">
        <f>IF(UPPER(AC114)="Y",1,IF(AF114=0,0,IF(AND(Z114="",Y114&lt;&gt;""),IF(Y114&gt;=0.999,1,0),IF(AF114&gt;=U114,1,0))))</f>
        <v/>
      </c>
      <c r="AH114" s="44">
        <f>IF(AF114&gt;0,(AD114-AE114)/AF114,"")</f>
        <v/>
      </c>
      <c r="AI114" s="45">
        <f>IF(AG114=1,AH114-O114,"")</f>
        <v/>
      </c>
      <c r="AJ114" s="44">
        <f>IF(AG114=1,AH114,MAX(-1,MIN(1,O114+INDEX(Types!$H:$H,MATCH($A114&amp;"|"&amp;$D114,Types!$A:$A,0)))))</f>
        <v/>
      </c>
      <c r="AK114" s="43">
        <f>IF(AG114=1,AF114,MAX(AQ114*AS114,AF114))</f>
        <v/>
      </c>
      <c r="AL114" s="43">
        <f>IF(AG114=1,AD114,AK114*(1+AJ114)/2)</f>
        <v/>
      </c>
      <c r="AM114" s="43">
        <f>IF(AG114=1,AE114,AK114*(1-AJ114)/2)</f>
        <v/>
      </c>
      <c r="AN114" s="45">
        <f>IF(AH114="","",AH114-T114)</f>
        <v/>
      </c>
      <c r="AO114" s="51">
        <f>IF(AG114=1,1,IF(U114&gt;0,MIN(AF114/U114,0.99),0))</f>
        <v/>
      </c>
      <c r="AP114" s="43">
        <f>IF(AG114=1,AI114*AF114,0)</f>
        <v/>
      </c>
      <c r="AQ114" s="43">
        <f>N114*(F114+G114)/H114</f>
        <v/>
      </c>
      <c r="AR114" s="43">
        <f>O114*AQ114</f>
        <v/>
      </c>
      <c r="AS114" s="52">
        <f>IF(AG114=1,IF(AQ114&gt;0,AF114/AQ114,1),IFERROR(INDEX(Types!$K:$K,MATCH($A114&amp;"|"&amp;$D114,Types!$A:$A,0)),INDEX(Dashboard!$X$6:$X$22,MATCH($A114,Dashboard!$A$6:$A$22,0))))</f>
        <v/>
      </c>
      <c r="AT114" s="43">
        <f>AQ114*INDEX(Dashboard!$Y$6:$Y$22,MATCH($A114,Dashboard!$A$6:$A$22,0))</f>
        <v/>
      </c>
      <c r="AU114" s="53">
        <f>IF(AND(AG114=1,AT114&gt;0,AF114&gt;0),100*AF114/AT114,"")</f>
        <v/>
      </c>
      <c r="AV114" s="44">
        <f>IF(AU114="","",T114/(AU114/100))</f>
        <v/>
      </c>
      <c r="AW114" s="53">
        <f>IF(AU114="","",IF(AND(ABS(AH114)&gt;=0.1,ABS(T114)&gt;=0.05,SIGN(AH114)=SIGN(T114)),100*T114/AH114,""))</f>
        <v/>
      </c>
      <c r="AX114" s="45">
        <f>IF(AU114="","",T114-AV114)</f>
        <v/>
      </c>
      <c r="AY114" s="45">
        <f>IF(AU114="","",AH114-AV114)</f>
        <v/>
      </c>
      <c r="AZ114" s="54">
        <f>(AL114-AM114)-T114*AT114</f>
        <v/>
      </c>
      <c r="BA114" s="43">
        <f>IF(AU114="",0,(AH114-T114)*AF114)</f>
        <v/>
      </c>
      <c r="BB114" s="43">
        <f>IF(AU114="",0,T114*(AF114-AT114))</f>
        <v/>
      </c>
      <c r="BC114" s="51" t="n">
        <v>0.1778560023225432</v>
      </c>
      <c r="BD114" s="51" t="n">
        <v>0.04492669473073015</v>
      </c>
      <c r="BE114" s="51" t="n">
        <v>0.1808362189260427</v>
      </c>
      <c r="BF114" s="43" t="n">
        <v>27556</v>
      </c>
    </row>
    <row r="115">
      <c r="A115" s="42" t="inlineStr">
        <is>
          <t>GA</t>
        </is>
      </c>
      <c r="B115" s="42" t="inlineStr">
        <is>
          <t>13149</t>
        </is>
      </c>
      <c r="C115" s="42" t="inlineStr">
        <is>
          <t>Heard</t>
        </is>
      </c>
      <c r="D115" s="42" t="inlineStr">
        <is>
          <t>Small town &amp; rural</t>
        </is>
      </c>
      <c r="E115" s="42" t="inlineStr"/>
      <c r="F115" s="43" t="n">
        <v>859</v>
      </c>
      <c r="G115" s="43" t="n">
        <v>5335</v>
      </c>
      <c r="H115" s="43" t="n">
        <v>6210</v>
      </c>
      <c r="I115" s="43" t="n">
        <v>824</v>
      </c>
      <c r="J115" s="43" t="n">
        <v>4519</v>
      </c>
      <c r="K115" s="42" t="inlineStr">
        <is>
          <t>US Senate</t>
        </is>
      </c>
      <c r="L115" s="43" t="n">
        <v>675</v>
      </c>
      <c r="M115" s="43" t="n">
        <v>3673</v>
      </c>
      <c r="N115" s="43" t="n">
        <v>4441</v>
      </c>
      <c r="O115" s="44">
        <f>IFERROR((F115-G115)/(F115+G115),"")</f>
        <v/>
      </c>
      <c r="P115" s="44">
        <f>IFERROR((I115-J115)/(I115+J115),"")</f>
        <v/>
      </c>
      <c r="Q115" s="45">
        <f>IFERROR(O115-P115,"")</f>
        <v/>
      </c>
      <c r="R115" s="44">
        <f>IFERROR((L115-M115)/(L115+M115),"")</f>
        <v/>
      </c>
      <c r="S115" s="46">
        <f>H115/SUMIFS(Counties!$H$2:$H$1583,Counties!$A$2:$A$1583,$A115)</f>
        <v/>
      </c>
      <c r="T115" s="44">
        <f>O115+INDEX(Dashboard!$F$6:$F$22,MATCH($A115,Dashboard!$A$6:$A$22,0))</f>
        <v/>
      </c>
      <c r="U115" s="43">
        <f>AQ115*INDEX(Dashboard!$G$6:$G$22,MATCH($A115,Dashboard!$A$6:$A$22,0))</f>
        <v/>
      </c>
      <c r="V115" s="47" t="n"/>
      <c r="W115" s="47" t="n"/>
      <c r="X115" s="47" t="n"/>
      <c r="Y115" s="48" t="n"/>
      <c r="Z115" s="49" t="n"/>
      <c r="AA115" s="49" t="n"/>
      <c r="AB115" s="49" t="n"/>
      <c r="AC115" s="50" t="n"/>
      <c r="AD115" s="43">
        <f>IF(Z115&lt;&gt;"",Z115,N(V115))</f>
        <v/>
      </c>
      <c r="AE115" s="43">
        <f>IF(AA115&lt;&gt;"",AA115,N(W115))</f>
        <v/>
      </c>
      <c r="AF115" s="43">
        <f>AD115+AE115</f>
        <v/>
      </c>
      <c r="AG115" s="42">
        <f>IF(UPPER(AC115)="Y",1,IF(AF115=0,0,IF(AND(Z115="",Y115&lt;&gt;""),IF(Y115&gt;=0.999,1,0),IF(AF115&gt;=U115,1,0))))</f>
        <v/>
      </c>
      <c r="AH115" s="44">
        <f>IF(AF115&gt;0,(AD115-AE115)/AF115,"")</f>
        <v/>
      </c>
      <c r="AI115" s="45">
        <f>IF(AG115=1,AH115-O115,"")</f>
        <v/>
      </c>
      <c r="AJ115" s="44">
        <f>IF(AG115=1,AH115,MAX(-1,MIN(1,O115+INDEX(Types!$H:$H,MATCH($A115&amp;"|"&amp;$D115,Types!$A:$A,0)))))</f>
        <v/>
      </c>
      <c r="AK115" s="43">
        <f>IF(AG115=1,AF115,MAX(AQ115*AS115,AF115))</f>
        <v/>
      </c>
      <c r="AL115" s="43">
        <f>IF(AG115=1,AD115,AK115*(1+AJ115)/2)</f>
        <v/>
      </c>
      <c r="AM115" s="43">
        <f>IF(AG115=1,AE115,AK115*(1-AJ115)/2)</f>
        <v/>
      </c>
      <c r="AN115" s="45">
        <f>IF(AH115="","",AH115-T115)</f>
        <v/>
      </c>
      <c r="AO115" s="51">
        <f>IF(AG115=1,1,IF(U115&gt;0,MIN(AF115/U115,0.99),0))</f>
        <v/>
      </c>
      <c r="AP115" s="43">
        <f>IF(AG115=1,AI115*AF115,0)</f>
        <v/>
      </c>
      <c r="AQ115" s="43">
        <f>N115*(F115+G115)/H115</f>
        <v/>
      </c>
      <c r="AR115" s="43">
        <f>O115*AQ115</f>
        <v/>
      </c>
      <c r="AS115" s="52">
        <f>IF(AG115=1,IF(AQ115&gt;0,AF115/AQ115,1),IFERROR(INDEX(Types!$K:$K,MATCH($A115&amp;"|"&amp;$D115,Types!$A:$A,0)),INDEX(Dashboard!$X$6:$X$22,MATCH($A115,Dashboard!$A$6:$A$22,0))))</f>
        <v/>
      </c>
      <c r="AT115" s="43">
        <f>AQ115*INDEX(Dashboard!$Y$6:$Y$22,MATCH($A115,Dashboard!$A$6:$A$22,0))</f>
        <v/>
      </c>
      <c r="AU115" s="53">
        <f>IF(AND(AG115=1,AT115&gt;0,AF115&gt;0),100*AF115/AT115,"")</f>
        <v/>
      </c>
      <c r="AV115" s="44">
        <f>IF(AU115="","",T115/(AU115/100))</f>
        <v/>
      </c>
      <c r="AW115" s="53">
        <f>IF(AU115="","",IF(AND(ABS(AH115)&gt;=0.1,ABS(T115)&gt;=0.05,SIGN(AH115)=SIGN(T115)),100*T115/AH115,""))</f>
        <v/>
      </c>
      <c r="AX115" s="45">
        <f>IF(AU115="","",T115-AV115)</f>
        <v/>
      </c>
      <c r="AY115" s="45">
        <f>IF(AU115="","",AH115-AV115)</f>
        <v/>
      </c>
      <c r="AZ115" s="54">
        <f>(AL115-AM115)-T115*AT115</f>
        <v/>
      </c>
      <c r="BA115" s="43">
        <f>IF(AU115="",0,(AH115-T115)*AF115)</f>
        <v/>
      </c>
      <c r="BB115" s="43">
        <f>IF(AU115="",0,T115*(AF115-AT115))</f>
        <v/>
      </c>
      <c r="BC115" s="51" t="n">
        <v>0.09639355160378926</v>
      </c>
      <c r="BD115" s="51" t="n">
        <v>0.0312448063819179</v>
      </c>
      <c r="BE115" s="51" t="n">
        <v>0.1136591478696742</v>
      </c>
      <c r="BF115" s="43" t="n">
        <v>12034</v>
      </c>
    </row>
    <row r="116">
      <c r="A116" s="42" t="inlineStr">
        <is>
          <t>GA</t>
        </is>
      </c>
      <c r="B116" s="42" t="inlineStr">
        <is>
          <t>13151</t>
        </is>
      </c>
      <c r="C116" s="42" t="inlineStr">
        <is>
          <t>Henry</t>
        </is>
      </c>
      <c r="D116" s="42" t="inlineStr">
        <is>
          <t>Black Belt</t>
        </is>
      </c>
      <c r="E116" s="42" t="inlineStr">
        <is>
          <t>★</t>
        </is>
      </c>
      <c r="F116" s="43" t="n">
        <v>83253</v>
      </c>
      <c r="G116" s="43" t="n">
        <v>44982</v>
      </c>
      <c r="H116" s="43" t="n">
        <v>129034</v>
      </c>
      <c r="I116" s="43" t="n">
        <v>73443</v>
      </c>
      <c r="J116" s="43" t="n">
        <v>48259</v>
      </c>
      <c r="K116" s="42" t="inlineStr">
        <is>
          <t>US Senate</t>
        </is>
      </c>
      <c r="L116" s="43" t="n">
        <v>60756</v>
      </c>
      <c r="M116" s="43" t="n">
        <v>32819</v>
      </c>
      <c r="N116" s="43" t="n">
        <v>95229</v>
      </c>
      <c r="O116" s="44">
        <f>IFERROR((F116-G116)/(F116+G116),"")</f>
        <v/>
      </c>
      <c r="P116" s="44">
        <f>IFERROR((I116-J116)/(I116+J116),"")</f>
        <v/>
      </c>
      <c r="Q116" s="45">
        <f>IFERROR(O116-P116,"")</f>
        <v/>
      </c>
      <c r="R116" s="44">
        <f>IFERROR((L116-M116)/(L116+M116),"")</f>
        <v/>
      </c>
      <c r="S116" s="46">
        <f>H116/SUMIFS(Counties!$H$2:$H$1583,Counties!$A$2:$A$1583,$A116)</f>
        <v/>
      </c>
      <c r="T116" s="44">
        <f>O116+INDEX(Dashboard!$F$6:$F$22,MATCH($A116,Dashboard!$A$6:$A$22,0))</f>
        <v/>
      </c>
      <c r="U116" s="43">
        <f>AQ116*INDEX(Dashboard!$G$6:$G$22,MATCH($A116,Dashboard!$A$6:$A$22,0))</f>
        <v/>
      </c>
      <c r="V116" s="47" t="n"/>
      <c r="W116" s="47" t="n"/>
      <c r="X116" s="47" t="n"/>
      <c r="Y116" s="48" t="n"/>
      <c r="Z116" s="49" t="n"/>
      <c r="AA116" s="49" t="n"/>
      <c r="AB116" s="49" t="n"/>
      <c r="AC116" s="50" t="n"/>
      <c r="AD116" s="43">
        <f>IF(Z116&lt;&gt;"",Z116,N(V116))</f>
        <v/>
      </c>
      <c r="AE116" s="43">
        <f>IF(AA116&lt;&gt;"",AA116,N(W116))</f>
        <v/>
      </c>
      <c r="AF116" s="43">
        <f>AD116+AE116</f>
        <v/>
      </c>
      <c r="AG116" s="42">
        <f>IF(UPPER(AC116)="Y",1,IF(AF116=0,0,IF(AND(Z116="",Y116&lt;&gt;""),IF(Y116&gt;=0.999,1,0),IF(AF116&gt;=U116,1,0))))</f>
        <v/>
      </c>
      <c r="AH116" s="44">
        <f>IF(AF116&gt;0,(AD116-AE116)/AF116,"")</f>
        <v/>
      </c>
      <c r="AI116" s="45">
        <f>IF(AG116=1,AH116-O116,"")</f>
        <v/>
      </c>
      <c r="AJ116" s="44">
        <f>IF(AG116=1,AH116,MAX(-1,MIN(1,O116+INDEX(Types!$H:$H,MATCH($A116&amp;"|"&amp;$D116,Types!$A:$A,0)))))</f>
        <v/>
      </c>
      <c r="AK116" s="43">
        <f>IF(AG116=1,AF116,MAX(AQ116*AS116,AF116))</f>
        <v/>
      </c>
      <c r="AL116" s="43">
        <f>IF(AG116=1,AD116,AK116*(1+AJ116)/2)</f>
        <v/>
      </c>
      <c r="AM116" s="43">
        <f>IF(AG116=1,AE116,AK116*(1-AJ116)/2)</f>
        <v/>
      </c>
      <c r="AN116" s="45">
        <f>IF(AH116="","",AH116-T116)</f>
        <v/>
      </c>
      <c r="AO116" s="51">
        <f>IF(AG116=1,1,IF(U116&gt;0,MIN(AF116/U116,0.99),0))</f>
        <v/>
      </c>
      <c r="AP116" s="43">
        <f>IF(AG116=1,AI116*AF116,0)</f>
        <v/>
      </c>
      <c r="AQ116" s="43">
        <f>N116*(F116+G116)/H116</f>
        <v/>
      </c>
      <c r="AR116" s="43">
        <f>O116*AQ116</f>
        <v/>
      </c>
      <c r="AS116" s="52">
        <f>IF(AG116=1,IF(AQ116&gt;0,AF116/AQ116,1),IFERROR(INDEX(Types!$K:$K,MATCH($A116&amp;"|"&amp;$D116,Types!$A:$A,0)),INDEX(Dashboard!$X$6:$X$22,MATCH($A116,Dashboard!$A$6:$A$22,0))))</f>
        <v/>
      </c>
      <c r="AT116" s="43">
        <f>AQ116*INDEX(Dashboard!$Y$6:$Y$22,MATCH($A116,Dashboard!$A$6:$A$22,0))</f>
        <v/>
      </c>
      <c r="AU116" s="53">
        <f>IF(AND(AG116=1,AT116&gt;0,AF116&gt;0),100*AF116/AT116,"")</f>
        <v/>
      </c>
      <c r="AV116" s="44">
        <f>IF(AU116="","",T116/(AU116/100))</f>
        <v/>
      </c>
      <c r="AW116" s="53">
        <f>IF(AU116="","",IF(AND(ABS(AH116)&gt;=0.1,ABS(T116)&gt;=0.05,SIGN(AH116)=SIGN(T116)),100*T116/AH116,""))</f>
        <v/>
      </c>
      <c r="AX116" s="45">
        <f>IF(AU116="","",T116-AV116)</f>
        <v/>
      </c>
      <c r="AY116" s="45">
        <f>IF(AU116="","",AH116-AV116)</f>
        <v/>
      </c>
      <c r="AZ116" s="54">
        <f>(AL116-AM116)-T116*AT116</f>
        <v/>
      </c>
      <c r="BA116" s="43">
        <f>IF(AU116="",0,(AH116-T116)*AF116)</f>
        <v/>
      </c>
      <c r="BB116" s="43">
        <f>IF(AU116="",0,T116*(AF116-AT116))</f>
        <v/>
      </c>
      <c r="BC116" s="51" t="n">
        <v>0.5471912274707105</v>
      </c>
      <c r="BD116" s="51" t="n">
        <v>0.08513312360327242</v>
      </c>
      <c r="BE116" s="51" t="n">
        <v>0.2803661915578742</v>
      </c>
      <c r="BF116" s="43" t="n">
        <v>254613</v>
      </c>
    </row>
    <row r="117">
      <c r="A117" s="42" t="inlineStr">
        <is>
          <t>GA</t>
        </is>
      </c>
      <c r="B117" s="42" t="inlineStr">
        <is>
          <t>13153</t>
        </is>
      </c>
      <c r="C117" s="42" t="inlineStr">
        <is>
          <t>Houston</t>
        </is>
      </c>
      <c r="D117" s="42" t="inlineStr">
        <is>
          <t>Mid-size/working metro</t>
        </is>
      </c>
      <c r="E117" s="42" t="inlineStr"/>
      <c r="F117" s="43" t="n">
        <v>35907</v>
      </c>
      <c r="G117" s="43" t="n">
        <v>45090</v>
      </c>
      <c r="H117" s="43" t="n">
        <v>81514</v>
      </c>
      <c r="I117" s="43" t="n">
        <v>32239</v>
      </c>
      <c r="J117" s="43" t="n">
        <v>41540</v>
      </c>
      <c r="K117" s="42" t="inlineStr">
        <is>
          <t>US Senate</t>
        </is>
      </c>
      <c r="L117" s="43" t="n">
        <v>25657</v>
      </c>
      <c r="M117" s="43" t="n">
        <v>32239</v>
      </c>
      <c r="N117" s="43" t="n">
        <v>58991</v>
      </c>
      <c r="O117" s="44">
        <f>IFERROR((F117-G117)/(F117+G117),"")</f>
        <v/>
      </c>
      <c r="P117" s="44">
        <f>IFERROR((I117-J117)/(I117+J117),"")</f>
        <v/>
      </c>
      <c r="Q117" s="45">
        <f>IFERROR(O117-P117,"")</f>
        <v/>
      </c>
      <c r="R117" s="44">
        <f>IFERROR((L117-M117)/(L117+M117),"")</f>
        <v/>
      </c>
      <c r="S117" s="46">
        <f>H117/SUMIFS(Counties!$H$2:$H$1583,Counties!$A$2:$A$1583,$A117)</f>
        <v/>
      </c>
      <c r="T117" s="44">
        <f>O117+INDEX(Dashboard!$F$6:$F$22,MATCH($A117,Dashboard!$A$6:$A$22,0))</f>
        <v/>
      </c>
      <c r="U117" s="43">
        <f>AQ117*INDEX(Dashboard!$G$6:$G$22,MATCH($A117,Dashboard!$A$6:$A$22,0))</f>
        <v/>
      </c>
      <c r="V117" s="47" t="n"/>
      <c r="W117" s="47" t="n"/>
      <c r="X117" s="47" t="n"/>
      <c r="Y117" s="48" t="n"/>
      <c r="Z117" s="49" t="n"/>
      <c r="AA117" s="49" t="n"/>
      <c r="AB117" s="49" t="n"/>
      <c r="AC117" s="50" t="n"/>
      <c r="AD117" s="43">
        <f>IF(Z117&lt;&gt;"",Z117,N(V117))</f>
        <v/>
      </c>
      <c r="AE117" s="43">
        <f>IF(AA117&lt;&gt;"",AA117,N(W117))</f>
        <v/>
      </c>
      <c r="AF117" s="43">
        <f>AD117+AE117</f>
        <v/>
      </c>
      <c r="AG117" s="42">
        <f>IF(UPPER(AC117)="Y",1,IF(AF117=0,0,IF(AND(Z117="",Y117&lt;&gt;""),IF(Y117&gt;=0.999,1,0),IF(AF117&gt;=U117,1,0))))</f>
        <v/>
      </c>
      <c r="AH117" s="44">
        <f>IF(AF117&gt;0,(AD117-AE117)/AF117,"")</f>
        <v/>
      </c>
      <c r="AI117" s="45">
        <f>IF(AG117=1,AH117-O117,"")</f>
        <v/>
      </c>
      <c r="AJ117" s="44">
        <f>IF(AG117=1,AH117,MAX(-1,MIN(1,O117+INDEX(Types!$H:$H,MATCH($A117&amp;"|"&amp;$D117,Types!$A:$A,0)))))</f>
        <v/>
      </c>
      <c r="AK117" s="43">
        <f>IF(AG117=1,AF117,MAX(AQ117*AS117,AF117))</f>
        <v/>
      </c>
      <c r="AL117" s="43">
        <f>IF(AG117=1,AD117,AK117*(1+AJ117)/2)</f>
        <v/>
      </c>
      <c r="AM117" s="43">
        <f>IF(AG117=1,AE117,AK117*(1-AJ117)/2)</f>
        <v/>
      </c>
      <c r="AN117" s="45">
        <f>IF(AH117="","",AH117-T117)</f>
        <v/>
      </c>
      <c r="AO117" s="51">
        <f>IF(AG117=1,1,IF(U117&gt;0,MIN(AF117/U117,0.99),0))</f>
        <v/>
      </c>
      <c r="AP117" s="43">
        <f>IF(AG117=1,AI117*AF117,0)</f>
        <v/>
      </c>
      <c r="AQ117" s="43">
        <f>N117*(F117+G117)/H117</f>
        <v/>
      </c>
      <c r="AR117" s="43">
        <f>O117*AQ117</f>
        <v/>
      </c>
      <c r="AS117" s="52">
        <f>IF(AG117=1,IF(AQ117&gt;0,AF117/AQ117,1),IFERROR(INDEX(Types!$K:$K,MATCH($A117&amp;"|"&amp;$D117,Types!$A:$A,0)),INDEX(Dashboard!$X$6:$X$22,MATCH($A117,Dashboard!$A$6:$A$22,0))))</f>
        <v/>
      </c>
      <c r="AT117" s="43">
        <f>AQ117*INDEX(Dashboard!$Y$6:$Y$22,MATCH($A117,Dashboard!$A$6:$A$22,0))</f>
        <v/>
      </c>
      <c r="AU117" s="53">
        <f>IF(AND(AG117=1,AT117&gt;0,AF117&gt;0),100*AF117/AT117,"")</f>
        <v/>
      </c>
      <c r="AV117" s="44">
        <f>IF(AU117="","",T117/(AU117/100))</f>
        <v/>
      </c>
      <c r="AW117" s="53">
        <f>IF(AU117="","",IF(AND(ABS(AH117)&gt;=0.1,ABS(T117)&gt;=0.05,SIGN(AH117)=SIGN(T117)),100*T117/AH117,""))</f>
        <v/>
      </c>
      <c r="AX117" s="45">
        <f>IF(AU117="","",T117-AV117)</f>
        <v/>
      </c>
      <c r="AY117" s="45">
        <f>IF(AU117="","",AH117-AV117)</f>
        <v/>
      </c>
      <c r="AZ117" s="54">
        <f>(AL117-AM117)-T117*AT117</f>
        <v/>
      </c>
      <c r="BA117" s="43">
        <f>IF(AU117="",0,(AH117-T117)*AF117)</f>
        <v/>
      </c>
      <c r="BB117" s="43">
        <f>IF(AU117="",0,T117*(AF117-AT117))</f>
        <v/>
      </c>
      <c r="BC117" s="51" t="n">
        <v>0.3439066370497866</v>
      </c>
      <c r="BD117" s="51" t="n">
        <v>0.07676160349820321</v>
      </c>
      <c r="BE117" s="51" t="n">
        <v>0.3225738934187536</v>
      </c>
      <c r="BF117" s="43" t="n">
        <v>171974</v>
      </c>
    </row>
    <row r="118">
      <c r="A118" s="42" t="inlineStr">
        <is>
          <t>GA</t>
        </is>
      </c>
      <c r="B118" s="42" t="inlineStr">
        <is>
          <t>13155</t>
        </is>
      </c>
      <c r="C118" s="42" t="inlineStr">
        <is>
          <t>Irwin</t>
        </is>
      </c>
      <c r="D118" s="42" t="inlineStr">
        <is>
          <t>Small town &amp; rural</t>
        </is>
      </c>
      <c r="E118" s="42" t="inlineStr"/>
      <c r="F118" s="43" t="n">
        <v>986</v>
      </c>
      <c r="G118" s="43" t="n">
        <v>3340</v>
      </c>
      <c r="H118" s="43" t="n">
        <v>4342</v>
      </c>
      <c r="I118" s="43" t="n">
        <v>1008</v>
      </c>
      <c r="J118" s="43" t="n">
        <v>3134</v>
      </c>
      <c r="K118" s="42" t="inlineStr">
        <is>
          <t>US Senate</t>
        </is>
      </c>
      <c r="L118" s="43" t="n">
        <v>757</v>
      </c>
      <c r="M118" s="43" t="n">
        <v>2601</v>
      </c>
      <c r="N118" s="43" t="n">
        <v>3404</v>
      </c>
      <c r="O118" s="44">
        <f>IFERROR((F118-G118)/(F118+G118),"")</f>
        <v/>
      </c>
      <c r="P118" s="44">
        <f>IFERROR((I118-J118)/(I118+J118),"")</f>
        <v/>
      </c>
      <c r="Q118" s="45">
        <f>IFERROR(O118-P118,"")</f>
        <v/>
      </c>
      <c r="R118" s="44">
        <f>IFERROR((L118-M118)/(L118+M118),"")</f>
        <v/>
      </c>
      <c r="S118" s="46">
        <f>H118/SUMIFS(Counties!$H$2:$H$1583,Counties!$A$2:$A$1583,$A118)</f>
        <v/>
      </c>
      <c r="T118" s="44">
        <f>O118+INDEX(Dashboard!$F$6:$F$22,MATCH($A118,Dashboard!$A$6:$A$22,0))</f>
        <v/>
      </c>
      <c r="U118" s="43">
        <f>AQ118*INDEX(Dashboard!$G$6:$G$22,MATCH($A118,Dashboard!$A$6:$A$22,0))</f>
        <v/>
      </c>
      <c r="V118" s="47" t="n"/>
      <c r="W118" s="47" t="n"/>
      <c r="X118" s="47" t="n"/>
      <c r="Y118" s="48" t="n"/>
      <c r="Z118" s="49" t="n"/>
      <c r="AA118" s="49" t="n"/>
      <c r="AB118" s="49" t="n"/>
      <c r="AC118" s="50" t="n"/>
      <c r="AD118" s="43">
        <f>IF(Z118&lt;&gt;"",Z118,N(V118))</f>
        <v/>
      </c>
      <c r="AE118" s="43">
        <f>IF(AA118&lt;&gt;"",AA118,N(W118))</f>
        <v/>
      </c>
      <c r="AF118" s="43">
        <f>AD118+AE118</f>
        <v/>
      </c>
      <c r="AG118" s="42">
        <f>IF(UPPER(AC118)="Y",1,IF(AF118=0,0,IF(AND(Z118="",Y118&lt;&gt;""),IF(Y118&gt;=0.999,1,0),IF(AF118&gt;=U118,1,0))))</f>
        <v/>
      </c>
      <c r="AH118" s="44">
        <f>IF(AF118&gt;0,(AD118-AE118)/AF118,"")</f>
        <v/>
      </c>
      <c r="AI118" s="45">
        <f>IF(AG118=1,AH118-O118,"")</f>
        <v/>
      </c>
      <c r="AJ118" s="44">
        <f>IF(AG118=1,AH118,MAX(-1,MIN(1,O118+INDEX(Types!$H:$H,MATCH($A118&amp;"|"&amp;$D118,Types!$A:$A,0)))))</f>
        <v/>
      </c>
      <c r="AK118" s="43">
        <f>IF(AG118=1,AF118,MAX(AQ118*AS118,AF118))</f>
        <v/>
      </c>
      <c r="AL118" s="43">
        <f>IF(AG118=1,AD118,AK118*(1+AJ118)/2)</f>
        <v/>
      </c>
      <c r="AM118" s="43">
        <f>IF(AG118=1,AE118,AK118*(1-AJ118)/2)</f>
        <v/>
      </c>
      <c r="AN118" s="45">
        <f>IF(AH118="","",AH118-T118)</f>
        <v/>
      </c>
      <c r="AO118" s="51">
        <f>IF(AG118=1,1,IF(U118&gt;0,MIN(AF118/U118,0.99),0))</f>
        <v/>
      </c>
      <c r="AP118" s="43">
        <f>IF(AG118=1,AI118*AF118,0)</f>
        <v/>
      </c>
      <c r="AQ118" s="43">
        <f>N118*(F118+G118)/H118</f>
        <v/>
      </c>
      <c r="AR118" s="43">
        <f>O118*AQ118</f>
        <v/>
      </c>
      <c r="AS118" s="52">
        <f>IF(AG118=1,IF(AQ118&gt;0,AF118/AQ118,1),IFERROR(INDEX(Types!$K:$K,MATCH($A118&amp;"|"&amp;$D118,Types!$A:$A,0)),INDEX(Dashboard!$X$6:$X$22,MATCH($A118,Dashboard!$A$6:$A$22,0))))</f>
        <v/>
      </c>
      <c r="AT118" s="43">
        <f>AQ118*INDEX(Dashboard!$Y$6:$Y$22,MATCH($A118,Dashboard!$A$6:$A$22,0))</f>
        <v/>
      </c>
      <c r="AU118" s="53">
        <f>IF(AND(AG118=1,AT118&gt;0,AF118&gt;0),100*AF118/AT118,"")</f>
        <v/>
      </c>
      <c r="AV118" s="44">
        <f>IF(AU118="","",T118/(AU118/100))</f>
        <v/>
      </c>
      <c r="AW118" s="53">
        <f>IF(AU118="","",IF(AND(ABS(AH118)&gt;=0.1,ABS(T118)&gt;=0.05,SIGN(AH118)=SIGN(T118)),100*T118/AH118,""))</f>
        <v/>
      </c>
      <c r="AX118" s="45">
        <f>IF(AU118="","",T118-AV118)</f>
        <v/>
      </c>
      <c r="AY118" s="45">
        <f>IF(AU118="","",AH118-AV118)</f>
        <v/>
      </c>
      <c r="AZ118" s="54">
        <f>(AL118-AM118)-T118*AT118</f>
        <v/>
      </c>
      <c r="BA118" s="43">
        <f>IF(AU118="",0,(AH118-T118)*AF118)</f>
        <v/>
      </c>
      <c r="BB118" s="43">
        <f>IF(AU118="",0,T118*(AF118-AT118))</f>
        <v/>
      </c>
      <c r="BC118" s="51" t="n">
        <v>0.2401315789473684</v>
      </c>
      <c r="BD118" s="51" t="n">
        <v>0.07445175438596491</v>
      </c>
      <c r="BE118" s="51" t="n">
        <v>0.1662781662781663</v>
      </c>
      <c r="BF118" s="43" t="n">
        <v>9120</v>
      </c>
    </row>
    <row r="119">
      <c r="A119" s="42" t="inlineStr">
        <is>
          <t>GA</t>
        </is>
      </c>
      <c r="B119" s="42" t="inlineStr">
        <is>
          <t>13157</t>
        </is>
      </c>
      <c r="C119" s="42" t="inlineStr">
        <is>
          <t>Jackson</t>
        </is>
      </c>
      <c r="D119" s="42" t="inlineStr">
        <is>
          <t>Small town &amp; rural</t>
        </is>
      </c>
      <c r="E119" s="42" t="inlineStr"/>
      <c r="F119" s="43" t="n">
        <v>10472</v>
      </c>
      <c r="G119" s="43" t="n">
        <v>36497</v>
      </c>
      <c r="H119" s="43" t="n">
        <v>47243</v>
      </c>
      <c r="I119" s="43" t="n">
        <v>7642</v>
      </c>
      <c r="J119" s="43" t="n">
        <v>29502</v>
      </c>
      <c r="K119" s="42" t="inlineStr">
        <is>
          <t>US Senate</t>
        </is>
      </c>
      <c r="L119" s="43" t="n">
        <v>6504</v>
      </c>
      <c r="M119" s="43" t="n">
        <v>24379</v>
      </c>
      <c r="N119" s="43" t="n">
        <v>31706</v>
      </c>
      <c r="O119" s="44">
        <f>IFERROR((F119-G119)/(F119+G119),"")</f>
        <v/>
      </c>
      <c r="P119" s="44">
        <f>IFERROR((I119-J119)/(I119+J119),"")</f>
        <v/>
      </c>
      <c r="Q119" s="45">
        <f>IFERROR(O119-P119,"")</f>
        <v/>
      </c>
      <c r="R119" s="44">
        <f>IFERROR((L119-M119)/(L119+M119),"")</f>
        <v/>
      </c>
      <c r="S119" s="46">
        <f>H119/SUMIFS(Counties!$H$2:$H$1583,Counties!$A$2:$A$1583,$A119)</f>
        <v/>
      </c>
      <c r="T119" s="44">
        <f>O119+INDEX(Dashboard!$F$6:$F$22,MATCH($A119,Dashboard!$A$6:$A$22,0))</f>
        <v/>
      </c>
      <c r="U119" s="43">
        <f>AQ119*INDEX(Dashboard!$G$6:$G$22,MATCH($A119,Dashboard!$A$6:$A$22,0))</f>
        <v/>
      </c>
      <c r="V119" s="47" t="n"/>
      <c r="W119" s="47" t="n"/>
      <c r="X119" s="47" t="n"/>
      <c r="Y119" s="48" t="n"/>
      <c r="Z119" s="49" t="n"/>
      <c r="AA119" s="49" t="n"/>
      <c r="AB119" s="49" t="n"/>
      <c r="AC119" s="50" t="n"/>
      <c r="AD119" s="43">
        <f>IF(Z119&lt;&gt;"",Z119,N(V119))</f>
        <v/>
      </c>
      <c r="AE119" s="43">
        <f>IF(AA119&lt;&gt;"",AA119,N(W119))</f>
        <v/>
      </c>
      <c r="AF119" s="43">
        <f>AD119+AE119</f>
        <v/>
      </c>
      <c r="AG119" s="42">
        <f>IF(UPPER(AC119)="Y",1,IF(AF119=0,0,IF(AND(Z119="",Y119&lt;&gt;""),IF(Y119&gt;=0.999,1,0),IF(AF119&gt;=U119,1,0))))</f>
        <v/>
      </c>
      <c r="AH119" s="44">
        <f>IF(AF119&gt;0,(AD119-AE119)/AF119,"")</f>
        <v/>
      </c>
      <c r="AI119" s="45">
        <f>IF(AG119=1,AH119-O119,"")</f>
        <v/>
      </c>
      <c r="AJ119" s="44">
        <f>IF(AG119=1,AH119,MAX(-1,MIN(1,O119+INDEX(Types!$H:$H,MATCH($A119&amp;"|"&amp;$D119,Types!$A:$A,0)))))</f>
        <v/>
      </c>
      <c r="AK119" s="43">
        <f>IF(AG119=1,AF119,MAX(AQ119*AS119,AF119))</f>
        <v/>
      </c>
      <c r="AL119" s="43">
        <f>IF(AG119=1,AD119,AK119*(1+AJ119)/2)</f>
        <v/>
      </c>
      <c r="AM119" s="43">
        <f>IF(AG119=1,AE119,AK119*(1-AJ119)/2)</f>
        <v/>
      </c>
      <c r="AN119" s="45">
        <f>IF(AH119="","",AH119-T119)</f>
        <v/>
      </c>
      <c r="AO119" s="51">
        <f>IF(AG119=1,1,IF(U119&gt;0,MIN(AF119/U119,0.99),0))</f>
        <v/>
      </c>
      <c r="AP119" s="43">
        <f>IF(AG119=1,AI119*AF119,0)</f>
        <v/>
      </c>
      <c r="AQ119" s="43">
        <f>N119*(F119+G119)/H119</f>
        <v/>
      </c>
      <c r="AR119" s="43">
        <f>O119*AQ119</f>
        <v/>
      </c>
      <c r="AS119" s="52">
        <f>IF(AG119=1,IF(AQ119&gt;0,AF119/AQ119,1),IFERROR(INDEX(Types!$K:$K,MATCH($A119&amp;"|"&amp;$D119,Types!$A:$A,0)),INDEX(Dashboard!$X$6:$X$22,MATCH($A119,Dashboard!$A$6:$A$22,0))))</f>
        <v/>
      </c>
      <c r="AT119" s="43">
        <f>AQ119*INDEX(Dashboard!$Y$6:$Y$22,MATCH($A119,Dashboard!$A$6:$A$22,0))</f>
        <v/>
      </c>
      <c r="AU119" s="53">
        <f>IF(AND(AG119=1,AT119&gt;0,AF119&gt;0),100*AF119/AT119,"")</f>
        <v/>
      </c>
      <c r="AV119" s="44">
        <f>IF(AU119="","",T119/(AU119/100))</f>
        <v/>
      </c>
      <c r="AW119" s="53">
        <f>IF(AU119="","",IF(AND(ABS(AH119)&gt;=0.1,ABS(T119)&gt;=0.05,SIGN(AH119)=SIGN(T119)),100*T119/AH119,""))</f>
        <v/>
      </c>
      <c r="AX119" s="45">
        <f>IF(AU119="","",T119-AV119)</f>
        <v/>
      </c>
      <c r="AY119" s="45">
        <f>IF(AU119="","",AH119-AV119)</f>
        <v/>
      </c>
      <c r="AZ119" s="54">
        <f>(AL119-AM119)-T119*AT119</f>
        <v/>
      </c>
      <c r="BA119" s="43">
        <f>IF(AU119="",0,(AH119-T119)*AF119)</f>
        <v/>
      </c>
      <c r="BB119" s="43">
        <f>IF(AU119="",0,T119*(AF119-AT119))</f>
        <v/>
      </c>
      <c r="BC119" s="51" t="n">
        <v>0.08517745302713987</v>
      </c>
      <c r="BD119" s="51" t="n">
        <v>0.1154432093889296</v>
      </c>
      <c r="BE119" s="51" t="n">
        <v>0.2730871198173651</v>
      </c>
      <c r="BF119" s="43" t="n">
        <v>88615</v>
      </c>
    </row>
    <row r="120">
      <c r="A120" s="42" t="inlineStr">
        <is>
          <t>GA</t>
        </is>
      </c>
      <c r="B120" s="42" t="inlineStr">
        <is>
          <t>13159</t>
        </is>
      </c>
      <c r="C120" s="42" t="inlineStr">
        <is>
          <t>Jasper</t>
        </is>
      </c>
      <c r="D120" s="42" t="inlineStr">
        <is>
          <t>Small town &amp; rural</t>
        </is>
      </c>
      <c r="E120" s="42" t="inlineStr"/>
      <c r="F120" s="43" t="n">
        <v>1881</v>
      </c>
      <c r="G120" s="43" t="n">
        <v>7203</v>
      </c>
      <c r="H120" s="43" t="n">
        <v>9118</v>
      </c>
      <c r="I120" s="43" t="n">
        <v>1761</v>
      </c>
      <c r="J120" s="43" t="n">
        <v>5822</v>
      </c>
      <c r="K120" s="42" t="inlineStr">
        <is>
          <t>US Senate</t>
        </is>
      </c>
      <c r="L120" s="43" t="n">
        <v>1464</v>
      </c>
      <c r="M120" s="43" t="n">
        <v>4951</v>
      </c>
      <c r="N120" s="43" t="n">
        <v>6535</v>
      </c>
      <c r="O120" s="44">
        <f>IFERROR((F120-G120)/(F120+G120),"")</f>
        <v/>
      </c>
      <c r="P120" s="44">
        <f>IFERROR((I120-J120)/(I120+J120),"")</f>
        <v/>
      </c>
      <c r="Q120" s="45">
        <f>IFERROR(O120-P120,"")</f>
        <v/>
      </c>
      <c r="R120" s="44">
        <f>IFERROR((L120-M120)/(L120+M120),"")</f>
        <v/>
      </c>
      <c r="S120" s="46">
        <f>H120/SUMIFS(Counties!$H$2:$H$1583,Counties!$A$2:$A$1583,$A120)</f>
        <v/>
      </c>
      <c r="T120" s="44">
        <f>O120+INDEX(Dashboard!$F$6:$F$22,MATCH($A120,Dashboard!$A$6:$A$22,0))</f>
        <v/>
      </c>
      <c r="U120" s="43">
        <f>AQ120*INDEX(Dashboard!$G$6:$G$22,MATCH($A120,Dashboard!$A$6:$A$22,0))</f>
        <v/>
      </c>
      <c r="V120" s="47" t="n"/>
      <c r="W120" s="47" t="n"/>
      <c r="X120" s="47" t="n"/>
      <c r="Y120" s="48" t="n"/>
      <c r="Z120" s="49" t="n"/>
      <c r="AA120" s="49" t="n"/>
      <c r="AB120" s="49" t="n"/>
      <c r="AC120" s="50" t="n"/>
      <c r="AD120" s="43">
        <f>IF(Z120&lt;&gt;"",Z120,N(V120))</f>
        <v/>
      </c>
      <c r="AE120" s="43">
        <f>IF(AA120&lt;&gt;"",AA120,N(W120))</f>
        <v/>
      </c>
      <c r="AF120" s="43">
        <f>AD120+AE120</f>
        <v/>
      </c>
      <c r="AG120" s="42">
        <f>IF(UPPER(AC120)="Y",1,IF(AF120=0,0,IF(AND(Z120="",Y120&lt;&gt;""),IF(Y120&gt;=0.999,1,0),IF(AF120&gt;=U120,1,0))))</f>
        <v/>
      </c>
      <c r="AH120" s="44">
        <f>IF(AF120&gt;0,(AD120-AE120)/AF120,"")</f>
        <v/>
      </c>
      <c r="AI120" s="45">
        <f>IF(AG120=1,AH120-O120,"")</f>
        <v/>
      </c>
      <c r="AJ120" s="44">
        <f>IF(AG120=1,AH120,MAX(-1,MIN(1,O120+INDEX(Types!$H:$H,MATCH($A120&amp;"|"&amp;$D120,Types!$A:$A,0)))))</f>
        <v/>
      </c>
      <c r="AK120" s="43">
        <f>IF(AG120=1,AF120,MAX(AQ120*AS120,AF120))</f>
        <v/>
      </c>
      <c r="AL120" s="43">
        <f>IF(AG120=1,AD120,AK120*(1+AJ120)/2)</f>
        <v/>
      </c>
      <c r="AM120" s="43">
        <f>IF(AG120=1,AE120,AK120*(1-AJ120)/2)</f>
        <v/>
      </c>
      <c r="AN120" s="45">
        <f>IF(AH120="","",AH120-T120)</f>
        <v/>
      </c>
      <c r="AO120" s="51">
        <f>IF(AG120=1,1,IF(U120&gt;0,MIN(AF120/U120,0.99),0))</f>
        <v/>
      </c>
      <c r="AP120" s="43">
        <f>IF(AG120=1,AI120*AF120,0)</f>
        <v/>
      </c>
      <c r="AQ120" s="43">
        <f>N120*(F120+G120)/H120</f>
        <v/>
      </c>
      <c r="AR120" s="43">
        <f>O120*AQ120</f>
        <v/>
      </c>
      <c r="AS120" s="52">
        <f>IF(AG120=1,IF(AQ120&gt;0,AF120/AQ120,1),IFERROR(INDEX(Types!$K:$K,MATCH($A120&amp;"|"&amp;$D120,Types!$A:$A,0)),INDEX(Dashboard!$X$6:$X$22,MATCH($A120,Dashboard!$A$6:$A$22,0))))</f>
        <v/>
      </c>
      <c r="AT120" s="43">
        <f>AQ120*INDEX(Dashboard!$Y$6:$Y$22,MATCH($A120,Dashboard!$A$6:$A$22,0))</f>
        <v/>
      </c>
      <c r="AU120" s="53">
        <f>IF(AND(AG120=1,AT120&gt;0,AF120&gt;0),100*AF120/AT120,"")</f>
        <v/>
      </c>
      <c r="AV120" s="44">
        <f>IF(AU120="","",T120/(AU120/100))</f>
        <v/>
      </c>
      <c r="AW120" s="53">
        <f>IF(AU120="","",IF(AND(ABS(AH120)&gt;=0.1,ABS(T120)&gt;=0.05,SIGN(AH120)=SIGN(T120)),100*T120/AH120,""))</f>
        <v/>
      </c>
      <c r="AX120" s="45">
        <f>IF(AU120="","",T120-AV120)</f>
        <v/>
      </c>
      <c r="AY120" s="45">
        <f>IF(AU120="","",AH120-AV120)</f>
        <v/>
      </c>
      <c r="AZ120" s="54">
        <f>(AL120-AM120)-T120*AT120</f>
        <v/>
      </c>
      <c r="BA120" s="43">
        <f>IF(AU120="",0,(AH120-T120)*AF120)</f>
        <v/>
      </c>
      <c r="BB120" s="43">
        <f>IF(AU120="",0,T120*(AF120-AT120))</f>
        <v/>
      </c>
      <c r="BC120" s="51" t="n">
        <v>0.1646308113035551</v>
      </c>
      <c r="BD120" s="51" t="n">
        <v>0.05129140079003342</v>
      </c>
      <c r="BE120" s="51" t="n">
        <v>0.1985210466439135</v>
      </c>
      <c r="BF120" s="43" t="n">
        <v>16455</v>
      </c>
    </row>
    <row r="121">
      <c r="A121" s="42" t="inlineStr">
        <is>
          <t>GA</t>
        </is>
      </c>
      <c r="B121" s="42" t="inlineStr">
        <is>
          <t>13161</t>
        </is>
      </c>
      <c r="C121" s="42" t="inlineStr">
        <is>
          <t>Jeff Davis</t>
        </is>
      </c>
      <c r="D121" s="42" t="inlineStr">
        <is>
          <t>Small town &amp; rural</t>
        </is>
      </c>
      <c r="E121" s="42" t="inlineStr"/>
      <c r="F121" s="43" t="n">
        <v>924</v>
      </c>
      <c r="G121" s="43" t="n">
        <v>4935</v>
      </c>
      <c r="H121" s="43" t="n">
        <v>5872</v>
      </c>
      <c r="I121" s="43" t="n">
        <v>1028</v>
      </c>
      <c r="J121" s="43" t="n">
        <v>4695</v>
      </c>
      <c r="K121" s="42" t="inlineStr">
        <is>
          <t>US Senate</t>
        </is>
      </c>
      <c r="L121" s="43" t="n">
        <v>738</v>
      </c>
      <c r="M121" s="43" t="n">
        <v>3738</v>
      </c>
      <c r="N121" s="43" t="n">
        <v>4528</v>
      </c>
      <c r="O121" s="44">
        <f>IFERROR((F121-G121)/(F121+G121),"")</f>
        <v/>
      </c>
      <c r="P121" s="44">
        <f>IFERROR((I121-J121)/(I121+J121),"")</f>
        <v/>
      </c>
      <c r="Q121" s="45">
        <f>IFERROR(O121-P121,"")</f>
        <v/>
      </c>
      <c r="R121" s="44">
        <f>IFERROR((L121-M121)/(L121+M121),"")</f>
        <v/>
      </c>
      <c r="S121" s="46">
        <f>H121/SUMIFS(Counties!$H$2:$H$1583,Counties!$A$2:$A$1583,$A121)</f>
        <v/>
      </c>
      <c r="T121" s="44">
        <f>O121+INDEX(Dashboard!$F$6:$F$22,MATCH($A121,Dashboard!$A$6:$A$22,0))</f>
        <v/>
      </c>
      <c r="U121" s="43">
        <f>AQ121*INDEX(Dashboard!$G$6:$G$22,MATCH($A121,Dashboard!$A$6:$A$22,0))</f>
        <v/>
      </c>
      <c r="V121" s="47" t="n"/>
      <c r="W121" s="47" t="n"/>
      <c r="X121" s="47" t="n"/>
      <c r="Y121" s="48" t="n"/>
      <c r="Z121" s="49" t="n"/>
      <c r="AA121" s="49" t="n"/>
      <c r="AB121" s="49" t="n"/>
      <c r="AC121" s="50" t="n"/>
      <c r="AD121" s="43">
        <f>IF(Z121&lt;&gt;"",Z121,N(V121))</f>
        <v/>
      </c>
      <c r="AE121" s="43">
        <f>IF(AA121&lt;&gt;"",AA121,N(W121))</f>
        <v/>
      </c>
      <c r="AF121" s="43">
        <f>AD121+AE121</f>
        <v/>
      </c>
      <c r="AG121" s="42">
        <f>IF(UPPER(AC121)="Y",1,IF(AF121=0,0,IF(AND(Z121="",Y121&lt;&gt;""),IF(Y121&gt;=0.999,1,0),IF(AF121&gt;=U121,1,0))))</f>
        <v/>
      </c>
      <c r="AH121" s="44">
        <f>IF(AF121&gt;0,(AD121-AE121)/AF121,"")</f>
        <v/>
      </c>
      <c r="AI121" s="45">
        <f>IF(AG121=1,AH121-O121,"")</f>
        <v/>
      </c>
      <c r="AJ121" s="44">
        <f>IF(AG121=1,AH121,MAX(-1,MIN(1,O121+INDEX(Types!$H:$H,MATCH($A121&amp;"|"&amp;$D121,Types!$A:$A,0)))))</f>
        <v/>
      </c>
      <c r="AK121" s="43">
        <f>IF(AG121=1,AF121,MAX(AQ121*AS121,AF121))</f>
        <v/>
      </c>
      <c r="AL121" s="43">
        <f>IF(AG121=1,AD121,AK121*(1+AJ121)/2)</f>
        <v/>
      </c>
      <c r="AM121" s="43">
        <f>IF(AG121=1,AE121,AK121*(1-AJ121)/2)</f>
        <v/>
      </c>
      <c r="AN121" s="45">
        <f>IF(AH121="","",AH121-T121)</f>
        <v/>
      </c>
      <c r="AO121" s="51">
        <f>IF(AG121=1,1,IF(U121&gt;0,MIN(AF121/U121,0.99),0))</f>
        <v/>
      </c>
      <c r="AP121" s="43">
        <f>IF(AG121=1,AI121*AF121,0)</f>
        <v/>
      </c>
      <c r="AQ121" s="43">
        <f>N121*(F121+G121)/H121</f>
        <v/>
      </c>
      <c r="AR121" s="43">
        <f>O121*AQ121</f>
        <v/>
      </c>
      <c r="AS121" s="52">
        <f>IF(AG121=1,IF(AQ121&gt;0,AF121/AQ121,1),IFERROR(INDEX(Types!$K:$K,MATCH($A121&amp;"|"&amp;$D121,Types!$A:$A,0)),INDEX(Dashboard!$X$6:$X$22,MATCH($A121,Dashboard!$A$6:$A$22,0))))</f>
        <v/>
      </c>
      <c r="AT121" s="43">
        <f>AQ121*INDEX(Dashboard!$Y$6:$Y$22,MATCH($A121,Dashboard!$A$6:$A$22,0))</f>
        <v/>
      </c>
      <c r="AU121" s="53">
        <f>IF(AND(AG121=1,AT121&gt;0,AF121&gt;0),100*AF121/AT121,"")</f>
        <v/>
      </c>
      <c r="AV121" s="44">
        <f>IF(AU121="","",T121/(AU121/100))</f>
        <v/>
      </c>
      <c r="AW121" s="53">
        <f>IF(AU121="","",IF(AND(ABS(AH121)&gt;=0.1,ABS(T121)&gt;=0.05,SIGN(AH121)=SIGN(T121)),100*T121/AH121,""))</f>
        <v/>
      </c>
      <c r="AX121" s="45">
        <f>IF(AU121="","",T121-AV121)</f>
        <v/>
      </c>
      <c r="AY121" s="45">
        <f>IF(AU121="","",AH121-AV121)</f>
        <v/>
      </c>
      <c r="AZ121" s="54">
        <f>(AL121-AM121)-T121*AT121</f>
        <v/>
      </c>
      <c r="BA121" s="43">
        <f>IF(AU121="",0,(AH121-T121)*AF121)</f>
        <v/>
      </c>
      <c r="BB121" s="43">
        <f>IF(AU121="",0,T121*(AF121-AT121))</f>
        <v/>
      </c>
      <c r="BC121" s="51" t="n">
        <v>0.1494029249966456</v>
      </c>
      <c r="BD121" s="51" t="n">
        <v>0.1398765597745874</v>
      </c>
      <c r="BE121" s="51" t="n">
        <v>0.1145768351008526</v>
      </c>
      <c r="BF121" s="43" t="n">
        <v>14906</v>
      </c>
    </row>
    <row r="122">
      <c r="A122" s="42" t="inlineStr">
        <is>
          <t>GA</t>
        </is>
      </c>
      <c r="B122" s="42" t="inlineStr">
        <is>
          <t>13163</t>
        </is>
      </c>
      <c r="C122" s="42" t="inlineStr">
        <is>
          <t>Jefferson</t>
        </is>
      </c>
      <c r="D122" s="42" t="inlineStr">
        <is>
          <t>Black Belt</t>
        </is>
      </c>
      <c r="E122" s="42" t="inlineStr"/>
      <c r="F122" s="43" t="n">
        <v>3674</v>
      </c>
      <c r="G122" s="43" t="n">
        <v>3765</v>
      </c>
      <c r="H122" s="43" t="n">
        <v>7463</v>
      </c>
      <c r="I122" s="43" t="n">
        <v>4058</v>
      </c>
      <c r="J122" s="43" t="n">
        <v>3537</v>
      </c>
      <c r="K122" s="42" t="inlineStr">
        <is>
          <t>US Senate</t>
        </is>
      </c>
      <c r="L122" s="43" t="n">
        <v>3158</v>
      </c>
      <c r="M122" s="43" t="n">
        <v>3041</v>
      </c>
      <c r="N122" s="43" t="n">
        <v>6253</v>
      </c>
      <c r="O122" s="44">
        <f>IFERROR((F122-G122)/(F122+G122),"")</f>
        <v/>
      </c>
      <c r="P122" s="44">
        <f>IFERROR((I122-J122)/(I122+J122),"")</f>
        <v/>
      </c>
      <c r="Q122" s="45">
        <f>IFERROR(O122-P122,"")</f>
        <v/>
      </c>
      <c r="R122" s="44">
        <f>IFERROR((L122-M122)/(L122+M122),"")</f>
        <v/>
      </c>
      <c r="S122" s="46">
        <f>H122/SUMIFS(Counties!$H$2:$H$1583,Counties!$A$2:$A$1583,$A122)</f>
        <v/>
      </c>
      <c r="T122" s="44">
        <f>O122+INDEX(Dashboard!$F$6:$F$22,MATCH($A122,Dashboard!$A$6:$A$22,0))</f>
        <v/>
      </c>
      <c r="U122" s="43">
        <f>AQ122*INDEX(Dashboard!$G$6:$G$22,MATCH($A122,Dashboard!$A$6:$A$22,0))</f>
        <v/>
      </c>
      <c r="V122" s="47" t="n"/>
      <c r="W122" s="47" t="n"/>
      <c r="X122" s="47" t="n"/>
      <c r="Y122" s="48" t="n"/>
      <c r="Z122" s="49" t="n"/>
      <c r="AA122" s="49" t="n"/>
      <c r="AB122" s="49" t="n"/>
      <c r="AC122" s="50" t="n"/>
      <c r="AD122" s="43">
        <f>IF(Z122&lt;&gt;"",Z122,N(V122))</f>
        <v/>
      </c>
      <c r="AE122" s="43">
        <f>IF(AA122&lt;&gt;"",AA122,N(W122))</f>
        <v/>
      </c>
      <c r="AF122" s="43">
        <f>AD122+AE122</f>
        <v/>
      </c>
      <c r="AG122" s="42">
        <f>IF(UPPER(AC122)="Y",1,IF(AF122=0,0,IF(AND(Z122="",Y122&lt;&gt;""),IF(Y122&gt;=0.999,1,0),IF(AF122&gt;=U122,1,0))))</f>
        <v/>
      </c>
      <c r="AH122" s="44">
        <f>IF(AF122&gt;0,(AD122-AE122)/AF122,"")</f>
        <v/>
      </c>
      <c r="AI122" s="45">
        <f>IF(AG122=1,AH122-O122,"")</f>
        <v/>
      </c>
      <c r="AJ122" s="44">
        <f>IF(AG122=1,AH122,MAX(-1,MIN(1,O122+INDEX(Types!$H:$H,MATCH($A122&amp;"|"&amp;$D122,Types!$A:$A,0)))))</f>
        <v/>
      </c>
      <c r="AK122" s="43">
        <f>IF(AG122=1,AF122,MAX(AQ122*AS122,AF122))</f>
        <v/>
      </c>
      <c r="AL122" s="43">
        <f>IF(AG122=1,AD122,AK122*(1+AJ122)/2)</f>
        <v/>
      </c>
      <c r="AM122" s="43">
        <f>IF(AG122=1,AE122,AK122*(1-AJ122)/2)</f>
        <v/>
      </c>
      <c r="AN122" s="45">
        <f>IF(AH122="","",AH122-T122)</f>
        <v/>
      </c>
      <c r="AO122" s="51">
        <f>IF(AG122=1,1,IF(U122&gt;0,MIN(AF122/U122,0.99),0))</f>
        <v/>
      </c>
      <c r="AP122" s="43">
        <f>IF(AG122=1,AI122*AF122,0)</f>
        <v/>
      </c>
      <c r="AQ122" s="43">
        <f>N122*(F122+G122)/H122</f>
        <v/>
      </c>
      <c r="AR122" s="43">
        <f>O122*AQ122</f>
        <v/>
      </c>
      <c r="AS122" s="52">
        <f>IF(AG122=1,IF(AQ122&gt;0,AF122/AQ122,1),IFERROR(INDEX(Types!$K:$K,MATCH($A122&amp;"|"&amp;$D122,Types!$A:$A,0)),INDEX(Dashboard!$X$6:$X$22,MATCH($A122,Dashboard!$A$6:$A$22,0))))</f>
        <v/>
      </c>
      <c r="AT122" s="43">
        <f>AQ122*INDEX(Dashboard!$Y$6:$Y$22,MATCH($A122,Dashboard!$A$6:$A$22,0))</f>
        <v/>
      </c>
      <c r="AU122" s="53">
        <f>IF(AND(AG122=1,AT122&gt;0,AF122&gt;0),100*AF122/AT122,"")</f>
        <v/>
      </c>
      <c r="AV122" s="44">
        <f>IF(AU122="","",T122/(AU122/100))</f>
        <v/>
      </c>
      <c r="AW122" s="53">
        <f>IF(AU122="","",IF(AND(ABS(AH122)&gt;=0.1,ABS(T122)&gt;=0.05,SIGN(AH122)=SIGN(T122)),100*T122/AH122,""))</f>
        <v/>
      </c>
      <c r="AX122" s="45">
        <f>IF(AU122="","",T122-AV122)</f>
        <v/>
      </c>
      <c r="AY122" s="45">
        <f>IF(AU122="","",AH122-AV122)</f>
        <v/>
      </c>
      <c r="AZ122" s="54">
        <f>(AL122-AM122)-T122*AT122</f>
        <v/>
      </c>
      <c r="BA122" s="43">
        <f>IF(AU122="",0,(AH122-T122)*AF122)</f>
        <v/>
      </c>
      <c r="BB122" s="43">
        <f>IF(AU122="",0,T122*(AF122-AT122))</f>
        <v/>
      </c>
      <c r="BC122" s="51" t="n">
        <v>0.5075413291180926</v>
      </c>
      <c r="BD122" s="51" t="n">
        <v>0.03800302970427451</v>
      </c>
      <c r="BE122" s="51" t="n">
        <v>0.1118389822462736</v>
      </c>
      <c r="BF122" s="43" t="n">
        <v>15183</v>
      </c>
    </row>
    <row r="123">
      <c r="A123" s="42" t="inlineStr">
        <is>
          <t>GA</t>
        </is>
      </c>
      <c r="B123" s="42" t="inlineStr">
        <is>
          <t>13165</t>
        </is>
      </c>
      <c r="C123" s="42" t="inlineStr">
        <is>
          <t>Jenkins</t>
        </is>
      </c>
      <c r="D123" s="42" t="inlineStr">
        <is>
          <t>Black Belt</t>
        </is>
      </c>
      <c r="E123" s="42" t="inlineStr"/>
      <c r="F123" s="43" t="n">
        <v>1179</v>
      </c>
      <c r="G123" s="43" t="n">
        <v>2217</v>
      </c>
      <c r="H123" s="43" t="n">
        <v>3409</v>
      </c>
      <c r="I123" s="43" t="n">
        <v>1266</v>
      </c>
      <c r="J123" s="43" t="n">
        <v>2161</v>
      </c>
      <c r="K123" s="42" t="inlineStr">
        <is>
          <t>US Senate</t>
        </is>
      </c>
      <c r="L123" s="43" t="n">
        <v>912</v>
      </c>
      <c r="M123" s="43" t="n">
        <v>1826</v>
      </c>
      <c r="N123" s="43" t="n">
        <v>2763</v>
      </c>
      <c r="O123" s="44">
        <f>IFERROR((F123-G123)/(F123+G123),"")</f>
        <v/>
      </c>
      <c r="P123" s="44">
        <f>IFERROR((I123-J123)/(I123+J123),"")</f>
        <v/>
      </c>
      <c r="Q123" s="45">
        <f>IFERROR(O123-P123,"")</f>
        <v/>
      </c>
      <c r="R123" s="44">
        <f>IFERROR((L123-M123)/(L123+M123),"")</f>
        <v/>
      </c>
      <c r="S123" s="46">
        <f>H123/SUMIFS(Counties!$H$2:$H$1583,Counties!$A$2:$A$1583,$A123)</f>
        <v/>
      </c>
      <c r="T123" s="44">
        <f>O123+INDEX(Dashboard!$F$6:$F$22,MATCH($A123,Dashboard!$A$6:$A$22,0))</f>
        <v/>
      </c>
      <c r="U123" s="43">
        <f>AQ123*INDEX(Dashboard!$G$6:$G$22,MATCH($A123,Dashboard!$A$6:$A$22,0))</f>
        <v/>
      </c>
      <c r="V123" s="47" t="n"/>
      <c r="W123" s="47" t="n"/>
      <c r="X123" s="47" t="n"/>
      <c r="Y123" s="48" t="n"/>
      <c r="Z123" s="49" t="n"/>
      <c r="AA123" s="49" t="n"/>
      <c r="AB123" s="49" t="n"/>
      <c r="AC123" s="50" t="n"/>
      <c r="AD123" s="43">
        <f>IF(Z123&lt;&gt;"",Z123,N(V123))</f>
        <v/>
      </c>
      <c r="AE123" s="43">
        <f>IF(AA123&lt;&gt;"",AA123,N(W123))</f>
        <v/>
      </c>
      <c r="AF123" s="43">
        <f>AD123+AE123</f>
        <v/>
      </c>
      <c r="AG123" s="42">
        <f>IF(UPPER(AC123)="Y",1,IF(AF123=0,0,IF(AND(Z123="",Y123&lt;&gt;""),IF(Y123&gt;=0.999,1,0),IF(AF123&gt;=U123,1,0))))</f>
        <v/>
      </c>
      <c r="AH123" s="44">
        <f>IF(AF123&gt;0,(AD123-AE123)/AF123,"")</f>
        <v/>
      </c>
      <c r="AI123" s="45">
        <f>IF(AG123=1,AH123-O123,"")</f>
        <v/>
      </c>
      <c r="AJ123" s="44">
        <f>IF(AG123=1,AH123,MAX(-1,MIN(1,O123+INDEX(Types!$H:$H,MATCH($A123&amp;"|"&amp;$D123,Types!$A:$A,0)))))</f>
        <v/>
      </c>
      <c r="AK123" s="43">
        <f>IF(AG123=1,AF123,MAX(AQ123*AS123,AF123))</f>
        <v/>
      </c>
      <c r="AL123" s="43">
        <f>IF(AG123=1,AD123,AK123*(1+AJ123)/2)</f>
        <v/>
      </c>
      <c r="AM123" s="43">
        <f>IF(AG123=1,AE123,AK123*(1-AJ123)/2)</f>
        <v/>
      </c>
      <c r="AN123" s="45">
        <f>IF(AH123="","",AH123-T123)</f>
        <v/>
      </c>
      <c r="AO123" s="51">
        <f>IF(AG123=1,1,IF(U123&gt;0,MIN(AF123/U123,0.99),0))</f>
        <v/>
      </c>
      <c r="AP123" s="43">
        <f>IF(AG123=1,AI123*AF123,0)</f>
        <v/>
      </c>
      <c r="AQ123" s="43">
        <f>N123*(F123+G123)/H123</f>
        <v/>
      </c>
      <c r="AR123" s="43">
        <f>O123*AQ123</f>
        <v/>
      </c>
      <c r="AS123" s="52">
        <f>IF(AG123=1,IF(AQ123&gt;0,AF123/AQ123,1),IFERROR(INDEX(Types!$K:$K,MATCH($A123&amp;"|"&amp;$D123,Types!$A:$A,0)),INDEX(Dashboard!$X$6:$X$22,MATCH($A123,Dashboard!$A$6:$A$22,0))))</f>
        <v/>
      </c>
      <c r="AT123" s="43">
        <f>AQ123*INDEX(Dashboard!$Y$6:$Y$22,MATCH($A123,Dashboard!$A$6:$A$22,0))</f>
        <v/>
      </c>
      <c r="AU123" s="53">
        <f>IF(AND(AG123=1,AT123&gt;0,AF123&gt;0),100*AF123/AT123,"")</f>
        <v/>
      </c>
      <c r="AV123" s="44">
        <f>IF(AU123="","",T123/(AU123/100))</f>
        <v/>
      </c>
      <c r="AW123" s="53">
        <f>IF(AU123="","",IF(AND(ABS(AH123)&gt;=0.1,ABS(T123)&gt;=0.05,SIGN(AH123)=SIGN(T123)),100*T123/AH123,""))</f>
        <v/>
      </c>
      <c r="AX123" s="45">
        <f>IF(AU123="","",T123-AV123)</f>
        <v/>
      </c>
      <c r="AY123" s="45">
        <f>IF(AU123="","",AH123-AV123)</f>
        <v/>
      </c>
      <c r="AZ123" s="54">
        <f>(AL123-AM123)-T123*AT123</f>
        <v/>
      </c>
      <c r="BA123" s="43">
        <f>IF(AU123="",0,(AH123-T123)*AF123)</f>
        <v/>
      </c>
      <c r="BB123" s="43">
        <f>IF(AU123="",0,T123*(AF123-AT123))</f>
        <v/>
      </c>
      <c r="BC123" s="51" t="n">
        <v>0.411614698041034</v>
      </c>
      <c r="BD123" s="51" t="n">
        <v>0.04346818129129477</v>
      </c>
      <c r="BE123" s="51" t="n">
        <v>0.07817243472981178</v>
      </c>
      <c r="BF123" s="43" t="n">
        <v>8627</v>
      </c>
    </row>
    <row r="124">
      <c r="A124" s="42" t="inlineStr">
        <is>
          <t>GA</t>
        </is>
      </c>
      <c r="B124" s="42" t="inlineStr">
        <is>
          <t>13167</t>
        </is>
      </c>
      <c r="C124" s="42" t="inlineStr">
        <is>
          <t>Johnson</t>
        </is>
      </c>
      <c r="D124" s="42" t="inlineStr">
        <is>
          <t>Small town &amp; rural</t>
        </is>
      </c>
      <c r="E124" s="42" t="inlineStr"/>
      <c r="F124" s="43" t="n">
        <v>1066</v>
      </c>
      <c r="G124" s="43" t="n">
        <v>2913</v>
      </c>
      <c r="H124" s="43" t="n">
        <v>3984</v>
      </c>
      <c r="I124" s="43" t="n">
        <v>1222</v>
      </c>
      <c r="J124" s="43" t="n">
        <v>2850</v>
      </c>
      <c r="K124" s="42" t="inlineStr">
        <is>
          <t>US Senate</t>
        </is>
      </c>
      <c r="L124" s="43" t="n">
        <v>869</v>
      </c>
      <c r="M124" s="43" t="n">
        <v>2484</v>
      </c>
      <c r="N124" s="43" t="n">
        <v>3370</v>
      </c>
      <c r="O124" s="44">
        <f>IFERROR((F124-G124)/(F124+G124),"")</f>
        <v/>
      </c>
      <c r="P124" s="44">
        <f>IFERROR((I124-J124)/(I124+J124),"")</f>
        <v/>
      </c>
      <c r="Q124" s="45">
        <f>IFERROR(O124-P124,"")</f>
        <v/>
      </c>
      <c r="R124" s="44">
        <f>IFERROR((L124-M124)/(L124+M124),"")</f>
        <v/>
      </c>
      <c r="S124" s="46">
        <f>H124/SUMIFS(Counties!$H$2:$H$1583,Counties!$A$2:$A$1583,$A124)</f>
        <v/>
      </c>
      <c r="T124" s="44">
        <f>O124+INDEX(Dashboard!$F$6:$F$22,MATCH($A124,Dashboard!$A$6:$A$22,0))</f>
        <v/>
      </c>
      <c r="U124" s="43">
        <f>AQ124*INDEX(Dashboard!$G$6:$G$22,MATCH($A124,Dashboard!$A$6:$A$22,0))</f>
        <v/>
      </c>
      <c r="V124" s="47" t="n"/>
      <c r="W124" s="47" t="n"/>
      <c r="X124" s="47" t="n"/>
      <c r="Y124" s="48" t="n"/>
      <c r="Z124" s="49" t="n"/>
      <c r="AA124" s="49" t="n"/>
      <c r="AB124" s="49" t="n"/>
      <c r="AC124" s="50" t="n"/>
      <c r="AD124" s="43">
        <f>IF(Z124&lt;&gt;"",Z124,N(V124))</f>
        <v/>
      </c>
      <c r="AE124" s="43">
        <f>IF(AA124&lt;&gt;"",AA124,N(W124))</f>
        <v/>
      </c>
      <c r="AF124" s="43">
        <f>AD124+AE124</f>
        <v/>
      </c>
      <c r="AG124" s="42">
        <f>IF(UPPER(AC124)="Y",1,IF(AF124=0,0,IF(AND(Z124="",Y124&lt;&gt;""),IF(Y124&gt;=0.999,1,0),IF(AF124&gt;=U124,1,0))))</f>
        <v/>
      </c>
      <c r="AH124" s="44">
        <f>IF(AF124&gt;0,(AD124-AE124)/AF124,"")</f>
        <v/>
      </c>
      <c r="AI124" s="45">
        <f>IF(AG124=1,AH124-O124,"")</f>
        <v/>
      </c>
      <c r="AJ124" s="44">
        <f>IF(AG124=1,AH124,MAX(-1,MIN(1,O124+INDEX(Types!$H:$H,MATCH($A124&amp;"|"&amp;$D124,Types!$A:$A,0)))))</f>
        <v/>
      </c>
      <c r="AK124" s="43">
        <f>IF(AG124=1,AF124,MAX(AQ124*AS124,AF124))</f>
        <v/>
      </c>
      <c r="AL124" s="43">
        <f>IF(AG124=1,AD124,AK124*(1+AJ124)/2)</f>
        <v/>
      </c>
      <c r="AM124" s="43">
        <f>IF(AG124=1,AE124,AK124*(1-AJ124)/2)</f>
        <v/>
      </c>
      <c r="AN124" s="45">
        <f>IF(AH124="","",AH124-T124)</f>
        <v/>
      </c>
      <c r="AO124" s="51">
        <f>IF(AG124=1,1,IF(U124&gt;0,MIN(AF124/U124,0.99),0))</f>
        <v/>
      </c>
      <c r="AP124" s="43">
        <f>IF(AG124=1,AI124*AF124,0)</f>
        <v/>
      </c>
      <c r="AQ124" s="43">
        <f>N124*(F124+G124)/H124</f>
        <v/>
      </c>
      <c r="AR124" s="43">
        <f>O124*AQ124</f>
        <v/>
      </c>
      <c r="AS124" s="52">
        <f>IF(AG124=1,IF(AQ124&gt;0,AF124/AQ124,1),IFERROR(INDEX(Types!$K:$K,MATCH($A124&amp;"|"&amp;$D124,Types!$A:$A,0)),INDEX(Dashboard!$X$6:$X$22,MATCH($A124,Dashboard!$A$6:$A$22,0))))</f>
        <v/>
      </c>
      <c r="AT124" s="43">
        <f>AQ124*INDEX(Dashboard!$Y$6:$Y$22,MATCH($A124,Dashboard!$A$6:$A$22,0))</f>
        <v/>
      </c>
      <c r="AU124" s="53">
        <f>IF(AND(AG124=1,AT124&gt;0,AF124&gt;0),100*AF124/AT124,"")</f>
        <v/>
      </c>
      <c r="AV124" s="44">
        <f>IF(AU124="","",T124/(AU124/100))</f>
        <v/>
      </c>
      <c r="AW124" s="53">
        <f>IF(AU124="","",IF(AND(ABS(AH124)&gt;=0.1,ABS(T124)&gt;=0.05,SIGN(AH124)=SIGN(T124)),100*T124/AH124,""))</f>
        <v/>
      </c>
      <c r="AX124" s="45">
        <f>IF(AU124="","",T124-AV124)</f>
        <v/>
      </c>
      <c r="AY124" s="45">
        <f>IF(AU124="","",AH124-AV124)</f>
        <v/>
      </c>
      <c r="AZ124" s="54">
        <f>(AL124-AM124)-T124*AT124</f>
        <v/>
      </c>
      <c r="BA124" s="43">
        <f>IF(AU124="",0,(AH124-T124)*AF124)</f>
        <v/>
      </c>
      <c r="BB124" s="43">
        <f>IF(AU124="",0,T124*(AF124-AT124))</f>
        <v/>
      </c>
      <c r="BC124" s="51" t="n">
        <v>0.3460461107519931</v>
      </c>
      <c r="BD124" s="51" t="n">
        <v>0.01465201465201465</v>
      </c>
      <c r="BE124" s="51" t="n">
        <v>0.09120187381056946</v>
      </c>
      <c r="BF124" s="43" t="n">
        <v>9282</v>
      </c>
    </row>
    <row r="125">
      <c r="A125" s="42" t="inlineStr">
        <is>
          <t>GA</t>
        </is>
      </c>
      <c r="B125" s="42" t="inlineStr">
        <is>
          <t>13169</t>
        </is>
      </c>
      <c r="C125" s="42" t="inlineStr">
        <is>
          <t>Jones</t>
        </is>
      </c>
      <c r="D125" s="42" t="inlineStr">
        <is>
          <t>Small town &amp; rural</t>
        </is>
      </c>
      <c r="E125" s="42" t="inlineStr"/>
      <c r="F125" s="43" t="n">
        <v>4959</v>
      </c>
      <c r="G125" s="43" t="n">
        <v>11079</v>
      </c>
      <c r="H125" s="43" t="n">
        <v>16092</v>
      </c>
      <c r="I125" s="43" t="n">
        <v>4882</v>
      </c>
      <c r="J125" s="43" t="n">
        <v>9940</v>
      </c>
      <c r="K125" s="42" t="inlineStr">
        <is>
          <t>US Senate</t>
        </is>
      </c>
      <c r="L125" s="43" t="n">
        <v>3990</v>
      </c>
      <c r="M125" s="43" t="n">
        <v>8089</v>
      </c>
      <c r="N125" s="43" t="n">
        <v>12270</v>
      </c>
      <c r="O125" s="44">
        <f>IFERROR((F125-G125)/(F125+G125),"")</f>
        <v/>
      </c>
      <c r="P125" s="44">
        <f>IFERROR((I125-J125)/(I125+J125),"")</f>
        <v/>
      </c>
      <c r="Q125" s="45">
        <f>IFERROR(O125-P125,"")</f>
        <v/>
      </c>
      <c r="R125" s="44">
        <f>IFERROR((L125-M125)/(L125+M125),"")</f>
        <v/>
      </c>
      <c r="S125" s="46">
        <f>H125/SUMIFS(Counties!$H$2:$H$1583,Counties!$A$2:$A$1583,$A125)</f>
        <v/>
      </c>
      <c r="T125" s="44">
        <f>O125+INDEX(Dashboard!$F$6:$F$22,MATCH($A125,Dashboard!$A$6:$A$22,0))</f>
        <v/>
      </c>
      <c r="U125" s="43">
        <f>AQ125*INDEX(Dashboard!$G$6:$G$22,MATCH($A125,Dashboard!$A$6:$A$22,0))</f>
        <v/>
      </c>
      <c r="V125" s="47" t="n"/>
      <c r="W125" s="47" t="n"/>
      <c r="X125" s="47" t="n"/>
      <c r="Y125" s="48" t="n"/>
      <c r="Z125" s="49" t="n"/>
      <c r="AA125" s="49" t="n"/>
      <c r="AB125" s="49" t="n"/>
      <c r="AC125" s="50" t="n"/>
      <c r="AD125" s="43">
        <f>IF(Z125&lt;&gt;"",Z125,N(V125))</f>
        <v/>
      </c>
      <c r="AE125" s="43">
        <f>IF(AA125&lt;&gt;"",AA125,N(W125))</f>
        <v/>
      </c>
      <c r="AF125" s="43">
        <f>AD125+AE125</f>
        <v/>
      </c>
      <c r="AG125" s="42">
        <f>IF(UPPER(AC125)="Y",1,IF(AF125=0,0,IF(AND(Z125="",Y125&lt;&gt;""),IF(Y125&gt;=0.999,1,0),IF(AF125&gt;=U125,1,0))))</f>
        <v/>
      </c>
      <c r="AH125" s="44">
        <f>IF(AF125&gt;0,(AD125-AE125)/AF125,"")</f>
        <v/>
      </c>
      <c r="AI125" s="45">
        <f>IF(AG125=1,AH125-O125,"")</f>
        <v/>
      </c>
      <c r="AJ125" s="44">
        <f>IF(AG125=1,AH125,MAX(-1,MIN(1,O125+INDEX(Types!$H:$H,MATCH($A125&amp;"|"&amp;$D125,Types!$A:$A,0)))))</f>
        <v/>
      </c>
      <c r="AK125" s="43">
        <f>IF(AG125=1,AF125,MAX(AQ125*AS125,AF125))</f>
        <v/>
      </c>
      <c r="AL125" s="43">
        <f>IF(AG125=1,AD125,AK125*(1+AJ125)/2)</f>
        <v/>
      </c>
      <c r="AM125" s="43">
        <f>IF(AG125=1,AE125,AK125*(1-AJ125)/2)</f>
        <v/>
      </c>
      <c r="AN125" s="45">
        <f>IF(AH125="","",AH125-T125)</f>
        <v/>
      </c>
      <c r="AO125" s="51">
        <f>IF(AG125=1,1,IF(U125&gt;0,MIN(AF125/U125,0.99),0))</f>
        <v/>
      </c>
      <c r="AP125" s="43">
        <f>IF(AG125=1,AI125*AF125,0)</f>
        <v/>
      </c>
      <c r="AQ125" s="43">
        <f>N125*(F125+G125)/H125</f>
        <v/>
      </c>
      <c r="AR125" s="43">
        <f>O125*AQ125</f>
        <v/>
      </c>
      <c r="AS125" s="52">
        <f>IF(AG125=1,IF(AQ125&gt;0,AF125/AQ125,1),IFERROR(INDEX(Types!$K:$K,MATCH($A125&amp;"|"&amp;$D125,Types!$A:$A,0)),INDEX(Dashboard!$X$6:$X$22,MATCH($A125,Dashboard!$A$6:$A$22,0))))</f>
        <v/>
      </c>
      <c r="AT125" s="43">
        <f>AQ125*INDEX(Dashboard!$Y$6:$Y$22,MATCH($A125,Dashboard!$A$6:$A$22,0))</f>
        <v/>
      </c>
      <c r="AU125" s="53">
        <f>IF(AND(AG125=1,AT125&gt;0,AF125&gt;0),100*AF125/AT125,"")</f>
        <v/>
      </c>
      <c r="AV125" s="44">
        <f>IF(AU125="","",T125/(AU125/100))</f>
        <v/>
      </c>
      <c r="AW125" s="53">
        <f>IF(AU125="","",IF(AND(ABS(AH125)&gt;=0.1,ABS(T125)&gt;=0.05,SIGN(AH125)=SIGN(T125)),100*T125/AH125,""))</f>
        <v/>
      </c>
      <c r="AX125" s="45">
        <f>IF(AU125="","",T125-AV125)</f>
        <v/>
      </c>
      <c r="AY125" s="45">
        <f>IF(AU125="","",AH125-AV125)</f>
        <v/>
      </c>
      <c r="AZ125" s="54">
        <f>(AL125-AM125)-T125*AT125</f>
        <v/>
      </c>
      <c r="BA125" s="43">
        <f>IF(AU125="",0,(AH125-T125)*AF125)</f>
        <v/>
      </c>
      <c r="BB125" s="43">
        <f>IF(AU125="",0,T125*(AF125-AT125))</f>
        <v/>
      </c>
      <c r="BC125" s="51" t="n">
        <v>0.2579999309606821</v>
      </c>
      <c r="BD125" s="51" t="n">
        <v>0.02371500569574373</v>
      </c>
      <c r="BE125" s="51" t="n">
        <v>0.1840487706569932</v>
      </c>
      <c r="BF125" s="43" t="n">
        <v>28969</v>
      </c>
    </row>
    <row r="126">
      <c r="A126" s="42" t="inlineStr">
        <is>
          <t>GA</t>
        </is>
      </c>
      <c r="B126" s="42" t="inlineStr">
        <is>
          <t>13171</t>
        </is>
      </c>
      <c r="C126" s="42" t="inlineStr">
        <is>
          <t>Lamar</t>
        </is>
      </c>
      <c r="D126" s="42" t="inlineStr">
        <is>
          <t>Small town &amp; rural</t>
        </is>
      </c>
      <c r="E126" s="42" t="inlineStr"/>
      <c r="F126" s="43" t="n">
        <v>2795</v>
      </c>
      <c r="G126" s="43" t="n">
        <v>7575</v>
      </c>
      <c r="H126" s="43" t="n">
        <v>10412</v>
      </c>
      <c r="I126" s="43" t="n">
        <v>2620</v>
      </c>
      <c r="J126" s="43" t="n">
        <v>6331</v>
      </c>
      <c r="K126" s="42" t="inlineStr">
        <is>
          <t>US Senate</t>
        </is>
      </c>
      <c r="L126" s="43" t="n">
        <v>2139</v>
      </c>
      <c r="M126" s="43" t="n">
        <v>5416</v>
      </c>
      <c r="N126" s="43" t="n">
        <v>7713</v>
      </c>
      <c r="O126" s="44">
        <f>IFERROR((F126-G126)/(F126+G126),"")</f>
        <v/>
      </c>
      <c r="P126" s="44">
        <f>IFERROR((I126-J126)/(I126+J126),"")</f>
        <v/>
      </c>
      <c r="Q126" s="45">
        <f>IFERROR(O126-P126,"")</f>
        <v/>
      </c>
      <c r="R126" s="44">
        <f>IFERROR((L126-M126)/(L126+M126),"")</f>
        <v/>
      </c>
      <c r="S126" s="46">
        <f>H126/SUMIFS(Counties!$H$2:$H$1583,Counties!$A$2:$A$1583,$A126)</f>
        <v/>
      </c>
      <c r="T126" s="44">
        <f>O126+INDEX(Dashboard!$F$6:$F$22,MATCH($A126,Dashboard!$A$6:$A$22,0))</f>
        <v/>
      </c>
      <c r="U126" s="43">
        <f>AQ126*INDEX(Dashboard!$G$6:$G$22,MATCH($A126,Dashboard!$A$6:$A$22,0))</f>
        <v/>
      </c>
      <c r="V126" s="47" t="n"/>
      <c r="W126" s="47" t="n"/>
      <c r="X126" s="47" t="n"/>
      <c r="Y126" s="48" t="n"/>
      <c r="Z126" s="49" t="n"/>
      <c r="AA126" s="49" t="n"/>
      <c r="AB126" s="49" t="n"/>
      <c r="AC126" s="50" t="n"/>
      <c r="AD126" s="43">
        <f>IF(Z126&lt;&gt;"",Z126,N(V126))</f>
        <v/>
      </c>
      <c r="AE126" s="43">
        <f>IF(AA126&lt;&gt;"",AA126,N(W126))</f>
        <v/>
      </c>
      <c r="AF126" s="43">
        <f>AD126+AE126</f>
        <v/>
      </c>
      <c r="AG126" s="42">
        <f>IF(UPPER(AC126)="Y",1,IF(AF126=0,0,IF(AND(Z126="",Y126&lt;&gt;""),IF(Y126&gt;=0.999,1,0),IF(AF126&gt;=U126,1,0))))</f>
        <v/>
      </c>
      <c r="AH126" s="44">
        <f>IF(AF126&gt;0,(AD126-AE126)/AF126,"")</f>
        <v/>
      </c>
      <c r="AI126" s="45">
        <f>IF(AG126=1,AH126-O126,"")</f>
        <v/>
      </c>
      <c r="AJ126" s="44">
        <f>IF(AG126=1,AH126,MAX(-1,MIN(1,O126+INDEX(Types!$H:$H,MATCH($A126&amp;"|"&amp;$D126,Types!$A:$A,0)))))</f>
        <v/>
      </c>
      <c r="AK126" s="43">
        <f>IF(AG126=1,AF126,MAX(AQ126*AS126,AF126))</f>
        <v/>
      </c>
      <c r="AL126" s="43">
        <f>IF(AG126=1,AD126,AK126*(1+AJ126)/2)</f>
        <v/>
      </c>
      <c r="AM126" s="43">
        <f>IF(AG126=1,AE126,AK126*(1-AJ126)/2)</f>
        <v/>
      </c>
      <c r="AN126" s="45">
        <f>IF(AH126="","",AH126-T126)</f>
        <v/>
      </c>
      <c r="AO126" s="51">
        <f>IF(AG126=1,1,IF(U126&gt;0,MIN(AF126/U126,0.99),0))</f>
        <v/>
      </c>
      <c r="AP126" s="43">
        <f>IF(AG126=1,AI126*AF126,0)</f>
        <v/>
      </c>
      <c r="AQ126" s="43">
        <f>N126*(F126+G126)/H126</f>
        <v/>
      </c>
      <c r="AR126" s="43">
        <f>O126*AQ126</f>
        <v/>
      </c>
      <c r="AS126" s="52">
        <f>IF(AG126=1,IF(AQ126&gt;0,AF126/AQ126,1),IFERROR(INDEX(Types!$K:$K,MATCH($A126&amp;"|"&amp;$D126,Types!$A:$A,0)),INDEX(Dashboard!$X$6:$X$22,MATCH($A126,Dashboard!$A$6:$A$22,0))))</f>
        <v/>
      </c>
      <c r="AT126" s="43">
        <f>AQ126*INDEX(Dashboard!$Y$6:$Y$22,MATCH($A126,Dashboard!$A$6:$A$22,0))</f>
        <v/>
      </c>
      <c r="AU126" s="53">
        <f>IF(AND(AG126=1,AT126&gt;0,AF126&gt;0),100*AF126/AT126,"")</f>
        <v/>
      </c>
      <c r="AV126" s="44">
        <f>IF(AU126="","",T126/(AU126/100))</f>
        <v/>
      </c>
      <c r="AW126" s="53">
        <f>IF(AU126="","",IF(AND(ABS(AH126)&gt;=0.1,ABS(T126)&gt;=0.05,SIGN(AH126)=SIGN(T126)),100*T126/AH126,""))</f>
        <v/>
      </c>
      <c r="AX126" s="45">
        <f>IF(AU126="","",T126-AV126)</f>
        <v/>
      </c>
      <c r="AY126" s="45">
        <f>IF(AU126="","",AH126-AV126)</f>
        <v/>
      </c>
      <c r="AZ126" s="54">
        <f>(AL126-AM126)-T126*AT126</f>
        <v/>
      </c>
      <c r="BA126" s="43">
        <f>IF(AU126="",0,(AH126-T126)*AF126)</f>
        <v/>
      </c>
      <c r="BB126" s="43">
        <f>IF(AU126="",0,T126*(AF126-AT126))</f>
        <v/>
      </c>
      <c r="BC126" s="51" t="n">
        <v>0.2665065437968727</v>
      </c>
      <c r="BD126" s="51" t="n">
        <v>0.03715504141953826</v>
      </c>
      <c r="BE126" s="51" t="n">
        <v>0.1951504755964447</v>
      </c>
      <c r="BF126" s="43" t="n">
        <v>20401</v>
      </c>
    </row>
    <row r="127">
      <c r="A127" s="42" t="inlineStr">
        <is>
          <t>GA</t>
        </is>
      </c>
      <c r="B127" s="42" t="inlineStr">
        <is>
          <t>13173</t>
        </is>
      </c>
      <c r="C127" s="42" t="inlineStr">
        <is>
          <t>Lanier</t>
        </is>
      </c>
      <c r="D127" s="42" t="inlineStr">
        <is>
          <t>Small town &amp; rural</t>
        </is>
      </c>
      <c r="E127" s="42" t="inlineStr"/>
      <c r="F127" s="43" t="n">
        <v>995</v>
      </c>
      <c r="G127" s="43" t="n">
        <v>2726</v>
      </c>
      <c r="H127" s="43" t="n">
        <v>3736</v>
      </c>
      <c r="I127" s="43" t="n">
        <v>1019</v>
      </c>
      <c r="J127" s="43" t="n">
        <v>2509</v>
      </c>
      <c r="K127" s="42" t="inlineStr">
        <is>
          <t>US Senate</t>
        </is>
      </c>
      <c r="L127" s="43" t="n">
        <v>725</v>
      </c>
      <c r="M127" s="43" t="n">
        <v>1860</v>
      </c>
      <c r="N127" s="43" t="n">
        <v>2623</v>
      </c>
      <c r="O127" s="44">
        <f>IFERROR((F127-G127)/(F127+G127),"")</f>
        <v/>
      </c>
      <c r="P127" s="44">
        <f>IFERROR((I127-J127)/(I127+J127),"")</f>
        <v/>
      </c>
      <c r="Q127" s="45">
        <f>IFERROR(O127-P127,"")</f>
        <v/>
      </c>
      <c r="R127" s="44">
        <f>IFERROR((L127-M127)/(L127+M127),"")</f>
        <v/>
      </c>
      <c r="S127" s="46">
        <f>H127/SUMIFS(Counties!$H$2:$H$1583,Counties!$A$2:$A$1583,$A127)</f>
        <v/>
      </c>
      <c r="T127" s="44">
        <f>O127+INDEX(Dashboard!$F$6:$F$22,MATCH($A127,Dashboard!$A$6:$A$22,0))</f>
        <v/>
      </c>
      <c r="U127" s="43">
        <f>AQ127*INDEX(Dashboard!$G$6:$G$22,MATCH($A127,Dashboard!$A$6:$A$22,0))</f>
        <v/>
      </c>
      <c r="V127" s="47" t="n"/>
      <c r="W127" s="47" t="n"/>
      <c r="X127" s="47" t="n"/>
      <c r="Y127" s="48" t="n"/>
      <c r="Z127" s="49" t="n"/>
      <c r="AA127" s="49" t="n"/>
      <c r="AB127" s="49" t="n"/>
      <c r="AC127" s="50" t="n"/>
      <c r="AD127" s="43">
        <f>IF(Z127&lt;&gt;"",Z127,N(V127))</f>
        <v/>
      </c>
      <c r="AE127" s="43">
        <f>IF(AA127&lt;&gt;"",AA127,N(W127))</f>
        <v/>
      </c>
      <c r="AF127" s="43">
        <f>AD127+AE127</f>
        <v/>
      </c>
      <c r="AG127" s="42">
        <f>IF(UPPER(AC127)="Y",1,IF(AF127=0,0,IF(AND(Z127="",Y127&lt;&gt;""),IF(Y127&gt;=0.999,1,0),IF(AF127&gt;=U127,1,0))))</f>
        <v/>
      </c>
      <c r="AH127" s="44">
        <f>IF(AF127&gt;0,(AD127-AE127)/AF127,"")</f>
        <v/>
      </c>
      <c r="AI127" s="45">
        <f>IF(AG127=1,AH127-O127,"")</f>
        <v/>
      </c>
      <c r="AJ127" s="44">
        <f>IF(AG127=1,AH127,MAX(-1,MIN(1,O127+INDEX(Types!$H:$H,MATCH($A127&amp;"|"&amp;$D127,Types!$A:$A,0)))))</f>
        <v/>
      </c>
      <c r="AK127" s="43">
        <f>IF(AG127=1,AF127,MAX(AQ127*AS127,AF127))</f>
        <v/>
      </c>
      <c r="AL127" s="43">
        <f>IF(AG127=1,AD127,AK127*(1+AJ127)/2)</f>
        <v/>
      </c>
      <c r="AM127" s="43">
        <f>IF(AG127=1,AE127,AK127*(1-AJ127)/2)</f>
        <v/>
      </c>
      <c r="AN127" s="45">
        <f>IF(AH127="","",AH127-T127)</f>
        <v/>
      </c>
      <c r="AO127" s="51">
        <f>IF(AG127=1,1,IF(U127&gt;0,MIN(AF127/U127,0.99),0))</f>
        <v/>
      </c>
      <c r="AP127" s="43">
        <f>IF(AG127=1,AI127*AF127,0)</f>
        <v/>
      </c>
      <c r="AQ127" s="43">
        <f>N127*(F127+G127)/H127</f>
        <v/>
      </c>
      <c r="AR127" s="43">
        <f>O127*AQ127</f>
        <v/>
      </c>
      <c r="AS127" s="52">
        <f>IF(AG127=1,IF(AQ127&gt;0,AF127/AQ127,1),IFERROR(INDEX(Types!$K:$K,MATCH($A127&amp;"|"&amp;$D127,Types!$A:$A,0)),INDEX(Dashboard!$X$6:$X$22,MATCH($A127,Dashboard!$A$6:$A$22,0))))</f>
        <v/>
      </c>
      <c r="AT127" s="43">
        <f>AQ127*INDEX(Dashboard!$Y$6:$Y$22,MATCH($A127,Dashboard!$A$6:$A$22,0))</f>
        <v/>
      </c>
      <c r="AU127" s="53">
        <f>IF(AND(AG127=1,AT127&gt;0,AF127&gt;0),100*AF127/AT127,"")</f>
        <v/>
      </c>
      <c r="AV127" s="44">
        <f>IF(AU127="","",T127/(AU127/100))</f>
        <v/>
      </c>
      <c r="AW127" s="53">
        <f>IF(AU127="","",IF(AND(ABS(AH127)&gt;=0.1,ABS(T127)&gt;=0.05,SIGN(AH127)=SIGN(T127)),100*T127/AH127,""))</f>
        <v/>
      </c>
      <c r="AX127" s="45">
        <f>IF(AU127="","",T127-AV127)</f>
        <v/>
      </c>
      <c r="AY127" s="45">
        <f>IF(AU127="","",AH127-AV127)</f>
        <v/>
      </c>
      <c r="AZ127" s="54">
        <f>(AL127-AM127)-T127*AT127</f>
        <v/>
      </c>
      <c r="BA127" s="43">
        <f>IF(AU127="",0,(AH127-T127)*AF127)</f>
        <v/>
      </c>
      <c r="BB127" s="43">
        <f>IF(AU127="",0,T127*(AF127-AT127))</f>
        <v/>
      </c>
      <c r="BC127" s="51" t="n">
        <v>0.225028702640643</v>
      </c>
      <c r="BD127" s="51" t="n">
        <v>0.08017604286261003</v>
      </c>
      <c r="BE127" s="51" t="n">
        <v>0.190582625540158</v>
      </c>
      <c r="BF127" s="43" t="n">
        <v>10452</v>
      </c>
    </row>
    <row r="128">
      <c r="A128" s="42" t="inlineStr">
        <is>
          <t>GA</t>
        </is>
      </c>
      <c r="B128" s="42" t="inlineStr">
        <is>
          <t>13175</t>
        </is>
      </c>
      <c r="C128" s="42" t="inlineStr">
        <is>
          <t>Laurens</t>
        </is>
      </c>
      <c r="D128" s="42" t="inlineStr">
        <is>
          <t>Small town &amp; rural</t>
        </is>
      </c>
      <c r="E128" s="42" t="inlineStr"/>
      <c r="F128" s="43" t="n">
        <v>7820</v>
      </c>
      <c r="G128" s="43" t="n">
        <v>15460</v>
      </c>
      <c r="H128" s="43" t="n">
        <v>23352</v>
      </c>
      <c r="I128" s="43" t="n">
        <v>8074</v>
      </c>
      <c r="J128" s="43" t="n">
        <v>14493</v>
      </c>
      <c r="K128" s="42" t="inlineStr">
        <is>
          <t>US Senate</t>
        </is>
      </c>
      <c r="L128" s="43" t="n">
        <v>6285</v>
      </c>
      <c r="M128" s="43" t="n">
        <v>12073</v>
      </c>
      <c r="N128" s="43" t="n">
        <v>18513</v>
      </c>
      <c r="O128" s="44">
        <f>IFERROR((F128-G128)/(F128+G128),"")</f>
        <v/>
      </c>
      <c r="P128" s="44">
        <f>IFERROR((I128-J128)/(I128+J128),"")</f>
        <v/>
      </c>
      <c r="Q128" s="45">
        <f>IFERROR(O128-P128,"")</f>
        <v/>
      </c>
      <c r="R128" s="44">
        <f>IFERROR((L128-M128)/(L128+M128),"")</f>
        <v/>
      </c>
      <c r="S128" s="46">
        <f>H128/SUMIFS(Counties!$H$2:$H$1583,Counties!$A$2:$A$1583,$A128)</f>
        <v/>
      </c>
      <c r="T128" s="44">
        <f>O128+INDEX(Dashboard!$F$6:$F$22,MATCH($A128,Dashboard!$A$6:$A$22,0))</f>
        <v/>
      </c>
      <c r="U128" s="43">
        <f>AQ128*INDEX(Dashboard!$G$6:$G$22,MATCH($A128,Dashboard!$A$6:$A$22,0))</f>
        <v/>
      </c>
      <c r="V128" s="47" t="n"/>
      <c r="W128" s="47" t="n"/>
      <c r="X128" s="47" t="n"/>
      <c r="Y128" s="48" t="n"/>
      <c r="Z128" s="49" t="n"/>
      <c r="AA128" s="49" t="n"/>
      <c r="AB128" s="49" t="n"/>
      <c r="AC128" s="50" t="n"/>
      <c r="AD128" s="43">
        <f>IF(Z128&lt;&gt;"",Z128,N(V128))</f>
        <v/>
      </c>
      <c r="AE128" s="43">
        <f>IF(AA128&lt;&gt;"",AA128,N(W128))</f>
        <v/>
      </c>
      <c r="AF128" s="43">
        <f>AD128+AE128</f>
        <v/>
      </c>
      <c r="AG128" s="42">
        <f>IF(UPPER(AC128)="Y",1,IF(AF128=0,0,IF(AND(Z128="",Y128&lt;&gt;""),IF(Y128&gt;=0.999,1,0),IF(AF128&gt;=U128,1,0))))</f>
        <v/>
      </c>
      <c r="AH128" s="44">
        <f>IF(AF128&gt;0,(AD128-AE128)/AF128,"")</f>
        <v/>
      </c>
      <c r="AI128" s="45">
        <f>IF(AG128=1,AH128-O128,"")</f>
        <v/>
      </c>
      <c r="AJ128" s="44">
        <f>IF(AG128=1,AH128,MAX(-1,MIN(1,O128+INDEX(Types!$H:$H,MATCH($A128&amp;"|"&amp;$D128,Types!$A:$A,0)))))</f>
        <v/>
      </c>
      <c r="AK128" s="43">
        <f>IF(AG128=1,AF128,MAX(AQ128*AS128,AF128))</f>
        <v/>
      </c>
      <c r="AL128" s="43">
        <f>IF(AG128=1,AD128,AK128*(1+AJ128)/2)</f>
        <v/>
      </c>
      <c r="AM128" s="43">
        <f>IF(AG128=1,AE128,AK128*(1-AJ128)/2)</f>
        <v/>
      </c>
      <c r="AN128" s="45">
        <f>IF(AH128="","",AH128-T128)</f>
        <v/>
      </c>
      <c r="AO128" s="51">
        <f>IF(AG128=1,1,IF(U128&gt;0,MIN(AF128/U128,0.99),0))</f>
        <v/>
      </c>
      <c r="AP128" s="43">
        <f>IF(AG128=1,AI128*AF128,0)</f>
        <v/>
      </c>
      <c r="AQ128" s="43">
        <f>N128*(F128+G128)/H128</f>
        <v/>
      </c>
      <c r="AR128" s="43">
        <f>O128*AQ128</f>
        <v/>
      </c>
      <c r="AS128" s="52">
        <f>IF(AG128=1,IF(AQ128&gt;0,AF128/AQ128,1),IFERROR(INDEX(Types!$K:$K,MATCH($A128&amp;"|"&amp;$D128,Types!$A:$A,0)),INDEX(Dashboard!$X$6:$X$22,MATCH($A128,Dashboard!$A$6:$A$22,0))))</f>
        <v/>
      </c>
      <c r="AT128" s="43">
        <f>AQ128*INDEX(Dashboard!$Y$6:$Y$22,MATCH($A128,Dashboard!$A$6:$A$22,0))</f>
        <v/>
      </c>
      <c r="AU128" s="53">
        <f>IF(AND(AG128=1,AT128&gt;0,AF128&gt;0),100*AF128/AT128,"")</f>
        <v/>
      </c>
      <c r="AV128" s="44">
        <f>IF(AU128="","",T128/(AU128/100))</f>
        <v/>
      </c>
      <c r="AW128" s="53">
        <f>IF(AU128="","",IF(AND(ABS(AH128)&gt;=0.1,ABS(T128)&gt;=0.05,SIGN(AH128)=SIGN(T128)),100*T128/AH128,""))</f>
        <v/>
      </c>
      <c r="AX128" s="45">
        <f>IF(AU128="","",T128-AV128)</f>
        <v/>
      </c>
      <c r="AY128" s="45">
        <f>IF(AU128="","",AH128-AV128)</f>
        <v/>
      </c>
      <c r="AZ128" s="54">
        <f>(AL128-AM128)-T128*AT128</f>
        <v/>
      </c>
      <c r="BA128" s="43">
        <f>IF(AU128="",0,(AH128-T128)*AF128)</f>
        <v/>
      </c>
      <c r="BB128" s="43">
        <f>IF(AU128="",0,T128*(AF128-AT128))</f>
        <v/>
      </c>
      <c r="BC128" s="51" t="n">
        <v>0.3735407781181794</v>
      </c>
      <c r="BD128" s="51" t="n">
        <v>0.03482108888488417</v>
      </c>
      <c r="BE128" s="51" t="n">
        <v>0.1781335251971101</v>
      </c>
      <c r="BF128" s="43" t="n">
        <v>49941</v>
      </c>
    </row>
    <row r="129">
      <c r="A129" s="42" t="inlineStr">
        <is>
          <t>GA</t>
        </is>
      </c>
      <c r="B129" s="42" t="inlineStr">
        <is>
          <t>13177</t>
        </is>
      </c>
      <c r="C129" s="42" t="inlineStr">
        <is>
          <t>Lee</t>
        </is>
      </c>
      <c r="D129" s="42" t="inlineStr">
        <is>
          <t>Small town &amp; rural</t>
        </is>
      </c>
      <c r="E129" s="42" t="inlineStr"/>
      <c r="F129" s="43" t="n">
        <v>4957</v>
      </c>
      <c r="G129" s="43" t="n">
        <v>12655</v>
      </c>
      <c r="H129" s="43" t="n">
        <v>17683</v>
      </c>
      <c r="I129" s="43" t="n">
        <v>4558</v>
      </c>
      <c r="J129" s="43" t="n">
        <v>12007</v>
      </c>
      <c r="K129" s="42" t="inlineStr">
        <is>
          <t>US Senate</t>
        </is>
      </c>
      <c r="L129" s="43" t="n">
        <v>3779</v>
      </c>
      <c r="M129" s="43" t="n">
        <v>9535</v>
      </c>
      <c r="N129" s="43" t="n">
        <v>13535</v>
      </c>
      <c r="O129" s="44">
        <f>IFERROR((F129-G129)/(F129+G129),"")</f>
        <v/>
      </c>
      <c r="P129" s="44">
        <f>IFERROR((I129-J129)/(I129+J129),"")</f>
        <v/>
      </c>
      <c r="Q129" s="45">
        <f>IFERROR(O129-P129,"")</f>
        <v/>
      </c>
      <c r="R129" s="44">
        <f>IFERROR((L129-M129)/(L129+M129),"")</f>
        <v/>
      </c>
      <c r="S129" s="46">
        <f>H129/SUMIFS(Counties!$H$2:$H$1583,Counties!$A$2:$A$1583,$A129)</f>
        <v/>
      </c>
      <c r="T129" s="44">
        <f>O129+INDEX(Dashboard!$F$6:$F$22,MATCH($A129,Dashboard!$A$6:$A$22,0))</f>
        <v/>
      </c>
      <c r="U129" s="43">
        <f>AQ129*INDEX(Dashboard!$G$6:$G$22,MATCH($A129,Dashboard!$A$6:$A$22,0))</f>
        <v/>
      </c>
      <c r="V129" s="47" t="n"/>
      <c r="W129" s="47" t="n"/>
      <c r="X129" s="47" t="n"/>
      <c r="Y129" s="48" t="n"/>
      <c r="Z129" s="49" t="n"/>
      <c r="AA129" s="49" t="n"/>
      <c r="AB129" s="49" t="n"/>
      <c r="AC129" s="50" t="n"/>
      <c r="AD129" s="43">
        <f>IF(Z129&lt;&gt;"",Z129,N(V129))</f>
        <v/>
      </c>
      <c r="AE129" s="43">
        <f>IF(AA129&lt;&gt;"",AA129,N(W129))</f>
        <v/>
      </c>
      <c r="AF129" s="43">
        <f>AD129+AE129</f>
        <v/>
      </c>
      <c r="AG129" s="42">
        <f>IF(UPPER(AC129)="Y",1,IF(AF129=0,0,IF(AND(Z129="",Y129&lt;&gt;""),IF(Y129&gt;=0.999,1,0),IF(AF129&gt;=U129,1,0))))</f>
        <v/>
      </c>
      <c r="AH129" s="44">
        <f>IF(AF129&gt;0,(AD129-AE129)/AF129,"")</f>
        <v/>
      </c>
      <c r="AI129" s="45">
        <f>IF(AG129=1,AH129-O129,"")</f>
        <v/>
      </c>
      <c r="AJ129" s="44">
        <f>IF(AG129=1,AH129,MAX(-1,MIN(1,O129+INDEX(Types!$H:$H,MATCH($A129&amp;"|"&amp;$D129,Types!$A:$A,0)))))</f>
        <v/>
      </c>
      <c r="AK129" s="43">
        <f>IF(AG129=1,AF129,MAX(AQ129*AS129,AF129))</f>
        <v/>
      </c>
      <c r="AL129" s="43">
        <f>IF(AG129=1,AD129,AK129*(1+AJ129)/2)</f>
        <v/>
      </c>
      <c r="AM129" s="43">
        <f>IF(AG129=1,AE129,AK129*(1-AJ129)/2)</f>
        <v/>
      </c>
      <c r="AN129" s="45">
        <f>IF(AH129="","",AH129-T129)</f>
        <v/>
      </c>
      <c r="AO129" s="51">
        <f>IF(AG129=1,1,IF(U129&gt;0,MIN(AF129/U129,0.99),0))</f>
        <v/>
      </c>
      <c r="AP129" s="43">
        <f>IF(AG129=1,AI129*AF129,0)</f>
        <v/>
      </c>
      <c r="AQ129" s="43">
        <f>N129*(F129+G129)/H129</f>
        <v/>
      </c>
      <c r="AR129" s="43">
        <f>O129*AQ129</f>
        <v/>
      </c>
      <c r="AS129" s="52">
        <f>IF(AG129=1,IF(AQ129&gt;0,AF129/AQ129,1),IFERROR(INDEX(Types!$K:$K,MATCH($A129&amp;"|"&amp;$D129,Types!$A:$A,0)),INDEX(Dashboard!$X$6:$X$22,MATCH($A129,Dashboard!$A$6:$A$22,0))))</f>
        <v/>
      </c>
      <c r="AT129" s="43">
        <f>AQ129*INDEX(Dashboard!$Y$6:$Y$22,MATCH($A129,Dashboard!$A$6:$A$22,0))</f>
        <v/>
      </c>
      <c r="AU129" s="53">
        <f>IF(AND(AG129=1,AT129&gt;0,AF129&gt;0),100*AF129/AT129,"")</f>
        <v/>
      </c>
      <c r="AV129" s="44">
        <f>IF(AU129="","",T129/(AU129/100))</f>
        <v/>
      </c>
      <c r="AW129" s="53">
        <f>IF(AU129="","",IF(AND(ABS(AH129)&gt;=0.1,ABS(T129)&gt;=0.05,SIGN(AH129)=SIGN(T129)),100*T129/AH129,""))</f>
        <v/>
      </c>
      <c r="AX129" s="45">
        <f>IF(AU129="","",T129-AV129)</f>
        <v/>
      </c>
      <c r="AY129" s="45">
        <f>IF(AU129="","",AH129-AV129)</f>
        <v/>
      </c>
      <c r="AZ129" s="54">
        <f>(AL129-AM129)-T129*AT129</f>
        <v/>
      </c>
      <c r="BA129" s="43">
        <f>IF(AU129="",0,(AH129-T129)*AF129)</f>
        <v/>
      </c>
      <c r="BB129" s="43">
        <f>IF(AU129="",0,T129*(AF129-AT129))</f>
        <v/>
      </c>
      <c r="BC129" s="51" t="n">
        <v>0.2579121398205007</v>
      </c>
      <c r="BD129" s="51" t="n">
        <v>0.03495512517713746</v>
      </c>
      <c r="BE129" s="51" t="n">
        <v>0.3350669673677912</v>
      </c>
      <c r="BF129" s="43" t="n">
        <v>33872</v>
      </c>
    </row>
    <row r="130">
      <c r="A130" s="42" t="inlineStr">
        <is>
          <t>GA</t>
        </is>
      </c>
      <c r="B130" s="42" t="inlineStr">
        <is>
          <t>13179</t>
        </is>
      </c>
      <c r="C130" s="42" t="inlineStr">
        <is>
          <t>Liberty</t>
        </is>
      </c>
      <c r="D130" s="42" t="inlineStr">
        <is>
          <t>Black Belt</t>
        </is>
      </c>
      <c r="E130" s="42" t="inlineStr"/>
      <c r="F130" s="43" t="n">
        <v>13459</v>
      </c>
      <c r="G130" s="43" t="n">
        <v>9441</v>
      </c>
      <c r="H130" s="43" t="n">
        <v>23028</v>
      </c>
      <c r="I130" s="43" t="n">
        <v>13104</v>
      </c>
      <c r="J130" s="43" t="n">
        <v>7959</v>
      </c>
      <c r="K130" s="42" t="inlineStr">
        <is>
          <t>US Senate</t>
        </is>
      </c>
      <c r="L130" s="43" t="n">
        <v>9615</v>
      </c>
      <c r="M130" s="43" t="n">
        <v>5490</v>
      </c>
      <c r="N130" s="43" t="n">
        <v>15369</v>
      </c>
      <c r="O130" s="44">
        <f>IFERROR((F130-G130)/(F130+G130),"")</f>
        <v/>
      </c>
      <c r="P130" s="44">
        <f>IFERROR((I130-J130)/(I130+J130),"")</f>
        <v/>
      </c>
      <c r="Q130" s="45">
        <f>IFERROR(O130-P130,"")</f>
        <v/>
      </c>
      <c r="R130" s="44">
        <f>IFERROR((L130-M130)/(L130+M130),"")</f>
        <v/>
      </c>
      <c r="S130" s="46">
        <f>H130/SUMIFS(Counties!$H$2:$H$1583,Counties!$A$2:$A$1583,$A130)</f>
        <v/>
      </c>
      <c r="T130" s="44">
        <f>O130+INDEX(Dashboard!$F$6:$F$22,MATCH($A130,Dashboard!$A$6:$A$22,0))</f>
        <v/>
      </c>
      <c r="U130" s="43">
        <f>AQ130*INDEX(Dashboard!$G$6:$G$22,MATCH($A130,Dashboard!$A$6:$A$22,0))</f>
        <v/>
      </c>
      <c r="V130" s="47" t="n"/>
      <c r="W130" s="47" t="n"/>
      <c r="X130" s="47" t="n"/>
      <c r="Y130" s="48" t="n"/>
      <c r="Z130" s="49" t="n"/>
      <c r="AA130" s="49" t="n"/>
      <c r="AB130" s="49" t="n"/>
      <c r="AC130" s="50" t="n"/>
      <c r="AD130" s="43">
        <f>IF(Z130&lt;&gt;"",Z130,N(V130))</f>
        <v/>
      </c>
      <c r="AE130" s="43">
        <f>IF(AA130&lt;&gt;"",AA130,N(W130))</f>
        <v/>
      </c>
      <c r="AF130" s="43">
        <f>AD130+AE130</f>
        <v/>
      </c>
      <c r="AG130" s="42">
        <f>IF(UPPER(AC130)="Y",1,IF(AF130=0,0,IF(AND(Z130="",Y130&lt;&gt;""),IF(Y130&gt;=0.999,1,0),IF(AF130&gt;=U130,1,0))))</f>
        <v/>
      </c>
      <c r="AH130" s="44">
        <f>IF(AF130&gt;0,(AD130-AE130)/AF130,"")</f>
        <v/>
      </c>
      <c r="AI130" s="45">
        <f>IF(AG130=1,AH130-O130,"")</f>
        <v/>
      </c>
      <c r="AJ130" s="44">
        <f>IF(AG130=1,AH130,MAX(-1,MIN(1,O130+INDEX(Types!$H:$H,MATCH($A130&amp;"|"&amp;$D130,Types!$A:$A,0)))))</f>
        <v/>
      </c>
      <c r="AK130" s="43">
        <f>IF(AG130=1,AF130,MAX(AQ130*AS130,AF130))</f>
        <v/>
      </c>
      <c r="AL130" s="43">
        <f>IF(AG130=1,AD130,AK130*(1+AJ130)/2)</f>
        <v/>
      </c>
      <c r="AM130" s="43">
        <f>IF(AG130=1,AE130,AK130*(1-AJ130)/2)</f>
        <v/>
      </c>
      <c r="AN130" s="45">
        <f>IF(AH130="","",AH130-T130)</f>
        <v/>
      </c>
      <c r="AO130" s="51">
        <f>IF(AG130=1,1,IF(U130&gt;0,MIN(AF130/U130,0.99),0))</f>
        <v/>
      </c>
      <c r="AP130" s="43">
        <f>IF(AG130=1,AI130*AF130,0)</f>
        <v/>
      </c>
      <c r="AQ130" s="43">
        <f>N130*(F130+G130)/H130</f>
        <v/>
      </c>
      <c r="AR130" s="43">
        <f>O130*AQ130</f>
        <v/>
      </c>
      <c r="AS130" s="52">
        <f>IF(AG130=1,IF(AQ130&gt;0,AF130/AQ130,1),IFERROR(INDEX(Types!$K:$K,MATCH($A130&amp;"|"&amp;$D130,Types!$A:$A,0)),INDEX(Dashboard!$X$6:$X$22,MATCH($A130,Dashboard!$A$6:$A$22,0))))</f>
        <v/>
      </c>
      <c r="AT130" s="43">
        <f>AQ130*INDEX(Dashboard!$Y$6:$Y$22,MATCH($A130,Dashboard!$A$6:$A$22,0))</f>
        <v/>
      </c>
      <c r="AU130" s="53">
        <f>IF(AND(AG130=1,AT130&gt;0,AF130&gt;0),100*AF130/AT130,"")</f>
        <v/>
      </c>
      <c r="AV130" s="44">
        <f>IF(AU130="","",T130/(AU130/100))</f>
        <v/>
      </c>
      <c r="AW130" s="53">
        <f>IF(AU130="","",IF(AND(ABS(AH130)&gt;=0.1,ABS(T130)&gt;=0.05,SIGN(AH130)=SIGN(T130)),100*T130/AH130,""))</f>
        <v/>
      </c>
      <c r="AX130" s="45">
        <f>IF(AU130="","",T130-AV130)</f>
        <v/>
      </c>
      <c r="AY130" s="45">
        <f>IF(AU130="","",AH130-AV130)</f>
        <v/>
      </c>
      <c r="AZ130" s="54">
        <f>(AL130-AM130)-T130*AT130</f>
        <v/>
      </c>
      <c r="BA130" s="43">
        <f>IF(AU130="",0,(AH130-T130)*AF130)</f>
        <v/>
      </c>
      <c r="BB130" s="43">
        <f>IF(AU130="",0,T130*(AF130-AT130))</f>
        <v/>
      </c>
      <c r="BC130" s="51" t="n">
        <v>0.4273948851322063</v>
      </c>
      <c r="BD130" s="51" t="n">
        <v>0.131585031064875</v>
      </c>
      <c r="BE130" s="51" t="n">
        <v>0.1988305606581977</v>
      </c>
      <c r="BF130" s="43" t="n">
        <v>69210</v>
      </c>
    </row>
    <row r="131">
      <c r="A131" s="42" t="inlineStr">
        <is>
          <t>GA</t>
        </is>
      </c>
      <c r="B131" s="42" t="inlineStr">
        <is>
          <t>13181</t>
        </is>
      </c>
      <c r="C131" s="42" t="inlineStr">
        <is>
          <t>Lincoln</t>
        </is>
      </c>
      <c r="D131" s="42" t="inlineStr">
        <is>
          <t>Small town &amp; rural</t>
        </is>
      </c>
      <c r="E131" s="42" t="inlineStr"/>
      <c r="F131" s="43" t="n">
        <v>1351</v>
      </c>
      <c r="G131" s="43" t="n">
        <v>3559</v>
      </c>
      <c r="H131" s="43" t="n">
        <v>4931</v>
      </c>
      <c r="I131" s="43" t="n">
        <v>1432</v>
      </c>
      <c r="J131" s="43" t="n">
        <v>3173</v>
      </c>
      <c r="K131" s="42" t="inlineStr">
        <is>
          <t>US Senate</t>
        </is>
      </c>
      <c r="L131" s="43" t="n">
        <v>1077</v>
      </c>
      <c r="M131" s="43" t="n">
        <v>2847</v>
      </c>
      <c r="N131" s="43" t="n">
        <v>3973</v>
      </c>
      <c r="O131" s="44">
        <f>IFERROR((F131-G131)/(F131+G131),"")</f>
        <v/>
      </c>
      <c r="P131" s="44">
        <f>IFERROR((I131-J131)/(I131+J131),"")</f>
        <v/>
      </c>
      <c r="Q131" s="45">
        <f>IFERROR(O131-P131,"")</f>
        <v/>
      </c>
      <c r="R131" s="44">
        <f>IFERROR((L131-M131)/(L131+M131),"")</f>
        <v/>
      </c>
      <c r="S131" s="46">
        <f>H131/SUMIFS(Counties!$H$2:$H$1583,Counties!$A$2:$A$1583,$A131)</f>
        <v/>
      </c>
      <c r="T131" s="44">
        <f>O131+INDEX(Dashboard!$F$6:$F$22,MATCH($A131,Dashboard!$A$6:$A$22,0))</f>
        <v/>
      </c>
      <c r="U131" s="43">
        <f>AQ131*INDEX(Dashboard!$G$6:$G$22,MATCH($A131,Dashboard!$A$6:$A$22,0))</f>
        <v/>
      </c>
      <c r="V131" s="47" t="n"/>
      <c r="W131" s="47" t="n"/>
      <c r="X131" s="47" t="n"/>
      <c r="Y131" s="48" t="n"/>
      <c r="Z131" s="49" t="n"/>
      <c r="AA131" s="49" t="n"/>
      <c r="AB131" s="49" t="n"/>
      <c r="AC131" s="50" t="n"/>
      <c r="AD131" s="43">
        <f>IF(Z131&lt;&gt;"",Z131,N(V131))</f>
        <v/>
      </c>
      <c r="AE131" s="43">
        <f>IF(AA131&lt;&gt;"",AA131,N(W131))</f>
        <v/>
      </c>
      <c r="AF131" s="43">
        <f>AD131+AE131</f>
        <v/>
      </c>
      <c r="AG131" s="42">
        <f>IF(UPPER(AC131)="Y",1,IF(AF131=0,0,IF(AND(Z131="",Y131&lt;&gt;""),IF(Y131&gt;=0.999,1,0),IF(AF131&gt;=U131,1,0))))</f>
        <v/>
      </c>
      <c r="AH131" s="44">
        <f>IF(AF131&gt;0,(AD131-AE131)/AF131,"")</f>
        <v/>
      </c>
      <c r="AI131" s="45">
        <f>IF(AG131=1,AH131-O131,"")</f>
        <v/>
      </c>
      <c r="AJ131" s="44">
        <f>IF(AG131=1,AH131,MAX(-1,MIN(1,O131+INDEX(Types!$H:$H,MATCH($A131&amp;"|"&amp;$D131,Types!$A:$A,0)))))</f>
        <v/>
      </c>
      <c r="AK131" s="43">
        <f>IF(AG131=1,AF131,MAX(AQ131*AS131,AF131))</f>
        <v/>
      </c>
      <c r="AL131" s="43">
        <f>IF(AG131=1,AD131,AK131*(1+AJ131)/2)</f>
        <v/>
      </c>
      <c r="AM131" s="43">
        <f>IF(AG131=1,AE131,AK131*(1-AJ131)/2)</f>
        <v/>
      </c>
      <c r="AN131" s="45">
        <f>IF(AH131="","",AH131-T131)</f>
        <v/>
      </c>
      <c r="AO131" s="51">
        <f>IF(AG131=1,1,IF(U131&gt;0,MIN(AF131/U131,0.99),0))</f>
        <v/>
      </c>
      <c r="AP131" s="43">
        <f>IF(AG131=1,AI131*AF131,0)</f>
        <v/>
      </c>
      <c r="AQ131" s="43">
        <f>N131*(F131+G131)/H131</f>
        <v/>
      </c>
      <c r="AR131" s="43">
        <f>O131*AQ131</f>
        <v/>
      </c>
      <c r="AS131" s="52">
        <f>IF(AG131=1,IF(AQ131&gt;0,AF131/AQ131,1),IFERROR(INDEX(Types!$K:$K,MATCH($A131&amp;"|"&amp;$D131,Types!$A:$A,0)),INDEX(Dashboard!$X$6:$X$22,MATCH($A131,Dashboard!$A$6:$A$22,0))))</f>
        <v/>
      </c>
      <c r="AT131" s="43">
        <f>AQ131*INDEX(Dashboard!$Y$6:$Y$22,MATCH($A131,Dashboard!$A$6:$A$22,0))</f>
        <v/>
      </c>
      <c r="AU131" s="53">
        <f>IF(AND(AG131=1,AT131&gt;0,AF131&gt;0),100*AF131/AT131,"")</f>
        <v/>
      </c>
      <c r="AV131" s="44">
        <f>IF(AU131="","",T131/(AU131/100))</f>
        <v/>
      </c>
      <c r="AW131" s="53">
        <f>IF(AU131="","",IF(AND(ABS(AH131)&gt;=0.1,ABS(T131)&gt;=0.05,SIGN(AH131)=SIGN(T131)),100*T131/AH131,""))</f>
        <v/>
      </c>
      <c r="AX131" s="45">
        <f>IF(AU131="","",T131-AV131)</f>
        <v/>
      </c>
      <c r="AY131" s="45">
        <f>IF(AU131="","",AH131-AV131)</f>
        <v/>
      </c>
      <c r="AZ131" s="54">
        <f>(AL131-AM131)-T131*AT131</f>
        <v/>
      </c>
      <c r="BA131" s="43">
        <f>IF(AU131="",0,(AH131-T131)*AF131)</f>
        <v/>
      </c>
      <c r="BB131" s="43">
        <f>IF(AU131="",0,T131*(AF131-AT131))</f>
        <v/>
      </c>
      <c r="BC131" s="51" t="n">
        <v>0.2601853027033887</v>
      </c>
      <c r="BD131" s="51" t="n">
        <v>0.01611879680162457</v>
      </c>
      <c r="BE131" s="51" t="n">
        <v>0.1614906832298137</v>
      </c>
      <c r="BF131" s="43" t="n">
        <v>7879</v>
      </c>
    </row>
    <row r="132">
      <c r="A132" s="42" t="inlineStr">
        <is>
          <t>GA</t>
        </is>
      </c>
      <c r="B132" s="42" t="inlineStr">
        <is>
          <t>13183</t>
        </is>
      </c>
      <c r="C132" s="42" t="inlineStr">
        <is>
          <t>Long</t>
        </is>
      </c>
      <c r="D132" s="42" t="inlineStr">
        <is>
          <t>Small town &amp; rural</t>
        </is>
      </c>
      <c r="E132" s="42" t="inlineStr"/>
      <c r="F132" s="43" t="n">
        <v>2476</v>
      </c>
      <c r="G132" s="43" t="n">
        <v>4557</v>
      </c>
      <c r="H132" s="43" t="n">
        <v>7056</v>
      </c>
      <c r="I132" s="43" t="n">
        <v>2035</v>
      </c>
      <c r="J132" s="43" t="n">
        <v>3527</v>
      </c>
      <c r="K132" s="42" t="inlineStr">
        <is>
          <t>US Senate</t>
        </is>
      </c>
      <c r="L132" s="43" t="n">
        <v>1548</v>
      </c>
      <c r="M132" s="43" t="n">
        <v>2759</v>
      </c>
      <c r="N132" s="43" t="n">
        <v>4402</v>
      </c>
      <c r="O132" s="44">
        <f>IFERROR((F132-G132)/(F132+G132),"")</f>
        <v/>
      </c>
      <c r="P132" s="44">
        <f>IFERROR((I132-J132)/(I132+J132),"")</f>
        <v/>
      </c>
      <c r="Q132" s="45">
        <f>IFERROR(O132-P132,"")</f>
        <v/>
      </c>
      <c r="R132" s="44">
        <f>IFERROR((L132-M132)/(L132+M132),"")</f>
        <v/>
      </c>
      <c r="S132" s="46">
        <f>H132/SUMIFS(Counties!$H$2:$H$1583,Counties!$A$2:$A$1583,$A132)</f>
        <v/>
      </c>
      <c r="T132" s="44">
        <f>O132+INDEX(Dashboard!$F$6:$F$22,MATCH($A132,Dashboard!$A$6:$A$22,0))</f>
        <v/>
      </c>
      <c r="U132" s="43">
        <f>AQ132*INDEX(Dashboard!$G$6:$G$22,MATCH($A132,Dashboard!$A$6:$A$22,0))</f>
        <v/>
      </c>
      <c r="V132" s="47" t="n"/>
      <c r="W132" s="47" t="n"/>
      <c r="X132" s="47" t="n"/>
      <c r="Y132" s="48" t="n"/>
      <c r="Z132" s="49" t="n"/>
      <c r="AA132" s="49" t="n"/>
      <c r="AB132" s="49" t="n"/>
      <c r="AC132" s="50" t="n"/>
      <c r="AD132" s="43">
        <f>IF(Z132&lt;&gt;"",Z132,N(V132))</f>
        <v/>
      </c>
      <c r="AE132" s="43">
        <f>IF(AA132&lt;&gt;"",AA132,N(W132))</f>
        <v/>
      </c>
      <c r="AF132" s="43">
        <f>AD132+AE132</f>
        <v/>
      </c>
      <c r="AG132" s="42">
        <f>IF(UPPER(AC132)="Y",1,IF(AF132=0,0,IF(AND(Z132="",Y132&lt;&gt;""),IF(Y132&gt;=0.999,1,0),IF(AF132&gt;=U132,1,0))))</f>
        <v/>
      </c>
      <c r="AH132" s="44">
        <f>IF(AF132&gt;0,(AD132-AE132)/AF132,"")</f>
        <v/>
      </c>
      <c r="AI132" s="45">
        <f>IF(AG132=1,AH132-O132,"")</f>
        <v/>
      </c>
      <c r="AJ132" s="44">
        <f>IF(AG132=1,AH132,MAX(-1,MIN(1,O132+INDEX(Types!$H:$H,MATCH($A132&amp;"|"&amp;$D132,Types!$A:$A,0)))))</f>
        <v/>
      </c>
      <c r="AK132" s="43">
        <f>IF(AG132=1,AF132,MAX(AQ132*AS132,AF132))</f>
        <v/>
      </c>
      <c r="AL132" s="43">
        <f>IF(AG132=1,AD132,AK132*(1+AJ132)/2)</f>
        <v/>
      </c>
      <c r="AM132" s="43">
        <f>IF(AG132=1,AE132,AK132*(1-AJ132)/2)</f>
        <v/>
      </c>
      <c r="AN132" s="45">
        <f>IF(AH132="","",AH132-T132)</f>
        <v/>
      </c>
      <c r="AO132" s="51">
        <f>IF(AG132=1,1,IF(U132&gt;0,MIN(AF132/U132,0.99),0))</f>
        <v/>
      </c>
      <c r="AP132" s="43">
        <f>IF(AG132=1,AI132*AF132,0)</f>
        <v/>
      </c>
      <c r="AQ132" s="43">
        <f>N132*(F132+G132)/H132</f>
        <v/>
      </c>
      <c r="AR132" s="43">
        <f>O132*AQ132</f>
        <v/>
      </c>
      <c r="AS132" s="52">
        <f>IF(AG132=1,IF(AQ132&gt;0,AF132/AQ132,1),IFERROR(INDEX(Types!$K:$K,MATCH($A132&amp;"|"&amp;$D132,Types!$A:$A,0)),INDEX(Dashboard!$X$6:$X$22,MATCH($A132,Dashboard!$A$6:$A$22,0))))</f>
        <v/>
      </c>
      <c r="AT132" s="43">
        <f>AQ132*INDEX(Dashboard!$Y$6:$Y$22,MATCH($A132,Dashboard!$A$6:$A$22,0))</f>
        <v/>
      </c>
      <c r="AU132" s="53">
        <f>IF(AND(AG132=1,AT132&gt;0,AF132&gt;0),100*AF132/AT132,"")</f>
        <v/>
      </c>
      <c r="AV132" s="44">
        <f>IF(AU132="","",T132/(AU132/100))</f>
        <v/>
      </c>
      <c r="AW132" s="53">
        <f>IF(AU132="","",IF(AND(ABS(AH132)&gt;=0.1,ABS(T132)&gt;=0.05,SIGN(AH132)=SIGN(T132)),100*T132/AH132,""))</f>
        <v/>
      </c>
      <c r="AX132" s="45">
        <f>IF(AU132="","",T132-AV132)</f>
        <v/>
      </c>
      <c r="AY132" s="45">
        <f>IF(AU132="","",AH132-AV132)</f>
        <v/>
      </c>
      <c r="AZ132" s="54">
        <f>(AL132-AM132)-T132*AT132</f>
        <v/>
      </c>
      <c r="BA132" s="43">
        <f>IF(AU132="",0,(AH132-T132)*AF132)</f>
        <v/>
      </c>
      <c r="BB132" s="43">
        <f>IF(AU132="",0,T132*(AF132-AT132))</f>
        <v/>
      </c>
      <c r="BC132" s="51" t="n">
        <v>0.2788098397468613</v>
      </c>
      <c r="BD132" s="51" t="n">
        <v>0.1322853934878024</v>
      </c>
      <c r="BE132" s="51" t="n">
        <v>0.1282307972333455</v>
      </c>
      <c r="BF132" s="43" t="n">
        <v>19594</v>
      </c>
    </row>
    <row r="133">
      <c r="A133" s="42" t="inlineStr">
        <is>
          <t>GA</t>
        </is>
      </c>
      <c r="B133" s="42" t="inlineStr">
        <is>
          <t>13185</t>
        </is>
      </c>
      <c r="C133" s="42" t="inlineStr">
        <is>
          <t>Lowndes</t>
        </is>
      </c>
      <c r="D133" s="42" t="inlineStr">
        <is>
          <t>Mid-size/working metro</t>
        </is>
      </c>
      <c r="E133" s="42" t="inlineStr"/>
      <c r="F133" s="43" t="n">
        <v>19487</v>
      </c>
      <c r="G133" s="43" t="n">
        <v>28081</v>
      </c>
      <c r="H133" s="43" t="n">
        <v>47795</v>
      </c>
      <c r="I133" s="43" t="n">
        <v>20116</v>
      </c>
      <c r="J133" s="43" t="n">
        <v>25692</v>
      </c>
      <c r="K133" s="42" t="inlineStr">
        <is>
          <t>US Senate</t>
        </is>
      </c>
      <c r="L133" s="43" t="n">
        <v>13849</v>
      </c>
      <c r="M133" s="43" t="n">
        <v>20213</v>
      </c>
      <c r="N133" s="43" t="n">
        <v>34612</v>
      </c>
      <c r="O133" s="44">
        <f>IFERROR((F133-G133)/(F133+G133),"")</f>
        <v/>
      </c>
      <c r="P133" s="44">
        <f>IFERROR((I133-J133)/(I133+J133),"")</f>
        <v/>
      </c>
      <c r="Q133" s="45">
        <f>IFERROR(O133-P133,"")</f>
        <v/>
      </c>
      <c r="R133" s="44">
        <f>IFERROR((L133-M133)/(L133+M133),"")</f>
        <v/>
      </c>
      <c r="S133" s="46">
        <f>H133/SUMIFS(Counties!$H$2:$H$1583,Counties!$A$2:$A$1583,$A133)</f>
        <v/>
      </c>
      <c r="T133" s="44">
        <f>O133+INDEX(Dashboard!$F$6:$F$22,MATCH($A133,Dashboard!$A$6:$A$22,0))</f>
        <v/>
      </c>
      <c r="U133" s="43">
        <f>AQ133*INDEX(Dashboard!$G$6:$G$22,MATCH($A133,Dashboard!$A$6:$A$22,0))</f>
        <v/>
      </c>
      <c r="V133" s="47" t="n"/>
      <c r="W133" s="47" t="n"/>
      <c r="X133" s="47" t="n"/>
      <c r="Y133" s="48" t="n"/>
      <c r="Z133" s="49" t="n"/>
      <c r="AA133" s="49" t="n"/>
      <c r="AB133" s="49" t="n"/>
      <c r="AC133" s="50" t="n"/>
      <c r="AD133" s="43">
        <f>IF(Z133&lt;&gt;"",Z133,N(V133))</f>
        <v/>
      </c>
      <c r="AE133" s="43">
        <f>IF(AA133&lt;&gt;"",AA133,N(W133))</f>
        <v/>
      </c>
      <c r="AF133" s="43">
        <f>AD133+AE133</f>
        <v/>
      </c>
      <c r="AG133" s="42">
        <f>IF(UPPER(AC133)="Y",1,IF(AF133=0,0,IF(AND(Z133="",Y133&lt;&gt;""),IF(Y133&gt;=0.999,1,0),IF(AF133&gt;=U133,1,0))))</f>
        <v/>
      </c>
      <c r="AH133" s="44">
        <f>IF(AF133&gt;0,(AD133-AE133)/AF133,"")</f>
        <v/>
      </c>
      <c r="AI133" s="45">
        <f>IF(AG133=1,AH133-O133,"")</f>
        <v/>
      </c>
      <c r="AJ133" s="44">
        <f>IF(AG133=1,AH133,MAX(-1,MIN(1,O133+INDEX(Types!$H:$H,MATCH($A133&amp;"|"&amp;$D133,Types!$A:$A,0)))))</f>
        <v/>
      </c>
      <c r="AK133" s="43">
        <f>IF(AG133=1,AF133,MAX(AQ133*AS133,AF133))</f>
        <v/>
      </c>
      <c r="AL133" s="43">
        <f>IF(AG133=1,AD133,AK133*(1+AJ133)/2)</f>
        <v/>
      </c>
      <c r="AM133" s="43">
        <f>IF(AG133=1,AE133,AK133*(1-AJ133)/2)</f>
        <v/>
      </c>
      <c r="AN133" s="45">
        <f>IF(AH133="","",AH133-T133)</f>
        <v/>
      </c>
      <c r="AO133" s="51">
        <f>IF(AG133=1,1,IF(U133&gt;0,MIN(AF133/U133,0.99),0))</f>
        <v/>
      </c>
      <c r="AP133" s="43">
        <f>IF(AG133=1,AI133*AF133,0)</f>
        <v/>
      </c>
      <c r="AQ133" s="43">
        <f>N133*(F133+G133)/H133</f>
        <v/>
      </c>
      <c r="AR133" s="43">
        <f>O133*AQ133</f>
        <v/>
      </c>
      <c r="AS133" s="52">
        <f>IF(AG133=1,IF(AQ133&gt;0,AF133/AQ133,1),IFERROR(INDEX(Types!$K:$K,MATCH($A133&amp;"|"&amp;$D133,Types!$A:$A,0)),INDEX(Dashboard!$X$6:$X$22,MATCH($A133,Dashboard!$A$6:$A$22,0))))</f>
        <v/>
      </c>
      <c r="AT133" s="43">
        <f>AQ133*INDEX(Dashboard!$Y$6:$Y$22,MATCH($A133,Dashboard!$A$6:$A$22,0))</f>
        <v/>
      </c>
      <c r="AU133" s="53">
        <f>IF(AND(AG133=1,AT133&gt;0,AF133&gt;0),100*AF133/AT133,"")</f>
        <v/>
      </c>
      <c r="AV133" s="44">
        <f>IF(AU133="","",T133/(AU133/100))</f>
        <v/>
      </c>
      <c r="AW133" s="53">
        <f>IF(AU133="","",IF(AND(ABS(AH133)&gt;=0.1,ABS(T133)&gt;=0.05,SIGN(AH133)=SIGN(T133)),100*T133/AH133,""))</f>
        <v/>
      </c>
      <c r="AX133" s="45">
        <f>IF(AU133="","",T133-AV133)</f>
        <v/>
      </c>
      <c r="AY133" s="45">
        <f>IF(AU133="","",AH133-AV133)</f>
        <v/>
      </c>
      <c r="AZ133" s="54">
        <f>(AL133-AM133)-T133*AT133</f>
        <v/>
      </c>
      <c r="BA133" s="43">
        <f>IF(AU133="",0,(AH133-T133)*AF133)</f>
        <v/>
      </c>
      <c r="BB133" s="43">
        <f>IF(AU133="",0,T133*(AF133-AT133))</f>
        <v/>
      </c>
      <c r="BC133" s="51" t="n">
        <v>0.3721005368148983</v>
      </c>
      <c r="BD133" s="51" t="n">
        <v>0.07342269202730466</v>
      </c>
      <c r="BE133" s="51" t="n">
        <v>0.2712481718978513</v>
      </c>
      <c r="BF133" s="43" t="n">
        <v>120712</v>
      </c>
    </row>
    <row r="134">
      <c r="A134" s="42" t="inlineStr">
        <is>
          <t>GA</t>
        </is>
      </c>
      <c r="B134" s="42" t="inlineStr">
        <is>
          <t>13187</t>
        </is>
      </c>
      <c r="C134" s="42" t="inlineStr">
        <is>
          <t>Lumpkin</t>
        </is>
      </c>
      <c r="D134" s="42" t="inlineStr">
        <is>
          <t>Small town &amp; rural</t>
        </is>
      </c>
      <c r="E134" s="42" t="inlineStr"/>
      <c r="F134" s="43" t="n">
        <v>3356</v>
      </c>
      <c r="G134" s="43" t="n">
        <v>14339</v>
      </c>
      <c r="H134" s="43" t="n">
        <v>17808</v>
      </c>
      <c r="I134" s="43" t="n">
        <v>3126</v>
      </c>
      <c r="J134" s="43" t="n">
        <v>12163</v>
      </c>
      <c r="K134" s="42" t="inlineStr">
        <is>
          <t>US Senate</t>
        </is>
      </c>
      <c r="L134" s="43" t="n">
        <v>2539</v>
      </c>
      <c r="M134" s="43" t="n">
        <v>9765</v>
      </c>
      <c r="N134" s="43" t="n">
        <v>12673</v>
      </c>
      <c r="O134" s="44">
        <f>IFERROR((F134-G134)/(F134+G134),"")</f>
        <v/>
      </c>
      <c r="P134" s="44">
        <f>IFERROR((I134-J134)/(I134+J134),"")</f>
        <v/>
      </c>
      <c r="Q134" s="45">
        <f>IFERROR(O134-P134,"")</f>
        <v/>
      </c>
      <c r="R134" s="44">
        <f>IFERROR((L134-M134)/(L134+M134),"")</f>
        <v/>
      </c>
      <c r="S134" s="46">
        <f>H134/SUMIFS(Counties!$H$2:$H$1583,Counties!$A$2:$A$1583,$A134)</f>
        <v/>
      </c>
      <c r="T134" s="44">
        <f>O134+INDEX(Dashboard!$F$6:$F$22,MATCH($A134,Dashboard!$A$6:$A$22,0))</f>
        <v/>
      </c>
      <c r="U134" s="43">
        <f>AQ134*INDEX(Dashboard!$G$6:$G$22,MATCH($A134,Dashboard!$A$6:$A$22,0))</f>
        <v/>
      </c>
      <c r="V134" s="47" t="n"/>
      <c r="W134" s="47" t="n"/>
      <c r="X134" s="47" t="n"/>
      <c r="Y134" s="48" t="n"/>
      <c r="Z134" s="49" t="n"/>
      <c r="AA134" s="49" t="n"/>
      <c r="AB134" s="49" t="n"/>
      <c r="AC134" s="50" t="n"/>
      <c r="AD134" s="43">
        <f>IF(Z134&lt;&gt;"",Z134,N(V134))</f>
        <v/>
      </c>
      <c r="AE134" s="43">
        <f>IF(AA134&lt;&gt;"",AA134,N(W134))</f>
        <v/>
      </c>
      <c r="AF134" s="43">
        <f>AD134+AE134</f>
        <v/>
      </c>
      <c r="AG134" s="42">
        <f>IF(UPPER(AC134)="Y",1,IF(AF134=0,0,IF(AND(Z134="",Y134&lt;&gt;""),IF(Y134&gt;=0.999,1,0),IF(AF134&gt;=U134,1,0))))</f>
        <v/>
      </c>
      <c r="AH134" s="44">
        <f>IF(AF134&gt;0,(AD134-AE134)/AF134,"")</f>
        <v/>
      </c>
      <c r="AI134" s="45">
        <f>IF(AG134=1,AH134-O134,"")</f>
        <v/>
      </c>
      <c r="AJ134" s="44">
        <f>IF(AG134=1,AH134,MAX(-1,MIN(1,O134+INDEX(Types!$H:$H,MATCH($A134&amp;"|"&amp;$D134,Types!$A:$A,0)))))</f>
        <v/>
      </c>
      <c r="AK134" s="43">
        <f>IF(AG134=1,AF134,MAX(AQ134*AS134,AF134))</f>
        <v/>
      </c>
      <c r="AL134" s="43">
        <f>IF(AG134=1,AD134,AK134*(1+AJ134)/2)</f>
        <v/>
      </c>
      <c r="AM134" s="43">
        <f>IF(AG134=1,AE134,AK134*(1-AJ134)/2)</f>
        <v/>
      </c>
      <c r="AN134" s="45">
        <f>IF(AH134="","",AH134-T134)</f>
        <v/>
      </c>
      <c r="AO134" s="51">
        <f>IF(AG134=1,1,IF(U134&gt;0,MIN(AF134/U134,0.99),0))</f>
        <v/>
      </c>
      <c r="AP134" s="43">
        <f>IF(AG134=1,AI134*AF134,0)</f>
        <v/>
      </c>
      <c r="AQ134" s="43">
        <f>N134*(F134+G134)/H134</f>
        <v/>
      </c>
      <c r="AR134" s="43">
        <f>O134*AQ134</f>
        <v/>
      </c>
      <c r="AS134" s="52">
        <f>IF(AG134=1,IF(AQ134&gt;0,AF134/AQ134,1),IFERROR(INDEX(Types!$K:$K,MATCH($A134&amp;"|"&amp;$D134,Types!$A:$A,0)),INDEX(Dashboard!$X$6:$X$22,MATCH($A134,Dashboard!$A$6:$A$22,0))))</f>
        <v/>
      </c>
      <c r="AT134" s="43">
        <f>AQ134*INDEX(Dashboard!$Y$6:$Y$22,MATCH($A134,Dashboard!$A$6:$A$22,0))</f>
        <v/>
      </c>
      <c r="AU134" s="53">
        <f>IF(AND(AG134=1,AT134&gt;0,AF134&gt;0),100*AF134/AT134,"")</f>
        <v/>
      </c>
      <c r="AV134" s="44">
        <f>IF(AU134="","",T134/(AU134/100))</f>
        <v/>
      </c>
      <c r="AW134" s="53">
        <f>IF(AU134="","",IF(AND(ABS(AH134)&gt;=0.1,ABS(T134)&gt;=0.05,SIGN(AH134)=SIGN(T134)),100*T134/AH134,""))</f>
        <v/>
      </c>
      <c r="AX134" s="45">
        <f>IF(AU134="","",T134-AV134)</f>
        <v/>
      </c>
      <c r="AY134" s="45">
        <f>IF(AU134="","",AH134-AV134)</f>
        <v/>
      </c>
      <c r="AZ134" s="54">
        <f>(AL134-AM134)-T134*AT134</f>
        <v/>
      </c>
      <c r="BA134" s="43">
        <f>IF(AU134="",0,(AH134-T134)*AF134)</f>
        <v/>
      </c>
      <c r="BB134" s="43">
        <f>IF(AU134="",0,T134*(AF134-AT134))</f>
        <v/>
      </c>
      <c r="BC134" s="51" t="n">
        <v>0.01908786658347042</v>
      </c>
      <c r="BD134" s="51" t="n">
        <v>0.061461228657326</v>
      </c>
      <c r="BE134" s="51" t="n">
        <v>0.3149473684210526</v>
      </c>
      <c r="BF134" s="43" t="n">
        <v>35258</v>
      </c>
    </row>
    <row r="135">
      <c r="A135" s="42" t="inlineStr">
        <is>
          <t>GA</t>
        </is>
      </c>
      <c r="B135" s="42" t="inlineStr">
        <is>
          <t>13193</t>
        </is>
      </c>
      <c r="C135" s="42" t="inlineStr">
        <is>
          <t>Macon</t>
        </is>
      </c>
      <c r="D135" s="42" t="inlineStr">
        <is>
          <t>Black Belt</t>
        </is>
      </c>
      <c r="E135" s="42" t="inlineStr"/>
      <c r="F135" s="43" t="n">
        <v>2755</v>
      </c>
      <c r="G135" s="43" t="n">
        <v>1916</v>
      </c>
      <c r="H135" s="43" t="n">
        <v>4686</v>
      </c>
      <c r="I135" s="43" t="n">
        <v>2858</v>
      </c>
      <c r="J135" s="43" t="n">
        <v>1783</v>
      </c>
      <c r="K135" s="42" t="inlineStr">
        <is>
          <t>US Senate</t>
        </is>
      </c>
      <c r="L135" s="43" t="n">
        <v>2269</v>
      </c>
      <c r="M135" s="43" t="n">
        <v>1460</v>
      </c>
      <c r="N135" s="43" t="n">
        <v>3761</v>
      </c>
      <c r="O135" s="44">
        <f>IFERROR((F135-G135)/(F135+G135),"")</f>
        <v/>
      </c>
      <c r="P135" s="44">
        <f>IFERROR((I135-J135)/(I135+J135),"")</f>
        <v/>
      </c>
      <c r="Q135" s="45">
        <f>IFERROR(O135-P135,"")</f>
        <v/>
      </c>
      <c r="R135" s="44">
        <f>IFERROR((L135-M135)/(L135+M135),"")</f>
        <v/>
      </c>
      <c r="S135" s="46">
        <f>H135/SUMIFS(Counties!$H$2:$H$1583,Counties!$A$2:$A$1583,$A135)</f>
        <v/>
      </c>
      <c r="T135" s="44">
        <f>O135+INDEX(Dashboard!$F$6:$F$22,MATCH($A135,Dashboard!$A$6:$A$22,0))</f>
        <v/>
      </c>
      <c r="U135" s="43">
        <f>AQ135*INDEX(Dashboard!$G$6:$G$22,MATCH($A135,Dashboard!$A$6:$A$22,0))</f>
        <v/>
      </c>
      <c r="V135" s="47" t="n"/>
      <c r="W135" s="47" t="n"/>
      <c r="X135" s="47" t="n"/>
      <c r="Y135" s="48" t="n"/>
      <c r="Z135" s="49" t="n"/>
      <c r="AA135" s="49" t="n"/>
      <c r="AB135" s="49" t="n"/>
      <c r="AC135" s="50" t="n"/>
      <c r="AD135" s="43">
        <f>IF(Z135&lt;&gt;"",Z135,N(V135))</f>
        <v/>
      </c>
      <c r="AE135" s="43">
        <f>IF(AA135&lt;&gt;"",AA135,N(W135))</f>
        <v/>
      </c>
      <c r="AF135" s="43">
        <f>AD135+AE135</f>
        <v/>
      </c>
      <c r="AG135" s="42">
        <f>IF(UPPER(AC135)="Y",1,IF(AF135=0,0,IF(AND(Z135="",Y135&lt;&gt;""),IF(Y135&gt;=0.999,1,0),IF(AF135&gt;=U135,1,0))))</f>
        <v/>
      </c>
      <c r="AH135" s="44">
        <f>IF(AF135&gt;0,(AD135-AE135)/AF135,"")</f>
        <v/>
      </c>
      <c r="AI135" s="45">
        <f>IF(AG135=1,AH135-O135,"")</f>
        <v/>
      </c>
      <c r="AJ135" s="44">
        <f>IF(AG135=1,AH135,MAX(-1,MIN(1,O135+INDEX(Types!$H:$H,MATCH($A135&amp;"|"&amp;$D135,Types!$A:$A,0)))))</f>
        <v/>
      </c>
      <c r="AK135" s="43">
        <f>IF(AG135=1,AF135,MAX(AQ135*AS135,AF135))</f>
        <v/>
      </c>
      <c r="AL135" s="43">
        <f>IF(AG135=1,AD135,AK135*(1+AJ135)/2)</f>
        <v/>
      </c>
      <c r="AM135" s="43">
        <f>IF(AG135=1,AE135,AK135*(1-AJ135)/2)</f>
        <v/>
      </c>
      <c r="AN135" s="45">
        <f>IF(AH135="","",AH135-T135)</f>
        <v/>
      </c>
      <c r="AO135" s="51">
        <f>IF(AG135=1,1,IF(U135&gt;0,MIN(AF135/U135,0.99),0))</f>
        <v/>
      </c>
      <c r="AP135" s="43">
        <f>IF(AG135=1,AI135*AF135,0)</f>
        <v/>
      </c>
      <c r="AQ135" s="43">
        <f>N135*(F135+G135)/H135</f>
        <v/>
      </c>
      <c r="AR135" s="43">
        <f>O135*AQ135</f>
        <v/>
      </c>
      <c r="AS135" s="52">
        <f>IF(AG135=1,IF(AQ135&gt;0,AF135/AQ135,1),IFERROR(INDEX(Types!$K:$K,MATCH($A135&amp;"|"&amp;$D135,Types!$A:$A,0)),INDEX(Dashboard!$X$6:$X$22,MATCH($A135,Dashboard!$A$6:$A$22,0))))</f>
        <v/>
      </c>
      <c r="AT135" s="43">
        <f>AQ135*INDEX(Dashboard!$Y$6:$Y$22,MATCH($A135,Dashboard!$A$6:$A$22,0))</f>
        <v/>
      </c>
      <c r="AU135" s="53">
        <f>IF(AND(AG135=1,AT135&gt;0,AF135&gt;0),100*AF135/AT135,"")</f>
        <v/>
      </c>
      <c r="AV135" s="44">
        <f>IF(AU135="","",T135/(AU135/100))</f>
        <v/>
      </c>
      <c r="AW135" s="53">
        <f>IF(AU135="","",IF(AND(ABS(AH135)&gt;=0.1,ABS(T135)&gt;=0.05,SIGN(AH135)=SIGN(T135)),100*T135/AH135,""))</f>
        <v/>
      </c>
      <c r="AX135" s="45">
        <f>IF(AU135="","",T135-AV135)</f>
        <v/>
      </c>
      <c r="AY135" s="45">
        <f>IF(AU135="","",AH135-AV135)</f>
        <v/>
      </c>
      <c r="AZ135" s="54">
        <f>(AL135-AM135)-T135*AT135</f>
        <v/>
      </c>
      <c r="BA135" s="43">
        <f>IF(AU135="",0,(AH135-T135)*AF135)</f>
        <v/>
      </c>
      <c r="BB135" s="43">
        <f>IF(AU135="",0,T135*(AF135-AT135))</f>
        <v/>
      </c>
      <c r="BC135" s="51" t="n">
        <v>0.5892358466615892</v>
      </c>
      <c r="BD135" s="51" t="n">
        <v>0.04755860201404756</v>
      </c>
      <c r="BE135" s="51" t="n">
        <v>0.1099735419302887</v>
      </c>
      <c r="BF135" s="43" t="n">
        <v>11817</v>
      </c>
    </row>
    <row r="136">
      <c r="A136" s="42" t="inlineStr">
        <is>
          <t>GA</t>
        </is>
      </c>
      <c r="B136" s="42" t="inlineStr">
        <is>
          <t>13195</t>
        </is>
      </c>
      <c r="C136" s="42" t="inlineStr">
        <is>
          <t>Madison</t>
        </is>
      </c>
      <c r="D136" s="42" t="inlineStr">
        <is>
          <t>Small town &amp; rural</t>
        </is>
      </c>
      <c r="E136" s="42" t="inlineStr"/>
      <c r="F136" s="43" t="n">
        <v>3753</v>
      </c>
      <c r="G136" s="43" t="n">
        <v>12951</v>
      </c>
      <c r="H136" s="43" t="n">
        <v>16787</v>
      </c>
      <c r="I136" s="43" t="n">
        <v>3411</v>
      </c>
      <c r="J136" s="43" t="n">
        <v>11326</v>
      </c>
      <c r="K136" s="42" t="inlineStr">
        <is>
          <t>US Senate</t>
        </is>
      </c>
      <c r="L136" s="43" t="n">
        <v>2864</v>
      </c>
      <c r="M136" s="43" t="n">
        <v>9353</v>
      </c>
      <c r="N136" s="43" t="n">
        <v>12479</v>
      </c>
      <c r="O136" s="44">
        <f>IFERROR((F136-G136)/(F136+G136),"")</f>
        <v/>
      </c>
      <c r="P136" s="44">
        <f>IFERROR((I136-J136)/(I136+J136),"")</f>
        <v/>
      </c>
      <c r="Q136" s="45">
        <f>IFERROR(O136-P136,"")</f>
        <v/>
      </c>
      <c r="R136" s="44">
        <f>IFERROR((L136-M136)/(L136+M136),"")</f>
        <v/>
      </c>
      <c r="S136" s="46">
        <f>H136/SUMIFS(Counties!$H$2:$H$1583,Counties!$A$2:$A$1583,$A136)</f>
        <v/>
      </c>
      <c r="T136" s="44">
        <f>O136+INDEX(Dashboard!$F$6:$F$22,MATCH($A136,Dashboard!$A$6:$A$22,0))</f>
        <v/>
      </c>
      <c r="U136" s="43">
        <f>AQ136*INDEX(Dashboard!$G$6:$G$22,MATCH($A136,Dashboard!$A$6:$A$22,0))</f>
        <v/>
      </c>
      <c r="V136" s="47" t="n"/>
      <c r="W136" s="47" t="n"/>
      <c r="X136" s="47" t="n"/>
      <c r="Y136" s="48" t="n"/>
      <c r="Z136" s="49" t="n"/>
      <c r="AA136" s="49" t="n"/>
      <c r="AB136" s="49" t="n"/>
      <c r="AC136" s="50" t="n"/>
      <c r="AD136" s="43">
        <f>IF(Z136&lt;&gt;"",Z136,N(V136))</f>
        <v/>
      </c>
      <c r="AE136" s="43">
        <f>IF(AA136&lt;&gt;"",AA136,N(W136))</f>
        <v/>
      </c>
      <c r="AF136" s="43">
        <f>AD136+AE136</f>
        <v/>
      </c>
      <c r="AG136" s="42">
        <f>IF(UPPER(AC136)="Y",1,IF(AF136=0,0,IF(AND(Z136="",Y136&lt;&gt;""),IF(Y136&gt;=0.999,1,0),IF(AF136&gt;=U136,1,0))))</f>
        <v/>
      </c>
      <c r="AH136" s="44">
        <f>IF(AF136&gt;0,(AD136-AE136)/AF136,"")</f>
        <v/>
      </c>
      <c r="AI136" s="45">
        <f>IF(AG136=1,AH136-O136,"")</f>
        <v/>
      </c>
      <c r="AJ136" s="44">
        <f>IF(AG136=1,AH136,MAX(-1,MIN(1,O136+INDEX(Types!$H:$H,MATCH($A136&amp;"|"&amp;$D136,Types!$A:$A,0)))))</f>
        <v/>
      </c>
      <c r="AK136" s="43">
        <f>IF(AG136=1,AF136,MAX(AQ136*AS136,AF136))</f>
        <v/>
      </c>
      <c r="AL136" s="43">
        <f>IF(AG136=1,AD136,AK136*(1+AJ136)/2)</f>
        <v/>
      </c>
      <c r="AM136" s="43">
        <f>IF(AG136=1,AE136,AK136*(1-AJ136)/2)</f>
        <v/>
      </c>
      <c r="AN136" s="45">
        <f>IF(AH136="","",AH136-T136)</f>
        <v/>
      </c>
      <c r="AO136" s="51">
        <f>IF(AG136=1,1,IF(U136&gt;0,MIN(AF136/U136,0.99),0))</f>
        <v/>
      </c>
      <c r="AP136" s="43">
        <f>IF(AG136=1,AI136*AF136,0)</f>
        <v/>
      </c>
      <c r="AQ136" s="43">
        <f>N136*(F136+G136)/H136</f>
        <v/>
      </c>
      <c r="AR136" s="43">
        <f>O136*AQ136</f>
        <v/>
      </c>
      <c r="AS136" s="52">
        <f>IF(AG136=1,IF(AQ136&gt;0,AF136/AQ136,1),IFERROR(INDEX(Types!$K:$K,MATCH($A136&amp;"|"&amp;$D136,Types!$A:$A,0)),INDEX(Dashboard!$X$6:$X$22,MATCH($A136,Dashboard!$A$6:$A$22,0))))</f>
        <v/>
      </c>
      <c r="AT136" s="43">
        <f>AQ136*INDEX(Dashboard!$Y$6:$Y$22,MATCH($A136,Dashboard!$A$6:$A$22,0))</f>
        <v/>
      </c>
      <c r="AU136" s="53">
        <f>IF(AND(AG136=1,AT136&gt;0,AF136&gt;0),100*AF136/AT136,"")</f>
        <v/>
      </c>
      <c r="AV136" s="44">
        <f>IF(AU136="","",T136/(AU136/100))</f>
        <v/>
      </c>
      <c r="AW136" s="53">
        <f>IF(AU136="","",IF(AND(ABS(AH136)&gt;=0.1,ABS(T136)&gt;=0.05,SIGN(AH136)=SIGN(T136)),100*T136/AH136,""))</f>
        <v/>
      </c>
      <c r="AX136" s="45">
        <f>IF(AU136="","",T136-AV136)</f>
        <v/>
      </c>
      <c r="AY136" s="45">
        <f>IF(AU136="","",AH136-AV136)</f>
        <v/>
      </c>
      <c r="AZ136" s="54">
        <f>(AL136-AM136)-T136*AT136</f>
        <v/>
      </c>
      <c r="BA136" s="43">
        <f>IF(AU136="",0,(AH136-T136)*AF136)</f>
        <v/>
      </c>
      <c r="BB136" s="43">
        <f>IF(AU136="",0,T136*(AF136-AT136))</f>
        <v/>
      </c>
      <c r="BC136" s="51" t="n">
        <v>0.1013947997887608</v>
      </c>
      <c r="BD136" s="51" t="n">
        <v>0.07604609984157062</v>
      </c>
      <c r="BE136" s="51" t="n">
        <v>0.2018357216446567</v>
      </c>
      <c r="BF136" s="43" t="n">
        <v>32191</v>
      </c>
    </row>
    <row r="137">
      <c r="A137" s="42" t="inlineStr">
        <is>
          <t>GA</t>
        </is>
      </c>
      <c r="B137" s="42" t="inlineStr">
        <is>
          <t>13197</t>
        </is>
      </c>
      <c r="C137" s="42" t="inlineStr">
        <is>
          <t>Marion</t>
        </is>
      </c>
      <c r="D137" s="42" t="inlineStr">
        <is>
          <t>Small town &amp; rural</t>
        </is>
      </c>
      <c r="E137" s="42" t="inlineStr"/>
      <c r="F137" s="43" t="n">
        <v>1253</v>
      </c>
      <c r="G137" s="43" t="n">
        <v>2348</v>
      </c>
      <c r="H137" s="43" t="n">
        <v>3621</v>
      </c>
      <c r="I137" s="43" t="n">
        <v>1312</v>
      </c>
      <c r="J137" s="43" t="n">
        <v>2275</v>
      </c>
      <c r="K137" s="42" t="inlineStr">
        <is>
          <t>US Senate</t>
        </is>
      </c>
      <c r="L137" s="43" t="n">
        <v>1018</v>
      </c>
      <c r="M137" s="43" t="n">
        <v>1750</v>
      </c>
      <c r="N137" s="43" t="n">
        <v>2834</v>
      </c>
      <c r="O137" s="44">
        <f>IFERROR((F137-G137)/(F137+G137),"")</f>
        <v/>
      </c>
      <c r="P137" s="44">
        <f>IFERROR((I137-J137)/(I137+J137),"")</f>
        <v/>
      </c>
      <c r="Q137" s="45">
        <f>IFERROR(O137-P137,"")</f>
        <v/>
      </c>
      <c r="R137" s="44">
        <f>IFERROR((L137-M137)/(L137+M137),"")</f>
        <v/>
      </c>
      <c r="S137" s="46">
        <f>H137/SUMIFS(Counties!$H$2:$H$1583,Counties!$A$2:$A$1583,$A137)</f>
        <v/>
      </c>
      <c r="T137" s="44">
        <f>O137+INDEX(Dashboard!$F$6:$F$22,MATCH($A137,Dashboard!$A$6:$A$22,0))</f>
        <v/>
      </c>
      <c r="U137" s="43">
        <f>AQ137*INDEX(Dashboard!$G$6:$G$22,MATCH($A137,Dashboard!$A$6:$A$22,0))</f>
        <v/>
      </c>
      <c r="V137" s="47" t="n"/>
      <c r="W137" s="47" t="n"/>
      <c r="X137" s="47" t="n"/>
      <c r="Y137" s="48" t="n"/>
      <c r="Z137" s="49" t="n"/>
      <c r="AA137" s="49" t="n"/>
      <c r="AB137" s="49" t="n"/>
      <c r="AC137" s="50" t="n"/>
      <c r="AD137" s="43">
        <f>IF(Z137&lt;&gt;"",Z137,N(V137))</f>
        <v/>
      </c>
      <c r="AE137" s="43">
        <f>IF(AA137&lt;&gt;"",AA137,N(W137))</f>
        <v/>
      </c>
      <c r="AF137" s="43">
        <f>AD137+AE137</f>
        <v/>
      </c>
      <c r="AG137" s="42">
        <f>IF(UPPER(AC137)="Y",1,IF(AF137=0,0,IF(AND(Z137="",Y137&lt;&gt;""),IF(Y137&gt;=0.999,1,0),IF(AF137&gt;=U137,1,0))))</f>
        <v/>
      </c>
      <c r="AH137" s="44">
        <f>IF(AF137&gt;0,(AD137-AE137)/AF137,"")</f>
        <v/>
      </c>
      <c r="AI137" s="45">
        <f>IF(AG137=1,AH137-O137,"")</f>
        <v/>
      </c>
      <c r="AJ137" s="44">
        <f>IF(AG137=1,AH137,MAX(-1,MIN(1,O137+INDEX(Types!$H:$H,MATCH($A137&amp;"|"&amp;$D137,Types!$A:$A,0)))))</f>
        <v/>
      </c>
      <c r="AK137" s="43">
        <f>IF(AG137=1,AF137,MAX(AQ137*AS137,AF137))</f>
        <v/>
      </c>
      <c r="AL137" s="43">
        <f>IF(AG137=1,AD137,AK137*(1+AJ137)/2)</f>
        <v/>
      </c>
      <c r="AM137" s="43">
        <f>IF(AG137=1,AE137,AK137*(1-AJ137)/2)</f>
        <v/>
      </c>
      <c r="AN137" s="45">
        <f>IF(AH137="","",AH137-T137)</f>
        <v/>
      </c>
      <c r="AO137" s="51">
        <f>IF(AG137=1,1,IF(U137&gt;0,MIN(AF137/U137,0.99),0))</f>
        <v/>
      </c>
      <c r="AP137" s="43">
        <f>IF(AG137=1,AI137*AF137,0)</f>
        <v/>
      </c>
      <c r="AQ137" s="43">
        <f>N137*(F137+G137)/H137</f>
        <v/>
      </c>
      <c r="AR137" s="43">
        <f>O137*AQ137</f>
        <v/>
      </c>
      <c r="AS137" s="52">
        <f>IF(AG137=1,IF(AQ137&gt;0,AF137/AQ137,1),IFERROR(INDEX(Types!$K:$K,MATCH($A137&amp;"|"&amp;$D137,Types!$A:$A,0)),INDEX(Dashboard!$X$6:$X$22,MATCH($A137,Dashboard!$A$6:$A$22,0))))</f>
        <v/>
      </c>
      <c r="AT137" s="43">
        <f>AQ137*INDEX(Dashboard!$Y$6:$Y$22,MATCH($A137,Dashboard!$A$6:$A$22,0))</f>
        <v/>
      </c>
      <c r="AU137" s="53">
        <f>IF(AND(AG137=1,AT137&gt;0,AF137&gt;0),100*AF137/AT137,"")</f>
        <v/>
      </c>
      <c r="AV137" s="44">
        <f>IF(AU137="","",T137/(AU137/100))</f>
        <v/>
      </c>
      <c r="AW137" s="53">
        <f>IF(AU137="","",IF(AND(ABS(AH137)&gt;=0.1,ABS(T137)&gt;=0.05,SIGN(AH137)=SIGN(T137)),100*T137/AH137,""))</f>
        <v/>
      </c>
      <c r="AX137" s="45">
        <f>IF(AU137="","",T137-AV137)</f>
        <v/>
      </c>
      <c r="AY137" s="45">
        <f>IF(AU137="","",AH137-AV137)</f>
        <v/>
      </c>
      <c r="AZ137" s="54">
        <f>(AL137-AM137)-T137*AT137</f>
        <v/>
      </c>
      <c r="BA137" s="43">
        <f>IF(AU137="",0,(AH137-T137)*AF137)</f>
        <v/>
      </c>
      <c r="BB137" s="43">
        <f>IF(AU137="",0,T137*(AF137-AT137))</f>
        <v/>
      </c>
      <c r="BC137" s="51" t="n">
        <v>0.2856182795698925</v>
      </c>
      <c r="BD137" s="51" t="n">
        <v>0.08024193548387097</v>
      </c>
      <c r="BE137" s="51" t="n">
        <v>0.1362886975636564</v>
      </c>
      <c r="BF137" s="43" t="n">
        <v>7440</v>
      </c>
    </row>
    <row r="138">
      <c r="A138" s="42" t="inlineStr">
        <is>
          <t>GA</t>
        </is>
      </c>
      <c r="B138" s="42" t="inlineStr">
        <is>
          <t>13189</t>
        </is>
      </c>
      <c r="C138" s="42" t="inlineStr">
        <is>
          <t>McDuffie</t>
        </is>
      </c>
      <c r="D138" s="42" t="inlineStr">
        <is>
          <t>Black Belt</t>
        </is>
      </c>
      <c r="E138" s="42" t="inlineStr"/>
      <c r="F138" s="43" t="n">
        <v>3937</v>
      </c>
      <c r="G138" s="43" t="n">
        <v>6562</v>
      </c>
      <c r="H138" s="43" t="n">
        <v>10537</v>
      </c>
      <c r="I138" s="43" t="n">
        <v>4168</v>
      </c>
      <c r="J138" s="43" t="n">
        <v>6169</v>
      </c>
      <c r="K138" s="42" t="inlineStr">
        <is>
          <t>US Senate</t>
        </is>
      </c>
      <c r="L138" s="43" t="n">
        <v>3103</v>
      </c>
      <c r="M138" s="43" t="n">
        <v>5067</v>
      </c>
      <c r="N138" s="43" t="n">
        <v>8301</v>
      </c>
      <c r="O138" s="44">
        <f>IFERROR((F138-G138)/(F138+G138),"")</f>
        <v/>
      </c>
      <c r="P138" s="44">
        <f>IFERROR((I138-J138)/(I138+J138),"")</f>
        <v/>
      </c>
      <c r="Q138" s="45">
        <f>IFERROR(O138-P138,"")</f>
        <v/>
      </c>
      <c r="R138" s="44">
        <f>IFERROR((L138-M138)/(L138+M138),"")</f>
        <v/>
      </c>
      <c r="S138" s="46">
        <f>H138/SUMIFS(Counties!$H$2:$H$1583,Counties!$A$2:$A$1583,$A138)</f>
        <v/>
      </c>
      <c r="T138" s="44">
        <f>O138+INDEX(Dashboard!$F$6:$F$22,MATCH($A138,Dashboard!$A$6:$A$22,0))</f>
        <v/>
      </c>
      <c r="U138" s="43">
        <f>AQ138*INDEX(Dashboard!$G$6:$G$22,MATCH($A138,Dashboard!$A$6:$A$22,0))</f>
        <v/>
      </c>
      <c r="V138" s="47" t="n"/>
      <c r="W138" s="47" t="n"/>
      <c r="X138" s="47" t="n"/>
      <c r="Y138" s="48" t="n"/>
      <c r="Z138" s="49" t="n"/>
      <c r="AA138" s="49" t="n"/>
      <c r="AB138" s="49" t="n"/>
      <c r="AC138" s="50" t="n"/>
      <c r="AD138" s="43">
        <f>IF(Z138&lt;&gt;"",Z138,N(V138))</f>
        <v/>
      </c>
      <c r="AE138" s="43">
        <f>IF(AA138&lt;&gt;"",AA138,N(W138))</f>
        <v/>
      </c>
      <c r="AF138" s="43">
        <f>AD138+AE138</f>
        <v/>
      </c>
      <c r="AG138" s="42">
        <f>IF(UPPER(AC138)="Y",1,IF(AF138=0,0,IF(AND(Z138="",Y138&lt;&gt;""),IF(Y138&gt;=0.999,1,0),IF(AF138&gt;=U138,1,0))))</f>
        <v/>
      </c>
      <c r="AH138" s="44">
        <f>IF(AF138&gt;0,(AD138-AE138)/AF138,"")</f>
        <v/>
      </c>
      <c r="AI138" s="45">
        <f>IF(AG138=1,AH138-O138,"")</f>
        <v/>
      </c>
      <c r="AJ138" s="44">
        <f>IF(AG138=1,AH138,MAX(-1,MIN(1,O138+INDEX(Types!$H:$H,MATCH($A138&amp;"|"&amp;$D138,Types!$A:$A,0)))))</f>
        <v/>
      </c>
      <c r="AK138" s="43">
        <f>IF(AG138=1,AF138,MAX(AQ138*AS138,AF138))</f>
        <v/>
      </c>
      <c r="AL138" s="43">
        <f>IF(AG138=1,AD138,AK138*(1+AJ138)/2)</f>
        <v/>
      </c>
      <c r="AM138" s="43">
        <f>IF(AG138=1,AE138,AK138*(1-AJ138)/2)</f>
        <v/>
      </c>
      <c r="AN138" s="45">
        <f>IF(AH138="","",AH138-T138)</f>
        <v/>
      </c>
      <c r="AO138" s="51">
        <f>IF(AG138=1,1,IF(U138&gt;0,MIN(AF138/U138,0.99),0))</f>
        <v/>
      </c>
      <c r="AP138" s="43">
        <f>IF(AG138=1,AI138*AF138,0)</f>
        <v/>
      </c>
      <c r="AQ138" s="43">
        <f>N138*(F138+G138)/H138</f>
        <v/>
      </c>
      <c r="AR138" s="43">
        <f>O138*AQ138</f>
        <v/>
      </c>
      <c r="AS138" s="52">
        <f>IF(AG138=1,IF(AQ138&gt;0,AF138/AQ138,1),IFERROR(INDEX(Types!$K:$K,MATCH($A138&amp;"|"&amp;$D138,Types!$A:$A,0)),INDEX(Dashboard!$X$6:$X$22,MATCH($A138,Dashboard!$A$6:$A$22,0))))</f>
        <v/>
      </c>
      <c r="AT138" s="43">
        <f>AQ138*INDEX(Dashboard!$Y$6:$Y$22,MATCH($A138,Dashboard!$A$6:$A$22,0))</f>
        <v/>
      </c>
      <c r="AU138" s="53">
        <f>IF(AND(AG138=1,AT138&gt;0,AF138&gt;0),100*AF138/AT138,"")</f>
        <v/>
      </c>
      <c r="AV138" s="44">
        <f>IF(AU138="","",T138/(AU138/100))</f>
        <v/>
      </c>
      <c r="AW138" s="53">
        <f>IF(AU138="","",IF(AND(ABS(AH138)&gt;=0.1,ABS(T138)&gt;=0.05,SIGN(AH138)=SIGN(T138)),100*T138/AH138,""))</f>
        <v/>
      </c>
      <c r="AX138" s="45">
        <f>IF(AU138="","",T138-AV138)</f>
        <v/>
      </c>
      <c r="AY138" s="45">
        <f>IF(AU138="","",AH138-AV138)</f>
        <v/>
      </c>
      <c r="AZ138" s="54">
        <f>(AL138-AM138)-T138*AT138</f>
        <v/>
      </c>
      <c r="BA138" s="43">
        <f>IF(AU138="",0,(AH138-T138)*AF138)</f>
        <v/>
      </c>
      <c r="BB138" s="43">
        <f>IF(AU138="",0,T138*(AF138-AT138))</f>
        <v/>
      </c>
      <c r="BC138" s="51" t="n">
        <v>0.4023579063259782</v>
      </c>
      <c r="BD138" s="51" t="n">
        <v>0.03601082618468737</v>
      </c>
      <c r="BE138" s="51" t="n">
        <v>0.1784209811115641</v>
      </c>
      <c r="BF138" s="43" t="n">
        <v>21799</v>
      </c>
    </row>
    <row r="139">
      <c r="A139" s="42" t="inlineStr">
        <is>
          <t>GA</t>
        </is>
      </c>
      <c r="B139" s="42" t="inlineStr">
        <is>
          <t>13191</t>
        </is>
      </c>
      <c r="C139" s="42" t="inlineStr">
        <is>
          <t>McIntosh</t>
        </is>
      </c>
      <c r="D139" s="42" t="inlineStr">
        <is>
          <t>Small town &amp; rural</t>
        </is>
      </c>
      <c r="E139" s="42" t="inlineStr"/>
      <c r="F139" s="43" t="n">
        <v>2628</v>
      </c>
      <c r="G139" s="43" t="n">
        <v>4747</v>
      </c>
      <c r="H139" s="43" t="n">
        <v>7408</v>
      </c>
      <c r="I139" s="43" t="n">
        <v>2612</v>
      </c>
      <c r="J139" s="43" t="n">
        <v>4016</v>
      </c>
      <c r="K139" s="42" t="inlineStr">
        <is>
          <t>US Senate</t>
        </is>
      </c>
      <c r="L139" s="43" t="n">
        <v>2048</v>
      </c>
      <c r="M139" s="43" t="n">
        <v>3344</v>
      </c>
      <c r="N139" s="43" t="n">
        <v>5487</v>
      </c>
      <c r="O139" s="44">
        <f>IFERROR((F139-G139)/(F139+G139),"")</f>
        <v/>
      </c>
      <c r="P139" s="44">
        <f>IFERROR((I139-J139)/(I139+J139),"")</f>
        <v/>
      </c>
      <c r="Q139" s="45">
        <f>IFERROR(O139-P139,"")</f>
        <v/>
      </c>
      <c r="R139" s="44">
        <f>IFERROR((L139-M139)/(L139+M139),"")</f>
        <v/>
      </c>
      <c r="S139" s="46">
        <f>H139/SUMIFS(Counties!$H$2:$H$1583,Counties!$A$2:$A$1583,$A139)</f>
        <v/>
      </c>
      <c r="T139" s="44">
        <f>O139+INDEX(Dashboard!$F$6:$F$22,MATCH($A139,Dashboard!$A$6:$A$22,0))</f>
        <v/>
      </c>
      <c r="U139" s="43">
        <f>AQ139*INDEX(Dashboard!$G$6:$G$22,MATCH($A139,Dashboard!$A$6:$A$22,0))</f>
        <v/>
      </c>
      <c r="V139" s="47" t="n"/>
      <c r="W139" s="47" t="n"/>
      <c r="X139" s="47" t="n"/>
      <c r="Y139" s="48" t="n"/>
      <c r="Z139" s="49" t="n"/>
      <c r="AA139" s="49" t="n"/>
      <c r="AB139" s="49" t="n"/>
      <c r="AC139" s="50" t="n"/>
      <c r="AD139" s="43">
        <f>IF(Z139&lt;&gt;"",Z139,N(V139))</f>
        <v/>
      </c>
      <c r="AE139" s="43">
        <f>IF(AA139&lt;&gt;"",AA139,N(W139))</f>
        <v/>
      </c>
      <c r="AF139" s="43">
        <f>AD139+AE139</f>
        <v/>
      </c>
      <c r="AG139" s="42">
        <f>IF(UPPER(AC139)="Y",1,IF(AF139=0,0,IF(AND(Z139="",Y139&lt;&gt;""),IF(Y139&gt;=0.999,1,0),IF(AF139&gt;=U139,1,0))))</f>
        <v/>
      </c>
      <c r="AH139" s="44">
        <f>IF(AF139&gt;0,(AD139-AE139)/AF139,"")</f>
        <v/>
      </c>
      <c r="AI139" s="45">
        <f>IF(AG139=1,AH139-O139,"")</f>
        <v/>
      </c>
      <c r="AJ139" s="44">
        <f>IF(AG139=1,AH139,MAX(-1,MIN(1,O139+INDEX(Types!$H:$H,MATCH($A139&amp;"|"&amp;$D139,Types!$A:$A,0)))))</f>
        <v/>
      </c>
      <c r="AK139" s="43">
        <f>IF(AG139=1,AF139,MAX(AQ139*AS139,AF139))</f>
        <v/>
      </c>
      <c r="AL139" s="43">
        <f>IF(AG139=1,AD139,AK139*(1+AJ139)/2)</f>
        <v/>
      </c>
      <c r="AM139" s="43">
        <f>IF(AG139=1,AE139,AK139*(1-AJ139)/2)</f>
        <v/>
      </c>
      <c r="AN139" s="45">
        <f>IF(AH139="","",AH139-T139)</f>
        <v/>
      </c>
      <c r="AO139" s="51">
        <f>IF(AG139=1,1,IF(U139&gt;0,MIN(AF139/U139,0.99),0))</f>
        <v/>
      </c>
      <c r="AP139" s="43">
        <f>IF(AG139=1,AI139*AF139,0)</f>
        <v/>
      </c>
      <c r="AQ139" s="43">
        <f>N139*(F139+G139)/H139</f>
        <v/>
      </c>
      <c r="AR139" s="43">
        <f>O139*AQ139</f>
        <v/>
      </c>
      <c r="AS139" s="52">
        <f>IF(AG139=1,IF(AQ139&gt;0,AF139/AQ139,1),IFERROR(INDEX(Types!$K:$K,MATCH($A139&amp;"|"&amp;$D139,Types!$A:$A,0)),INDEX(Dashboard!$X$6:$X$22,MATCH($A139,Dashboard!$A$6:$A$22,0))))</f>
        <v/>
      </c>
      <c r="AT139" s="43">
        <f>AQ139*INDEX(Dashboard!$Y$6:$Y$22,MATCH($A139,Dashboard!$A$6:$A$22,0))</f>
        <v/>
      </c>
      <c r="AU139" s="53">
        <f>IF(AND(AG139=1,AT139&gt;0,AF139&gt;0),100*AF139/AT139,"")</f>
        <v/>
      </c>
      <c r="AV139" s="44">
        <f>IF(AU139="","",T139/(AU139/100))</f>
        <v/>
      </c>
      <c r="AW139" s="53">
        <f>IF(AU139="","",IF(AND(ABS(AH139)&gt;=0.1,ABS(T139)&gt;=0.05,SIGN(AH139)=SIGN(T139)),100*T139/AH139,""))</f>
        <v/>
      </c>
      <c r="AX139" s="45">
        <f>IF(AU139="","",T139-AV139)</f>
        <v/>
      </c>
      <c r="AY139" s="45">
        <f>IF(AU139="","",AH139-AV139)</f>
        <v/>
      </c>
      <c r="AZ139" s="54">
        <f>(AL139-AM139)-T139*AT139</f>
        <v/>
      </c>
      <c r="BA139" s="43">
        <f>IF(AU139="",0,(AH139-T139)*AF139)</f>
        <v/>
      </c>
      <c r="BB139" s="43">
        <f>IF(AU139="",0,T139*(AF139-AT139))</f>
        <v/>
      </c>
      <c r="BC139" s="51" t="n">
        <v>0.3055386488131467</v>
      </c>
      <c r="BD139" s="51" t="n">
        <v>0.02721502478045387</v>
      </c>
      <c r="BE139" s="51" t="n">
        <v>0.1863389216130494</v>
      </c>
      <c r="BF139" s="43" t="n">
        <v>11501</v>
      </c>
    </row>
    <row r="140">
      <c r="A140" s="42" t="inlineStr">
        <is>
          <t>GA</t>
        </is>
      </c>
      <c r="B140" s="42" t="inlineStr">
        <is>
          <t>13199</t>
        </is>
      </c>
      <c r="C140" s="42" t="inlineStr">
        <is>
          <t>Meriwether</t>
        </is>
      </c>
      <c r="D140" s="42" t="inlineStr">
        <is>
          <t>Small town &amp; rural</t>
        </is>
      </c>
      <c r="E140" s="42" t="inlineStr"/>
      <c r="F140" s="43" t="n">
        <v>4373</v>
      </c>
      <c r="G140" s="43" t="n">
        <v>7375</v>
      </c>
      <c r="H140" s="43" t="n">
        <v>11788</v>
      </c>
      <c r="I140" s="43" t="n">
        <v>4287</v>
      </c>
      <c r="J140" s="43" t="n">
        <v>6524</v>
      </c>
      <c r="K140" s="42" t="inlineStr">
        <is>
          <t>US Senate</t>
        </is>
      </c>
      <c r="L140" s="43" t="n">
        <v>3363</v>
      </c>
      <c r="M140" s="43" t="n">
        <v>5336</v>
      </c>
      <c r="N140" s="43" t="n">
        <v>8874</v>
      </c>
      <c r="O140" s="44">
        <f>IFERROR((F140-G140)/(F140+G140),"")</f>
        <v/>
      </c>
      <c r="P140" s="44">
        <f>IFERROR((I140-J140)/(I140+J140),"")</f>
        <v/>
      </c>
      <c r="Q140" s="45">
        <f>IFERROR(O140-P140,"")</f>
        <v/>
      </c>
      <c r="R140" s="44">
        <f>IFERROR((L140-M140)/(L140+M140),"")</f>
        <v/>
      </c>
      <c r="S140" s="46">
        <f>H140/SUMIFS(Counties!$H$2:$H$1583,Counties!$A$2:$A$1583,$A140)</f>
        <v/>
      </c>
      <c r="T140" s="44">
        <f>O140+INDEX(Dashboard!$F$6:$F$22,MATCH($A140,Dashboard!$A$6:$A$22,0))</f>
        <v/>
      </c>
      <c r="U140" s="43">
        <f>AQ140*INDEX(Dashboard!$G$6:$G$22,MATCH($A140,Dashboard!$A$6:$A$22,0))</f>
        <v/>
      </c>
      <c r="V140" s="47" t="n"/>
      <c r="W140" s="47" t="n"/>
      <c r="X140" s="47" t="n"/>
      <c r="Y140" s="48" t="n"/>
      <c r="Z140" s="49" t="n"/>
      <c r="AA140" s="49" t="n"/>
      <c r="AB140" s="49" t="n"/>
      <c r="AC140" s="50" t="n"/>
      <c r="AD140" s="43">
        <f>IF(Z140&lt;&gt;"",Z140,N(V140))</f>
        <v/>
      </c>
      <c r="AE140" s="43">
        <f>IF(AA140&lt;&gt;"",AA140,N(W140))</f>
        <v/>
      </c>
      <c r="AF140" s="43">
        <f>AD140+AE140</f>
        <v/>
      </c>
      <c r="AG140" s="42">
        <f>IF(UPPER(AC140)="Y",1,IF(AF140=0,0,IF(AND(Z140="",Y140&lt;&gt;""),IF(Y140&gt;=0.999,1,0),IF(AF140&gt;=U140,1,0))))</f>
        <v/>
      </c>
      <c r="AH140" s="44">
        <f>IF(AF140&gt;0,(AD140-AE140)/AF140,"")</f>
        <v/>
      </c>
      <c r="AI140" s="45">
        <f>IF(AG140=1,AH140-O140,"")</f>
        <v/>
      </c>
      <c r="AJ140" s="44">
        <f>IF(AG140=1,AH140,MAX(-1,MIN(1,O140+INDEX(Types!$H:$H,MATCH($A140&amp;"|"&amp;$D140,Types!$A:$A,0)))))</f>
        <v/>
      </c>
      <c r="AK140" s="43">
        <f>IF(AG140=1,AF140,MAX(AQ140*AS140,AF140))</f>
        <v/>
      </c>
      <c r="AL140" s="43">
        <f>IF(AG140=1,AD140,AK140*(1+AJ140)/2)</f>
        <v/>
      </c>
      <c r="AM140" s="43">
        <f>IF(AG140=1,AE140,AK140*(1-AJ140)/2)</f>
        <v/>
      </c>
      <c r="AN140" s="45">
        <f>IF(AH140="","",AH140-T140)</f>
        <v/>
      </c>
      <c r="AO140" s="51">
        <f>IF(AG140=1,1,IF(U140&gt;0,MIN(AF140/U140,0.99),0))</f>
        <v/>
      </c>
      <c r="AP140" s="43">
        <f>IF(AG140=1,AI140*AF140,0)</f>
        <v/>
      </c>
      <c r="AQ140" s="43">
        <f>N140*(F140+G140)/H140</f>
        <v/>
      </c>
      <c r="AR140" s="43">
        <f>O140*AQ140</f>
        <v/>
      </c>
      <c r="AS140" s="52">
        <f>IF(AG140=1,IF(AQ140&gt;0,AF140/AQ140,1),IFERROR(INDEX(Types!$K:$K,MATCH($A140&amp;"|"&amp;$D140,Types!$A:$A,0)),INDEX(Dashboard!$X$6:$X$22,MATCH($A140,Dashboard!$A$6:$A$22,0))))</f>
        <v/>
      </c>
      <c r="AT140" s="43">
        <f>AQ140*INDEX(Dashboard!$Y$6:$Y$22,MATCH($A140,Dashboard!$A$6:$A$22,0))</f>
        <v/>
      </c>
      <c r="AU140" s="53">
        <f>IF(AND(AG140=1,AT140&gt;0,AF140&gt;0),100*AF140/AT140,"")</f>
        <v/>
      </c>
      <c r="AV140" s="44">
        <f>IF(AU140="","",T140/(AU140/100))</f>
        <v/>
      </c>
      <c r="AW140" s="53">
        <f>IF(AU140="","",IF(AND(ABS(AH140)&gt;=0.1,ABS(T140)&gt;=0.05,SIGN(AH140)=SIGN(T140)),100*T140/AH140,""))</f>
        <v/>
      </c>
      <c r="AX140" s="45">
        <f>IF(AU140="","",T140-AV140)</f>
        <v/>
      </c>
      <c r="AY140" s="45">
        <f>IF(AU140="","",AH140-AV140)</f>
        <v/>
      </c>
      <c r="AZ140" s="54">
        <f>(AL140-AM140)-T140*AT140</f>
        <v/>
      </c>
      <c r="BA140" s="43">
        <f>IF(AU140="",0,(AH140-T140)*AF140)</f>
        <v/>
      </c>
      <c r="BB140" s="43">
        <f>IF(AU140="",0,T140*(AF140-AT140))</f>
        <v/>
      </c>
      <c r="BC140" s="51" t="n">
        <v>0.3584635230041565</v>
      </c>
      <c r="BD140" s="51" t="n">
        <v>0.0319621613874158</v>
      </c>
      <c r="BE140" s="51" t="n">
        <v>0.1303699688304648</v>
      </c>
      <c r="BF140" s="43" t="n">
        <v>20931</v>
      </c>
    </row>
    <row r="141">
      <c r="A141" s="42" t="inlineStr">
        <is>
          <t>GA</t>
        </is>
      </c>
      <c r="B141" s="42" t="inlineStr">
        <is>
          <t>13201</t>
        </is>
      </c>
      <c r="C141" s="42" t="inlineStr">
        <is>
          <t>Miller</t>
        </is>
      </c>
      <c r="D141" s="42" t="inlineStr">
        <is>
          <t>Small town &amp; rural</t>
        </is>
      </c>
      <c r="E141" s="42" t="inlineStr"/>
      <c r="F141" s="43" t="n">
        <v>670</v>
      </c>
      <c r="G141" s="43" t="n">
        <v>2045</v>
      </c>
      <c r="H141" s="43" t="n">
        <v>2724</v>
      </c>
      <c r="I141" s="43" t="n">
        <v>748</v>
      </c>
      <c r="J141" s="43" t="n">
        <v>2066</v>
      </c>
      <c r="K141" s="42" t="inlineStr">
        <is>
          <t>US Senate</t>
        </is>
      </c>
      <c r="L141" s="43" t="n">
        <v>509</v>
      </c>
      <c r="M141" s="43" t="n">
        <v>1617</v>
      </c>
      <c r="N141" s="43" t="n">
        <v>2148</v>
      </c>
      <c r="O141" s="44">
        <f>IFERROR((F141-G141)/(F141+G141),"")</f>
        <v/>
      </c>
      <c r="P141" s="44">
        <f>IFERROR((I141-J141)/(I141+J141),"")</f>
        <v/>
      </c>
      <c r="Q141" s="45">
        <f>IFERROR(O141-P141,"")</f>
        <v/>
      </c>
      <c r="R141" s="44">
        <f>IFERROR((L141-M141)/(L141+M141),"")</f>
        <v/>
      </c>
      <c r="S141" s="46">
        <f>H141/SUMIFS(Counties!$H$2:$H$1583,Counties!$A$2:$A$1583,$A141)</f>
        <v/>
      </c>
      <c r="T141" s="44">
        <f>O141+INDEX(Dashboard!$F$6:$F$22,MATCH($A141,Dashboard!$A$6:$A$22,0))</f>
        <v/>
      </c>
      <c r="U141" s="43">
        <f>AQ141*INDEX(Dashboard!$G$6:$G$22,MATCH($A141,Dashboard!$A$6:$A$22,0))</f>
        <v/>
      </c>
      <c r="V141" s="47" t="n"/>
      <c r="W141" s="47" t="n"/>
      <c r="X141" s="47" t="n"/>
      <c r="Y141" s="48" t="n"/>
      <c r="Z141" s="49" t="n"/>
      <c r="AA141" s="49" t="n"/>
      <c r="AB141" s="49" t="n"/>
      <c r="AC141" s="50" t="n"/>
      <c r="AD141" s="43">
        <f>IF(Z141&lt;&gt;"",Z141,N(V141))</f>
        <v/>
      </c>
      <c r="AE141" s="43">
        <f>IF(AA141&lt;&gt;"",AA141,N(W141))</f>
        <v/>
      </c>
      <c r="AF141" s="43">
        <f>AD141+AE141</f>
        <v/>
      </c>
      <c r="AG141" s="42">
        <f>IF(UPPER(AC141)="Y",1,IF(AF141=0,0,IF(AND(Z141="",Y141&lt;&gt;""),IF(Y141&gt;=0.999,1,0),IF(AF141&gt;=U141,1,0))))</f>
        <v/>
      </c>
      <c r="AH141" s="44">
        <f>IF(AF141&gt;0,(AD141-AE141)/AF141,"")</f>
        <v/>
      </c>
      <c r="AI141" s="45">
        <f>IF(AG141=1,AH141-O141,"")</f>
        <v/>
      </c>
      <c r="AJ141" s="44">
        <f>IF(AG141=1,AH141,MAX(-1,MIN(1,O141+INDEX(Types!$H:$H,MATCH($A141&amp;"|"&amp;$D141,Types!$A:$A,0)))))</f>
        <v/>
      </c>
      <c r="AK141" s="43">
        <f>IF(AG141=1,AF141,MAX(AQ141*AS141,AF141))</f>
        <v/>
      </c>
      <c r="AL141" s="43">
        <f>IF(AG141=1,AD141,AK141*(1+AJ141)/2)</f>
        <v/>
      </c>
      <c r="AM141" s="43">
        <f>IF(AG141=1,AE141,AK141*(1-AJ141)/2)</f>
        <v/>
      </c>
      <c r="AN141" s="45">
        <f>IF(AH141="","",AH141-T141)</f>
        <v/>
      </c>
      <c r="AO141" s="51">
        <f>IF(AG141=1,1,IF(U141&gt;0,MIN(AF141/U141,0.99),0))</f>
        <v/>
      </c>
      <c r="AP141" s="43">
        <f>IF(AG141=1,AI141*AF141,0)</f>
        <v/>
      </c>
      <c r="AQ141" s="43">
        <f>N141*(F141+G141)/H141</f>
        <v/>
      </c>
      <c r="AR141" s="43">
        <f>O141*AQ141</f>
        <v/>
      </c>
      <c r="AS141" s="52">
        <f>IF(AG141=1,IF(AQ141&gt;0,AF141/AQ141,1),IFERROR(INDEX(Types!$K:$K,MATCH($A141&amp;"|"&amp;$D141,Types!$A:$A,0)),INDEX(Dashboard!$X$6:$X$22,MATCH($A141,Dashboard!$A$6:$A$22,0))))</f>
        <v/>
      </c>
      <c r="AT141" s="43">
        <f>AQ141*INDEX(Dashboard!$Y$6:$Y$22,MATCH($A141,Dashboard!$A$6:$A$22,0))</f>
        <v/>
      </c>
      <c r="AU141" s="53">
        <f>IF(AND(AG141=1,AT141&gt;0,AF141&gt;0),100*AF141/AT141,"")</f>
        <v/>
      </c>
      <c r="AV141" s="44">
        <f>IF(AU141="","",T141/(AU141/100))</f>
        <v/>
      </c>
      <c r="AW141" s="53">
        <f>IF(AU141="","",IF(AND(ABS(AH141)&gt;=0.1,ABS(T141)&gt;=0.05,SIGN(AH141)=SIGN(T141)),100*T141/AH141,""))</f>
        <v/>
      </c>
      <c r="AX141" s="45">
        <f>IF(AU141="","",T141-AV141)</f>
        <v/>
      </c>
      <c r="AY141" s="45">
        <f>IF(AU141="","",AH141-AV141)</f>
        <v/>
      </c>
      <c r="AZ141" s="54">
        <f>(AL141-AM141)-T141*AT141</f>
        <v/>
      </c>
      <c r="BA141" s="43">
        <f>IF(AU141="",0,(AH141-T141)*AF141)</f>
        <v/>
      </c>
      <c r="BB141" s="43">
        <f>IF(AU141="",0,T141*(AF141-AT141))</f>
        <v/>
      </c>
      <c r="BC141" s="51" t="n">
        <v>0.2775361057943275</v>
      </c>
      <c r="BD141" s="51" t="n">
        <v>0.035148773273012</v>
      </c>
      <c r="BE141" s="51" t="n">
        <v>0.2191304347826087</v>
      </c>
      <c r="BF141" s="43" t="n">
        <v>5747</v>
      </c>
    </row>
    <row r="142">
      <c r="A142" s="42" t="inlineStr">
        <is>
          <t>GA</t>
        </is>
      </c>
      <c r="B142" s="42" t="inlineStr">
        <is>
          <t>13205</t>
        </is>
      </c>
      <c r="C142" s="42" t="inlineStr">
        <is>
          <t>Mitchell</t>
        </is>
      </c>
      <c r="D142" s="42" t="inlineStr">
        <is>
          <t>Black Belt</t>
        </is>
      </c>
      <c r="E142" s="42" t="inlineStr"/>
      <c r="F142" s="43" t="n">
        <v>3701</v>
      </c>
      <c r="G142" s="43" t="n">
        <v>5150</v>
      </c>
      <c r="H142" s="43" t="n">
        <v>8877</v>
      </c>
      <c r="I142" s="43" t="n">
        <v>3993</v>
      </c>
      <c r="J142" s="43" t="n">
        <v>4935</v>
      </c>
      <c r="K142" s="42" t="inlineStr">
        <is>
          <t>US Senate</t>
        </is>
      </c>
      <c r="L142" s="43" t="n">
        <v>2953</v>
      </c>
      <c r="M142" s="43" t="n">
        <v>3986</v>
      </c>
      <c r="N142" s="43" t="n">
        <v>7020</v>
      </c>
      <c r="O142" s="44">
        <f>IFERROR((F142-G142)/(F142+G142),"")</f>
        <v/>
      </c>
      <c r="P142" s="44">
        <f>IFERROR((I142-J142)/(I142+J142),"")</f>
        <v/>
      </c>
      <c r="Q142" s="45">
        <f>IFERROR(O142-P142,"")</f>
        <v/>
      </c>
      <c r="R142" s="44">
        <f>IFERROR((L142-M142)/(L142+M142),"")</f>
        <v/>
      </c>
      <c r="S142" s="46">
        <f>H142/SUMIFS(Counties!$H$2:$H$1583,Counties!$A$2:$A$1583,$A142)</f>
        <v/>
      </c>
      <c r="T142" s="44">
        <f>O142+INDEX(Dashboard!$F$6:$F$22,MATCH($A142,Dashboard!$A$6:$A$22,0))</f>
        <v/>
      </c>
      <c r="U142" s="43">
        <f>AQ142*INDEX(Dashboard!$G$6:$G$22,MATCH($A142,Dashboard!$A$6:$A$22,0))</f>
        <v/>
      </c>
      <c r="V142" s="47" t="n"/>
      <c r="W142" s="47" t="n"/>
      <c r="X142" s="47" t="n"/>
      <c r="Y142" s="48" t="n"/>
      <c r="Z142" s="49" t="n"/>
      <c r="AA142" s="49" t="n"/>
      <c r="AB142" s="49" t="n"/>
      <c r="AC142" s="50" t="n"/>
      <c r="AD142" s="43">
        <f>IF(Z142&lt;&gt;"",Z142,N(V142))</f>
        <v/>
      </c>
      <c r="AE142" s="43">
        <f>IF(AA142&lt;&gt;"",AA142,N(W142))</f>
        <v/>
      </c>
      <c r="AF142" s="43">
        <f>AD142+AE142</f>
        <v/>
      </c>
      <c r="AG142" s="42">
        <f>IF(UPPER(AC142)="Y",1,IF(AF142=0,0,IF(AND(Z142="",Y142&lt;&gt;""),IF(Y142&gt;=0.999,1,0),IF(AF142&gt;=U142,1,0))))</f>
        <v/>
      </c>
      <c r="AH142" s="44">
        <f>IF(AF142&gt;0,(AD142-AE142)/AF142,"")</f>
        <v/>
      </c>
      <c r="AI142" s="45">
        <f>IF(AG142=1,AH142-O142,"")</f>
        <v/>
      </c>
      <c r="AJ142" s="44">
        <f>IF(AG142=1,AH142,MAX(-1,MIN(1,O142+INDEX(Types!$H:$H,MATCH($A142&amp;"|"&amp;$D142,Types!$A:$A,0)))))</f>
        <v/>
      </c>
      <c r="AK142" s="43">
        <f>IF(AG142=1,AF142,MAX(AQ142*AS142,AF142))</f>
        <v/>
      </c>
      <c r="AL142" s="43">
        <f>IF(AG142=1,AD142,AK142*(1+AJ142)/2)</f>
        <v/>
      </c>
      <c r="AM142" s="43">
        <f>IF(AG142=1,AE142,AK142*(1-AJ142)/2)</f>
        <v/>
      </c>
      <c r="AN142" s="45">
        <f>IF(AH142="","",AH142-T142)</f>
        <v/>
      </c>
      <c r="AO142" s="51">
        <f>IF(AG142=1,1,IF(U142&gt;0,MIN(AF142/U142,0.99),0))</f>
        <v/>
      </c>
      <c r="AP142" s="43">
        <f>IF(AG142=1,AI142*AF142,0)</f>
        <v/>
      </c>
      <c r="AQ142" s="43">
        <f>N142*(F142+G142)/H142</f>
        <v/>
      </c>
      <c r="AR142" s="43">
        <f>O142*AQ142</f>
        <v/>
      </c>
      <c r="AS142" s="52">
        <f>IF(AG142=1,IF(AQ142&gt;0,AF142/AQ142,1),IFERROR(INDEX(Types!$K:$K,MATCH($A142&amp;"|"&amp;$D142,Types!$A:$A,0)),INDEX(Dashboard!$X$6:$X$22,MATCH($A142,Dashboard!$A$6:$A$22,0))))</f>
        <v/>
      </c>
      <c r="AT142" s="43">
        <f>AQ142*INDEX(Dashboard!$Y$6:$Y$22,MATCH($A142,Dashboard!$A$6:$A$22,0))</f>
        <v/>
      </c>
      <c r="AU142" s="53">
        <f>IF(AND(AG142=1,AT142&gt;0,AF142&gt;0),100*AF142/AT142,"")</f>
        <v/>
      </c>
      <c r="AV142" s="44">
        <f>IF(AU142="","",T142/(AU142/100))</f>
        <v/>
      </c>
      <c r="AW142" s="53">
        <f>IF(AU142="","",IF(AND(ABS(AH142)&gt;=0.1,ABS(T142)&gt;=0.05,SIGN(AH142)=SIGN(T142)),100*T142/AH142,""))</f>
        <v/>
      </c>
      <c r="AX142" s="45">
        <f>IF(AU142="","",T142-AV142)</f>
        <v/>
      </c>
      <c r="AY142" s="45">
        <f>IF(AU142="","",AH142-AV142)</f>
        <v/>
      </c>
      <c r="AZ142" s="54">
        <f>(AL142-AM142)-T142*AT142</f>
        <v/>
      </c>
      <c r="BA142" s="43">
        <f>IF(AU142="",0,(AH142-T142)*AF142)</f>
        <v/>
      </c>
      <c r="BB142" s="43">
        <f>IF(AU142="",0,T142*(AF142-AT142))</f>
        <v/>
      </c>
      <c r="BC142" s="51" t="n">
        <v>0.4580373212086767</v>
      </c>
      <c r="BD142" s="51" t="n">
        <v>0.05531874585583026</v>
      </c>
      <c r="BE142" s="51" t="n">
        <v>0.1285980534272106</v>
      </c>
      <c r="BF142" s="43" t="n">
        <v>21114</v>
      </c>
    </row>
    <row r="143">
      <c r="A143" s="42" t="inlineStr">
        <is>
          <t>GA</t>
        </is>
      </c>
      <c r="B143" s="42" t="inlineStr">
        <is>
          <t>13207</t>
        </is>
      </c>
      <c r="C143" s="42" t="inlineStr">
        <is>
          <t>Monroe</t>
        </is>
      </c>
      <c r="D143" s="42" t="inlineStr">
        <is>
          <t>Small town &amp; rural</t>
        </is>
      </c>
      <c r="E143" s="42" t="inlineStr"/>
      <c r="F143" s="43" t="n">
        <v>4689</v>
      </c>
      <c r="G143" s="43" t="n">
        <v>12954</v>
      </c>
      <c r="H143" s="43" t="n">
        <v>17704</v>
      </c>
      <c r="I143" s="43" t="n">
        <v>4385</v>
      </c>
      <c r="J143" s="43" t="n">
        <v>11057</v>
      </c>
      <c r="K143" s="42" t="inlineStr">
        <is>
          <t>US Senate</t>
        </is>
      </c>
      <c r="L143" s="43" t="n">
        <v>3737</v>
      </c>
      <c r="M143" s="43" t="n">
        <v>9673</v>
      </c>
      <c r="N143" s="43" t="n">
        <v>13665</v>
      </c>
      <c r="O143" s="44">
        <f>IFERROR((F143-G143)/(F143+G143),"")</f>
        <v/>
      </c>
      <c r="P143" s="44">
        <f>IFERROR((I143-J143)/(I143+J143),"")</f>
        <v/>
      </c>
      <c r="Q143" s="45">
        <f>IFERROR(O143-P143,"")</f>
        <v/>
      </c>
      <c r="R143" s="44">
        <f>IFERROR((L143-M143)/(L143+M143),"")</f>
        <v/>
      </c>
      <c r="S143" s="46">
        <f>H143/SUMIFS(Counties!$H$2:$H$1583,Counties!$A$2:$A$1583,$A143)</f>
        <v/>
      </c>
      <c r="T143" s="44">
        <f>O143+INDEX(Dashboard!$F$6:$F$22,MATCH($A143,Dashboard!$A$6:$A$22,0))</f>
        <v/>
      </c>
      <c r="U143" s="43">
        <f>AQ143*INDEX(Dashboard!$G$6:$G$22,MATCH($A143,Dashboard!$A$6:$A$22,0))</f>
        <v/>
      </c>
      <c r="V143" s="47" t="n"/>
      <c r="W143" s="47" t="n"/>
      <c r="X143" s="47" t="n"/>
      <c r="Y143" s="48" t="n"/>
      <c r="Z143" s="49" t="n"/>
      <c r="AA143" s="49" t="n"/>
      <c r="AB143" s="49" t="n"/>
      <c r="AC143" s="50" t="n"/>
      <c r="AD143" s="43">
        <f>IF(Z143&lt;&gt;"",Z143,N(V143))</f>
        <v/>
      </c>
      <c r="AE143" s="43">
        <f>IF(AA143&lt;&gt;"",AA143,N(W143))</f>
        <v/>
      </c>
      <c r="AF143" s="43">
        <f>AD143+AE143</f>
        <v/>
      </c>
      <c r="AG143" s="42">
        <f>IF(UPPER(AC143)="Y",1,IF(AF143=0,0,IF(AND(Z143="",Y143&lt;&gt;""),IF(Y143&gt;=0.999,1,0),IF(AF143&gt;=U143,1,0))))</f>
        <v/>
      </c>
      <c r="AH143" s="44">
        <f>IF(AF143&gt;0,(AD143-AE143)/AF143,"")</f>
        <v/>
      </c>
      <c r="AI143" s="45">
        <f>IF(AG143=1,AH143-O143,"")</f>
        <v/>
      </c>
      <c r="AJ143" s="44">
        <f>IF(AG143=1,AH143,MAX(-1,MIN(1,O143+INDEX(Types!$H:$H,MATCH($A143&amp;"|"&amp;$D143,Types!$A:$A,0)))))</f>
        <v/>
      </c>
      <c r="AK143" s="43">
        <f>IF(AG143=1,AF143,MAX(AQ143*AS143,AF143))</f>
        <v/>
      </c>
      <c r="AL143" s="43">
        <f>IF(AG143=1,AD143,AK143*(1+AJ143)/2)</f>
        <v/>
      </c>
      <c r="AM143" s="43">
        <f>IF(AG143=1,AE143,AK143*(1-AJ143)/2)</f>
        <v/>
      </c>
      <c r="AN143" s="45">
        <f>IF(AH143="","",AH143-T143)</f>
        <v/>
      </c>
      <c r="AO143" s="51">
        <f>IF(AG143=1,1,IF(U143&gt;0,MIN(AF143/U143,0.99),0))</f>
        <v/>
      </c>
      <c r="AP143" s="43">
        <f>IF(AG143=1,AI143*AF143,0)</f>
        <v/>
      </c>
      <c r="AQ143" s="43">
        <f>N143*(F143+G143)/H143</f>
        <v/>
      </c>
      <c r="AR143" s="43">
        <f>O143*AQ143</f>
        <v/>
      </c>
      <c r="AS143" s="52">
        <f>IF(AG143=1,IF(AQ143&gt;0,AF143/AQ143,1),IFERROR(INDEX(Types!$K:$K,MATCH($A143&amp;"|"&amp;$D143,Types!$A:$A,0)),INDEX(Dashboard!$X$6:$X$22,MATCH($A143,Dashboard!$A$6:$A$22,0))))</f>
        <v/>
      </c>
      <c r="AT143" s="43">
        <f>AQ143*INDEX(Dashboard!$Y$6:$Y$22,MATCH($A143,Dashboard!$A$6:$A$22,0))</f>
        <v/>
      </c>
      <c r="AU143" s="53">
        <f>IF(AND(AG143=1,AT143&gt;0,AF143&gt;0),100*AF143/AT143,"")</f>
        <v/>
      </c>
      <c r="AV143" s="44">
        <f>IF(AU143="","",T143/(AU143/100))</f>
        <v/>
      </c>
      <c r="AW143" s="53">
        <f>IF(AU143="","",IF(AND(ABS(AH143)&gt;=0.1,ABS(T143)&gt;=0.05,SIGN(AH143)=SIGN(T143)),100*T143/AH143,""))</f>
        <v/>
      </c>
      <c r="AX143" s="45">
        <f>IF(AU143="","",T143-AV143)</f>
        <v/>
      </c>
      <c r="AY143" s="45">
        <f>IF(AU143="","",AH143-AV143)</f>
        <v/>
      </c>
      <c r="AZ143" s="54">
        <f>(AL143-AM143)-T143*AT143</f>
        <v/>
      </c>
      <c r="BA143" s="43">
        <f>IF(AU143="",0,(AH143-T143)*AF143)</f>
        <v/>
      </c>
      <c r="BB143" s="43">
        <f>IF(AU143="",0,T143*(AF143-AT143))</f>
        <v/>
      </c>
      <c r="BC143" s="51" t="n">
        <v>0.219330612244898</v>
      </c>
      <c r="BD143" s="51" t="n">
        <v>0.03056326530612245</v>
      </c>
      <c r="BE143" s="51" t="n">
        <v>0.2868251609707776</v>
      </c>
      <c r="BF143" s="43" t="n">
        <v>30625</v>
      </c>
    </row>
    <row r="144">
      <c r="A144" s="42" t="inlineStr">
        <is>
          <t>GA</t>
        </is>
      </c>
      <c r="B144" s="42" t="inlineStr">
        <is>
          <t>13209</t>
        </is>
      </c>
      <c r="C144" s="42" t="inlineStr">
        <is>
          <t>Montgomery</t>
        </is>
      </c>
      <c r="D144" s="42" t="inlineStr">
        <is>
          <t>Small town &amp; rural</t>
        </is>
      </c>
      <c r="E144" s="42" t="inlineStr"/>
      <c r="F144" s="43" t="n">
        <v>927</v>
      </c>
      <c r="G144" s="43" t="n">
        <v>3033</v>
      </c>
      <c r="H144" s="43" t="n">
        <v>3973</v>
      </c>
      <c r="I144" s="43" t="n">
        <v>980</v>
      </c>
      <c r="J144" s="43" t="n">
        <v>2960</v>
      </c>
      <c r="K144" s="42" t="inlineStr">
        <is>
          <t>US Senate</t>
        </is>
      </c>
      <c r="L144" s="43" t="n">
        <v>742</v>
      </c>
      <c r="M144" s="43" t="n">
        <v>2450</v>
      </c>
      <c r="N144" s="43" t="n">
        <v>3226</v>
      </c>
      <c r="O144" s="44">
        <f>IFERROR((F144-G144)/(F144+G144),"")</f>
        <v/>
      </c>
      <c r="P144" s="44">
        <f>IFERROR((I144-J144)/(I144+J144),"")</f>
        <v/>
      </c>
      <c r="Q144" s="45">
        <f>IFERROR(O144-P144,"")</f>
        <v/>
      </c>
      <c r="R144" s="44">
        <f>IFERROR((L144-M144)/(L144+M144),"")</f>
        <v/>
      </c>
      <c r="S144" s="46">
        <f>H144/SUMIFS(Counties!$H$2:$H$1583,Counties!$A$2:$A$1583,$A144)</f>
        <v/>
      </c>
      <c r="T144" s="44">
        <f>O144+INDEX(Dashboard!$F$6:$F$22,MATCH($A144,Dashboard!$A$6:$A$22,0))</f>
        <v/>
      </c>
      <c r="U144" s="43">
        <f>AQ144*INDEX(Dashboard!$G$6:$G$22,MATCH($A144,Dashboard!$A$6:$A$22,0))</f>
        <v/>
      </c>
      <c r="V144" s="47" t="n"/>
      <c r="W144" s="47" t="n"/>
      <c r="X144" s="47" t="n"/>
      <c r="Y144" s="48" t="n"/>
      <c r="Z144" s="49" t="n"/>
      <c r="AA144" s="49" t="n"/>
      <c r="AB144" s="49" t="n"/>
      <c r="AC144" s="50" t="n"/>
      <c r="AD144" s="43">
        <f>IF(Z144&lt;&gt;"",Z144,N(V144))</f>
        <v/>
      </c>
      <c r="AE144" s="43">
        <f>IF(AA144&lt;&gt;"",AA144,N(W144))</f>
        <v/>
      </c>
      <c r="AF144" s="43">
        <f>AD144+AE144</f>
        <v/>
      </c>
      <c r="AG144" s="42">
        <f>IF(UPPER(AC144)="Y",1,IF(AF144=0,0,IF(AND(Z144="",Y144&lt;&gt;""),IF(Y144&gt;=0.999,1,0),IF(AF144&gt;=U144,1,0))))</f>
        <v/>
      </c>
      <c r="AH144" s="44">
        <f>IF(AF144&gt;0,(AD144-AE144)/AF144,"")</f>
        <v/>
      </c>
      <c r="AI144" s="45">
        <f>IF(AG144=1,AH144-O144,"")</f>
        <v/>
      </c>
      <c r="AJ144" s="44">
        <f>IF(AG144=1,AH144,MAX(-1,MIN(1,O144+INDEX(Types!$H:$H,MATCH($A144&amp;"|"&amp;$D144,Types!$A:$A,0)))))</f>
        <v/>
      </c>
      <c r="AK144" s="43">
        <f>IF(AG144=1,AF144,MAX(AQ144*AS144,AF144))</f>
        <v/>
      </c>
      <c r="AL144" s="43">
        <f>IF(AG144=1,AD144,AK144*(1+AJ144)/2)</f>
        <v/>
      </c>
      <c r="AM144" s="43">
        <f>IF(AG144=1,AE144,AK144*(1-AJ144)/2)</f>
        <v/>
      </c>
      <c r="AN144" s="45">
        <f>IF(AH144="","",AH144-T144)</f>
        <v/>
      </c>
      <c r="AO144" s="51">
        <f>IF(AG144=1,1,IF(U144&gt;0,MIN(AF144/U144,0.99),0))</f>
        <v/>
      </c>
      <c r="AP144" s="43">
        <f>IF(AG144=1,AI144*AF144,0)</f>
        <v/>
      </c>
      <c r="AQ144" s="43">
        <f>N144*(F144+G144)/H144</f>
        <v/>
      </c>
      <c r="AR144" s="43">
        <f>O144*AQ144</f>
        <v/>
      </c>
      <c r="AS144" s="52">
        <f>IF(AG144=1,IF(AQ144&gt;0,AF144/AQ144,1),IFERROR(INDEX(Types!$K:$K,MATCH($A144&amp;"|"&amp;$D144,Types!$A:$A,0)),INDEX(Dashboard!$X$6:$X$22,MATCH($A144,Dashboard!$A$6:$A$22,0))))</f>
        <v/>
      </c>
      <c r="AT144" s="43">
        <f>AQ144*INDEX(Dashboard!$Y$6:$Y$22,MATCH($A144,Dashboard!$A$6:$A$22,0))</f>
        <v/>
      </c>
      <c r="AU144" s="53">
        <f>IF(AND(AG144=1,AT144&gt;0,AF144&gt;0),100*AF144/AT144,"")</f>
        <v/>
      </c>
      <c r="AV144" s="44">
        <f>IF(AU144="","",T144/(AU144/100))</f>
        <v/>
      </c>
      <c r="AW144" s="53">
        <f>IF(AU144="","",IF(AND(ABS(AH144)&gt;=0.1,ABS(T144)&gt;=0.05,SIGN(AH144)=SIGN(T144)),100*T144/AH144,""))</f>
        <v/>
      </c>
      <c r="AX144" s="45">
        <f>IF(AU144="","",T144-AV144)</f>
        <v/>
      </c>
      <c r="AY144" s="45">
        <f>IF(AU144="","",AH144-AV144)</f>
        <v/>
      </c>
      <c r="AZ144" s="54">
        <f>(AL144-AM144)-T144*AT144</f>
        <v/>
      </c>
      <c r="BA144" s="43">
        <f>IF(AU144="",0,(AH144-T144)*AF144)</f>
        <v/>
      </c>
      <c r="BB144" s="43">
        <f>IF(AU144="",0,T144*(AF144-AT144))</f>
        <v/>
      </c>
      <c r="BC144" s="51" t="n">
        <v>0.2543088688505878</v>
      </c>
      <c r="BD144" s="51" t="n">
        <v>0.07727428375756193</v>
      </c>
      <c r="BE144" s="51" t="n">
        <v>0.2023292195376325</v>
      </c>
      <c r="BF144" s="43" t="n">
        <v>8761</v>
      </c>
    </row>
    <row r="145">
      <c r="A145" s="42" t="inlineStr">
        <is>
          <t>GA</t>
        </is>
      </c>
      <c r="B145" s="42" t="inlineStr">
        <is>
          <t>13211</t>
        </is>
      </c>
      <c r="C145" s="42" t="inlineStr">
        <is>
          <t>Morgan</t>
        </is>
      </c>
      <c r="D145" s="42" t="inlineStr">
        <is>
          <t>Small town &amp; rural</t>
        </is>
      </c>
      <c r="E145" s="42" t="inlineStr"/>
      <c r="F145" s="43" t="n">
        <v>3533</v>
      </c>
      <c r="G145" s="43" t="n">
        <v>9589</v>
      </c>
      <c r="H145" s="43" t="n">
        <v>13181</v>
      </c>
      <c r="I145" s="43" t="n">
        <v>3353</v>
      </c>
      <c r="J145" s="43" t="n">
        <v>8231</v>
      </c>
      <c r="K145" s="42" t="inlineStr">
        <is>
          <t>US Senate</t>
        </is>
      </c>
      <c r="L145" s="43" t="n">
        <v>2762</v>
      </c>
      <c r="M145" s="43" t="n">
        <v>7322</v>
      </c>
      <c r="N145" s="43" t="n">
        <v>10258</v>
      </c>
      <c r="O145" s="44">
        <f>IFERROR((F145-G145)/(F145+G145),"")</f>
        <v/>
      </c>
      <c r="P145" s="44">
        <f>IFERROR((I145-J145)/(I145+J145),"")</f>
        <v/>
      </c>
      <c r="Q145" s="45">
        <f>IFERROR(O145-P145,"")</f>
        <v/>
      </c>
      <c r="R145" s="44">
        <f>IFERROR((L145-M145)/(L145+M145),"")</f>
        <v/>
      </c>
      <c r="S145" s="46">
        <f>H145/SUMIFS(Counties!$H$2:$H$1583,Counties!$A$2:$A$1583,$A145)</f>
        <v/>
      </c>
      <c r="T145" s="44">
        <f>O145+INDEX(Dashboard!$F$6:$F$22,MATCH($A145,Dashboard!$A$6:$A$22,0))</f>
        <v/>
      </c>
      <c r="U145" s="43">
        <f>AQ145*INDEX(Dashboard!$G$6:$G$22,MATCH($A145,Dashboard!$A$6:$A$22,0))</f>
        <v/>
      </c>
      <c r="V145" s="47" t="n"/>
      <c r="W145" s="47" t="n"/>
      <c r="X145" s="47" t="n"/>
      <c r="Y145" s="48" t="n"/>
      <c r="Z145" s="49" t="n"/>
      <c r="AA145" s="49" t="n"/>
      <c r="AB145" s="49" t="n"/>
      <c r="AC145" s="50" t="n"/>
      <c r="AD145" s="43">
        <f>IF(Z145&lt;&gt;"",Z145,N(V145))</f>
        <v/>
      </c>
      <c r="AE145" s="43">
        <f>IF(AA145&lt;&gt;"",AA145,N(W145))</f>
        <v/>
      </c>
      <c r="AF145" s="43">
        <f>AD145+AE145</f>
        <v/>
      </c>
      <c r="AG145" s="42">
        <f>IF(UPPER(AC145)="Y",1,IF(AF145=0,0,IF(AND(Z145="",Y145&lt;&gt;""),IF(Y145&gt;=0.999,1,0),IF(AF145&gt;=U145,1,0))))</f>
        <v/>
      </c>
      <c r="AH145" s="44">
        <f>IF(AF145&gt;0,(AD145-AE145)/AF145,"")</f>
        <v/>
      </c>
      <c r="AI145" s="45">
        <f>IF(AG145=1,AH145-O145,"")</f>
        <v/>
      </c>
      <c r="AJ145" s="44">
        <f>IF(AG145=1,AH145,MAX(-1,MIN(1,O145+INDEX(Types!$H:$H,MATCH($A145&amp;"|"&amp;$D145,Types!$A:$A,0)))))</f>
        <v/>
      </c>
      <c r="AK145" s="43">
        <f>IF(AG145=1,AF145,MAX(AQ145*AS145,AF145))</f>
        <v/>
      </c>
      <c r="AL145" s="43">
        <f>IF(AG145=1,AD145,AK145*(1+AJ145)/2)</f>
        <v/>
      </c>
      <c r="AM145" s="43">
        <f>IF(AG145=1,AE145,AK145*(1-AJ145)/2)</f>
        <v/>
      </c>
      <c r="AN145" s="45">
        <f>IF(AH145="","",AH145-T145)</f>
        <v/>
      </c>
      <c r="AO145" s="51">
        <f>IF(AG145=1,1,IF(U145&gt;0,MIN(AF145/U145,0.99),0))</f>
        <v/>
      </c>
      <c r="AP145" s="43">
        <f>IF(AG145=1,AI145*AF145,0)</f>
        <v/>
      </c>
      <c r="AQ145" s="43">
        <f>N145*(F145+G145)/H145</f>
        <v/>
      </c>
      <c r="AR145" s="43">
        <f>O145*AQ145</f>
        <v/>
      </c>
      <c r="AS145" s="52">
        <f>IF(AG145=1,IF(AQ145&gt;0,AF145/AQ145,1),IFERROR(INDEX(Types!$K:$K,MATCH($A145&amp;"|"&amp;$D145,Types!$A:$A,0)),INDEX(Dashboard!$X$6:$X$22,MATCH($A145,Dashboard!$A$6:$A$22,0))))</f>
        <v/>
      </c>
      <c r="AT145" s="43">
        <f>AQ145*INDEX(Dashboard!$Y$6:$Y$22,MATCH($A145,Dashboard!$A$6:$A$22,0))</f>
        <v/>
      </c>
      <c r="AU145" s="53">
        <f>IF(AND(AG145=1,AT145&gt;0,AF145&gt;0),100*AF145/AT145,"")</f>
        <v/>
      </c>
      <c r="AV145" s="44">
        <f>IF(AU145="","",T145/(AU145/100))</f>
        <v/>
      </c>
      <c r="AW145" s="53">
        <f>IF(AU145="","",IF(AND(ABS(AH145)&gt;=0.1,ABS(T145)&gt;=0.05,SIGN(AH145)=SIGN(T145)),100*T145/AH145,""))</f>
        <v/>
      </c>
      <c r="AX145" s="45">
        <f>IF(AU145="","",T145-AV145)</f>
        <v/>
      </c>
      <c r="AY145" s="45">
        <f>IF(AU145="","",AH145-AV145)</f>
        <v/>
      </c>
      <c r="AZ145" s="54">
        <f>(AL145-AM145)-T145*AT145</f>
        <v/>
      </c>
      <c r="BA145" s="43">
        <f>IF(AU145="",0,(AH145-T145)*AF145)</f>
        <v/>
      </c>
      <c r="BB145" s="43">
        <f>IF(AU145="",0,T145*(AF145-AT145))</f>
        <v/>
      </c>
      <c r="BC145" s="51" t="n">
        <v>0.194874184529357</v>
      </c>
      <c r="BD145" s="51" t="n">
        <v>0.03937558247903075</v>
      </c>
      <c r="BE145" s="51" t="n">
        <v>0.3013503426748999</v>
      </c>
      <c r="BF145" s="43" t="n">
        <v>21460</v>
      </c>
    </row>
    <row r="146">
      <c r="A146" s="42" t="inlineStr">
        <is>
          <t>GA</t>
        </is>
      </c>
      <c r="B146" s="42" t="inlineStr">
        <is>
          <t>13213</t>
        </is>
      </c>
      <c r="C146" s="42" t="inlineStr">
        <is>
          <t>Murray</t>
        </is>
      </c>
      <c r="D146" s="42" t="inlineStr">
        <is>
          <t>Small town &amp; rural</t>
        </is>
      </c>
      <c r="E146" s="42" t="inlineStr"/>
      <c r="F146" s="43" t="n">
        <v>2459</v>
      </c>
      <c r="G146" s="43" t="n">
        <v>14965</v>
      </c>
      <c r="H146" s="43" t="n">
        <v>17468</v>
      </c>
      <c r="I146" s="43" t="n">
        <v>2301</v>
      </c>
      <c r="J146" s="43" t="n">
        <v>12944</v>
      </c>
      <c r="K146" s="42" t="inlineStr">
        <is>
          <t>US Senate</t>
        </is>
      </c>
      <c r="L146" s="43" t="n">
        <v>1533</v>
      </c>
      <c r="M146" s="43" t="n">
        <v>9737</v>
      </c>
      <c r="N146" s="43" t="n">
        <v>11469</v>
      </c>
      <c r="O146" s="44">
        <f>IFERROR((F146-G146)/(F146+G146),"")</f>
        <v/>
      </c>
      <c r="P146" s="44">
        <f>IFERROR((I146-J146)/(I146+J146),"")</f>
        <v/>
      </c>
      <c r="Q146" s="45">
        <f>IFERROR(O146-P146,"")</f>
        <v/>
      </c>
      <c r="R146" s="44">
        <f>IFERROR((L146-M146)/(L146+M146),"")</f>
        <v/>
      </c>
      <c r="S146" s="46">
        <f>H146/SUMIFS(Counties!$H$2:$H$1583,Counties!$A$2:$A$1583,$A146)</f>
        <v/>
      </c>
      <c r="T146" s="44">
        <f>O146+INDEX(Dashboard!$F$6:$F$22,MATCH($A146,Dashboard!$A$6:$A$22,0))</f>
        <v/>
      </c>
      <c r="U146" s="43">
        <f>AQ146*INDEX(Dashboard!$G$6:$G$22,MATCH($A146,Dashboard!$A$6:$A$22,0))</f>
        <v/>
      </c>
      <c r="V146" s="47" t="n"/>
      <c r="W146" s="47" t="n"/>
      <c r="X146" s="47" t="n"/>
      <c r="Y146" s="48" t="n"/>
      <c r="Z146" s="49" t="n"/>
      <c r="AA146" s="49" t="n"/>
      <c r="AB146" s="49" t="n"/>
      <c r="AC146" s="50" t="n"/>
      <c r="AD146" s="43">
        <f>IF(Z146&lt;&gt;"",Z146,N(V146))</f>
        <v/>
      </c>
      <c r="AE146" s="43">
        <f>IF(AA146&lt;&gt;"",AA146,N(W146))</f>
        <v/>
      </c>
      <c r="AF146" s="43">
        <f>AD146+AE146</f>
        <v/>
      </c>
      <c r="AG146" s="42">
        <f>IF(UPPER(AC146)="Y",1,IF(AF146=0,0,IF(AND(Z146="",Y146&lt;&gt;""),IF(Y146&gt;=0.999,1,0),IF(AF146&gt;=U146,1,0))))</f>
        <v/>
      </c>
      <c r="AH146" s="44">
        <f>IF(AF146&gt;0,(AD146-AE146)/AF146,"")</f>
        <v/>
      </c>
      <c r="AI146" s="45">
        <f>IF(AG146=1,AH146-O146,"")</f>
        <v/>
      </c>
      <c r="AJ146" s="44">
        <f>IF(AG146=1,AH146,MAX(-1,MIN(1,O146+INDEX(Types!$H:$H,MATCH($A146&amp;"|"&amp;$D146,Types!$A:$A,0)))))</f>
        <v/>
      </c>
      <c r="AK146" s="43">
        <f>IF(AG146=1,AF146,MAX(AQ146*AS146,AF146))</f>
        <v/>
      </c>
      <c r="AL146" s="43">
        <f>IF(AG146=1,AD146,AK146*(1+AJ146)/2)</f>
        <v/>
      </c>
      <c r="AM146" s="43">
        <f>IF(AG146=1,AE146,AK146*(1-AJ146)/2)</f>
        <v/>
      </c>
      <c r="AN146" s="45">
        <f>IF(AH146="","",AH146-T146)</f>
        <v/>
      </c>
      <c r="AO146" s="51">
        <f>IF(AG146=1,1,IF(U146&gt;0,MIN(AF146/U146,0.99),0))</f>
        <v/>
      </c>
      <c r="AP146" s="43">
        <f>IF(AG146=1,AI146*AF146,0)</f>
        <v/>
      </c>
      <c r="AQ146" s="43">
        <f>N146*(F146+G146)/H146</f>
        <v/>
      </c>
      <c r="AR146" s="43">
        <f>O146*AQ146</f>
        <v/>
      </c>
      <c r="AS146" s="52">
        <f>IF(AG146=1,IF(AQ146&gt;0,AF146/AQ146,1),IFERROR(INDEX(Types!$K:$K,MATCH($A146&amp;"|"&amp;$D146,Types!$A:$A,0)),INDEX(Dashboard!$X$6:$X$22,MATCH($A146,Dashboard!$A$6:$A$22,0))))</f>
        <v/>
      </c>
      <c r="AT146" s="43">
        <f>AQ146*INDEX(Dashboard!$Y$6:$Y$22,MATCH($A146,Dashboard!$A$6:$A$22,0))</f>
        <v/>
      </c>
      <c r="AU146" s="53">
        <f>IF(AND(AG146=1,AT146&gt;0,AF146&gt;0),100*AF146/AT146,"")</f>
        <v/>
      </c>
      <c r="AV146" s="44">
        <f>IF(AU146="","",T146/(AU146/100))</f>
        <v/>
      </c>
      <c r="AW146" s="53">
        <f>IF(AU146="","",IF(AND(ABS(AH146)&gt;=0.1,ABS(T146)&gt;=0.05,SIGN(AH146)=SIGN(T146)),100*T146/AH146,""))</f>
        <v/>
      </c>
      <c r="AX146" s="45">
        <f>IF(AU146="","",T146-AV146)</f>
        <v/>
      </c>
      <c r="AY146" s="45">
        <f>IF(AU146="","",AH146-AV146)</f>
        <v/>
      </c>
      <c r="AZ146" s="54">
        <f>(AL146-AM146)-T146*AT146</f>
        <v/>
      </c>
      <c r="BA146" s="43">
        <f>IF(AU146="",0,(AH146-T146)*AF146)</f>
        <v/>
      </c>
      <c r="BB146" s="43">
        <f>IF(AU146="",0,T146*(AF146-AT146))</f>
        <v/>
      </c>
      <c r="BC146" s="51" t="n">
        <v>0.01145363713902766</v>
      </c>
      <c r="BD146" s="51" t="n">
        <v>0.1668331911782625</v>
      </c>
      <c r="BE146" s="51" t="n">
        <v>0.1367259576352498</v>
      </c>
      <c r="BF146" s="43" t="n">
        <v>41035</v>
      </c>
    </row>
    <row r="147">
      <c r="A147" s="42" t="inlineStr">
        <is>
          <t>GA</t>
        </is>
      </c>
      <c r="B147" s="42" t="inlineStr">
        <is>
          <t>13215</t>
        </is>
      </c>
      <c r="C147" s="42" t="inlineStr">
        <is>
          <t>Muscogee</t>
        </is>
      </c>
      <c r="D147" s="42" t="inlineStr">
        <is>
          <t>Black Belt</t>
        </is>
      </c>
      <c r="E147" s="42" t="inlineStr"/>
      <c r="F147" s="43" t="n">
        <v>49413</v>
      </c>
      <c r="G147" s="43" t="n">
        <v>30616</v>
      </c>
      <c r="H147" s="43" t="n">
        <v>80491</v>
      </c>
      <c r="I147" s="43" t="n">
        <v>49446</v>
      </c>
      <c r="J147" s="43" t="n">
        <v>30107</v>
      </c>
      <c r="K147" s="42" t="inlineStr">
        <is>
          <t>US Senate</t>
        </is>
      </c>
      <c r="L147" s="43" t="n">
        <v>36861</v>
      </c>
      <c r="M147" s="43" t="n">
        <v>21496</v>
      </c>
      <c r="N147" s="43" t="n">
        <v>59244</v>
      </c>
      <c r="O147" s="44">
        <f>IFERROR((F147-G147)/(F147+G147),"")</f>
        <v/>
      </c>
      <c r="P147" s="44">
        <f>IFERROR((I147-J147)/(I147+J147),"")</f>
        <v/>
      </c>
      <c r="Q147" s="45">
        <f>IFERROR(O147-P147,"")</f>
        <v/>
      </c>
      <c r="R147" s="44">
        <f>IFERROR((L147-M147)/(L147+M147),"")</f>
        <v/>
      </c>
      <c r="S147" s="46">
        <f>H147/SUMIFS(Counties!$H$2:$H$1583,Counties!$A$2:$A$1583,$A147)</f>
        <v/>
      </c>
      <c r="T147" s="44">
        <f>O147+INDEX(Dashboard!$F$6:$F$22,MATCH($A147,Dashboard!$A$6:$A$22,0))</f>
        <v/>
      </c>
      <c r="U147" s="43">
        <f>AQ147*INDEX(Dashboard!$G$6:$G$22,MATCH($A147,Dashboard!$A$6:$A$22,0))</f>
        <v/>
      </c>
      <c r="V147" s="47" t="n"/>
      <c r="W147" s="47" t="n"/>
      <c r="X147" s="47" t="n"/>
      <c r="Y147" s="48" t="n"/>
      <c r="Z147" s="49" t="n"/>
      <c r="AA147" s="49" t="n"/>
      <c r="AB147" s="49" t="n"/>
      <c r="AC147" s="50" t="n"/>
      <c r="AD147" s="43">
        <f>IF(Z147&lt;&gt;"",Z147,N(V147))</f>
        <v/>
      </c>
      <c r="AE147" s="43">
        <f>IF(AA147&lt;&gt;"",AA147,N(W147))</f>
        <v/>
      </c>
      <c r="AF147" s="43">
        <f>AD147+AE147</f>
        <v/>
      </c>
      <c r="AG147" s="42">
        <f>IF(UPPER(AC147)="Y",1,IF(AF147=0,0,IF(AND(Z147="",Y147&lt;&gt;""),IF(Y147&gt;=0.999,1,0),IF(AF147&gt;=U147,1,0))))</f>
        <v/>
      </c>
      <c r="AH147" s="44">
        <f>IF(AF147&gt;0,(AD147-AE147)/AF147,"")</f>
        <v/>
      </c>
      <c r="AI147" s="45">
        <f>IF(AG147=1,AH147-O147,"")</f>
        <v/>
      </c>
      <c r="AJ147" s="44">
        <f>IF(AG147=1,AH147,MAX(-1,MIN(1,O147+INDEX(Types!$H:$H,MATCH($A147&amp;"|"&amp;$D147,Types!$A:$A,0)))))</f>
        <v/>
      </c>
      <c r="AK147" s="43">
        <f>IF(AG147=1,AF147,MAX(AQ147*AS147,AF147))</f>
        <v/>
      </c>
      <c r="AL147" s="43">
        <f>IF(AG147=1,AD147,AK147*(1+AJ147)/2)</f>
        <v/>
      </c>
      <c r="AM147" s="43">
        <f>IF(AG147=1,AE147,AK147*(1-AJ147)/2)</f>
        <v/>
      </c>
      <c r="AN147" s="45">
        <f>IF(AH147="","",AH147-T147)</f>
        <v/>
      </c>
      <c r="AO147" s="51">
        <f>IF(AG147=1,1,IF(U147&gt;0,MIN(AF147/U147,0.99),0))</f>
        <v/>
      </c>
      <c r="AP147" s="43">
        <f>IF(AG147=1,AI147*AF147,0)</f>
        <v/>
      </c>
      <c r="AQ147" s="43">
        <f>N147*(F147+G147)/H147</f>
        <v/>
      </c>
      <c r="AR147" s="43">
        <f>O147*AQ147</f>
        <v/>
      </c>
      <c r="AS147" s="52">
        <f>IF(AG147=1,IF(AQ147&gt;0,AF147/AQ147,1),IFERROR(INDEX(Types!$K:$K,MATCH($A147&amp;"|"&amp;$D147,Types!$A:$A,0)),INDEX(Dashboard!$X$6:$X$22,MATCH($A147,Dashboard!$A$6:$A$22,0))))</f>
        <v/>
      </c>
      <c r="AT147" s="43">
        <f>AQ147*INDEX(Dashboard!$Y$6:$Y$22,MATCH($A147,Dashboard!$A$6:$A$22,0))</f>
        <v/>
      </c>
      <c r="AU147" s="53">
        <f>IF(AND(AG147=1,AT147&gt;0,AF147&gt;0),100*AF147/AT147,"")</f>
        <v/>
      </c>
      <c r="AV147" s="44">
        <f>IF(AU147="","",T147/(AU147/100))</f>
        <v/>
      </c>
      <c r="AW147" s="53">
        <f>IF(AU147="","",IF(AND(ABS(AH147)&gt;=0.1,ABS(T147)&gt;=0.05,SIGN(AH147)=SIGN(T147)),100*T147/AH147,""))</f>
        <v/>
      </c>
      <c r="AX147" s="45">
        <f>IF(AU147="","",T147-AV147)</f>
        <v/>
      </c>
      <c r="AY147" s="45">
        <f>IF(AU147="","",AH147-AV147)</f>
        <v/>
      </c>
      <c r="AZ147" s="54">
        <f>(AL147-AM147)-T147*AT147</f>
        <v/>
      </c>
      <c r="BA147" s="43">
        <f>IF(AU147="",0,(AH147-T147)*AF147)</f>
        <v/>
      </c>
      <c r="BB147" s="43">
        <f>IF(AU147="",0,T147*(AF147-AT147))</f>
        <v/>
      </c>
      <c r="BC147" s="51" t="n">
        <v>0.4789698677907835</v>
      </c>
      <c r="BD147" s="51" t="n">
        <v>0.08704310050179069</v>
      </c>
      <c r="BE147" s="51" t="n">
        <v>0.2973829528248672</v>
      </c>
      <c r="BF147" s="43" t="n">
        <v>201877</v>
      </c>
    </row>
    <row r="148">
      <c r="A148" s="42" t="inlineStr">
        <is>
          <t>GA</t>
        </is>
      </c>
      <c r="B148" s="42" t="inlineStr">
        <is>
          <t>13217</t>
        </is>
      </c>
      <c r="C148" s="42" t="inlineStr">
        <is>
          <t>Newton</t>
        </is>
      </c>
      <c r="D148" s="42" t="inlineStr">
        <is>
          <t>Black Belt</t>
        </is>
      </c>
      <c r="E148" s="42" t="inlineStr"/>
      <c r="F148" s="43" t="n">
        <v>33839</v>
      </c>
      <c r="G148" s="43" t="n">
        <v>24893</v>
      </c>
      <c r="H148" s="43" t="n">
        <v>59051</v>
      </c>
      <c r="I148" s="43" t="n">
        <v>29789</v>
      </c>
      <c r="J148" s="43" t="n">
        <v>23869</v>
      </c>
      <c r="K148" s="42" t="inlineStr">
        <is>
          <t>US Senate</t>
        </is>
      </c>
      <c r="L148" s="43" t="n">
        <v>24348</v>
      </c>
      <c r="M148" s="43" t="n">
        <v>17577</v>
      </c>
      <c r="N148" s="43" t="n">
        <v>42708</v>
      </c>
      <c r="O148" s="44">
        <f>IFERROR((F148-G148)/(F148+G148),"")</f>
        <v/>
      </c>
      <c r="P148" s="44">
        <f>IFERROR((I148-J148)/(I148+J148),"")</f>
        <v/>
      </c>
      <c r="Q148" s="45">
        <f>IFERROR(O148-P148,"")</f>
        <v/>
      </c>
      <c r="R148" s="44">
        <f>IFERROR((L148-M148)/(L148+M148),"")</f>
        <v/>
      </c>
      <c r="S148" s="46">
        <f>H148/SUMIFS(Counties!$H$2:$H$1583,Counties!$A$2:$A$1583,$A148)</f>
        <v/>
      </c>
      <c r="T148" s="44">
        <f>O148+INDEX(Dashboard!$F$6:$F$22,MATCH($A148,Dashboard!$A$6:$A$22,0))</f>
        <v/>
      </c>
      <c r="U148" s="43">
        <f>AQ148*INDEX(Dashboard!$G$6:$G$22,MATCH($A148,Dashboard!$A$6:$A$22,0))</f>
        <v/>
      </c>
      <c r="V148" s="47" t="n"/>
      <c r="W148" s="47" t="n"/>
      <c r="X148" s="47" t="n"/>
      <c r="Y148" s="48" t="n"/>
      <c r="Z148" s="49" t="n"/>
      <c r="AA148" s="49" t="n"/>
      <c r="AB148" s="49" t="n"/>
      <c r="AC148" s="50" t="n"/>
      <c r="AD148" s="43">
        <f>IF(Z148&lt;&gt;"",Z148,N(V148))</f>
        <v/>
      </c>
      <c r="AE148" s="43">
        <f>IF(AA148&lt;&gt;"",AA148,N(W148))</f>
        <v/>
      </c>
      <c r="AF148" s="43">
        <f>AD148+AE148</f>
        <v/>
      </c>
      <c r="AG148" s="42">
        <f>IF(UPPER(AC148)="Y",1,IF(AF148=0,0,IF(AND(Z148="",Y148&lt;&gt;""),IF(Y148&gt;=0.999,1,0),IF(AF148&gt;=U148,1,0))))</f>
        <v/>
      </c>
      <c r="AH148" s="44">
        <f>IF(AF148&gt;0,(AD148-AE148)/AF148,"")</f>
        <v/>
      </c>
      <c r="AI148" s="45">
        <f>IF(AG148=1,AH148-O148,"")</f>
        <v/>
      </c>
      <c r="AJ148" s="44">
        <f>IF(AG148=1,AH148,MAX(-1,MIN(1,O148+INDEX(Types!$H:$H,MATCH($A148&amp;"|"&amp;$D148,Types!$A:$A,0)))))</f>
        <v/>
      </c>
      <c r="AK148" s="43">
        <f>IF(AG148=1,AF148,MAX(AQ148*AS148,AF148))</f>
        <v/>
      </c>
      <c r="AL148" s="43">
        <f>IF(AG148=1,AD148,AK148*(1+AJ148)/2)</f>
        <v/>
      </c>
      <c r="AM148" s="43">
        <f>IF(AG148=1,AE148,AK148*(1-AJ148)/2)</f>
        <v/>
      </c>
      <c r="AN148" s="45">
        <f>IF(AH148="","",AH148-T148)</f>
        <v/>
      </c>
      <c r="AO148" s="51">
        <f>IF(AG148=1,1,IF(U148&gt;0,MIN(AF148/U148,0.99),0))</f>
        <v/>
      </c>
      <c r="AP148" s="43">
        <f>IF(AG148=1,AI148*AF148,0)</f>
        <v/>
      </c>
      <c r="AQ148" s="43">
        <f>N148*(F148+G148)/H148</f>
        <v/>
      </c>
      <c r="AR148" s="43">
        <f>O148*AQ148</f>
        <v/>
      </c>
      <c r="AS148" s="52">
        <f>IF(AG148=1,IF(AQ148&gt;0,AF148/AQ148,1),IFERROR(INDEX(Types!$K:$K,MATCH($A148&amp;"|"&amp;$D148,Types!$A:$A,0)),INDEX(Dashboard!$X$6:$X$22,MATCH($A148,Dashboard!$A$6:$A$22,0))))</f>
        <v/>
      </c>
      <c r="AT148" s="43">
        <f>AQ148*INDEX(Dashboard!$Y$6:$Y$22,MATCH($A148,Dashboard!$A$6:$A$22,0))</f>
        <v/>
      </c>
      <c r="AU148" s="53">
        <f>IF(AND(AG148=1,AT148&gt;0,AF148&gt;0),100*AF148/AT148,"")</f>
        <v/>
      </c>
      <c r="AV148" s="44">
        <f>IF(AU148="","",T148/(AU148/100))</f>
        <v/>
      </c>
      <c r="AW148" s="53">
        <f>IF(AU148="","",IF(AND(ABS(AH148)&gt;=0.1,ABS(T148)&gt;=0.05,SIGN(AH148)=SIGN(T148)),100*T148/AH148,""))</f>
        <v/>
      </c>
      <c r="AX148" s="45">
        <f>IF(AU148="","",T148-AV148)</f>
        <v/>
      </c>
      <c r="AY148" s="45">
        <f>IF(AU148="","",AH148-AV148)</f>
        <v/>
      </c>
      <c r="AZ148" s="54">
        <f>(AL148-AM148)-T148*AT148</f>
        <v/>
      </c>
      <c r="BA148" s="43">
        <f>IF(AU148="",0,(AH148-T148)*AF148)</f>
        <v/>
      </c>
      <c r="BB148" s="43">
        <f>IF(AU148="",0,T148*(AF148-AT148))</f>
        <v/>
      </c>
      <c r="BC148" s="51" t="n">
        <v>0.5069047321763016</v>
      </c>
      <c r="BD148" s="51" t="n">
        <v>0.07353394098306072</v>
      </c>
      <c r="BE148" s="51" t="n">
        <v>0.2357639027772223</v>
      </c>
      <c r="BF148" s="43" t="n">
        <v>120135</v>
      </c>
    </row>
    <row r="149">
      <c r="A149" s="42" t="inlineStr">
        <is>
          <t>GA</t>
        </is>
      </c>
      <c r="B149" s="42" t="inlineStr">
        <is>
          <t>13219</t>
        </is>
      </c>
      <c r="C149" s="42" t="inlineStr">
        <is>
          <t>Oconee</t>
        </is>
      </c>
      <c r="D149" s="42" t="inlineStr">
        <is>
          <t>Small town &amp; rural</t>
        </is>
      </c>
      <c r="E149" s="42" t="inlineStr"/>
      <c r="F149" s="43" t="n">
        <v>8620</v>
      </c>
      <c r="G149" s="43" t="n">
        <v>18424</v>
      </c>
      <c r="H149" s="43" t="n">
        <v>27287</v>
      </c>
      <c r="I149" s="43" t="n">
        <v>8162</v>
      </c>
      <c r="J149" s="43" t="n">
        <v>16595</v>
      </c>
      <c r="K149" s="42" t="inlineStr">
        <is>
          <t>US Senate</t>
        </is>
      </c>
      <c r="L149" s="43" t="n">
        <v>6987</v>
      </c>
      <c r="M149" s="43" t="n">
        <v>14681</v>
      </c>
      <c r="N149" s="43" t="n">
        <v>22283</v>
      </c>
      <c r="O149" s="44">
        <f>IFERROR((F149-G149)/(F149+G149),"")</f>
        <v/>
      </c>
      <c r="P149" s="44">
        <f>IFERROR((I149-J149)/(I149+J149),"")</f>
        <v/>
      </c>
      <c r="Q149" s="45">
        <f>IFERROR(O149-P149,"")</f>
        <v/>
      </c>
      <c r="R149" s="44">
        <f>IFERROR((L149-M149)/(L149+M149),"")</f>
        <v/>
      </c>
      <c r="S149" s="46">
        <f>H149/SUMIFS(Counties!$H$2:$H$1583,Counties!$A$2:$A$1583,$A149)</f>
        <v/>
      </c>
      <c r="T149" s="44">
        <f>O149+INDEX(Dashboard!$F$6:$F$22,MATCH($A149,Dashboard!$A$6:$A$22,0))</f>
        <v/>
      </c>
      <c r="U149" s="43">
        <f>AQ149*INDEX(Dashboard!$G$6:$G$22,MATCH($A149,Dashboard!$A$6:$A$22,0))</f>
        <v/>
      </c>
      <c r="V149" s="47" t="n"/>
      <c r="W149" s="47" t="n"/>
      <c r="X149" s="47" t="n"/>
      <c r="Y149" s="48" t="n"/>
      <c r="Z149" s="49" t="n"/>
      <c r="AA149" s="49" t="n"/>
      <c r="AB149" s="49" t="n"/>
      <c r="AC149" s="50" t="n"/>
      <c r="AD149" s="43">
        <f>IF(Z149&lt;&gt;"",Z149,N(V149))</f>
        <v/>
      </c>
      <c r="AE149" s="43">
        <f>IF(AA149&lt;&gt;"",AA149,N(W149))</f>
        <v/>
      </c>
      <c r="AF149" s="43">
        <f>AD149+AE149</f>
        <v/>
      </c>
      <c r="AG149" s="42">
        <f>IF(UPPER(AC149)="Y",1,IF(AF149=0,0,IF(AND(Z149="",Y149&lt;&gt;""),IF(Y149&gt;=0.999,1,0),IF(AF149&gt;=U149,1,0))))</f>
        <v/>
      </c>
      <c r="AH149" s="44">
        <f>IF(AF149&gt;0,(AD149-AE149)/AF149,"")</f>
        <v/>
      </c>
      <c r="AI149" s="45">
        <f>IF(AG149=1,AH149-O149,"")</f>
        <v/>
      </c>
      <c r="AJ149" s="44">
        <f>IF(AG149=1,AH149,MAX(-1,MIN(1,O149+INDEX(Types!$H:$H,MATCH($A149&amp;"|"&amp;$D149,Types!$A:$A,0)))))</f>
        <v/>
      </c>
      <c r="AK149" s="43">
        <f>IF(AG149=1,AF149,MAX(AQ149*AS149,AF149))</f>
        <v/>
      </c>
      <c r="AL149" s="43">
        <f>IF(AG149=1,AD149,AK149*(1+AJ149)/2)</f>
        <v/>
      </c>
      <c r="AM149" s="43">
        <f>IF(AG149=1,AE149,AK149*(1-AJ149)/2)</f>
        <v/>
      </c>
      <c r="AN149" s="45">
        <f>IF(AH149="","",AH149-T149)</f>
        <v/>
      </c>
      <c r="AO149" s="51">
        <f>IF(AG149=1,1,IF(U149&gt;0,MIN(AF149/U149,0.99),0))</f>
        <v/>
      </c>
      <c r="AP149" s="43">
        <f>IF(AG149=1,AI149*AF149,0)</f>
        <v/>
      </c>
      <c r="AQ149" s="43">
        <f>N149*(F149+G149)/H149</f>
        <v/>
      </c>
      <c r="AR149" s="43">
        <f>O149*AQ149</f>
        <v/>
      </c>
      <c r="AS149" s="52">
        <f>IF(AG149=1,IF(AQ149&gt;0,AF149/AQ149,1),IFERROR(INDEX(Types!$K:$K,MATCH($A149&amp;"|"&amp;$D149,Types!$A:$A,0)),INDEX(Dashboard!$X$6:$X$22,MATCH($A149,Dashboard!$A$6:$A$22,0))))</f>
        <v/>
      </c>
      <c r="AT149" s="43">
        <f>AQ149*INDEX(Dashboard!$Y$6:$Y$22,MATCH($A149,Dashboard!$A$6:$A$22,0))</f>
        <v/>
      </c>
      <c r="AU149" s="53">
        <f>IF(AND(AG149=1,AT149&gt;0,AF149&gt;0),100*AF149/AT149,"")</f>
        <v/>
      </c>
      <c r="AV149" s="44">
        <f>IF(AU149="","",T149/(AU149/100))</f>
        <v/>
      </c>
      <c r="AW149" s="53">
        <f>IF(AU149="","",IF(AND(ABS(AH149)&gt;=0.1,ABS(T149)&gt;=0.05,SIGN(AH149)=SIGN(T149)),100*T149/AH149,""))</f>
        <v/>
      </c>
      <c r="AX149" s="45">
        <f>IF(AU149="","",T149-AV149)</f>
        <v/>
      </c>
      <c r="AY149" s="45">
        <f>IF(AU149="","",AH149-AV149)</f>
        <v/>
      </c>
      <c r="AZ149" s="54">
        <f>(AL149-AM149)-T149*AT149</f>
        <v/>
      </c>
      <c r="BA149" s="43">
        <f>IF(AU149="",0,(AH149-T149)*AF149)</f>
        <v/>
      </c>
      <c r="BB149" s="43">
        <f>IF(AU149="",0,T149*(AF149-AT149))</f>
        <v/>
      </c>
      <c r="BC149" s="51" t="n">
        <v>0.04682902539495722</v>
      </c>
      <c r="BD149" s="51" t="n">
        <v>0.05954913765786972</v>
      </c>
      <c r="BE149" s="51" t="n">
        <v>0.5486013860461776</v>
      </c>
      <c r="BF149" s="43" t="n">
        <v>44182</v>
      </c>
    </row>
    <row r="150">
      <c r="A150" s="42" t="inlineStr">
        <is>
          <t>GA</t>
        </is>
      </c>
      <c r="B150" s="42" t="inlineStr">
        <is>
          <t>13221</t>
        </is>
      </c>
      <c r="C150" s="42" t="inlineStr">
        <is>
          <t>Oglethorpe</t>
        </is>
      </c>
      <c r="D150" s="42" t="inlineStr">
        <is>
          <t>Small town &amp; rural</t>
        </is>
      </c>
      <c r="E150" s="42" t="inlineStr"/>
      <c r="F150" s="43" t="n">
        <v>2515</v>
      </c>
      <c r="G150" s="43" t="n">
        <v>6255</v>
      </c>
      <c r="H150" s="43" t="n">
        <v>8822</v>
      </c>
      <c r="I150" s="43" t="n">
        <v>2439</v>
      </c>
      <c r="J150" s="43" t="n">
        <v>5592</v>
      </c>
      <c r="K150" s="42" t="inlineStr">
        <is>
          <t>US Senate</t>
        </is>
      </c>
      <c r="L150" s="43" t="n">
        <v>1996</v>
      </c>
      <c r="M150" s="43" t="n">
        <v>4638</v>
      </c>
      <c r="N150" s="43" t="n">
        <v>6786</v>
      </c>
      <c r="O150" s="44">
        <f>IFERROR((F150-G150)/(F150+G150),"")</f>
        <v/>
      </c>
      <c r="P150" s="44">
        <f>IFERROR((I150-J150)/(I150+J150),"")</f>
        <v/>
      </c>
      <c r="Q150" s="45">
        <f>IFERROR(O150-P150,"")</f>
        <v/>
      </c>
      <c r="R150" s="44">
        <f>IFERROR((L150-M150)/(L150+M150),"")</f>
        <v/>
      </c>
      <c r="S150" s="46">
        <f>H150/SUMIFS(Counties!$H$2:$H$1583,Counties!$A$2:$A$1583,$A150)</f>
        <v/>
      </c>
      <c r="T150" s="44">
        <f>O150+INDEX(Dashboard!$F$6:$F$22,MATCH($A150,Dashboard!$A$6:$A$22,0))</f>
        <v/>
      </c>
      <c r="U150" s="43">
        <f>AQ150*INDEX(Dashboard!$G$6:$G$22,MATCH($A150,Dashboard!$A$6:$A$22,0))</f>
        <v/>
      </c>
      <c r="V150" s="47" t="n"/>
      <c r="W150" s="47" t="n"/>
      <c r="X150" s="47" t="n"/>
      <c r="Y150" s="48" t="n"/>
      <c r="Z150" s="49" t="n"/>
      <c r="AA150" s="49" t="n"/>
      <c r="AB150" s="49" t="n"/>
      <c r="AC150" s="50" t="n"/>
      <c r="AD150" s="43">
        <f>IF(Z150&lt;&gt;"",Z150,N(V150))</f>
        <v/>
      </c>
      <c r="AE150" s="43">
        <f>IF(AA150&lt;&gt;"",AA150,N(W150))</f>
        <v/>
      </c>
      <c r="AF150" s="43">
        <f>AD150+AE150</f>
        <v/>
      </c>
      <c r="AG150" s="42">
        <f>IF(UPPER(AC150)="Y",1,IF(AF150=0,0,IF(AND(Z150="",Y150&lt;&gt;""),IF(Y150&gt;=0.999,1,0),IF(AF150&gt;=U150,1,0))))</f>
        <v/>
      </c>
      <c r="AH150" s="44">
        <f>IF(AF150&gt;0,(AD150-AE150)/AF150,"")</f>
        <v/>
      </c>
      <c r="AI150" s="45">
        <f>IF(AG150=1,AH150-O150,"")</f>
        <v/>
      </c>
      <c r="AJ150" s="44">
        <f>IF(AG150=1,AH150,MAX(-1,MIN(1,O150+INDEX(Types!$H:$H,MATCH($A150&amp;"|"&amp;$D150,Types!$A:$A,0)))))</f>
        <v/>
      </c>
      <c r="AK150" s="43">
        <f>IF(AG150=1,AF150,MAX(AQ150*AS150,AF150))</f>
        <v/>
      </c>
      <c r="AL150" s="43">
        <f>IF(AG150=1,AD150,AK150*(1+AJ150)/2)</f>
        <v/>
      </c>
      <c r="AM150" s="43">
        <f>IF(AG150=1,AE150,AK150*(1-AJ150)/2)</f>
        <v/>
      </c>
      <c r="AN150" s="45">
        <f>IF(AH150="","",AH150-T150)</f>
        <v/>
      </c>
      <c r="AO150" s="51">
        <f>IF(AG150=1,1,IF(U150&gt;0,MIN(AF150/U150,0.99),0))</f>
        <v/>
      </c>
      <c r="AP150" s="43">
        <f>IF(AG150=1,AI150*AF150,0)</f>
        <v/>
      </c>
      <c r="AQ150" s="43">
        <f>N150*(F150+G150)/H150</f>
        <v/>
      </c>
      <c r="AR150" s="43">
        <f>O150*AQ150</f>
        <v/>
      </c>
      <c r="AS150" s="52">
        <f>IF(AG150=1,IF(AQ150&gt;0,AF150/AQ150,1),IFERROR(INDEX(Types!$K:$K,MATCH($A150&amp;"|"&amp;$D150,Types!$A:$A,0)),INDEX(Dashboard!$X$6:$X$22,MATCH($A150,Dashboard!$A$6:$A$22,0))))</f>
        <v/>
      </c>
      <c r="AT150" s="43">
        <f>AQ150*INDEX(Dashboard!$Y$6:$Y$22,MATCH($A150,Dashboard!$A$6:$A$22,0))</f>
        <v/>
      </c>
      <c r="AU150" s="53">
        <f>IF(AND(AG150=1,AT150&gt;0,AF150&gt;0),100*AF150/AT150,"")</f>
        <v/>
      </c>
      <c r="AV150" s="44">
        <f>IF(AU150="","",T150/(AU150/100))</f>
        <v/>
      </c>
      <c r="AW150" s="53">
        <f>IF(AU150="","",IF(AND(ABS(AH150)&gt;=0.1,ABS(T150)&gt;=0.05,SIGN(AH150)=SIGN(T150)),100*T150/AH150,""))</f>
        <v/>
      </c>
      <c r="AX150" s="45">
        <f>IF(AU150="","",T150-AV150)</f>
        <v/>
      </c>
      <c r="AY150" s="45">
        <f>IF(AU150="","",AH150-AV150)</f>
        <v/>
      </c>
      <c r="AZ150" s="54">
        <f>(AL150-AM150)-T150*AT150</f>
        <v/>
      </c>
      <c r="BA150" s="43">
        <f>IF(AU150="",0,(AH150-T150)*AF150)</f>
        <v/>
      </c>
      <c r="BB150" s="43">
        <f>IF(AU150="",0,T150*(AF150-AT150))</f>
        <v/>
      </c>
      <c r="BC150" s="51" t="n">
        <v>0.157356861749397</v>
      </c>
      <c r="BD150" s="51" t="n">
        <v>0.07185476704329059</v>
      </c>
      <c r="BE150" s="51" t="n">
        <v>0.2454910756004112</v>
      </c>
      <c r="BF150" s="43" t="n">
        <v>15754</v>
      </c>
    </row>
    <row r="151">
      <c r="A151" s="42" t="inlineStr">
        <is>
          <t>GA</t>
        </is>
      </c>
      <c r="B151" s="42" t="inlineStr">
        <is>
          <t>13223</t>
        </is>
      </c>
      <c r="C151" s="42" t="inlineStr">
        <is>
          <t>Paulding</t>
        </is>
      </c>
      <c r="D151" s="42" t="inlineStr">
        <is>
          <t>Mid-size/working metro</t>
        </is>
      </c>
      <c r="E151" s="42" t="inlineStr"/>
      <c r="F151" s="43" t="n">
        <v>35802</v>
      </c>
      <c r="G151" s="43" t="n">
        <v>58769</v>
      </c>
      <c r="H151" s="43" t="n">
        <v>95196</v>
      </c>
      <c r="I151" s="43" t="n">
        <v>29695</v>
      </c>
      <c r="J151" s="43" t="n">
        <v>54517</v>
      </c>
      <c r="K151" s="42" t="inlineStr">
        <is>
          <t>US Senate</t>
        </is>
      </c>
      <c r="L151" s="43" t="n">
        <v>24389</v>
      </c>
      <c r="M151" s="43" t="n">
        <v>40689</v>
      </c>
      <c r="N151" s="43" t="n">
        <v>66713</v>
      </c>
      <c r="O151" s="44">
        <f>IFERROR((F151-G151)/(F151+G151),"")</f>
        <v/>
      </c>
      <c r="P151" s="44">
        <f>IFERROR((I151-J151)/(I151+J151),"")</f>
        <v/>
      </c>
      <c r="Q151" s="45">
        <f>IFERROR(O151-P151,"")</f>
        <v/>
      </c>
      <c r="R151" s="44">
        <f>IFERROR((L151-M151)/(L151+M151),"")</f>
        <v/>
      </c>
      <c r="S151" s="46">
        <f>H151/SUMIFS(Counties!$H$2:$H$1583,Counties!$A$2:$A$1583,$A151)</f>
        <v/>
      </c>
      <c r="T151" s="44">
        <f>O151+INDEX(Dashboard!$F$6:$F$22,MATCH($A151,Dashboard!$A$6:$A$22,0))</f>
        <v/>
      </c>
      <c r="U151" s="43">
        <f>AQ151*INDEX(Dashboard!$G$6:$G$22,MATCH($A151,Dashboard!$A$6:$A$22,0))</f>
        <v/>
      </c>
      <c r="V151" s="47" t="n"/>
      <c r="W151" s="47" t="n"/>
      <c r="X151" s="47" t="n"/>
      <c r="Y151" s="48" t="n"/>
      <c r="Z151" s="49" t="n"/>
      <c r="AA151" s="49" t="n"/>
      <c r="AB151" s="49" t="n"/>
      <c r="AC151" s="50" t="n"/>
      <c r="AD151" s="43">
        <f>IF(Z151&lt;&gt;"",Z151,N(V151))</f>
        <v/>
      </c>
      <c r="AE151" s="43">
        <f>IF(AA151&lt;&gt;"",AA151,N(W151))</f>
        <v/>
      </c>
      <c r="AF151" s="43">
        <f>AD151+AE151</f>
        <v/>
      </c>
      <c r="AG151" s="42">
        <f>IF(UPPER(AC151)="Y",1,IF(AF151=0,0,IF(AND(Z151="",Y151&lt;&gt;""),IF(Y151&gt;=0.999,1,0),IF(AF151&gt;=U151,1,0))))</f>
        <v/>
      </c>
      <c r="AH151" s="44">
        <f>IF(AF151&gt;0,(AD151-AE151)/AF151,"")</f>
        <v/>
      </c>
      <c r="AI151" s="45">
        <f>IF(AG151=1,AH151-O151,"")</f>
        <v/>
      </c>
      <c r="AJ151" s="44">
        <f>IF(AG151=1,AH151,MAX(-1,MIN(1,O151+INDEX(Types!$H:$H,MATCH($A151&amp;"|"&amp;$D151,Types!$A:$A,0)))))</f>
        <v/>
      </c>
      <c r="AK151" s="43">
        <f>IF(AG151=1,AF151,MAX(AQ151*AS151,AF151))</f>
        <v/>
      </c>
      <c r="AL151" s="43">
        <f>IF(AG151=1,AD151,AK151*(1+AJ151)/2)</f>
        <v/>
      </c>
      <c r="AM151" s="43">
        <f>IF(AG151=1,AE151,AK151*(1-AJ151)/2)</f>
        <v/>
      </c>
      <c r="AN151" s="45">
        <f>IF(AH151="","",AH151-T151)</f>
        <v/>
      </c>
      <c r="AO151" s="51">
        <f>IF(AG151=1,1,IF(U151&gt;0,MIN(AF151/U151,0.99),0))</f>
        <v/>
      </c>
      <c r="AP151" s="43">
        <f>IF(AG151=1,AI151*AF151,0)</f>
        <v/>
      </c>
      <c r="AQ151" s="43">
        <f>N151*(F151+G151)/H151</f>
        <v/>
      </c>
      <c r="AR151" s="43">
        <f>O151*AQ151</f>
        <v/>
      </c>
      <c r="AS151" s="52">
        <f>IF(AG151=1,IF(AQ151&gt;0,AF151/AQ151,1),IFERROR(INDEX(Types!$K:$K,MATCH($A151&amp;"|"&amp;$D151,Types!$A:$A,0)),INDEX(Dashboard!$X$6:$X$22,MATCH($A151,Dashboard!$A$6:$A$22,0))))</f>
        <v/>
      </c>
      <c r="AT151" s="43">
        <f>AQ151*INDEX(Dashboard!$Y$6:$Y$22,MATCH($A151,Dashboard!$A$6:$A$22,0))</f>
        <v/>
      </c>
      <c r="AU151" s="53">
        <f>IF(AND(AG151=1,AT151&gt;0,AF151&gt;0),100*AF151/AT151,"")</f>
        <v/>
      </c>
      <c r="AV151" s="44">
        <f>IF(AU151="","",T151/(AU151/100))</f>
        <v/>
      </c>
      <c r="AW151" s="53">
        <f>IF(AU151="","",IF(AND(ABS(AH151)&gt;=0.1,ABS(T151)&gt;=0.05,SIGN(AH151)=SIGN(T151)),100*T151/AH151,""))</f>
        <v/>
      </c>
      <c r="AX151" s="45">
        <f>IF(AU151="","",T151-AV151)</f>
        <v/>
      </c>
      <c r="AY151" s="45">
        <f>IF(AU151="","",AH151-AV151)</f>
        <v/>
      </c>
      <c r="AZ151" s="54">
        <f>(AL151-AM151)-T151*AT151</f>
        <v/>
      </c>
      <c r="BA151" s="43">
        <f>IF(AU151="",0,(AH151-T151)*AF151)</f>
        <v/>
      </c>
      <c r="BB151" s="43">
        <f>IF(AU151="",0,T151*(AF151-AT151))</f>
        <v/>
      </c>
      <c r="BC151" s="51" t="n">
        <v>0.2571356816841737</v>
      </c>
      <c r="BD151" s="51" t="n">
        <v>0.09152453538905025</v>
      </c>
      <c r="BE151" s="51" t="n">
        <v>0.2742570120305726</v>
      </c>
      <c r="BF151" s="43" t="n">
        <v>183164</v>
      </c>
    </row>
    <row r="152">
      <c r="A152" s="42" t="inlineStr">
        <is>
          <t>GA</t>
        </is>
      </c>
      <c r="B152" s="42" t="inlineStr">
        <is>
          <t>13225</t>
        </is>
      </c>
      <c r="C152" s="42" t="inlineStr">
        <is>
          <t>Peach</t>
        </is>
      </c>
      <c r="D152" s="42" t="inlineStr">
        <is>
          <t>Black Belt</t>
        </is>
      </c>
      <c r="E152" s="42" t="inlineStr"/>
      <c r="F152" s="43" t="n">
        <v>6293</v>
      </c>
      <c r="G152" s="43" t="n">
        <v>7104</v>
      </c>
      <c r="H152" s="43" t="n">
        <v>13454</v>
      </c>
      <c r="I152" s="43" t="n">
        <v>5922</v>
      </c>
      <c r="J152" s="43" t="n">
        <v>6506</v>
      </c>
      <c r="K152" s="42" t="inlineStr">
        <is>
          <t>US Senate</t>
        </is>
      </c>
      <c r="L152" s="43" t="n">
        <v>4701</v>
      </c>
      <c r="M152" s="43" t="n">
        <v>5156</v>
      </c>
      <c r="N152" s="43" t="n">
        <v>10000</v>
      </c>
      <c r="O152" s="44">
        <f>IFERROR((F152-G152)/(F152+G152),"")</f>
        <v/>
      </c>
      <c r="P152" s="44">
        <f>IFERROR((I152-J152)/(I152+J152),"")</f>
        <v/>
      </c>
      <c r="Q152" s="45">
        <f>IFERROR(O152-P152,"")</f>
        <v/>
      </c>
      <c r="R152" s="44">
        <f>IFERROR((L152-M152)/(L152+M152),"")</f>
        <v/>
      </c>
      <c r="S152" s="46">
        <f>H152/SUMIFS(Counties!$H$2:$H$1583,Counties!$A$2:$A$1583,$A152)</f>
        <v/>
      </c>
      <c r="T152" s="44">
        <f>O152+INDEX(Dashboard!$F$6:$F$22,MATCH($A152,Dashboard!$A$6:$A$22,0))</f>
        <v/>
      </c>
      <c r="U152" s="43">
        <f>AQ152*INDEX(Dashboard!$G$6:$G$22,MATCH($A152,Dashboard!$A$6:$A$22,0))</f>
        <v/>
      </c>
      <c r="V152" s="47" t="n"/>
      <c r="W152" s="47" t="n"/>
      <c r="X152" s="47" t="n"/>
      <c r="Y152" s="48" t="n"/>
      <c r="Z152" s="49" t="n"/>
      <c r="AA152" s="49" t="n"/>
      <c r="AB152" s="49" t="n"/>
      <c r="AC152" s="50" t="n"/>
      <c r="AD152" s="43">
        <f>IF(Z152&lt;&gt;"",Z152,N(V152))</f>
        <v/>
      </c>
      <c r="AE152" s="43">
        <f>IF(AA152&lt;&gt;"",AA152,N(W152))</f>
        <v/>
      </c>
      <c r="AF152" s="43">
        <f>AD152+AE152</f>
        <v/>
      </c>
      <c r="AG152" s="42">
        <f>IF(UPPER(AC152)="Y",1,IF(AF152=0,0,IF(AND(Z152="",Y152&lt;&gt;""),IF(Y152&gt;=0.999,1,0),IF(AF152&gt;=U152,1,0))))</f>
        <v/>
      </c>
      <c r="AH152" s="44">
        <f>IF(AF152&gt;0,(AD152-AE152)/AF152,"")</f>
        <v/>
      </c>
      <c r="AI152" s="45">
        <f>IF(AG152=1,AH152-O152,"")</f>
        <v/>
      </c>
      <c r="AJ152" s="44">
        <f>IF(AG152=1,AH152,MAX(-1,MIN(1,O152+INDEX(Types!$H:$H,MATCH($A152&amp;"|"&amp;$D152,Types!$A:$A,0)))))</f>
        <v/>
      </c>
      <c r="AK152" s="43">
        <f>IF(AG152=1,AF152,MAX(AQ152*AS152,AF152))</f>
        <v/>
      </c>
      <c r="AL152" s="43">
        <f>IF(AG152=1,AD152,AK152*(1+AJ152)/2)</f>
        <v/>
      </c>
      <c r="AM152" s="43">
        <f>IF(AG152=1,AE152,AK152*(1-AJ152)/2)</f>
        <v/>
      </c>
      <c r="AN152" s="45">
        <f>IF(AH152="","",AH152-T152)</f>
        <v/>
      </c>
      <c r="AO152" s="51">
        <f>IF(AG152=1,1,IF(U152&gt;0,MIN(AF152/U152,0.99),0))</f>
        <v/>
      </c>
      <c r="AP152" s="43">
        <f>IF(AG152=1,AI152*AF152,0)</f>
        <v/>
      </c>
      <c r="AQ152" s="43">
        <f>N152*(F152+G152)/H152</f>
        <v/>
      </c>
      <c r="AR152" s="43">
        <f>O152*AQ152</f>
        <v/>
      </c>
      <c r="AS152" s="52">
        <f>IF(AG152=1,IF(AQ152&gt;0,AF152/AQ152,1),IFERROR(INDEX(Types!$K:$K,MATCH($A152&amp;"|"&amp;$D152,Types!$A:$A,0)),INDEX(Dashboard!$X$6:$X$22,MATCH($A152,Dashboard!$A$6:$A$22,0))))</f>
        <v/>
      </c>
      <c r="AT152" s="43">
        <f>AQ152*INDEX(Dashboard!$Y$6:$Y$22,MATCH($A152,Dashboard!$A$6:$A$22,0))</f>
        <v/>
      </c>
      <c r="AU152" s="53">
        <f>IF(AND(AG152=1,AT152&gt;0,AF152&gt;0),100*AF152/AT152,"")</f>
        <v/>
      </c>
      <c r="AV152" s="44">
        <f>IF(AU152="","",T152/(AU152/100))</f>
        <v/>
      </c>
      <c r="AW152" s="53">
        <f>IF(AU152="","",IF(AND(ABS(AH152)&gt;=0.1,ABS(T152)&gt;=0.05,SIGN(AH152)=SIGN(T152)),100*T152/AH152,""))</f>
        <v/>
      </c>
      <c r="AX152" s="45">
        <f>IF(AU152="","",T152-AV152)</f>
        <v/>
      </c>
      <c r="AY152" s="45">
        <f>IF(AU152="","",AH152-AV152)</f>
        <v/>
      </c>
      <c r="AZ152" s="54">
        <f>(AL152-AM152)-T152*AT152</f>
        <v/>
      </c>
      <c r="BA152" s="43">
        <f>IF(AU152="",0,(AH152-T152)*AF152)</f>
        <v/>
      </c>
      <c r="BB152" s="43">
        <f>IF(AU152="",0,T152*(AF152-AT152))</f>
        <v/>
      </c>
      <c r="BC152" s="51" t="n">
        <v>0.440062489151189</v>
      </c>
      <c r="BD152" s="51" t="n">
        <v>0.09411560492969971</v>
      </c>
      <c r="BE152" s="51" t="n">
        <v>0.2431665666430247</v>
      </c>
      <c r="BF152" s="43" t="n">
        <v>28805</v>
      </c>
    </row>
    <row r="153">
      <c r="A153" s="42" t="inlineStr">
        <is>
          <t>GA</t>
        </is>
      </c>
      <c r="B153" s="42" t="inlineStr">
        <is>
          <t>13227</t>
        </is>
      </c>
      <c r="C153" s="42" t="inlineStr">
        <is>
          <t>Pickens</t>
        </is>
      </c>
      <c r="D153" s="42" t="inlineStr">
        <is>
          <t>Small town &amp; rural</t>
        </is>
      </c>
      <c r="E153" s="42" t="inlineStr"/>
      <c r="F153" s="43" t="n">
        <v>3522</v>
      </c>
      <c r="G153" s="43" t="n">
        <v>17281</v>
      </c>
      <c r="H153" s="43" t="n">
        <v>20915</v>
      </c>
      <c r="I153" s="43" t="n">
        <v>2824</v>
      </c>
      <c r="J153" s="43" t="n">
        <v>14110</v>
      </c>
      <c r="K153" s="42" t="inlineStr">
        <is>
          <t>US Senate</t>
        </is>
      </c>
      <c r="L153" s="43" t="n">
        <v>2589</v>
      </c>
      <c r="M153" s="43" t="n">
        <v>12050</v>
      </c>
      <c r="N153" s="43" t="n">
        <v>15003</v>
      </c>
      <c r="O153" s="44">
        <f>IFERROR((F153-G153)/(F153+G153),"")</f>
        <v/>
      </c>
      <c r="P153" s="44">
        <f>IFERROR((I153-J153)/(I153+J153),"")</f>
        <v/>
      </c>
      <c r="Q153" s="45">
        <f>IFERROR(O153-P153,"")</f>
        <v/>
      </c>
      <c r="R153" s="44">
        <f>IFERROR((L153-M153)/(L153+M153),"")</f>
        <v/>
      </c>
      <c r="S153" s="46">
        <f>H153/SUMIFS(Counties!$H$2:$H$1583,Counties!$A$2:$A$1583,$A153)</f>
        <v/>
      </c>
      <c r="T153" s="44">
        <f>O153+INDEX(Dashboard!$F$6:$F$22,MATCH($A153,Dashboard!$A$6:$A$22,0))</f>
        <v/>
      </c>
      <c r="U153" s="43">
        <f>AQ153*INDEX(Dashboard!$G$6:$G$22,MATCH($A153,Dashboard!$A$6:$A$22,0))</f>
        <v/>
      </c>
      <c r="V153" s="47" t="n"/>
      <c r="W153" s="47" t="n"/>
      <c r="X153" s="47" t="n"/>
      <c r="Y153" s="48" t="n"/>
      <c r="Z153" s="49" t="n"/>
      <c r="AA153" s="49" t="n"/>
      <c r="AB153" s="49" t="n"/>
      <c r="AC153" s="50" t="n"/>
      <c r="AD153" s="43">
        <f>IF(Z153&lt;&gt;"",Z153,N(V153))</f>
        <v/>
      </c>
      <c r="AE153" s="43">
        <f>IF(AA153&lt;&gt;"",AA153,N(W153))</f>
        <v/>
      </c>
      <c r="AF153" s="43">
        <f>AD153+AE153</f>
        <v/>
      </c>
      <c r="AG153" s="42">
        <f>IF(UPPER(AC153)="Y",1,IF(AF153=0,0,IF(AND(Z153="",Y153&lt;&gt;""),IF(Y153&gt;=0.999,1,0),IF(AF153&gt;=U153,1,0))))</f>
        <v/>
      </c>
      <c r="AH153" s="44">
        <f>IF(AF153&gt;0,(AD153-AE153)/AF153,"")</f>
        <v/>
      </c>
      <c r="AI153" s="45">
        <f>IF(AG153=1,AH153-O153,"")</f>
        <v/>
      </c>
      <c r="AJ153" s="44">
        <f>IF(AG153=1,AH153,MAX(-1,MIN(1,O153+INDEX(Types!$H:$H,MATCH($A153&amp;"|"&amp;$D153,Types!$A:$A,0)))))</f>
        <v/>
      </c>
      <c r="AK153" s="43">
        <f>IF(AG153=1,AF153,MAX(AQ153*AS153,AF153))</f>
        <v/>
      </c>
      <c r="AL153" s="43">
        <f>IF(AG153=1,AD153,AK153*(1+AJ153)/2)</f>
        <v/>
      </c>
      <c r="AM153" s="43">
        <f>IF(AG153=1,AE153,AK153*(1-AJ153)/2)</f>
        <v/>
      </c>
      <c r="AN153" s="45">
        <f>IF(AH153="","",AH153-T153)</f>
        <v/>
      </c>
      <c r="AO153" s="51">
        <f>IF(AG153=1,1,IF(U153&gt;0,MIN(AF153/U153,0.99),0))</f>
        <v/>
      </c>
      <c r="AP153" s="43">
        <f>IF(AG153=1,AI153*AF153,0)</f>
        <v/>
      </c>
      <c r="AQ153" s="43">
        <f>N153*(F153+G153)/H153</f>
        <v/>
      </c>
      <c r="AR153" s="43">
        <f>O153*AQ153</f>
        <v/>
      </c>
      <c r="AS153" s="52">
        <f>IF(AG153=1,IF(AQ153&gt;0,AF153/AQ153,1),IFERROR(INDEX(Types!$K:$K,MATCH($A153&amp;"|"&amp;$D153,Types!$A:$A,0)),INDEX(Dashboard!$X$6:$X$22,MATCH($A153,Dashboard!$A$6:$A$22,0))))</f>
        <v/>
      </c>
      <c r="AT153" s="43">
        <f>AQ153*INDEX(Dashboard!$Y$6:$Y$22,MATCH($A153,Dashboard!$A$6:$A$22,0))</f>
        <v/>
      </c>
      <c r="AU153" s="53">
        <f>IF(AND(AG153=1,AT153&gt;0,AF153&gt;0),100*AF153/AT153,"")</f>
        <v/>
      </c>
      <c r="AV153" s="44">
        <f>IF(AU153="","",T153/(AU153/100))</f>
        <v/>
      </c>
      <c r="AW153" s="53">
        <f>IF(AU153="","",IF(AND(ABS(AH153)&gt;=0.1,ABS(T153)&gt;=0.05,SIGN(AH153)=SIGN(T153)),100*T153/AH153,""))</f>
        <v/>
      </c>
      <c r="AX153" s="45">
        <f>IF(AU153="","",T153-AV153)</f>
        <v/>
      </c>
      <c r="AY153" s="45">
        <f>IF(AU153="","",AH153-AV153)</f>
        <v/>
      </c>
      <c r="AZ153" s="54">
        <f>(AL153-AM153)-T153*AT153</f>
        <v/>
      </c>
      <c r="BA153" s="43">
        <f>IF(AU153="",0,(AH153-T153)*AF153)</f>
        <v/>
      </c>
      <c r="BB153" s="43">
        <f>IF(AU153="",0,T153*(AF153-AT153))</f>
        <v/>
      </c>
      <c r="BC153" s="51" t="n">
        <v>0.01384525563679835</v>
      </c>
      <c r="BD153" s="51" t="n">
        <v>0.04200839611888015</v>
      </c>
      <c r="BE153" s="51" t="n">
        <v>0.2488170347003155</v>
      </c>
      <c r="BF153" s="43" t="n">
        <v>35969</v>
      </c>
    </row>
    <row r="154">
      <c r="A154" s="42" t="inlineStr">
        <is>
          <t>GA</t>
        </is>
      </c>
      <c r="B154" s="42" t="inlineStr">
        <is>
          <t>13229</t>
        </is>
      </c>
      <c r="C154" s="42" t="inlineStr">
        <is>
          <t>Pierce</t>
        </is>
      </c>
      <c r="D154" s="42" t="inlineStr">
        <is>
          <t>Small town &amp; rural</t>
        </is>
      </c>
      <c r="E154" s="42" t="inlineStr"/>
      <c r="F154" s="43" t="n">
        <v>1089</v>
      </c>
      <c r="G154" s="43" t="n">
        <v>8655</v>
      </c>
      <c r="H154" s="43" t="n">
        <v>9761</v>
      </c>
      <c r="I154" s="43" t="n">
        <v>1100</v>
      </c>
      <c r="J154" s="43" t="n">
        <v>7898</v>
      </c>
      <c r="K154" s="42" t="inlineStr">
        <is>
          <t>US Senate</t>
        </is>
      </c>
      <c r="L154" s="43" t="n">
        <v>779</v>
      </c>
      <c r="M154" s="43" t="n">
        <v>6325</v>
      </c>
      <c r="N154" s="43" t="n">
        <v>7167</v>
      </c>
      <c r="O154" s="44">
        <f>IFERROR((F154-G154)/(F154+G154),"")</f>
        <v/>
      </c>
      <c r="P154" s="44">
        <f>IFERROR((I154-J154)/(I154+J154),"")</f>
        <v/>
      </c>
      <c r="Q154" s="45">
        <f>IFERROR(O154-P154,"")</f>
        <v/>
      </c>
      <c r="R154" s="44">
        <f>IFERROR((L154-M154)/(L154+M154),"")</f>
        <v/>
      </c>
      <c r="S154" s="46">
        <f>H154/SUMIFS(Counties!$H$2:$H$1583,Counties!$A$2:$A$1583,$A154)</f>
        <v/>
      </c>
      <c r="T154" s="44">
        <f>O154+INDEX(Dashboard!$F$6:$F$22,MATCH($A154,Dashboard!$A$6:$A$22,0))</f>
        <v/>
      </c>
      <c r="U154" s="43">
        <f>AQ154*INDEX(Dashboard!$G$6:$G$22,MATCH($A154,Dashboard!$A$6:$A$22,0))</f>
        <v/>
      </c>
      <c r="V154" s="47" t="n"/>
      <c r="W154" s="47" t="n"/>
      <c r="X154" s="47" t="n"/>
      <c r="Y154" s="48" t="n"/>
      <c r="Z154" s="49" t="n"/>
      <c r="AA154" s="49" t="n"/>
      <c r="AB154" s="49" t="n"/>
      <c r="AC154" s="50" t="n"/>
      <c r="AD154" s="43">
        <f>IF(Z154&lt;&gt;"",Z154,N(V154))</f>
        <v/>
      </c>
      <c r="AE154" s="43">
        <f>IF(AA154&lt;&gt;"",AA154,N(W154))</f>
        <v/>
      </c>
      <c r="AF154" s="43">
        <f>AD154+AE154</f>
        <v/>
      </c>
      <c r="AG154" s="42">
        <f>IF(UPPER(AC154)="Y",1,IF(AF154=0,0,IF(AND(Z154="",Y154&lt;&gt;""),IF(Y154&gt;=0.999,1,0),IF(AF154&gt;=U154,1,0))))</f>
        <v/>
      </c>
      <c r="AH154" s="44">
        <f>IF(AF154&gt;0,(AD154-AE154)/AF154,"")</f>
        <v/>
      </c>
      <c r="AI154" s="45">
        <f>IF(AG154=1,AH154-O154,"")</f>
        <v/>
      </c>
      <c r="AJ154" s="44">
        <f>IF(AG154=1,AH154,MAX(-1,MIN(1,O154+INDEX(Types!$H:$H,MATCH($A154&amp;"|"&amp;$D154,Types!$A:$A,0)))))</f>
        <v/>
      </c>
      <c r="AK154" s="43">
        <f>IF(AG154=1,AF154,MAX(AQ154*AS154,AF154))</f>
        <v/>
      </c>
      <c r="AL154" s="43">
        <f>IF(AG154=1,AD154,AK154*(1+AJ154)/2)</f>
        <v/>
      </c>
      <c r="AM154" s="43">
        <f>IF(AG154=1,AE154,AK154*(1-AJ154)/2)</f>
        <v/>
      </c>
      <c r="AN154" s="45">
        <f>IF(AH154="","",AH154-T154)</f>
        <v/>
      </c>
      <c r="AO154" s="51">
        <f>IF(AG154=1,1,IF(U154&gt;0,MIN(AF154/U154,0.99),0))</f>
        <v/>
      </c>
      <c r="AP154" s="43">
        <f>IF(AG154=1,AI154*AF154,0)</f>
        <v/>
      </c>
      <c r="AQ154" s="43">
        <f>N154*(F154+G154)/H154</f>
        <v/>
      </c>
      <c r="AR154" s="43">
        <f>O154*AQ154</f>
        <v/>
      </c>
      <c r="AS154" s="52">
        <f>IF(AG154=1,IF(AQ154&gt;0,AF154/AQ154,1),IFERROR(INDEX(Types!$K:$K,MATCH($A154&amp;"|"&amp;$D154,Types!$A:$A,0)),INDEX(Dashboard!$X$6:$X$22,MATCH($A154,Dashboard!$A$6:$A$22,0))))</f>
        <v/>
      </c>
      <c r="AT154" s="43">
        <f>AQ154*INDEX(Dashboard!$Y$6:$Y$22,MATCH($A154,Dashboard!$A$6:$A$22,0))</f>
        <v/>
      </c>
      <c r="AU154" s="53">
        <f>IF(AND(AG154=1,AT154&gt;0,AF154&gt;0),100*AF154/AT154,"")</f>
        <v/>
      </c>
      <c r="AV154" s="44">
        <f>IF(AU154="","",T154/(AU154/100))</f>
        <v/>
      </c>
      <c r="AW154" s="53">
        <f>IF(AU154="","",IF(AND(ABS(AH154)&gt;=0.1,ABS(T154)&gt;=0.05,SIGN(AH154)=SIGN(T154)),100*T154/AH154,""))</f>
        <v/>
      </c>
      <c r="AX154" s="45">
        <f>IF(AU154="","",T154-AV154)</f>
        <v/>
      </c>
      <c r="AY154" s="45">
        <f>IF(AU154="","",AH154-AV154)</f>
        <v/>
      </c>
      <c r="AZ154" s="54">
        <f>(AL154-AM154)-T154*AT154</f>
        <v/>
      </c>
      <c r="BA154" s="43">
        <f>IF(AU154="",0,(AH154-T154)*AF154)</f>
        <v/>
      </c>
      <c r="BB154" s="43">
        <f>IF(AU154="",0,T154*(AF154-AT154))</f>
        <v/>
      </c>
      <c r="BC154" s="51" t="n">
        <v>0.09160342717258262</v>
      </c>
      <c r="BD154" s="51" t="n">
        <v>0.05405140758873929</v>
      </c>
      <c r="BE154" s="51" t="n">
        <v>0.1825337888014258</v>
      </c>
      <c r="BF154" s="43" t="n">
        <v>20425</v>
      </c>
    </row>
    <row r="155">
      <c r="A155" s="42" t="inlineStr">
        <is>
          <t>GA</t>
        </is>
      </c>
      <c r="B155" s="42" t="inlineStr">
        <is>
          <t>13231</t>
        </is>
      </c>
      <c r="C155" s="42" t="inlineStr">
        <is>
          <t>Pike</t>
        </is>
      </c>
      <c r="D155" s="42" t="inlineStr">
        <is>
          <t>Small town &amp; rural</t>
        </is>
      </c>
      <c r="E155" s="42" t="inlineStr"/>
      <c r="F155" s="43" t="n">
        <v>1648</v>
      </c>
      <c r="G155" s="43" t="n">
        <v>10864</v>
      </c>
      <c r="H155" s="43" t="n">
        <v>12549</v>
      </c>
      <c r="I155" s="43" t="n">
        <v>1505</v>
      </c>
      <c r="J155" s="43" t="n">
        <v>9127</v>
      </c>
      <c r="K155" s="42" t="inlineStr">
        <is>
          <t>US Senate</t>
        </is>
      </c>
      <c r="L155" s="43" t="n">
        <v>1257</v>
      </c>
      <c r="M155" s="43" t="n">
        <v>7948</v>
      </c>
      <c r="N155" s="43" t="n">
        <v>9396</v>
      </c>
      <c r="O155" s="44">
        <f>IFERROR((F155-G155)/(F155+G155),"")</f>
        <v/>
      </c>
      <c r="P155" s="44">
        <f>IFERROR((I155-J155)/(I155+J155),"")</f>
        <v/>
      </c>
      <c r="Q155" s="45">
        <f>IFERROR(O155-P155,"")</f>
        <v/>
      </c>
      <c r="R155" s="44">
        <f>IFERROR((L155-M155)/(L155+M155),"")</f>
        <v/>
      </c>
      <c r="S155" s="46">
        <f>H155/SUMIFS(Counties!$H$2:$H$1583,Counties!$A$2:$A$1583,$A155)</f>
        <v/>
      </c>
      <c r="T155" s="44">
        <f>O155+INDEX(Dashboard!$F$6:$F$22,MATCH($A155,Dashboard!$A$6:$A$22,0))</f>
        <v/>
      </c>
      <c r="U155" s="43">
        <f>AQ155*INDEX(Dashboard!$G$6:$G$22,MATCH($A155,Dashboard!$A$6:$A$22,0))</f>
        <v/>
      </c>
      <c r="V155" s="47" t="n"/>
      <c r="W155" s="47" t="n"/>
      <c r="X155" s="47" t="n"/>
      <c r="Y155" s="48" t="n"/>
      <c r="Z155" s="49" t="n"/>
      <c r="AA155" s="49" t="n"/>
      <c r="AB155" s="49" t="n"/>
      <c r="AC155" s="50" t="n"/>
      <c r="AD155" s="43">
        <f>IF(Z155&lt;&gt;"",Z155,N(V155))</f>
        <v/>
      </c>
      <c r="AE155" s="43">
        <f>IF(AA155&lt;&gt;"",AA155,N(W155))</f>
        <v/>
      </c>
      <c r="AF155" s="43">
        <f>AD155+AE155</f>
        <v/>
      </c>
      <c r="AG155" s="42">
        <f>IF(UPPER(AC155)="Y",1,IF(AF155=0,0,IF(AND(Z155="",Y155&lt;&gt;""),IF(Y155&gt;=0.999,1,0),IF(AF155&gt;=U155,1,0))))</f>
        <v/>
      </c>
      <c r="AH155" s="44">
        <f>IF(AF155&gt;0,(AD155-AE155)/AF155,"")</f>
        <v/>
      </c>
      <c r="AI155" s="45">
        <f>IF(AG155=1,AH155-O155,"")</f>
        <v/>
      </c>
      <c r="AJ155" s="44">
        <f>IF(AG155=1,AH155,MAX(-1,MIN(1,O155+INDEX(Types!$H:$H,MATCH($A155&amp;"|"&amp;$D155,Types!$A:$A,0)))))</f>
        <v/>
      </c>
      <c r="AK155" s="43">
        <f>IF(AG155=1,AF155,MAX(AQ155*AS155,AF155))</f>
        <v/>
      </c>
      <c r="AL155" s="43">
        <f>IF(AG155=1,AD155,AK155*(1+AJ155)/2)</f>
        <v/>
      </c>
      <c r="AM155" s="43">
        <f>IF(AG155=1,AE155,AK155*(1-AJ155)/2)</f>
        <v/>
      </c>
      <c r="AN155" s="45">
        <f>IF(AH155="","",AH155-T155)</f>
        <v/>
      </c>
      <c r="AO155" s="51">
        <f>IF(AG155=1,1,IF(U155&gt;0,MIN(AF155/U155,0.99),0))</f>
        <v/>
      </c>
      <c r="AP155" s="43">
        <f>IF(AG155=1,AI155*AF155,0)</f>
        <v/>
      </c>
      <c r="AQ155" s="43">
        <f>N155*(F155+G155)/H155</f>
        <v/>
      </c>
      <c r="AR155" s="43">
        <f>O155*AQ155</f>
        <v/>
      </c>
      <c r="AS155" s="52">
        <f>IF(AG155=1,IF(AQ155&gt;0,AF155/AQ155,1),IFERROR(INDEX(Types!$K:$K,MATCH($A155&amp;"|"&amp;$D155,Types!$A:$A,0)),INDEX(Dashboard!$X$6:$X$22,MATCH($A155,Dashboard!$A$6:$A$22,0))))</f>
        <v/>
      </c>
      <c r="AT155" s="43">
        <f>AQ155*INDEX(Dashboard!$Y$6:$Y$22,MATCH($A155,Dashboard!$A$6:$A$22,0))</f>
        <v/>
      </c>
      <c r="AU155" s="53">
        <f>IF(AND(AG155=1,AT155&gt;0,AF155&gt;0),100*AF155/AT155,"")</f>
        <v/>
      </c>
      <c r="AV155" s="44">
        <f>IF(AU155="","",T155/(AU155/100))</f>
        <v/>
      </c>
      <c r="AW155" s="53">
        <f>IF(AU155="","",IF(AND(ABS(AH155)&gt;=0.1,ABS(T155)&gt;=0.05,SIGN(AH155)=SIGN(T155)),100*T155/AH155,""))</f>
        <v/>
      </c>
      <c r="AX155" s="45">
        <f>IF(AU155="","",T155-AV155)</f>
        <v/>
      </c>
      <c r="AY155" s="45">
        <f>IF(AU155="","",AH155-AV155)</f>
        <v/>
      </c>
      <c r="AZ155" s="54">
        <f>(AL155-AM155)-T155*AT155</f>
        <v/>
      </c>
      <c r="BA155" s="43">
        <f>IF(AU155="",0,(AH155-T155)*AF155)</f>
        <v/>
      </c>
      <c r="BB155" s="43">
        <f>IF(AU155="",0,T155*(AF155-AT155))</f>
        <v/>
      </c>
      <c r="BC155" s="51" t="n">
        <v>0.08582180734079468</v>
      </c>
      <c r="BD155" s="51" t="n">
        <v>0.02531645569620253</v>
      </c>
      <c r="BE155" s="51" t="n">
        <v>0.2141515811612709</v>
      </c>
      <c r="BF155" s="43" t="n">
        <v>20461</v>
      </c>
    </row>
    <row r="156">
      <c r="A156" s="42" t="inlineStr">
        <is>
          <t>GA</t>
        </is>
      </c>
      <c r="B156" s="42" t="inlineStr">
        <is>
          <t>13233</t>
        </is>
      </c>
      <c r="C156" s="42" t="inlineStr">
        <is>
          <t>Polk</t>
        </is>
      </c>
      <c r="D156" s="42" t="inlineStr">
        <is>
          <t>Small town &amp; rural</t>
        </is>
      </c>
      <c r="E156" s="42" t="inlineStr"/>
      <c r="F156" s="43" t="n">
        <v>3749</v>
      </c>
      <c r="G156" s="43" t="n">
        <v>15352</v>
      </c>
      <c r="H156" s="43" t="n">
        <v>19171</v>
      </c>
      <c r="I156" s="43" t="n">
        <v>3657</v>
      </c>
      <c r="J156" s="43" t="n">
        <v>13587</v>
      </c>
      <c r="K156" s="42" t="inlineStr">
        <is>
          <t>US Senate</t>
        </is>
      </c>
      <c r="L156" s="43" t="n">
        <v>2794</v>
      </c>
      <c r="M156" s="43" t="n">
        <v>10426</v>
      </c>
      <c r="N156" s="43" t="n">
        <v>13563</v>
      </c>
      <c r="O156" s="44">
        <f>IFERROR((F156-G156)/(F156+G156),"")</f>
        <v/>
      </c>
      <c r="P156" s="44">
        <f>IFERROR((I156-J156)/(I156+J156),"")</f>
        <v/>
      </c>
      <c r="Q156" s="45">
        <f>IFERROR(O156-P156,"")</f>
        <v/>
      </c>
      <c r="R156" s="44">
        <f>IFERROR((L156-M156)/(L156+M156),"")</f>
        <v/>
      </c>
      <c r="S156" s="46">
        <f>H156/SUMIFS(Counties!$H$2:$H$1583,Counties!$A$2:$A$1583,$A156)</f>
        <v/>
      </c>
      <c r="T156" s="44">
        <f>O156+INDEX(Dashboard!$F$6:$F$22,MATCH($A156,Dashboard!$A$6:$A$22,0))</f>
        <v/>
      </c>
      <c r="U156" s="43">
        <f>AQ156*INDEX(Dashboard!$G$6:$G$22,MATCH($A156,Dashboard!$A$6:$A$22,0))</f>
        <v/>
      </c>
      <c r="V156" s="47" t="n"/>
      <c r="W156" s="47" t="n"/>
      <c r="X156" s="47" t="n"/>
      <c r="Y156" s="48" t="n"/>
      <c r="Z156" s="49" t="n"/>
      <c r="AA156" s="49" t="n"/>
      <c r="AB156" s="49" t="n"/>
      <c r="AC156" s="50" t="n"/>
      <c r="AD156" s="43">
        <f>IF(Z156&lt;&gt;"",Z156,N(V156))</f>
        <v/>
      </c>
      <c r="AE156" s="43">
        <f>IF(AA156&lt;&gt;"",AA156,N(W156))</f>
        <v/>
      </c>
      <c r="AF156" s="43">
        <f>AD156+AE156</f>
        <v/>
      </c>
      <c r="AG156" s="42">
        <f>IF(UPPER(AC156)="Y",1,IF(AF156=0,0,IF(AND(Z156="",Y156&lt;&gt;""),IF(Y156&gt;=0.999,1,0),IF(AF156&gt;=U156,1,0))))</f>
        <v/>
      </c>
      <c r="AH156" s="44">
        <f>IF(AF156&gt;0,(AD156-AE156)/AF156,"")</f>
        <v/>
      </c>
      <c r="AI156" s="45">
        <f>IF(AG156=1,AH156-O156,"")</f>
        <v/>
      </c>
      <c r="AJ156" s="44">
        <f>IF(AG156=1,AH156,MAX(-1,MIN(1,O156+INDEX(Types!$H:$H,MATCH($A156&amp;"|"&amp;$D156,Types!$A:$A,0)))))</f>
        <v/>
      </c>
      <c r="AK156" s="43">
        <f>IF(AG156=1,AF156,MAX(AQ156*AS156,AF156))</f>
        <v/>
      </c>
      <c r="AL156" s="43">
        <f>IF(AG156=1,AD156,AK156*(1+AJ156)/2)</f>
        <v/>
      </c>
      <c r="AM156" s="43">
        <f>IF(AG156=1,AE156,AK156*(1-AJ156)/2)</f>
        <v/>
      </c>
      <c r="AN156" s="45">
        <f>IF(AH156="","",AH156-T156)</f>
        <v/>
      </c>
      <c r="AO156" s="51">
        <f>IF(AG156=1,1,IF(U156&gt;0,MIN(AF156/U156,0.99),0))</f>
        <v/>
      </c>
      <c r="AP156" s="43">
        <f>IF(AG156=1,AI156*AF156,0)</f>
        <v/>
      </c>
      <c r="AQ156" s="43">
        <f>N156*(F156+G156)/H156</f>
        <v/>
      </c>
      <c r="AR156" s="43">
        <f>O156*AQ156</f>
        <v/>
      </c>
      <c r="AS156" s="52">
        <f>IF(AG156=1,IF(AQ156&gt;0,AF156/AQ156,1),IFERROR(INDEX(Types!$K:$K,MATCH($A156&amp;"|"&amp;$D156,Types!$A:$A,0)),INDEX(Dashboard!$X$6:$X$22,MATCH($A156,Dashboard!$A$6:$A$22,0))))</f>
        <v/>
      </c>
      <c r="AT156" s="43">
        <f>AQ156*INDEX(Dashboard!$Y$6:$Y$22,MATCH($A156,Dashboard!$A$6:$A$22,0))</f>
        <v/>
      </c>
      <c r="AU156" s="53">
        <f>IF(AND(AG156=1,AT156&gt;0,AF156&gt;0),100*AF156/AT156,"")</f>
        <v/>
      </c>
      <c r="AV156" s="44">
        <f>IF(AU156="","",T156/(AU156/100))</f>
        <v/>
      </c>
      <c r="AW156" s="53">
        <f>IF(AU156="","",IF(AND(ABS(AH156)&gt;=0.1,ABS(T156)&gt;=0.05,SIGN(AH156)=SIGN(T156)),100*T156/AH156,""))</f>
        <v/>
      </c>
      <c r="AX156" s="45">
        <f>IF(AU156="","",T156-AV156)</f>
        <v/>
      </c>
      <c r="AY156" s="45">
        <f>IF(AU156="","",AH156-AV156)</f>
        <v/>
      </c>
      <c r="AZ156" s="54">
        <f>(AL156-AM156)-T156*AT156</f>
        <v/>
      </c>
      <c r="BA156" s="43">
        <f>IF(AU156="",0,(AH156-T156)*AF156)</f>
        <v/>
      </c>
      <c r="BB156" s="43">
        <f>IF(AU156="",0,T156*(AF156-AT156))</f>
        <v/>
      </c>
      <c r="BC156" s="51" t="n">
        <v>0.1207064197363363</v>
      </c>
      <c r="BD156" s="51" t="n">
        <v>0.1398367365398096</v>
      </c>
      <c r="BE156" s="51" t="n">
        <v>0.1446935310626797</v>
      </c>
      <c r="BF156" s="43" t="n">
        <v>44223</v>
      </c>
    </row>
    <row r="157">
      <c r="A157" s="42" t="inlineStr">
        <is>
          <t>GA</t>
        </is>
      </c>
      <c r="B157" s="42" t="inlineStr">
        <is>
          <t>13235</t>
        </is>
      </c>
      <c r="C157" s="42" t="inlineStr">
        <is>
          <t>Pulaski</t>
        </is>
      </c>
      <c r="D157" s="42" t="inlineStr">
        <is>
          <t>Small town &amp; rural</t>
        </is>
      </c>
      <c r="E157" s="42" t="inlineStr"/>
      <c r="F157" s="43" t="n">
        <v>1281</v>
      </c>
      <c r="G157" s="43" t="n">
        <v>3036</v>
      </c>
      <c r="H157" s="43" t="n">
        <v>4336</v>
      </c>
      <c r="I157" s="43" t="n">
        <v>1230</v>
      </c>
      <c r="J157" s="43" t="n">
        <v>2815</v>
      </c>
      <c r="K157" s="42" t="inlineStr">
        <is>
          <t>US Senate</t>
        </is>
      </c>
      <c r="L157" s="43" t="n">
        <v>1002</v>
      </c>
      <c r="M157" s="43" t="n">
        <v>2319</v>
      </c>
      <c r="N157" s="43" t="n">
        <v>3366</v>
      </c>
      <c r="O157" s="44">
        <f>IFERROR((F157-G157)/(F157+G157),"")</f>
        <v/>
      </c>
      <c r="P157" s="44">
        <f>IFERROR((I157-J157)/(I157+J157),"")</f>
        <v/>
      </c>
      <c r="Q157" s="45">
        <f>IFERROR(O157-P157,"")</f>
        <v/>
      </c>
      <c r="R157" s="44">
        <f>IFERROR((L157-M157)/(L157+M157),"")</f>
        <v/>
      </c>
      <c r="S157" s="46">
        <f>H157/SUMIFS(Counties!$H$2:$H$1583,Counties!$A$2:$A$1583,$A157)</f>
        <v/>
      </c>
      <c r="T157" s="44">
        <f>O157+INDEX(Dashboard!$F$6:$F$22,MATCH($A157,Dashboard!$A$6:$A$22,0))</f>
        <v/>
      </c>
      <c r="U157" s="43">
        <f>AQ157*INDEX(Dashboard!$G$6:$G$22,MATCH($A157,Dashboard!$A$6:$A$22,0))</f>
        <v/>
      </c>
      <c r="V157" s="47" t="n"/>
      <c r="W157" s="47" t="n"/>
      <c r="X157" s="47" t="n"/>
      <c r="Y157" s="48" t="n"/>
      <c r="Z157" s="49" t="n"/>
      <c r="AA157" s="49" t="n"/>
      <c r="AB157" s="49" t="n"/>
      <c r="AC157" s="50" t="n"/>
      <c r="AD157" s="43">
        <f>IF(Z157&lt;&gt;"",Z157,N(V157))</f>
        <v/>
      </c>
      <c r="AE157" s="43">
        <f>IF(AA157&lt;&gt;"",AA157,N(W157))</f>
        <v/>
      </c>
      <c r="AF157" s="43">
        <f>AD157+AE157</f>
        <v/>
      </c>
      <c r="AG157" s="42">
        <f>IF(UPPER(AC157)="Y",1,IF(AF157=0,0,IF(AND(Z157="",Y157&lt;&gt;""),IF(Y157&gt;=0.999,1,0),IF(AF157&gt;=U157,1,0))))</f>
        <v/>
      </c>
      <c r="AH157" s="44">
        <f>IF(AF157&gt;0,(AD157-AE157)/AF157,"")</f>
        <v/>
      </c>
      <c r="AI157" s="45">
        <f>IF(AG157=1,AH157-O157,"")</f>
        <v/>
      </c>
      <c r="AJ157" s="44">
        <f>IF(AG157=1,AH157,MAX(-1,MIN(1,O157+INDEX(Types!$H:$H,MATCH($A157&amp;"|"&amp;$D157,Types!$A:$A,0)))))</f>
        <v/>
      </c>
      <c r="AK157" s="43">
        <f>IF(AG157=1,AF157,MAX(AQ157*AS157,AF157))</f>
        <v/>
      </c>
      <c r="AL157" s="43">
        <f>IF(AG157=1,AD157,AK157*(1+AJ157)/2)</f>
        <v/>
      </c>
      <c r="AM157" s="43">
        <f>IF(AG157=1,AE157,AK157*(1-AJ157)/2)</f>
        <v/>
      </c>
      <c r="AN157" s="45">
        <f>IF(AH157="","",AH157-T157)</f>
        <v/>
      </c>
      <c r="AO157" s="51">
        <f>IF(AG157=1,1,IF(U157&gt;0,MIN(AF157/U157,0.99),0))</f>
        <v/>
      </c>
      <c r="AP157" s="43">
        <f>IF(AG157=1,AI157*AF157,0)</f>
        <v/>
      </c>
      <c r="AQ157" s="43">
        <f>N157*(F157+G157)/H157</f>
        <v/>
      </c>
      <c r="AR157" s="43">
        <f>O157*AQ157</f>
        <v/>
      </c>
      <c r="AS157" s="52">
        <f>IF(AG157=1,IF(AQ157&gt;0,AF157/AQ157,1),IFERROR(INDEX(Types!$K:$K,MATCH($A157&amp;"|"&amp;$D157,Types!$A:$A,0)),INDEX(Dashboard!$X$6:$X$22,MATCH($A157,Dashboard!$A$6:$A$22,0))))</f>
        <v/>
      </c>
      <c r="AT157" s="43">
        <f>AQ157*INDEX(Dashboard!$Y$6:$Y$22,MATCH($A157,Dashboard!$A$6:$A$22,0))</f>
        <v/>
      </c>
      <c r="AU157" s="53">
        <f>IF(AND(AG157=1,AT157&gt;0,AF157&gt;0),100*AF157/AT157,"")</f>
        <v/>
      </c>
      <c r="AV157" s="44">
        <f>IF(AU157="","",T157/(AU157/100))</f>
        <v/>
      </c>
      <c r="AW157" s="53">
        <f>IF(AU157="","",IF(AND(ABS(AH157)&gt;=0.1,ABS(T157)&gt;=0.05,SIGN(AH157)=SIGN(T157)),100*T157/AH157,""))</f>
        <v/>
      </c>
      <c r="AX157" s="45">
        <f>IF(AU157="","",T157-AV157)</f>
        <v/>
      </c>
      <c r="AY157" s="45">
        <f>IF(AU157="","",AH157-AV157)</f>
        <v/>
      </c>
      <c r="AZ157" s="54">
        <f>(AL157-AM157)-T157*AT157</f>
        <v/>
      </c>
      <c r="BA157" s="43">
        <f>IF(AU157="",0,(AH157-T157)*AF157)</f>
        <v/>
      </c>
      <c r="BB157" s="43">
        <f>IF(AU157="",0,T157*(AF157-AT157))</f>
        <v/>
      </c>
      <c r="BC157" s="51" t="n">
        <v>0.3168895492818227</v>
      </c>
      <c r="BD157" s="51" t="n">
        <v>0.04309063893016345</v>
      </c>
      <c r="BE157" s="51" t="n">
        <v>0.1200105042016807</v>
      </c>
      <c r="BF157" s="43" t="n">
        <v>10095</v>
      </c>
    </row>
    <row r="158">
      <c r="A158" s="42" t="inlineStr">
        <is>
          <t>GA</t>
        </is>
      </c>
      <c r="B158" s="42" t="inlineStr">
        <is>
          <t>13237</t>
        </is>
      </c>
      <c r="C158" s="42" t="inlineStr">
        <is>
          <t>Putnam</t>
        </is>
      </c>
      <c r="D158" s="42" t="inlineStr">
        <is>
          <t>Small town &amp; rural</t>
        </is>
      </c>
      <c r="E158" s="42" t="inlineStr"/>
      <c r="F158" s="43" t="n">
        <v>3696</v>
      </c>
      <c r="G158" s="43" t="n">
        <v>9136</v>
      </c>
      <c r="H158" s="43" t="n">
        <v>12877</v>
      </c>
      <c r="I158" s="43" t="n">
        <v>3448</v>
      </c>
      <c r="J158" s="43" t="n">
        <v>8291</v>
      </c>
      <c r="K158" s="42" t="inlineStr">
        <is>
          <t>US Senate</t>
        </is>
      </c>
      <c r="L158" s="43" t="n">
        <v>2847</v>
      </c>
      <c r="M158" s="43" t="n">
        <v>7164</v>
      </c>
      <c r="N158" s="43" t="n">
        <v>10202</v>
      </c>
      <c r="O158" s="44">
        <f>IFERROR((F158-G158)/(F158+G158),"")</f>
        <v/>
      </c>
      <c r="P158" s="44">
        <f>IFERROR((I158-J158)/(I158+J158),"")</f>
        <v/>
      </c>
      <c r="Q158" s="45">
        <f>IFERROR(O158-P158,"")</f>
        <v/>
      </c>
      <c r="R158" s="44">
        <f>IFERROR((L158-M158)/(L158+M158),"")</f>
        <v/>
      </c>
      <c r="S158" s="46">
        <f>H158/SUMIFS(Counties!$H$2:$H$1583,Counties!$A$2:$A$1583,$A158)</f>
        <v/>
      </c>
      <c r="T158" s="44">
        <f>O158+INDEX(Dashboard!$F$6:$F$22,MATCH($A158,Dashboard!$A$6:$A$22,0))</f>
        <v/>
      </c>
      <c r="U158" s="43">
        <f>AQ158*INDEX(Dashboard!$G$6:$G$22,MATCH($A158,Dashboard!$A$6:$A$22,0))</f>
        <v/>
      </c>
      <c r="V158" s="47" t="n"/>
      <c r="W158" s="47" t="n"/>
      <c r="X158" s="47" t="n"/>
      <c r="Y158" s="48" t="n"/>
      <c r="Z158" s="49" t="n"/>
      <c r="AA158" s="49" t="n"/>
      <c r="AB158" s="49" t="n"/>
      <c r="AC158" s="50" t="n"/>
      <c r="AD158" s="43">
        <f>IF(Z158&lt;&gt;"",Z158,N(V158))</f>
        <v/>
      </c>
      <c r="AE158" s="43">
        <f>IF(AA158&lt;&gt;"",AA158,N(W158))</f>
        <v/>
      </c>
      <c r="AF158" s="43">
        <f>AD158+AE158</f>
        <v/>
      </c>
      <c r="AG158" s="42">
        <f>IF(UPPER(AC158)="Y",1,IF(AF158=0,0,IF(AND(Z158="",Y158&lt;&gt;""),IF(Y158&gt;=0.999,1,0),IF(AF158&gt;=U158,1,0))))</f>
        <v/>
      </c>
      <c r="AH158" s="44">
        <f>IF(AF158&gt;0,(AD158-AE158)/AF158,"")</f>
        <v/>
      </c>
      <c r="AI158" s="45">
        <f>IF(AG158=1,AH158-O158,"")</f>
        <v/>
      </c>
      <c r="AJ158" s="44">
        <f>IF(AG158=1,AH158,MAX(-1,MIN(1,O158+INDEX(Types!$H:$H,MATCH($A158&amp;"|"&amp;$D158,Types!$A:$A,0)))))</f>
        <v/>
      </c>
      <c r="AK158" s="43">
        <f>IF(AG158=1,AF158,MAX(AQ158*AS158,AF158))</f>
        <v/>
      </c>
      <c r="AL158" s="43">
        <f>IF(AG158=1,AD158,AK158*(1+AJ158)/2)</f>
        <v/>
      </c>
      <c r="AM158" s="43">
        <f>IF(AG158=1,AE158,AK158*(1-AJ158)/2)</f>
        <v/>
      </c>
      <c r="AN158" s="45">
        <f>IF(AH158="","",AH158-T158)</f>
        <v/>
      </c>
      <c r="AO158" s="51">
        <f>IF(AG158=1,1,IF(U158&gt;0,MIN(AF158/U158,0.99),0))</f>
        <v/>
      </c>
      <c r="AP158" s="43">
        <f>IF(AG158=1,AI158*AF158,0)</f>
        <v/>
      </c>
      <c r="AQ158" s="43">
        <f>N158*(F158+G158)/H158</f>
        <v/>
      </c>
      <c r="AR158" s="43">
        <f>O158*AQ158</f>
        <v/>
      </c>
      <c r="AS158" s="52">
        <f>IF(AG158=1,IF(AQ158&gt;0,AF158/AQ158,1),IFERROR(INDEX(Types!$K:$K,MATCH($A158&amp;"|"&amp;$D158,Types!$A:$A,0)),INDEX(Dashboard!$X$6:$X$22,MATCH($A158,Dashboard!$A$6:$A$22,0))))</f>
        <v/>
      </c>
      <c r="AT158" s="43">
        <f>AQ158*INDEX(Dashboard!$Y$6:$Y$22,MATCH($A158,Dashboard!$A$6:$A$22,0))</f>
        <v/>
      </c>
      <c r="AU158" s="53">
        <f>IF(AND(AG158=1,AT158&gt;0,AF158&gt;0),100*AF158/AT158,"")</f>
        <v/>
      </c>
      <c r="AV158" s="44">
        <f>IF(AU158="","",T158/(AU158/100))</f>
        <v/>
      </c>
      <c r="AW158" s="53">
        <f>IF(AU158="","",IF(AND(ABS(AH158)&gt;=0.1,ABS(T158)&gt;=0.05,SIGN(AH158)=SIGN(T158)),100*T158/AH158,""))</f>
        <v/>
      </c>
      <c r="AX158" s="45">
        <f>IF(AU158="","",T158-AV158)</f>
        <v/>
      </c>
      <c r="AY158" s="45">
        <f>IF(AU158="","",AH158-AV158)</f>
        <v/>
      </c>
      <c r="AZ158" s="54">
        <f>(AL158-AM158)-T158*AT158</f>
        <v/>
      </c>
      <c r="BA158" s="43">
        <f>IF(AU158="",0,(AH158-T158)*AF158)</f>
        <v/>
      </c>
      <c r="BB158" s="43">
        <f>IF(AU158="",0,T158*(AF158-AT158))</f>
        <v/>
      </c>
      <c r="BC158" s="51" t="n">
        <v>0.2536642310519261</v>
      </c>
      <c r="BD158" s="51" t="n">
        <v>0.07004193869168576</v>
      </c>
      <c r="BE158" s="51" t="n">
        <v>0.2827740222114921</v>
      </c>
      <c r="BF158" s="43" t="n">
        <v>23129</v>
      </c>
    </row>
    <row r="159">
      <c r="A159" s="42" t="inlineStr">
        <is>
          <t>GA</t>
        </is>
      </c>
      <c r="B159" s="42" t="inlineStr">
        <is>
          <t>13239</t>
        </is>
      </c>
      <c r="C159" s="42" t="inlineStr">
        <is>
          <t>Quitman</t>
        </is>
      </c>
      <c r="D159" s="42" t="inlineStr">
        <is>
          <t>Black Belt</t>
        </is>
      </c>
      <c r="E159" s="42" t="inlineStr"/>
      <c r="F159" s="43" t="n">
        <v>480</v>
      </c>
      <c r="G159" s="43" t="n">
        <v>656</v>
      </c>
      <c r="H159" s="43" t="n">
        <v>1140</v>
      </c>
      <c r="I159" s="43" t="n">
        <v>497</v>
      </c>
      <c r="J159" s="43" t="n">
        <v>604</v>
      </c>
      <c r="K159" s="42" t="inlineStr">
        <is>
          <t>US Senate</t>
        </is>
      </c>
      <c r="L159" s="43" t="n">
        <v>378</v>
      </c>
      <c r="M159" s="43" t="n">
        <v>511</v>
      </c>
      <c r="N159" s="43" t="n">
        <v>902</v>
      </c>
      <c r="O159" s="44">
        <f>IFERROR((F159-G159)/(F159+G159),"")</f>
        <v/>
      </c>
      <c r="P159" s="44">
        <f>IFERROR((I159-J159)/(I159+J159),"")</f>
        <v/>
      </c>
      <c r="Q159" s="45">
        <f>IFERROR(O159-P159,"")</f>
        <v/>
      </c>
      <c r="R159" s="44">
        <f>IFERROR((L159-M159)/(L159+M159),"")</f>
        <v/>
      </c>
      <c r="S159" s="46">
        <f>H159/SUMIFS(Counties!$H$2:$H$1583,Counties!$A$2:$A$1583,$A159)</f>
        <v/>
      </c>
      <c r="T159" s="44">
        <f>O159+INDEX(Dashboard!$F$6:$F$22,MATCH($A159,Dashboard!$A$6:$A$22,0))</f>
        <v/>
      </c>
      <c r="U159" s="43">
        <f>AQ159*INDEX(Dashboard!$G$6:$G$22,MATCH($A159,Dashboard!$A$6:$A$22,0))</f>
        <v/>
      </c>
      <c r="V159" s="47" t="n"/>
      <c r="W159" s="47" t="n"/>
      <c r="X159" s="47" t="n"/>
      <c r="Y159" s="48" t="n"/>
      <c r="Z159" s="49" t="n"/>
      <c r="AA159" s="49" t="n"/>
      <c r="AB159" s="49" t="n"/>
      <c r="AC159" s="50" t="n"/>
      <c r="AD159" s="43">
        <f>IF(Z159&lt;&gt;"",Z159,N(V159))</f>
        <v/>
      </c>
      <c r="AE159" s="43">
        <f>IF(AA159&lt;&gt;"",AA159,N(W159))</f>
        <v/>
      </c>
      <c r="AF159" s="43">
        <f>AD159+AE159</f>
        <v/>
      </c>
      <c r="AG159" s="42">
        <f>IF(UPPER(AC159)="Y",1,IF(AF159=0,0,IF(AND(Z159="",Y159&lt;&gt;""),IF(Y159&gt;=0.999,1,0),IF(AF159&gt;=U159,1,0))))</f>
        <v/>
      </c>
      <c r="AH159" s="44">
        <f>IF(AF159&gt;0,(AD159-AE159)/AF159,"")</f>
        <v/>
      </c>
      <c r="AI159" s="45">
        <f>IF(AG159=1,AH159-O159,"")</f>
        <v/>
      </c>
      <c r="AJ159" s="44">
        <f>IF(AG159=1,AH159,MAX(-1,MIN(1,O159+INDEX(Types!$H:$H,MATCH($A159&amp;"|"&amp;$D159,Types!$A:$A,0)))))</f>
        <v/>
      </c>
      <c r="AK159" s="43">
        <f>IF(AG159=1,AF159,MAX(AQ159*AS159,AF159))</f>
        <v/>
      </c>
      <c r="AL159" s="43">
        <f>IF(AG159=1,AD159,AK159*(1+AJ159)/2)</f>
        <v/>
      </c>
      <c r="AM159" s="43">
        <f>IF(AG159=1,AE159,AK159*(1-AJ159)/2)</f>
        <v/>
      </c>
      <c r="AN159" s="45">
        <f>IF(AH159="","",AH159-T159)</f>
        <v/>
      </c>
      <c r="AO159" s="51">
        <f>IF(AG159=1,1,IF(U159&gt;0,MIN(AF159/U159,0.99),0))</f>
        <v/>
      </c>
      <c r="AP159" s="43">
        <f>IF(AG159=1,AI159*AF159,0)</f>
        <v/>
      </c>
      <c r="AQ159" s="43">
        <f>N159*(F159+G159)/H159</f>
        <v/>
      </c>
      <c r="AR159" s="43">
        <f>O159*AQ159</f>
        <v/>
      </c>
      <c r="AS159" s="52">
        <f>IF(AG159=1,IF(AQ159&gt;0,AF159/AQ159,1),IFERROR(INDEX(Types!$K:$K,MATCH($A159&amp;"|"&amp;$D159,Types!$A:$A,0)),INDEX(Dashboard!$X$6:$X$22,MATCH($A159,Dashboard!$A$6:$A$22,0))))</f>
        <v/>
      </c>
      <c r="AT159" s="43">
        <f>AQ159*INDEX(Dashboard!$Y$6:$Y$22,MATCH($A159,Dashboard!$A$6:$A$22,0))</f>
        <v/>
      </c>
      <c r="AU159" s="53">
        <f>IF(AND(AG159=1,AT159&gt;0,AF159&gt;0),100*AF159/AT159,"")</f>
        <v/>
      </c>
      <c r="AV159" s="44">
        <f>IF(AU159="","",T159/(AU159/100))</f>
        <v/>
      </c>
      <c r="AW159" s="53">
        <f>IF(AU159="","",IF(AND(ABS(AH159)&gt;=0.1,ABS(T159)&gt;=0.05,SIGN(AH159)=SIGN(T159)),100*T159/AH159,""))</f>
        <v/>
      </c>
      <c r="AX159" s="45">
        <f>IF(AU159="","",T159-AV159)</f>
        <v/>
      </c>
      <c r="AY159" s="45">
        <f>IF(AU159="","",AH159-AV159)</f>
        <v/>
      </c>
      <c r="AZ159" s="54">
        <f>(AL159-AM159)-T159*AT159</f>
        <v/>
      </c>
      <c r="BA159" s="43">
        <f>IF(AU159="",0,(AH159-T159)*AF159)</f>
        <v/>
      </c>
      <c r="BB159" s="43">
        <f>IF(AU159="",0,T159*(AF159-AT159))</f>
        <v/>
      </c>
      <c r="BC159" s="51" t="n">
        <v>0.4517543859649123</v>
      </c>
      <c r="BD159" s="51" t="n">
        <v>0.02763157894736842</v>
      </c>
      <c r="BE159" s="51" t="n">
        <v>0.08952380952380952</v>
      </c>
      <c r="BF159" s="43" t="n">
        <v>2280</v>
      </c>
    </row>
    <row r="160">
      <c r="A160" s="42" t="inlineStr">
        <is>
          <t>GA</t>
        </is>
      </c>
      <c r="B160" s="42" t="inlineStr">
        <is>
          <t>13241</t>
        </is>
      </c>
      <c r="C160" s="42" t="inlineStr">
        <is>
          <t>Rabun</t>
        </is>
      </c>
      <c r="D160" s="42" t="inlineStr">
        <is>
          <t>Small town &amp; rural</t>
        </is>
      </c>
      <c r="E160" s="42" t="inlineStr"/>
      <c r="F160" s="43" t="n">
        <v>2222</v>
      </c>
      <c r="G160" s="43" t="n">
        <v>8151</v>
      </c>
      <c r="H160" s="43" t="n">
        <v>10423</v>
      </c>
      <c r="I160" s="43" t="n">
        <v>1984</v>
      </c>
      <c r="J160" s="43" t="n">
        <v>7474</v>
      </c>
      <c r="K160" s="42" t="inlineStr">
        <is>
          <t>US Senate</t>
        </is>
      </c>
      <c r="L160" s="43" t="n">
        <v>1804</v>
      </c>
      <c r="M160" s="43" t="n">
        <v>6180</v>
      </c>
      <c r="N160" s="43" t="n">
        <v>8207</v>
      </c>
      <c r="O160" s="44">
        <f>IFERROR((F160-G160)/(F160+G160),"")</f>
        <v/>
      </c>
      <c r="P160" s="44">
        <f>IFERROR((I160-J160)/(I160+J160),"")</f>
        <v/>
      </c>
      <c r="Q160" s="45">
        <f>IFERROR(O160-P160,"")</f>
        <v/>
      </c>
      <c r="R160" s="44">
        <f>IFERROR((L160-M160)/(L160+M160),"")</f>
        <v/>
      </c>
      <c r="S160" s="46">
        <f>H160/SUMIFS(Counties!$H$2:$H$1583,Counties!$A$2:$A$1583,$A160)</f>
        <v/>
      </c>
      <c r="T160" s="44">
        <f>O160+INDEX(Dashboard!$F$6:$F$22,MATCH($A160,Dashboard!$A$6:$A$22,0))</f>
        <v/>
      </c>
      <c r="U160" s="43">
        <f>AQ160*INDEX(Dashboard!$G$6:$G$22,MATCH($A160,Dashboard!$A$6:$A$22,0))</f>
        <v/>
      </c>
      <c r="V160" s="47" t="n"/>
      <c r="W160" s="47" t="n"/>
      <c r="X160" s="47" t="n"/>
      <c r="Y160" s="48" t="n"/>
      <c r="Z160" s="49" t="n"/>
      <c r="AA160" s="49" t="n"/>
      <c r="AB160" s="49" t="n"/>
      <c r="AC160" s="50" t="n"/>
      <c r="AD160" s="43">
        <f>IF(Z160&lt;&gt;"",Z160,N(V160))</f>
        <v/>
      </c>
      <c r="AE160" s="43">
        <f>IF(AA160&lt;&gt;"",AA160,N(W160))</f>
        <v/>
      </c>
      <c r="AF160" s="43">
        <f>AD160+AE160</f>
        <v/>
      </c>
      <c r="AG160" s="42">
        <f>IF(UPPER(AC160)="Y",1,IF(AF160=0,0,IF(AND(Z160="",Y160&lt;&gt;""),IF(Y160&gt;=0.999,1,0),IF(AF160&gt;=U160,1,0))))</f>
        <v/>
      </c>
      <c r="AH160" s="44">
        <f>IF(AF160&gt;0,(AD160-AE160)/AF160,"")</f>
        <v/>
      </c>
      <c r="AI160" s="45">
        <f>IF(AG160=1,AH160-O160,"")</f>
        <v/>
      </c>
      <c r="AJ160" s="44">
        <f>IF(AG160=1,AH160,MAX(-1,MIN(1,O160+INDEX(Types!$H:$H,MATCH($A160&amp;"|"&amp;$D160,Types!$A:$A,0)))))</f>
        <v/>
      </c>
      <c r="AK160" s="43">
        <f>IF(AG160=1,AF160,MAX(AQ160*AS160,AF160))</f>
        <v/>
      </c>
      <c r="AL160" s="43">
        <f>IF(AG160=1,AD160,AK160*(1+AJ160)/2)</f>
        <v/>
      </c>
      <c r="AM160" s="43">
        <f>IF(AG160=1,AE160,AK160*(1-AJ160)/2)</f>
        <v/>
      </c>
      <c r="AN160" s="45">
        <f>IF(AH160="","",AH160-T160)</f>
        <v/>
      </c>
      <c r="AO160" s="51">
        <f>IF(AG160=1,1,IF(U160&gt;0,MIN(AF160/U160,0.99),0))</f>
        <v/>
      </c>
      <c r="AP160" s="43">
        <f>IF(AG160=1,AI160*AF160,0)</f>
        <v/>
      </c>
      <c r="AQ160" s="43">
        <f>N160*(F160+G160)/H160</f>
        <v/>
      </c>
      <c r="AR160" s="43">
        <f>O160*AQ160</f>
        <v/>
      </c>
      <c r="AS160" s="52">
        <f>IF(AG160=1,IF(AQ160&gt;0,AF160/AQ160,1),IFERROR(INDEX(Types!$K:$K,MATCH($A160&amp;"|"&amp;$D160,Types!$A:$A,0)),INDEX(Dashboard!$X$6:$X$22,MATCH($A160,Dashboard!$A$6:$A$22,0))))</f>
        <v/>
      </c>
      <c r="AT160" s="43">
        <f>AQ160*INDEX(Dashboard!$Y$6:$Y$22,MATCH($A160,Dashboard!$A$6:$A$22,0))</f>
        <v/>
      </c>
      <c r="AU160" s="53">
        <f>IF(AND(AG160=1,AT160&gt;0,AF160&gt;0),100*AF160/AT160,"")</f>
        <v/>
      </c>
      <c r="AV160" s="44">
        <f>IF(AU160="","",T160/(AU160/100))</f>
        <v/>
      </c>
      <c r="AW160" s="53">
        <f>IF(AU160="","",IF(AND(ABS(AH160)&gt;=0.1,ABS(T160)&gt;=0.05,SIGN(AH160)=SIGN(T160)),100*T160/AH160,""))</f>
        <v/>
      </c>
      <c r="AX160" s="45">
        <f>IF(AU160="","",T160-AV160)</f>
        <v/>
      </c>
      <c r="AY160" s="45">
        <f>IF(AU160="","",AH160-AV160)</f>
        <v/>
      </c>
      <c r="AZ160" s="54">
        <f>(AL160-AM160)-T160*AT160</f>
        <v/>
      </c>
      <c r="BA160" s="43">
        <f>IF(AU160="",0,(AH160-T160)*AF160)</f>
        <v/>
      </c>
      <c r="BB160" s="43">
        <f>IF(AU160="",0,T160*(AF160-AT160))</f>
        <v/>
      </c>
      <c r="BC160" s="51" t="n">
        <v>0.01341589267285862</v>
      </c>
      <c r="BD160" s="51" t="n">
        <v>0.08731796812292168</v>
      </c>
      <c r="BE160" s="51" t="n">
        <v>0.29935532802427</v>
      </c>
      <c r="BF160" s="43" t="n">
        <v>17442</v>
      </c>
    </row>
    <row r="161">
      <c r="A161" s="42" t="inlineStr">
        <is>
          <t>GA</t>
        </is>
      </c>
      <c r="B161" s="42" t="inlineStr">
        <is>
          <t>13243</t>
        </is>
      </c>
      <c r="C161" s="42" t="inlineStr">
        <is>
          <t>Randolph</t>
        </is>
      </c>
      <c r="D161" s="42" t="inlineStr">
        <is>
          <t>Black Belt</t>
        </is>
      </c>
      <c r="E161" s="42" t="inlineStr"/>
      <c r="F161" s="43" t="n">
        <v>1601</v>
      </c>
      <c r="G161" s="43" t="n">
        <v>1373</v>
      </c>
      <c r="H161" s="43" t="n">
        <v>2990</v>
      </c>
      <c r="I161" s="43" t="n">
        <v>1671</v>
      </c>
      <c r="J161" s="43" t="n">
        <v>1390</v>
      </c>
      <c r="K161" s="42" t="inlineStr">
        <is>
          <t>US Senate</t>
        </is>
      </c>
      <c r="L161" s="43" t="n">
        <v>1366</v>
      </c>
      <c r="M161" s="43" t="n">
        <v>1158</v>
      </c>
      <c r="N161" s="43" t="n">
        <v>2547</v>
      </c>
      <c r="O161" s="44">
        <f>IFERROR((F161-G161)/(F161+G161),"")</f>
        <v/>
      </c>
      <c r="P161" s="44">
        <f>IFERROR((I161-J161)/(I161+J161),"")</f>
        <v/>
      </c>
      <c r="Q161" s="45">
        <f>IFERROR(O161-P161,"")</f>
        <v/>
      </c>
      <c r="R161" s="44">
        <f>IFERROR((L161-M161)/(L161+M161),"")</f>
        <v/>
      </c>
      <c r="S161" s="46">
        <f>H161/SUMIFS(Counties!$H$2:$H$1583,Counties!$A$2:$A$1583,$A161)</f>
        <v/>
      </c>
      <c r="T161" s="44">
        <f>O161+INDEX(Dashboard!$F$6:$F$22,MATCH($A161,Dashboard!$A$6:$A$22,0))</f>
        <v/>
      </c>
      <c r="U161" s="43">
        <f>AQ161*INDEX(Dashboard!$G$6:$G$22,MATCH($A161,Dashboard!$A$6:$A$22,0))</f>
        <v/>
      </c>
      <c r="V161" s="47" t="n"/>
      <c r="W161" s="47" t="n"/>
      <c r="X161" s="47" t="n"/>
      <c r="Y161" s="48" t="n"/>
      <c r="Z161" s="49" t="n"/>
      <c r="AA161" s="49" t="n"/>
      <c r="AB161" s="49" t="n"/>
      <c r="AC161" s="50" t="n"/>
      <c r="AD161" s="43">
        <f>IF(Z161&lt;&gt;"",Z161,N(V161))</f>
        <v/>
      </c>
      <c r="AE161" s="43">
        <f>IF(AA161&lt;&gt;"",AA161,N(W161))</f>
        <v/>
      </c>
      <c r="AF161" s="43">
        <f>AD161+AE161</f>
        <v/>
      </c>
      <c r="AG161" s="42">
        <f>IF(UPPER(AC161)="Y",1,IF(AF161=0,0,IF(AND(Z161="",Y161&lt;&gt;""),IF(Y161&gt;=0.999,1,0),IF(AF161&gt;=U161,1,0))))</f>
        <v/>
      </c>
      <c r="AH161" s="44">
        <f>IF(AF161&gt;0,(AD161-AE161)/AF161,"")</f>
        <v/>
      </c>
      <c r="AI161" s="45">
        <f>IF(AG161=1,AH161-O161,"")</f>
        <v/>
      </c>
      <c r="AJ161" s="44">
        <f>IF(AG161=1,AH161,MAX(-1,MIN(1,O161+INDEX(Types!$H:$H,MATCH($A161&amp;"|"&amp;$D161,Types!$A:$A,0)))))</f>
        <v/>
      </c>
      <c r="AK161" s="43">
        <f>IF(AG161=1,AF161,MAX(AQ161*AS161,AF161))</f>
        <v/>
      </c>
      <c r="AL161" s="43">
        <f>IF(AG161=1,AD161,AK161*(1+AJ161)/2)</f>
        <v/>
      </c>
      <c r="AM161" s="43">
        <f>IF(AG161=1,AE161,AK161*(1-AJ161)/2)</f>
        <v/>
      </c>
      <c r="AN161" s="45">
        <f>IF(AH161="","",AH161-T161)</f>
        <v/>
      </c>
      <c r="AO161" s="51">
        <f>IF(AG161=1,1,IF(U161&gt;0,MIN(AF161/U161,0.99),0))</f>
        <v/>
      </c>
      <c r="AP161" s="43">
        <f>IF(AG161=1,AI161*AF161,0)</f>
        <v/>
      </c>
      <c r="AQ161" s="43">
        <f>N161*(F161+G161)/H161</f>
        <v/>
      </c>
      <c r="AR161" s="43">
        <f>O161*AQ161</f>
        <v/>
      </c>
      <c r="AS161" s="52">
        <f>IF(AG161=1,IF(AQ161&gt;0,AF161/AQ161,1),IFERROR(INDEX(Types!$K:$K,MATCH($A161&amp;"|"&amp;$D161,Types!$A:$A,0)),INDEX(Dashboard!$X$6:$X$22,MATCH($A161,Dashboard!$A$6:$A$22,0))))</f>
        <v/>
      </c>
      <c r="AT161" s="43">
        <f>AQ161*INDEX(Dashboard!$Y$6:$Y$22,MATCH($A161,Dashboard!$A$6:$A$22,0))</f>
        <v/>
      </c>
      <c r="AU161" s="53">
        <f>IF(AND(AG161=1,AT161&gt;0,AF161&gt;0),100*AF161/AT161,"")</f>
        <v/>
      </c>
      <c r="AV161" s="44">
        <f>IF(AU161="","",T161/(AU161/100))</f>
        <v/>
      </c>
      <c r="AW161" s="53">
        <f>IF(AU161="","",IF(AND(ABS(AH161)&gt;=0.1,ABS(T161)&gt;=0.05,SIGN(AH161)=SIGN(T161)),100*T161/AH161,""))</f>
        <v/>
      </c>
      <c r="AX161" s="45">
        <f>IF(AU161="","",T161-AV161)</f>
        <v/>
      </c>
      <c r="AY161" s="45">
        <f>IF(AU161="","",AH161-AV161)</f>
        <v/>
      </c>
      <c r="AZ161" s="54">
        <f>(AL161-AM161)-T161*AT161</f>
        <v/>
      </c>
      <c r="BA161" s="43">
        <f>IF(AU161="",0,(AH161-T161)*AF161)</f>
        <v/>
      </c>
      <c r="BB161" s="43">
        <f>IF(AU161="",0,T161*(AF161-AT161))</f>
        <v/>
      </c>
      <c r="BC161" s="51" t="n">
        <v>0.5977295162882527</v>
      </c>
      <c r="BD161" s="51" t="n">
        <v>0.02517275419545903</v>
      </c>
      <c r="BE161" s="51" t="n">
        <v>0.1501296252651426</v>
      </c>
      <c r="BF161" s="43" t="n">
        <v>6078</v>
      </c>
    </row>
    <row r="162">
      <c r="A162" s="42" t="inlineStr">
        <is>
          <t>GA</t>
        </is>
      </c>
      <c r="B162" s="42" t="inlineStr">
        <is>
          <t>13245</t>
        </is>
      </c>
      <c r="C162" s="42" t="inlineStr">
        <is>
          <t>Richmond</t>
        </is>
      </c>
      <c r="D162" s="42" t="inlineStr">
        <is>
          <t>Black Belt</t>
        </is>
      </c>
      <c r="E162" s="42" t="inlineStr"/>
      <c r="F162" s="43" t="n">
        <v>56657</v>
      </c>
      <c r="G162" s="43" t="n">
        <v>26472</v>
      </c>
      <c r="H162" s="43" t="n">
        <v>83578</v>
      </c>
      <c r="I162" s="43" t="n">
        <v>59119</v>
      </c>
      <c r="J162" s="43" t="n">
        <v>26780</v>
      </c>
      <c r="K162" s="42" t="inlineStr">
        <is>
          <t>US Senate</t>
        </is>
      </c>
      <c r="L162" s="43" t="n">
        <v>43567</v>
      </c>
      <c r="M162" s="43" t="n">
        <v>19491</v>
      </c>
      <c r="N162" s="43" t="n">
        <v>63938</v>
      </c>
      <c r="O162" s="44">
        <f>IFERROR((F162-G162)/(F162+G162),"")</f>
        <v/>
      </c>
      <c r="P162" s="44">
        <f>IFERROR((I162-J162)/(I162+J162),"")</f>
        <v/>
      </c>
      <c r="Q162" s="45">
        <f>IFERROR(O162-P162,"")</f>
        <v/>
      </c>
      <c r="R162" s="44">
        <f>IFERROR((L162-M162)/(L162+M162),"")</f>
        <v/>
      </c>
      <c r="S162" s="46">
        <f>H162/SUMIFS(Counties!$H$2:$H$1583,Counties!$A$2:$A$1583,$A162)</f>
        <v/>
      </c>
      <c r="T162" s="44">
        <f>O162+INDEX(Dashboard!$F$6:$F$22,MATCH($A162,Dashboard!$A$6:$A$22,0))</f>
        <v/>
      </c>
      <c r="U162" s="43">
        <f>AQ162*INDEX(Dashboard!$G$6:$G$22,MATCH($A162,Dashboard!$A$6:$A$22,0))</f>
        <v/>
      </c>
      <c r="V162" s="47" t="n"/>
      <c r="W162" s="47" t="n"/>
      <c r="X162" s="47" t="n"/>
      <c r="Y162" s="48" t="n"/>
      <c r="Z162" s="49" t="n"/>
      <c r="AA162" s="49" t="n"/>
      <c r="AB162" s="49" t="n"/>
      <c r="AC162" s="50" t="n"/>
      <c r="AD162" s="43">
        <f>IF(Z162&lt;&gt;"",Z162,N(V162))</f>
        <v/>
      </c>
      <c r="AE162" s="43">
        <f>IF(AA162&lt;&gt;"",AA162,N(W162))</f>
        <v/>
      </c>
      <c r="AF162" s="43">
        <f>AD162+AE162</f>
        <v/>
      </c>
      <c r="AG162" s="42">
        <f>IF(UPPER(AC162)="Y",1,IF(AF162=0,0,IF(AND(Z162="",Y162&lt;&gt;""),IF(Y162&gt;=0.999,1,0),IF(AF162&gt;=U162,1,0))))</f>
        <v/>
      </c>
      <c r="AH162" s="44">
        <f>IF(AF162&gt;0,(AD162-AE162)/AF162,"")</f>
        <v/>
      </c>
      <c r="AI162" s="45">
        <f>IF(AG162=1,AH162-O162,"")</f>
        <v/>
      </c>
      <c r="AJ162" s="44">
        <f>IF(AG162=1,AH162,MAX(-1,MIN(1,O162+INDEX(Types!$H:$H,MATCH($A162&amp;"|"&amp;$D162,Types!$A:$A,0)))))</f>
        <v/>
      </c>
      <c r="AK162" s="43">
        <f>IF(AG162=1,AF162,MAX(AQ162*AS162,AF162))</f>
        <v/>
      </c>
      <c r="AL162" s="43">
        <f>IF(AG162=1,AD162,AK162*(1+AJ162)/2)</f>
        <v/>
      </c>
      <c r="AM162" s="43">
        <f>IF(AG162=1,AE162,AK162*(1-AJ162)/2)</f>
        <v/>
      </c>
      <c r="AN162" s="45">
        <f>IF(AH162="","",AH162-T162)</f>
        <v/>
      </c>
      <c r="AO162" s="51">
        <f>IF(AG162=1,1,IF(U162&gt;0,MIN(AF162/U162,0.99),0))</f>
        <v/>
      </c>
      <c r="AP162" s="43">
        <f>IF(AG162=1,AI162*AF162,0)</f>
        <v/>
      </c>
      <c r="AQ162" s="43">
        <f>N162*(F162+G162)/H162</f>
        <v/>
      </c>
      <c r="AR162" s="43">
        <f>O162*AQ162</f>
        <v/>
      </c>
      <c r="AS162" s="52">
        <f>IF(AG162=1,IF(AQ162&gt;0,AF162/AQ162,1),IFERROR(INDEX(Types!$K:$K,MATCH($A162&amp;"|"&amp;$D162,Types!$A:$A,0)),INDEX(Dashboard!$X$6:$X$22,MATCH($A162,Dashboard!$A$6:$A$22,0))))</f>
        <v/>
      </c>
      <c r="AT162" s="43">
        <f>AQ162*INDEX(Dashboard!$Y$6:$Y$22,MATCH($A162,Dashboard!$A$6:$A$22,0))</f>
        <v/>
      </c>
      <c r="AU162" s="53">
        <f>IF(AND(AG162=1,AT162&gt;0,AF162&gt;0),100*AF162/AT162,"")</f>
        <v/>
      </c>
      <c r="AV162" s="44">
        <f>IF(AU162="","",T162/(AU162/100))</f>
        <v/>
      </c>
      <c r="AW162" s="53">
        <f>IF(AU162="","",IF(AND(ABS(AH162)&gt;=0.1,ABS(T162)&gt;=0.05,SIGN(AH162)=SIGN(T162)),100*T162/AH162,""))</f>
        <v/>
      </c>
      <c r="AX162" s="45">
        <f>IF(AU162="","",T162-AV162)</f>
        <v/>
      </c>
      <c r="AY162" s="45">
        <f>IF(AU162="","",AH162-AV162)</f>
        <v/>
      </c>
      <c r="AZ162" s="54">
        <f>(AL162-AM162)-T162*AT162</f>
        <v/>
      </c>
      <c r="BA162" s="43">
        <f>IF(AU162="",0,(AH162-T162)*AF162)</f>
        <v/>
      </c>
      <c r="BB162" s="43">
        <f>IF(AU162="",0,T162*(AF162-AT162))</f>
        <v/>
      </c>
      <c r="BC162" s="51" t="n">
        <v>0.5796440359469169</v>
      </c>
      <c r="BD162" s="51" t="n">
        <v>0.05877885635837869</v>
      </c>
      <c r="BE162" s="51" t="n">
        <v>0.2406032158781228</v>
      </c>
      <c r="BF162" s="43" t="n">
        <v>205414</v>
      </c>
    </row>
    <row r="163">
      <c r="A163" s="42" t="inlineStr">
        <is>
          <t>GA</t>
        </is>
      </c>
      <c r="B163" s="42" t="inlineStr">
        <is>
          <t>13247</t>
        </is>
      </c>
      <c r="C163" s="42" t="inlineStr">
        <is>
          <t>Rockdale</t>
        </is>
      </c>
      <c r="D163" s="42" t="inlineStr">
        <is>
          <t>Black Belt</t>
        </is>
      </c>
      <c r="E163" s="42" t="inlineStr"/>
      <c r="F163" s="43" t="n">
        <v>33165</v>
      </c>
      <c r="G163" s="43" t="n">
        <v>11711</v>
      </c>
      <c r="H163" s="43" t="n">
        <v>45160</v>
      </c>
      <c r="I163" s="43" t="n">
        <v>31237</v>
      </c>
      <c r="J163" s="43" t="n">
        <v>13014</v>
      </c>
      <c r="K163" s="42" t="inlineStr">
        <is>
          <t>US Senate</t>
        </is>
      </c>
      <c r="L163" s="43" t="n">
        <v>25478</v>
      </c>
      <c r="M163" s="43" t="n">
        <v>8722</v>
      </c>
      <c r="N163" s="43" t="n">
        <v>34774</v>
      </c>
      <c r="O163" s="44">
        <f>IFERROR((F163-G163)/(F163+G163),"")</f>
        <v/>
      </c>
      <c r="P163" s="44">
        <f>IFERROR((I163-J163)/(I163+J163),"")</f>
        <v/>
      </c>
      <c r="Q163" s="45">
        <f>IFERROR(O163-P163,"")</f>
        <v/>
      </c>
      <c r="R163" s="44">
        <f>IFERROR((L163-M163)/(L163+M163),"")</f>
        <v/>
      </c>
      <c r="S163" s="46">
        <f>H163/SUMIFS(Counties!$H$2:$H$1583,Counties!$A$2:$A$1583,$A163)</f>
        <v/>
      </c>
      <c r="T163" s="44">
        <f>O163+INDEX(Dashboard!$F$6:$F$22,MATCH($A163,Dashboard!$A$6:$A$22,0))</f>
        <v/>
      </c>
      <c r="U163" s="43">
        <f>AQ163*INDEX(Dashboard!$G$6:$G$22,MATCH($A163,Dashboard!$A$6:$A$22,0))</f>
        <v/>
      </c>
      <c r="V163" s="47" t="n"/>
      <c r="W163" s="47" t="n"/>
      <c r="X163" s="47" t="n"/>
      <c r="Y163" s="48" t="n"/>
      <c r="Z163" s="49" t="n"/>
      <c r="AA163" s="49" t="n"/>
      <c r="AB163" s="49" t="n"/>
      <c r="AC163" s="50" t="n"/>
      <c r="AD163" s="43">
        <f>IF(Z163&lt;&gt;"",Z163,N(V163))</f>
        <v/>
      </c>
      <c r="AE163" s="43">
        <f>IF(AA163&lt;&gt;"",AA163,N(W163))</f>
        <v/>
      </c>
      <c r="AF163" s="43">
        <f>AD163+AE163</f>
        <v/>
      </c>
      <c r="AG163" s="42">
        <f>IF(UPPER(AC163)="Y",1,IF(AF163=0,0,IF(AND(Z163="",Y163&lt;&gt;""),IF(Y163&gt;=0.999,1,0),IF(AF163&gt;=U163,1,0))))</f>
        <v/>
      </c>
      <c r="AH163" s="44">
        <f>IF(AF163&gt;0,(AD163-AE163)/AF163,"")</f>
        <v/>
      </c>
      <c r="AI163" s="45">
        <f>IF(AG163=1,AH163-O163,"")</f>
        <v/>
      </c>
      <c r="AJ163" s="44">
        <f>IF(AG163=1,AH163,MAX(-1,MIN(1,O163+INDEX(Types!$H:$H,MATCH($A163&amp;"|"&amp;$D163,Types!$A:$A,0)))))</f>
        <v/>
      </c>
      <c r="AK163" s="43">
        <f>IF(AG163=1,AF163,MAX(AQ163*AS163,AF163))</f>
        <v/>
      </c>
      <c r="AL163" s="43">
        <f>IF(AG163=1,AD163,AK163*(1+AJ163)/2)</f>
        <v/>
      </c>
      <c r="AM163" s="43">
        <f>IF(AG163=1,AE163,AK163*(1-AJ163)/2)</f>
        <v/>
      </c>
      <c r="AN163" s="45">
        <f>IF(AH163="","",AH163-T163)</f>
        <v/>
      </c>
      <c r="AO163" s="51">
        <f>IF(AG163=1,1,IF(U163&gt;0,MIN(AF163/U163,0.99),0))</f>
        <v/>
      </c>
      <c r="AP163" s="43">
        <f>IF(AG163=1,AI163*AF163,0)</f>
        <v/>
      </c>
      <c r="AQ163" s="43">
        <f>N163*(F163+G163)/H163</f>
        <v/>
      </c>
      <c r="AR163" s="43">
        <f>O163*AQ163</f>
        <v/>
      </c>
      <c r="AS163" s="52">
        <f>IF(AG163=1,IF(AQ163&gt;0,AF163/AQ163,1),IFERROR(INDEX(Types!$K:$K,MATCH($A163&amp;"|"&amp;$D163,Types!$A:$A,0)),INDEX(Dashboard!$X$6:$X$22,MATCH($A163,Dashboard!$A$6:$A$22,0))))</f>
        <v/>
      </c>
      <c r="AT163" s="43">
        <f>AQ163*INDEX(Dashboard!$Y$6:$Y$22,MATCH($A163,Dashboard!$A$6:$A$22,0))</f>
        <v/>
      </c>
      <c r="AU163" s="53">
        <f>IF(AND(AG163=1,AT163&gt;0,AF163&gt;0),100*AF163/AT163,"")</f>
        <v/>
      </c>
      <c r="AV163" s="44">
        <f>IF(AU163="","",T163/(AU163/100))</f>
        <v/>
      </c>
      <c r="AW163" s="53">
        <f>IF(AU163="","",IF(AND(ABS(AH163)&gt;=0.1,ABS(T163)&gt;=0.05,SIGN(AH163)=SIGN(T163)),100*T163/AH163,""))</f>
        <v/>
      </c>
      <c r="AX163" s="45">
        <f>IF(AU163="","",T163-AV163)</f>
        <v/>
      </c>
      <c r="AY163" s="45">
        <f>IF(AU163="","",AH163-AV163)</f>
        <v/>
      </c>
      <c r="AZ163" s="54">
        <f>(AL163-AM163)-T163*AT163</f>
        <v/>
      </c>
      <c r="BA163" s="43">
        <f>IF(AU163="",0,(AH163-T163)*AF163)</f>
        <v/>
      </c>
      <c r="BB163" s="43">
        <f>IF(AU163="",0,T163*(AF163-AT163))</f>
        <v/>
      </c>
      <c r="BC163" s="51" t="n">
        <v>0.6162292810484753</v>
      </c>
      <c r="BD163" s="51" t="n">
        <v>0.1114421744611249</v>
      </c>
      <c r="BE163" s="51" t="n">
        <v>0.2910319352139801</v>
      </c>
      <c r="BF163" s="43" t="n">
        <v>95987</v>
      </c>
    </row>
    <row r="164">
      <c r="A164" s="42" t="inlineStr">
        <is>
          <t>GA</t>
        </is>
      </c>
      <c r="B164" s="42" t="inlineStr">
        <is>
          <t>13249</t>
        </is>
      </c>
      <c r="C164" s="42" t="inlineStr">
        <is>
          <t>Schley</t>
        </is>
      </c>
      <c r="D164" s="42" t="inlineStr">
        <is>
          <t>Small town &amp; rural</t>
        </is>
      </c>
      <c r="E164" s="42" t="inlineStr"/>
      <c r="F164" s="43" t="n">
        <v>453</v>
      </c>
      <c r="G164" s="43" t="n">
        <v>1970</v>
      </c>
      <c r="H164" s="43" t="n">
        <v>2428</v>
      </c>
      <c r="I164" s="43" t="n">
        <v>462</v>
      </c>
      <c r="J164" s="43" t="n">
        <v>1800</v>
      </c>
      <c r="K164" s="42" t="inlineStr">
        <is>
          <t>US Senate</t>
        </is>
      </c>
      <c r="L164" s="43" t="n">
        <v>384</v>
      </c>
      <c r="M164" s="43" t="n">
        <v>1467</v>
      </c>
      <c r="N164" s="43" t="n">
        <v>1870</v>
      </c>
      <c r="O164" s="44">
        <f>IFERROR((F164-G164)/(F164+G164),"")</f>
        <v/>
      </c>
      <c r="P164" s="44">
        <f>IFERROR((I164-J164)/(I164+J164),"")</f>
        <v/>
      </c>
      <c r="Q164" s="45">
        <f>IFERROR(O164-P164,"")</f>
        <v/>
      </c>
      <c r="R164" s="44">
        <f>IFERROR((L164-M164)/(L164+M164),"")</f>
        <v/>
      </c>
      <c r="S164" s="46">
        <f>H164/SUMIFS(Counties!$H$2:$H$1583,Counties!$A$2:$A$1583,$A164)</f>
        <v/>
      </c>
      <c r="T164" s="44">
        <f>O164+INDEX(Dashboard!$F$6:$F$22,MATCH($A164,Dashboard!$A$6:$A$22,0))</f>
        <v/>
      </c>
      <c r="U164" s="43">
        <f>AQ164*INDEX(Dashboard!$G$6:$G$22,MATCH($A164,Dashboard!$A$6:$A$22,0))</f>
        <v/>
      </c>
      <c r="V164" s="47" t="n"/>
      <c r="W164" s="47" t="n"/>
      <c r="X164" s="47" t="n"/>
      <c r="Y164" s="48" t="n"/>
      <c r="Z164" s="49" t="n"/>
      <c r="AA164" s="49" t="n"/>
      <c r="AB164" s="49" t="n"/>
      <c r="AC164" s="50" t="n"/>
      <c r="AD164" s="43">
        <f>IF(Z164&lt;&gt;"",Z164,N(V164))</f>
        <v/>
      </c>
      <c r="AE164" s="43">
        <f>IF(AA164&lt;&gt;"",AA164,N(W164))</f>
        <v/>
      </c>
      <c r="AF164" s="43">
        <f>AD164+AE164</f>
        <v/>
      </c>
      <c r="AG164" s="42">
        <f>IF(UPPER(AC164)="Y",1,IF(AF164=0,0,IF(AND(Z164="",Y164&lt;&gt;""),IF(Y164&gt;=0.999,1,0),IF(AF164&gt;=U164,1,0))))</f>
        <v/>
      </c>
      <c r="AH164" s="44">
        <f>IF(AF164&gt;0,(AD164-AE164)/AF164,"")</f>
        <v/>
      </c>
      <c r="AI164" s="45">
        <f>IF(AG164=1,AH164-O164,"")</f>
        <v/>
      </c>
      <c r="AJ164" s="44">
        <f>IF(AG164=1,AH164,MAX(-1,MIN(1,O164+INDEX(Types!$H:$H,MATCH($A164&amp;"|"&amp;$D164,Types!$A:$A,0)))))</f>
        <v/>
      </c>
      <c r="AK164" s="43">
        <f>IF(AG164=1,AF164,MAX(AQ164*AS164,AF164))</f>
        <v/>
      </c>
      <c r="AL164" s="43">
        <f>IF(AG164=1,AD164,AK164*(1+AJ164)/2)</f>
        <v/>
      </c>
      <c r="AM164" s="43">
        <f>IF(AG164=1,AE164,AK164*(1-AJ164)/2)</f>
        <v/>
      </c>
      <c r="AN164" s="45">
        <f>IF(AH164="","",AH164-T164)</f>
        <v/>
      </c>
      <c r="AO164" s="51">
        <f>IF(AG164=1,1,IF(U164&gt;0,MIN(AF164/U164,0.99),0))</f>
        <v/>
      </c>
      <c r="AP164" s="43">
        <f>IF(AG164=1,AI164*AF164,0)</f>
        <v/>
      </c>
      <c r="AQ164" s="43">
        <f>N164*(F164+G164)/H164</f>
        <v/>
      </c>
      <c r="AR164" s="43">
        <f>O164*AQ164</f>
        <v/>
      </c>
      <c r="AS164" s="52">
        <f>IF(AG164=1,IF(AQ164&gt;0,AF164/AQ164,1),IFERROR(INDEX(Types!$K:$K,MATCH($A164&amp;"|"&amp;$D164,Types!$A:$A,0)),INDEX(Dashboard!$X$6:$X$22,MATCH($A164,Dashboard!$A$6:$A$22,0))))</f>
        <v/>
      </c>
      <c r="AT164" s="43">
        <f>AQ164*INDEX(Dashboard!$Y$6:$Y$22,MATCH($A164,Dashboard!$A$6:$A$22,0))</f>
        <v/>
      </c>
      <c r="AU164" s="53">
        <f>IF(AND(AG164=1,AT164&gt;0,AF164&gt;0),100*AF164/AT164,"")</f>
        <v/>
      </c>
      <c r="AV164" s="44">
        <f>IF(AU164="","",T164/(AU164/100))</f>
        <v/>
      </c>
      <c r="AW164" s="53">
        <f>IF(AU164="","",IF(AND(ABS(AH164)&gt;=0.1,ABS(T164)&gt;=0.05,SIGN(AH164)=SIGN(T164)),100*T164/AH164,""))</f>
        <v/>
      </c>
      <c r="AX164" s="45">
        <f>IF(AU164="","",T164-AV164)</f>
        <v/>
      </c>
      <c r="AY164" s="45">
        <f>IF(AU164="","",AH164-AV164)</f>
        <v/>
      </c>
      <c r="AZ164" s="54">
        <f>(AL164-AM164)-T164*AT164</f>
        <v/>
      </c>
      <c r="BA164" s="43">
        <f>IF(AU164="",0,(AH164-T164)*AF164)</f>
        <v/>
      </c>
      <c r="BB164" s="43">
        <f>IF(AU164="",0,T164*(AF164-AT164))</f>
        <v/>
      </c>
      <c r="BC164" s="51" t="n">
        <v>0.2006186478126381</v>
      </c>
      <c r="BD164" s="51" t="n">
        <v>0.05059655324790101</v>
      </c>
      <c r="BE164" s="51" t="n">
        <v>0.1903545193229</v>
      </c>
      <c r="BF164" s="43" t="n">
        <v>4526</v>
      </c>
    </row>
    <row r="165">
      <c r="A165" s="42" t="inlineStr">
        <is>
          <t>GA</t>
        </is>
      </c>
      <c r="B165" s="42" t="inlineStr">
        <is>
          <t>13251</t>
        </is>
      </c>
      <c r="C165" s="42" t="inlineStr">
        <is>
          <t>Screven</t>
        </is>
      </c>
      <c r="D165" s="42" t="inlineStr">
        <is>
          <t>Small town &amp; rural</t>
        </is>
      </c>
      <c r="E165" s="42" t="inlineStr"/>
      <c r="F165" s="43" t="n">
        <v>2581</v>
      </c>
      <c r="G165" s="43" t="n">
        <v>4325</v>
      </c>
      <c r="H165" s="43" t="n">
        <v>6920</v>
      </c>
      <c r="I165" s="43" t="n">
        <v>2661</v>
      </c>
      <c r="J165" s="43" t="n">
        <v>3915</v>
      </c>
      <c r="K165" s="42" t="inlineStr">
        <is>
          <t>US Senate</t>
        </is>
      </c>
      <c r="L165" s="43" t="n">
        <v>2009</v>
      </c>
      <c r="M165" s="43" t="n">
        <v>3203</v>
      </c>
      <c r="N165" s="43" t="n">
        <v>5285</v>
      </c>
      <c r="O165" s="44">
        <f>IFERROR((F165-G165)/(F165+G165),"")</f>
        <v/>
      </c>
      <c r="P165" s="44">
        <f>IFERROR((I165-J165)/(I165+J165),"")</f>
        <v/>
      </c>
      <c r="Q165" s="45">
        <f>IFERROR(O165-P165,"")</f>
        <v/>
      </c>
      <c r="R165" s="44">
        <f>IFERROR((L165-M165)/(L165+M165),"")</f>
        <v/>
      </c>
      <c r="S165" s="46">
        <f>H165/SUMIFS(Counties!$H$2:$H$1583,Counties!$A$2:$A$1583,$A165)</f>
        <v/>
      </c>
      <c r="T165" s="44">
        <f>O165+INDEX(Dashboard!$F$6:$F$22,MATCH($A165,Dashboard!$A$6:$A$22,0))</f>
        <v/>
      </c>
      <c r="U165" s="43">
        <f>AQ165*INDEX(Dashboard!$G$6:$G$22,MATCH($A165,Dashboard!$A$6:$A$22,0))</f>
        <v/>
      </c>
      <c r="V165" s="47" t="n"/>
      <c r="W165" s="47" t="n"/>
      <c r="X165" s="47" t="n"/>
      <c r="Y165" s="48" t="n"/>
      <c r="Z165" s="49" t="n"/>
      <c r="AA165" s="49" t="n"/>
      <c r="AB165" s="49" t="n"/>
      <c r="AC165" s="50" t="n"/>
      <c r="AD165" s="43">
        <f>IF(Z165&lt;&gt;"",Z165,N(V165))</f>
        <v/>
      </c>
      <c r="AE165" s="43">
        <f>IF(AA165&lt;&gt;"",AA165,N(W165))</f>
        <v/>
      </c>
      <c r="AF165" s="43">
        <f>AD165+AE165</f>
        <v/>
      </c>
      <c r="AG165" s="42">
        <f>IF(UPPER(AC165)="Y",1,IF(AF165=0,0,IF(AND(Z165="",Y165&lt;&gt;""),IF(Y165&gt;=0.999,1,0),IF(AF165&gt;=U165,1,0))))</f>
        <v/>
      </c>
      <c r="AH165" s="44">
        <f>IF(AF165&gt;0,(AD165-AE165)/AF165,"")</f>
        <v/>
      </c>
      <c r="AI165" s="45">
        <f>IF(AG165=1,AH165-O165,"")</f>
        <v/>
      </c>
      <c r="AJ165" s="44">
        <f>IF(AG165=1,AH165,MAX(-1,MIN(1,O165+INDEX(Types!$H:$H,MATCH($A165&amp;"|"&amp;$D165,Types!$A:$A,0)))))</f>
        <v/>
      </c>
      <c r="AK165" s="43">
        <f>IF(AG165=1,AF165,MAX(AQ165*AS165,AF165))</f>
        <v/>
      </c>
      <c r="AL165" s="43">
        <f>IF(AG165=1,AD165,AK165*(1+AJ165)/2)</f>
        <v/>
      </c>
      <c r="AM165" s="43">
        <f>IF(AG165=1,AE165,AK165*(1-AJ165)/2)</f>
        <v/>
      </c>
      <c r="AN165" s="45">
        <f>IF(AH165="","",AH165-T165)</f>
        <v/>
      </c>
      <c r="AO165" s="51">
        <f>IF(AG165=1,1,IF(U165&gt;0,MIN(AF165/U165,0.99),0))</f>
        <v/>
      </c>
      <c r="AP165" s="43">
        <f>IF(AG165=1,AI165*AF165,0)</f>
        <v/>
      </c>
      <c r="AQ165" s="43">
        <f>N165*(F165+G165)/H165</f>
        <v/>
      </c>
      <c r="AR165" s="43">
        <f>O165*AQ165</f>
        <v/>
      </c>
      <c r="AS165" s="52">
        <f>IF(AG165=1,IF(AQ165&gt;0,AF165/AQ165,1),IFERROR(INDEX(Types!$K:$K,MATCH($A165&amp;"|"&amp;$D165,Types!$A:$A,0)),INDEX(Dashboard!$X$6:$X$22,MATCH($A165,Dashboard!$A$6:$A$22,0))))</f>
        <v/>
      </c>
      <c r="AT165" s="43">
        <f>AQ165*INDEX(Dashboard!$Y$6:$Y$22,MATCH($A165,Dashboard!$A$6:$A$22,0))</f>
        <v/>
      </c>
      <c r="AU165" s="53">
        <f>IF(AND(AG165=1,AT165&gt;0,AF165&gt;0),100*AF165/AT165,"")</f>
        <v/>
      </c>
      <c r="AV165" s="44">
        <f>IF(AU165="","",T165/(AU165/100))</f>
        <v/>
      </c>
      <c r="AW165" s="53">
        <f>IF(AU165="","",IF(AND(ABS(AH165)&gt;=0.1,ABS(T165)&gt;=0.05,SIGN(AH165)=SIGN(T165)),100*T165/AH165,""))</f>
        <v/>
      </c>
      <c r="AX165" s="45">
        <f>IF(AU165="","",T165-AV165)</f>
        <v/>
      </c>
      <c r="AY165" s="45">
        <f>IF(AU165="","",AH165-AV165)</f>
        <v/>
      </c>
      <c r="AZ165" s="54">
        <f>(AL165-AM165)-T165*AT165</f>
        <v/>
      </c>
      <c r="BA165" s="43">
        <f>IF(AU165="",0,(AH165-T165)*AF165)</f>
        <v/>
      </c>
      <c r="BB165" s="43">
        <f>IF(AU165="",0,T165*(AF165-AT165))</f>
        <v/>
      </c>
      <c r="BC165" s="51" t="n">
        <v>0.3873289120925639</v>
      </c>
      <c r="BD165" s="51" t="n">
        <v>0.02723296176097079</v>
      </c>
      <c r="BE165" s="51" t="n">
        <v>0.1474420387047327</v>
      </c>
      <c r="BF165" s="43" t="n">
        <v>14174</v>
      </c>
    </row>
    <row r="166">
      <c r="A166" s="42" t="inlineStr">
        <is>
          <t>GA</t>
        </is>
      </c>
      <c r="B166" s="42" t="inlineStr">
        <is>
          <t>13253</t>
        </is>
      </c>
      <c r="C166" s="42" t="inlineStr">
        <is>
          <t>Seminole</t>
        </is>
      </c>
      <c r="D166" s="42" t="inlineStr">
        <is>
          <t>Small town &amp; rural</t>
        </is>
      </c>
      <c r="E166" s="42" t="inlineStr"/>
      <c r="F166" s="43" t="n">
        <v>1191</v>
      </c>
      <c r="G166" s="43" t="n">
        <v>2811</v>
      </c>
      <c r="H166" s="43" t="n">
        <v>4007</v>
      </c>
      <c r="I166" s="43" t="n">
        <v>1256</v>
      </c>
      <c r="J166" s="43" t="n">
        <v>2613</v>
      </c>
      <c r="K166" s="42" t="inlineStr">
        <is>
          <t>US Senate</t>
        </is>
      </c>
      <c r="L166" s="43" t="n">
        <v>827</v>
      </c>
      <c r="M166" s="43" t="n">
        <v>2152</v>
      </c>
      <c r="N166" s="43" t="n">
        <v>3023</v>
      </c>
      <c r="O166" s="44">
        <f>IFERROR((F166-G166)/(F166+G166),"")</f>
        <v/>
      </c>
      <c r="P166" s="44">
        <f>IFERROR((I166-J166)/(I166+J166),"")</f>
        <v/>
      </c>
      <c r="Q166" s="45">
        <f>IFERROR(O166-P166,"")</f>
        <v/>
      </c>
      <c r="R166" s="44">
        <f>IFERROR((L166-M166)/(L166+M166),"")</f>
        <v/>
      </c>
      <c r="S166" s="46">
        <f>H166/SUMIFS(Counties!$H$2:$H$1583,Counties!$A$2:$A$1583,$A166)</f>
        <v/>
      </c>
      <c r="T166" s="44">
        <f>O166+INDEX(Dashboard!$F$6:$F$22,MATCH($A166,Dashboard!$A$6:$A$22,0))</f>
        <v/>
      </c>
      <c r="U166" s="43">
        <f>AQ166*INDEX(Dashboard!$G$6:$G$22,MATCH($A166,Dashboard!$A$6:$A$22,0))</f>
        <v/>
      </c>
      <c r="V166" s="47" t="n"/>
      <c r="W166" s="47" t="n"/>
      <c r="X166" s="47" t="n"/>
      <c r="Y166" s="48" t="n"/>
      <c r="Z166" s="49" t="n"/>
      <c r="AA166" s="49" t="n"/>
      <c r="AB166" s="49" t="n"/>
      <c r="AC166" s="50" t="n"/>
      <c r="AD166" s="43">
        <f>IF(Z166&lt;&gt;"",Z166,N(V166))</f>
        <v/>
      </c>
      <c r="AE166" s="43">
        <f>IF(AA166&lt;&gt;"",AA166,N(W166))</f>
        <v/>
      </c>
      <c r="AF166" s="43">
        <f>AD166+AE166</f>
        <v/>
      </c>
      <c r="AG166" s="42">
        <f>IF(UPPER(AC166)="Y",1,IF(AF166=0,0,IF(AND(Z166="",Y166&lt;&gt;""),IF(Y166&gt;=0.999,1,0),IF(AF166&gt;=U166,1,0))))</f>
        <v/>
      </c>
      <c r="AH166" s="44">
        <f>IF(AF166&gt;0,(AD166-AE166)/AF166,"")</f>
        <v/>
      </c>
      <c r="AI166" s="45">
        <f>IF(AG166=1,AH166-O166,"")</f>
        <v/>
      </c>
      <c r="AJ166" s="44">
        <f>IF(AG166=1,AH166,MAX(-1,MIN(1,O166+INDEX(Types!$H:$H,MATCH($A166&amp;"|"&amp;$D166,Types!$A:$A,0)))))</f>
        <v/>
      </c>
      <c r="AK166" s="43">
        <f>IF(AG166=1,AF166,MAX(AQ166*AS166,AF166))</f>
        <v/>
      </c>
      <c r="AL166" s="43">
        <f>IF(AG166=1,AD166,AK166*(1+AJ166)/2)</f>
        <v/>
      </c>
      <c r="AM166" s="43">
        <f>IF(AG166=1,AE166,AK166*(1-AJ166)/2)</f>
        <v/>
      </c>
      <c r="AN166" s="45">
        <f>IF(AH166="","",AH166-T166)</f>
        <v/>
      </c>
      <c r="AO166" s="51">
        <f>IF(AG166=1,1,IF(U166&gt;0,MIN(AF166/U166,0.99),0))</f>
        <v/>
      </c>
      <c r="AP166" s="43">
        <f>IF(AG166=1,AI166*AF166,0)</f>
        <v/>
      </c>
      <c r="AQ166" s="43">
        <f>N166*(F166+G166)/H166</f>
        <v/>
      </c>
      <c r="AR166" s="43">
        <f>O166*AQ166</f>
        <v/>
      </c>
      <c r="AS166" s="52">
        <f>IF(AG166=1,IF(AQ166&gt;0,AF166/AQ166,1),IFERROR(INDEX(Types!$K:$K,MATCH($A166&amp;"|"&amp;$D166,Types!$A:$A,0)),INDEX(Dashboard!$X$6:$X$22,MATCH($A166,Dashboard!$A$6:$A$22,0))))</f>
        <v/>
      </c>
      <c r="AT166" s="43">
        <f>AQ166*INDEX(Dashboard!$Y$6:$Y$22,MATCH($A166,Dashboard!$A$6:$A$22,0))</f>
        <v/>
      </c>
      <c r="AU166" s="53">
        <f>IF(AND(AG166=1,AT166&gt;0,AF166&gt;0),100*AF166/AT166,"")</f>
        <v/>
      </c>
      <c r="AV166" s="44">
        <f>IF(AU166="","",T166/(AU166/100))</f>
        <v/>
      </c>
      <c r="AW166" s="53">
        <f>IF(AU166="","",IF(AND(ABS(AH166)&gt;=0.1,ABS(T166)&gt;=0.05,SIGN(AH166)=SIGN(T166)),100*T166/AH166,""))</f>
        <v/>
      </c>
      <c r="AX166" s="45">
        <f>IF(AU166="","",T166-AV166)</f>
        <v/>
      </c>
      <c r="AY166" s="45">
        <f>IF(AU166="","",AH166-AV166)</f>
        <v/>
      </c>
      <c r="AZ166" s="54">
        <f>(AL166-AM166)-T166*AT166</f>
        <v/>
      </c>
      <c r="BA166" s="43">
        <f>IF(AU166="",0,(AH166-T166)*AF166)</f>
        <v/>
      </c>
      <c r="BB166" s="43">
        <f>IF(AU166="",0,T166*(AF166-AT166))</f>
        <v/>
      </c>
      <c r="BC166" s="51" t="n">
        <v>0.3228112626484822</v>
      </c>
      <c r="BD166" s="51" t="n">
        <v>0.03167619885613726</v>
      </c>
      <c r="BE166" s="51" t="n">
        <v>0.1581526581526582</v>
      </c>
      <c r="BF166" s="43" t="n">
        <v>9092</v>
      </c>
    </row>
    <row r="167">
      <c r="A167" s="42" t="inlineStr">
        <is>
          <t>GA</t>
        </is>
      </c>
      <c r="B167" s="42" t="inlineStr">
        <is>
          <t>13255</t>
        </is>
      </c>
      <c r="C167" s="42" t="inlineStr">
        <is>
          <t>Spalding</t>
        </is>
      </c>
      <c r="D167" s="42" t="inlineStr">
        <is>
          <t>Small town &amp; rural</t>
        </is>
      </c>
      <c r="E167" s="42" t="inlineStr"/>
      <c r="F167" s="43" t="n">
        <v>13679</v>
      </c>
      <c r="G167" s="43" t="n">
        <v>19184</v>
      </c>
      <c r="H167" s="43" t="n">
        <v>33038</v>
      </c>
      <c r="I167" s="43" t="n">
        <v>11828</v>
      </c>
      <c r="J167" s="43" t="n">
        <v>18104</v>
      </c>
      <c r="K167" s="42" t="inlineStr">
        <is>
          <t>US Senate</t>
        </is>
      </c>
      <c r="L167" s="43" t="n">
        <v>9761</v>
      </c>
      <c r="M167" s="43" t="n">
        <v>13966</v>
      </c>
      <c r="N167" s="43" t="n">
        <v>24262</v>
      </c>
      <c r="O167" s="44">
        <f>IFERROR((F167-G167)/(F167+G167),"")</f>
        <v/>
      </c>
      <c r="P167" s="44">
        <f>IFERROR((I167-J167)/(I167+J167),"")</f>
        <v/>
      </c>
      <c r="Q167" s="45">
        <f>IFERROR(O167-P167,"")</f>
        <v/>
      </c>
      <c r="R167" s="44">
        <f>IFERROR((L167-M167)/(L167+M167),"")</f>
        <v/>
      </c>
      <c r="S167" s="46">
        <f>H167/SUMIFS(Counties!$H$2:$H$1583,Counties!$A$2:$A$1583,$A167)</f>
        <v/>
      </c>
      <c r="T167" s="44">
        <f>O167+INDEX(Dashboard!$F$6:$F$22,MATCH($A167,Dashboard!$A$6:$A$22,0))</f>
        <v/>
      </c>
      <c r="U167" s="43">
        <f>AQ167*INDEX(Dashboard!$G$6:$G$22,MATCH($A167,Dashboard!$A$6:$A$22,0))</f>
        <v/>
      </c>
      <c r="V167" s="47" t="n"/>
      <c r="W167" s="47" t="n"/>
      <c r="X167" s="47" t="n"/>
      <c r="Y167" s="48" t="n"/>
      <c r="Z167" s="49" t="n"/>
      <c r="AA167" s="49" t="n"/>
      <c r="AB167" s="49" t="n"/>
      <c r="AC167" s="50" t="n"/>
      <c r="AD167" s="43">
        <f>IF(Z167&lt;&gt;"",Z167,N(V167))</f>
        <v/>
      </c>
      <c r="AE167" s="43">
        <f>IF(AA167&lt;&gt;"",AA167,N(W167))</f>
        <v/>
      </c>
      <c r="AF167" s="43">
        <f>AD167+AE167</f>
        <v/>
      </c>
      <c r="AG167" s="42">
        <f>IF(UPPER(AC167)="Y",1,IF(AF167=0,0,IF(AND(Z167="",Y167&lt;&gt;""),IF(Y167&gt;=0.999,1,0),IF(AF167&gt;=U167,1,0))))</f>
        <v/>
      </c>
      <c r="AH167" s="44">
        <f>IF(AF167&gt;0,(AD167-AE167)/AF167,"")</f>
        <v/>
      </c>
      <c r="AI167" s="45">
        <f>IF(AG167=1,AH167-O167,"")</f>
        <v/>
      </c>
      <c r="AJ167" s="44">
        <f>IF(AG167=1,AH167,MAX(-1,MIN(1,O167+INDEX(Types!$H:$H,MATCH($A167&amp;"|"&amp;$D167,Types!$A:$A,0)))))</f>
        <v/>
      </c>
      <c r="AK167" s="43">
        <f>IF(AG167=1,AF167,MAX(AQ167*AS167,AF167))</f>
        <v/>
      </c>
      <c r="AL167" s="43">
        <f>IF(AG167=1,AD167,AK167*(1+AJ167)/2)</f>
        <v/>
      </c>
      <c r="AM167" s="43">
        <f>IF(AG167=1,AE167,AK167*(1-AJ167)/2)</f>
        <v/>
      </c>
      <c r="AN167" s="45">
        <f>IF(AH167="","",AH167-T167)</f>
        <v/>
      </c>
      <c r="AO167" s="51">
        <f>IF(AG167=1,1,IF(U167&gt;0,MIN(AF167/U167,0.99),0))</f>
        <v/>
      </c>
      <c r="AP167" s="43">
        <f>IF(AG167=1,AI167*AF167,0)</f>
        <v/>
      </c>
      <c r="AQ167" s="43">
        <f>N167*(F167+G167)/H167</f>
        <v/>
      </c>
      <c r="AR167" s="43">
        <f>O167*AQ167</f>
        <v/>
      </c>
      <c r="AS167" s="52">
        <f>IF(AG167=1,IF(AQ167&gt;0,AF167/AQ167,1),IFERROR(INDEX(Types!$K:$K,MATCH($A167&amp;"|"&amp;$D167,Types!$A:$A,0)),INDEX(Dashboard!$X$6:$X$22,MATCH($A167,Dashboard!$A$6:$A$22,0))))</f>
        <v/>
      </c>
      <c r="AT167" s="43">
        <f>AQ167*INDEX(Dashboard!$Y$6:$Y$22,MATCH($A167,Dashboard!$A$6:$A$22,0))</f>
        <v/>
      </c>
      <c r="AU167" s="53">
        <f>IF(AND(AG167=1,AT167&gt;0,AF167&gt;0),100*AF167/AT167,"")</f>
        <v/>
      </c>
      <c r="AV167" s="44">
        <f>IF(AU167="","",T167/(AU167/100))</f>
        <v/>
      </c>
      <c r="AW167" s="53">
        <f>IF(AU167="","",IF(AND(ABS(AH167)&gt;=0.1,ABS(T167)&gt;=0.05,SIGN(AH167)=SIGN(T167)),100*T167/AH167,""))</f>
        <v/>
      </c>
      <c r="AX167" s="45">
        <f>IF(AU167="","",T167-AV167)</f>
        <v/>
      </c>
      <c r="AY167" s="45">
        <f>IF(AU167="","",AH167-AV167)</f>
        <v/>
      </c>
      <c r="AZ167" s="54">
        <f>(AL167-AM167)-T167*AT167</f>
        <v/>
      </c>
      <c r="BA167" s="43">
        <f>IF(AU167="",0,(AH167-T167)*AF167)</f>
        <v/>
      </c>
      <c r="BB167" s="43">
        <f>IF(AU167="",0,T167*(AF167-AT167))</f>
        <v/>
      </c>
      <c r="BC167" s="51" t="n">
        <v>0.3692705801618391</v>
      </c>
      <c r="BD167" s="51" t="n">
        <v>0.06509307179824436</v>
      </c>
      <c r="BE167" s="51" t="n">
        <v>0.1786704191718903</v>
      </c>
      <c r="BF167" s="43" t="n">
        <v>69946</v>
      </c>
    </row>
    <row r="168">
      <c r="A168" s="42" t="inlineStr">
        <is>
          <t>GA</t>
        </is>
      </c>
      <c r="B168" s="42" t="inlineStr">
        <is>
          <t>13257</t>
        </is>
      </c>
      <c r="C168" s="42" t="inlineStr">
        <is>
          <t>Stephens</t>
        </is>
      </c>
      <c r="D168" s="42" t="inlineStr">
        <is>
          <t>Small town &amp; rural</t>
        </is>
      </c>
      <c r="E168" s="42" t="inlineStr"/>
      <c r="F168" s="43" t="n">
        <v>2404</v>
      </c>
      <c r="G168" s="43" t="n">
        <v>10632</v>
      </c>
      <c r="H168" s="43" t="n">
        <v>13099</v>
      </c>
      <c r="I168" s="43" t="n">
        <v>2386</v>
      </c>
      <c r="J168" s="43" t="n">
        <v>9367</v>
      </c>
      <c r="K168" s="42" t="inlineStr">
        <is>
          <t>US Senate</t>
        </is>
      </c>
      <c r="L168" s="43" t="n">
        <v>1762</v>
      </c>
      <c r="M168" s="43" t="n">
        <v>7374</v>
      </c>
      <c r="N168" s="43" t="n">
        <v>9333</v>
      </c>
      <c r="O168" s="44">
        <f>IFERROR((F168-G168)/(F168+G168),"")</f>
        <v/>
      </c>
      <c r="P168" s="44">
        <f>IFERROR((I168-J168)/(I168+J168),"")</f>
        <v/>
      </c>
      <c r="Q168" s="45">
        <f>IFERROR(O168-P168,"")</f>
        <v/>
      </c>
      <c r="R168" s="44">
        <f>IFERROR((L168-M168)/(L168+M168),"")</f>
        <v/>
      </c>
      <c r="S168" s="46">
        <f>H168/SUMIFS(Counties!$H$2:$H$1583,Counties!$A$2:$A$1583,$A168)</f>
        <v/>
      </c>
      <c r="T168" s="44">
        <f>O168+INDEX(Dashboard!$F$6:$F$22,MATCH($A168,Dashboard!$A$6:$A$22,0))</f>
        <v/>
      </c>
      <c r="U168" s="43">
        <f>AQ168*INDEX(Dashboard!$G$6:$G$22,MATCH($A168,Dashboard!$A$6:$A$22,0))</f>
        <v/>
      </c>
      <c r="V168" s="47" t="n"/>
      <c r="W168" s="47" t="n"/>
      <c r="X168" s="47" t="n"/>
      <c r="Y168" s="48" t="n"/>
      <c r="Z168" s="49" t="n"/>
      <c r="AA168" s="49" t="n"/>
      <c r="AB168" s="49" t="n"/>
      <c r="AC168" s="50" t="n"/>
      <c r="AD168" s="43">
        <f>IF(Z168&lt;&gt;"",Z168,N(V168))</f>
        <v/>
      </c>
      <c r="AE168" s="43">
        <f>IF(AA168&lt;&gt;"",AA168,N(W168))</f>
        <v/>
      </c>
      <c r="AF168" s="43">
        <f>AD168+AE168</f>
        <v/>
      </c>
      <c r="AG168" s="42">
        <f>IF(UPPER(AC168)="Y",1,IF(AF168=0,0,IF(AND(Z168="",Y168&lt;&gt;""),IF(Y168&gt;=0.999,1,0),IF(AF168&gt;=U168,1,0))))</f>
        <v/>
      </c>
      <c r="AH168" s="44">
        <f>IF(AF168&gt;0,(AD168-AE168)/AF168,"")</f>
        <v/>
      </c>
      <c r="AI168" s="45">
        <f>IF(AG168=1,AH168-O168,"")</f>
        <v/>
      </c>
      <c r="AJ168" s="44">
        <f>IF(AG168=1,AH168,MAX(-1,MIN(1,O168+INDEX(Types!$H:$H,MATCH($A168&amp;"|"&amp;$D168,Types!$A:$A,0)))))</f>
        <v/>
      </c>
      <c r="AK168" s="43">
        <f>IF(AG168=1,AF168,MAX(AQ168*AS168,AF168))</f>
        <v/>
      </c>
      <c r="AL168" s="43">
        <f>IF(AG168=1,AD168,AK168*(1+AJ168)/2)</f>
        <v/>
      </c>
      <c r="AM168" s="43">
        <f>IF(AG168=1,AE168,AK168*(1-AJ168)/2)</f>
        <v/>
      </c>
      <c r="AN168" s="45">
        <f>IF(AH168="","",AH168-T168)</f>
        <v/>
      </c>
      <c r="AO168" s="51">
        <f>IF(AG168=1,1,IF(U168&gt;0,MIN(AF168/U168,0.99),0))</f>
        <v/>
      </c>
      <c r="AP168" s="43">
        <f>IF(AG168=1,AI168*AF168,0)</f>
        <v/>
      </c>
      <c r="AQ168" s="43">
        <f>N168*(F168+G168)/H168</f>
        <v/>
      </c>
      <c r="AR168" s="43">
        <f>O168*AQ168</f>
        <v/>
      </c>
      <c r="AS168" s="52">
        <f>IF(AG168=1,IF(AQ168&gt;0,AF168/AQ168,1),IFERROR(INDEX(Types!$K:$K,MATCH($A168&amp;"|"&amp;$D168,Types!$A:$A,0)),INDEX(Dashboard!$X$6:$X$22,MATCH($A168,Dashboard!$A$6:$A$22,0))))</f>
        <v/>
      </c>
      <c r="AT168" s="43">
        <f>AQ168*INDEX(Dashboard!$Y$6:$Y$22,MATCH($A168,Dashboard!$A$6:$A$22,0))</f>
        <v/>
      </c>
      <c r="AU168" s="53">
        <f>IF(AND(AG168=1,AT168&gt;0,AF168&gt;0),100*AF168/AT168,"")</f>
        <v/>
      </c>
      <c r="AV168" s="44">
        <f>IF(AU168="","",T168/(AU168/100))</f>
        <v/>
      </c>
      <c r="AW168" s="53">
        <f>IF(AU168="","",IF(AND(ABS(AH168)&gt;=0.1,ABS(T168)&gt;=0.05,SIGN(AH168)=SIGN(T168)),100*T168/AH168,""))</f>
        <v/>
      </c>
      <c r="AX168" s="45">
        <f>IF(AU168="","",T168-AV168)</f>
        <v/>
      </c>
      <c r="AY168" s="45">
        <f>IF(AU168="","",AH168-AV168)</f>
        <v/>
      </c>
      <c r="AZ168" s="54">
        <f>(AL168-AM168)-T168*AT168</f>
        <v/>
      </c>
      <c r="BA168" s="43">
        <f>IF(AU168="",0,(AH168-T168)*AF168)</f>
        <v/>
      </c>
      <c r="BB168" s="43">
        <f>IF(AU168="",0,T168*(AF168-AT168))</f>
        <v/>
      </c>
      <c r="BC168" s="51" t="n">
        <v>0.1033127662700162</v>
      </c>
      <c r="BD168" s="51" t="n">
        <v>0.042456294990451</v>
      </c>
      <c r="BE168" s="51" t="n">
        <v>0.1487913763066202</v>
      </c>
      <c r="BF168" s="43" t="n">
        <v>27228</v>
      </c>
    </row>
    <row r="169">
      <c r="A169" s="42" t="inlineStr">
        <is>
          <t>GA</t>
        </is>
      </c>
      <c r="B169" s="42" t="inlineStr">
        <is>
          <t>13259</t>
        </is>
      </c>
      <c r="C169" s="42" t="inlineStr">
        <is>
          <t>Stewart</t>
        </is>
      </c>
      <c r="D169" s="42" t="inlineStr">
        <is>
          <t>Black Belt</t>
        </is>
      </c>
      <c r="E169" s="42" t="inlineStr"/>
      <c r="F169" s="43" t="n">
        <v>1177</v>
      </c>
      <c r="G169" s="43" t="n">
        <v>847</v>
      </c>
      <c r="H169" s="43" t="n">
        <v>2028</v>
      </c>
      <c r="I169" s="43" t="n">
        <v>1182</v>
      </c>
      <c r="J169" s="43" t="n">
        <v>801</v>
      </c>
      <c r="K169" s="42" t="inlineStr">
        <is>
          <t>US Senate</t>
        </is>
      </c>
      <c r="L169" s="43" t="n">
        <v>916</v>
      </c>
      <c r="M169" s="43" t="n">
        <v>638</v>
      </c>
      <c r="N169" s="43" t="n">
        <v>1567</v>
      </c>
      <c r="O169" s="44">
        <f>IFERROR((F169-G169)/(F169+G169),"")</f>
        <v/>
      </c>
      <c r="P169" s="44">
        <f>IFERROR((I169-J169)/(I169+J169),"")</f>
        <v/>
      </c>
      <c r="Q169" s="45">
        <f>IFERROR(O169-P169,"")</f>
        <v/>
      </c>
      <c r="R169" s="44">
        <f>IFERROR((L169-M169)/(L169+M169),"")</f>
        <v/>
      </c>
      <c r="S169" s="46">
        <f>H169/SUMIFS(Counties!$H$2:$H$1583,Counties!$A$2:$A$1583,$A169)</f>
        <v/>
      </c>
      <c r="T169" s="44">
        <f>O169+INDEX(Dashboard!$F$6:$F$22,MATCH($A169,Dashboard!$A$6:$A$22,0))</f>
        <v/>
      </c>
      <c r="U169" s="43">
        <f>AQ169*INDEX(Dashboard!$G$6:$G$22,MATCH($A169,Dashboard!$A$6:$A$22,0))</f>
        <v/>
      </c>
      <c r="V169" s="47" t="n"/>
      <c r="W169" s="47" t="n"/>
      <c r="X169" s="47" t="n"/>
      <c r="Y169" s="48" t="n"/>
      <c r="Z169" s="49" t="n"/>
      <c r="AA169" s="49" t="n"/>
      <c r="AB169" s="49" t="n"/>
      <c r="AC169" s="50" t="n"/>
      <c r="AD169" s="43">
        <f>IF(Z169&lt;&gt;"",Z169,N(V169))</f>
        <v/>
      </c>
      <c r="AE169" s="43">
        <f>IF(AA169&lt;&gt;"",AA169,N(W169))</f>
        <v/>
      </c>
      <c r="AF169" s="43">
        <f>AD169+AE169</f>
        <v/>
      </c>
      <c r="AG169" s="42">
        <f>IF(UPPER(AC169)="Y",1,IF(AF169=0,0,IF(AND(Z169="",Y169&lt;&gt;""),IF(Y169&gt;=0.999,1,0),IF(AF169&gt;=U169,1,0))))</f>
        <v/>
      </c>
      <c r="AH169" s="44">
        <f>IF(AF169&gt;0,(AD169-AE169)/AF169,"")</f>
        <v/>
      </c>
      <c r="AI169" s="45">
        <f>IF(AG169=1,AH169-O169,"")</f>
        <v/>
      </c>
      <c r="AJ169" s="44">
        <f>IF(AG169=1,AH169,MAX(-1,MIN(1,O169+INDEX(Types!$H:$H,MATCH($A169&amp;"|"&amp;$D169,Types!$A:$A,0)))))</f>
        <v/>
      </c>
      <c r="AK169" s="43">
        <f>IF(AG169=1,AF169,MAX(AQ169*AS169,AF169))</f>
        <v/>
      </c>
      <c r="AL169" s="43">
        <f>IF(AG169=1,AD169,AK169*(1+AJ169)/2)</f>
        <v/>
      </c>
      <c r="AM169" s="43">
        <f>IF(AG169=1,AE169,AK169*(1-AJ169)/2)</f>
        <v/>
      </c>
      <c r="AN169" s="45">
        <f>IF(AH169="","",AH169-T169)</f>
        <v/>
      </c>
      <c r="AO169" s="51">
        <f>IF(AG169=1,1,IF(U169&gt;0,MIN(AF169/U169,0.99),0))</f>
        <v/>
      </c>
      <c r="AP169" s="43">
        <f>IF(AG169=1,AI169*AF169,0)</f>
        <v/>
      </c>
      <c r="AQ169" s="43">
        <f>N169*(F169+G169)/H169</f>
        <v/>
      </c>
      <c r="AR169" s="43">
        <f>O169*AQ169</f>
        <v/>
      </c>
      <c r="AS169" s="52">
        <f>IF(AG169=1,IF(AQ169&gt;0,AF169/AQ169,1),IFERROR(INDEX(Types!$K:$K,MATCH($A169&amp;"|"&amp;$D169,Types!$A:$A,0)),INDEX(Dashboard!$X$6:$X$22,MATCH($A169,Dashboard!$A$6:$A$22,0))))</f>
        <v/>
      </c>
      <c r="AT169" s="43">
        <f>AQ169*INDEX(Dashboard!$Y$6:$Y$22,MATCH($A169,Dashboard!$A$6:$A$22,0))</f>
        <v/>
      </c>
      <c r="AU169" s="53">
        <f>IF(AND(AG169=1,AT169&gt;0,AF169&gt;0),100*AF169/AT169,"")</f>
        <v/>
      </c>
      <c r="AV169" s="44">
        <f>IF(AU169="","",T169/(AU169/100))</f>
        <v/>
      </c>
      <c r="AW169" s="53">
        <f>IF(AU169="","",IF(AND(ABS(AH169)&gt;=0.1,ABS(T169)&gt;=0.05,SIGN(AH169)=SIGN(T169)),100*T169/AH169,""))</f>
        <v/>
      </c>
      <c r="AX169" s="45">
        <f>IF(AU169="","",T169-AV169)</f>
        <v/>
      </c>
      <c r="AY169" s="45">
        <f>IF(AU169="","",AH169-AV169)</f>
        <v/>
      </c>
      <c r="AZ169" s="54">
        <f>(AL169-AM169)-T169*AT169</f>
        <v/>
      </c>
      <c r="BA169" s="43">
        <f>IF(AU169="",0,(AH169-T169)*AF169)</f>
        <v/>
      </c>
      <c r="BB169" s="43">
        <f>IF(AU169="",0,T169*(AF169-AT169))</f>
        <v/>
      </c>
      <c r="BC169" s="51" t="n">
        <v>0.44801026957638</v>
      </c>
      <c r="BD169" s="51" t="n">
        <v>0.220795892169448</v>
      </c>
      <c r="BE169" s="51" t="n">
        <v>0.1232634503662541</v>
      </c>
      <c r="BF169" s="43" t="n">
        <v>4674</v>
      </c>
    </row>
    <row r="170">
      <c r="A170" s="42" t="inlineStr">
        <is>
          <t>GA</t>
        </is>
      </c>
      <c r="B170" s="42" t="inlineStr">
        <is>
          <t>13261</t>
        </is>
      </c>
      <c r="C170" s="42" t="inlineStr">
        <is>
          <t>Sumter</t>
        </is>
      </c>
      <c r="D170" s="42" t="inlineStr">
        <is>
          <t>Black Belt</t>
        </is>
      </c>
      <c r="E170" s="42" t="inlineStr"/>
      <c r="F170" s="43" t="n">
        <v>6136</v>
      </c>
      <c r="G170" s="43" t="n">
        <v>5869</v>
      </c>
      <c r="H170" s="43" t="n">
        <v>12049</v>
      </c>
      <c r="I170" s="43" t="n">
        <v>6314</v>
      </c>
      <c r="J170" s="43" t="n">
        <v>5733</v>
      </c>
      <c r="K170" s="42" t="inlineStr">
        <is>
          <t>US Senate</t>
        </is>
      </c>
      <c r="L170" s="43" t="n">
        <v>4894</v>
      </c>
      <c r="M170" s="43" t="n">
        <v>4590</v>
      </c>
      <c r="N170" s="43" t="n">
        <v>9580</v>
      </c>
      <c r="O170" s="44">
        <f>IFERROR((F170-G170)/(F170+G170),"")</f>
        <v/>
      </c>
      <c r="P170" s="44">
        <f>IFERROR((I170-J170)/(I170+J170),"")</f>
        <v/>
      </c>
      <c r="Q170" s="45">
        <f>IFERROR(O170-P170,"")</f>
        <v/>
      </c>
      <c r="R170" s="44">
        <f>IFERROR((L170-M170)/(L170+M170),"")</f>
        <v/>
      </c>
      <c r="S170" s="46">
        <f>H170/SUMIFS(Counties!$H$2:$H$1583,Counties!$A$2:$A$1583,$A170)</f>
        <v/>
      </c>
      <c r="T170" s="44">
        <f>O170+INDEX(Dashboard!$F$6:$F$22,MATCH($A170,Dashboard!$A$6:$A$22,0))</f>
        <v/>
      </c>
      <c r="U170" s="43">
        <f>AQ170*INDEX(Dashboard!$G$6:$G$22,MATCH($A170,Dashboard!$A$6:$A$22,0))</f>
        <v/>
      </c>
      <c r="V170" s="47" t="n"/>
      <c r="W170" s="47" t="n"/>
      <c r="X170" s="47" t="n"/>
      <c r="Y170" s="48" t="n"/>
      <c r="Z170" s="49" t="n"/>
      <c r="AA170" s="49" t="n"/>
      <c r="AB170" s="49" t="n"/>
      <c r="AC170" s="50" t="n"/>
      <c r="AD170" s="43">
        <f>IF(Z170&lt;&gt;"",Z170,N(V170))</f>
        <v/>
      </c>
      <c r="AE170" s="43">
        <f>IF(AA170&lt;&gt;"",AA170,N(W170))</f>
        <v/>
      </c>
      <c r="AF170" s="43">
        <f>AD170+AE170</f>
        <v/>
      </c>
      <c r="AG170" s="42">
        <f>IF(UPPER(AC170)="Y",1,IF(AF170=0,0,IF(AND(Z170="",Y170&lt;&gt;""),IF(Y170&gt;=0.999,1,0),IF(AF170&gt;=U170,1,0))))</f>
        <v/>
      </c>
      <c r="AH170" s="44">
        <f>IF(AF170&gt;0,(AD170-AE170)/AF170,"")</f>
        <v/>
      </c>
      <c r="AI170" s="45">
        <f>IF(AG170=1,AH170-O170,"")</f>
        <v/>
      </c>
      <c r="AJ170" s="44">
        <f>IF(AG170=1,AH170,MAX(-1,MIN(1,O170+INDEX(Types!$H:$H,MATCH($A170&amp;"|"&amp;$D170,Types!$A:$A,0)))))</f>
        <v/>
      </c>
      <c r="AK170" s="43">
        <f>IF(AG170=1,AF170,MAX(AQ170*AS170,AF170))</f>
        <v/>
      </c>
      <c r="AL170" s="43">
        <f>IF(AG170=1,AD170,AK170*(1+AJ170)/2)</f>
        <v/>
      </c>
      <c r="AM170" s="43">
        <f>IF(AG170=1,AE170,AK170*(1-AJ170)/2)</f>
        <v/>
      </c>
      <c r="AN170" s="45">
        <f>IF(AH170="","",AH170-T170)</f>
        <v/>
      </c>
      <c r="AO170" s="51">
        <f>IF(AG170=1,1,IF(U170&gt;0,MIN(AF170/U170,0.99),0))</f>
        <v/>
      </c>
      <c r="AP170" s="43">
        <f>IF(AG170=1,AI170*AF170,0)</f>
        <v/>
      </c>
      <c r="AQ170" s="43">
        <f>N170*(F170+G170)/H170</f>
        <v/>
      </c>
      <c r="AR170" s="43">
        <f>O170*AQ170</f>
        <v/>
      </c>
      <c r="AS170" s="52">
        <f>IF(AG170=1,IF(AQ170&gt;0,AF170/AQ170,1),IFERROR(INDEX(Types!$K:$K,MATCH($A170&amp;"|"&amp;$D170,Types!$A:$A,0)),INDEX(Dashboard!$X$6:$X$22,MATCH($A170,Dashboard!$A$6:$A$22,0))))</f>
        <v/>
      </c>
      <c r="AT170" s="43">
        <f>AQ170*INDEX(Dashboard!$Y$6:$Y$22,MATCH($A170,Dashboard!$A$6:$A$22,0))</f>
        <v/>
      </c>
      <c r="AU170" s="53">
        <f>IF(AND(AG170=1,AT170&gt;0,AF170&gt;0),100*AF170/AT170,"")</f>
        <v/>
      </c>
      <c r="AV170" s="44">
        <f>IF(AU170="","",T170/(AU170/100))</f>
        <v/>
      </c>
      <c r="AW170" s="53">
        <f>IF(AU170="","",IF(AND(ABS(AH170)&gt;=0.1,ABS(T170)&gt;=0.05,SIGN(AH170)=SIGN(T170)),100*T170/AH170,""))</f>
        <v/>
      </c>
      <c r="AX170" s="45">
        <f>IF(AU170="","",T170-AV170)</f>
        <v/>
      </c>
      <c r="AY170" s="45">
        <f>IF(AU170="","",AH170-AV170)</f>
        <v/>
      </c>
      <c r="AZ170" s="54">
        <f>(AL170-AM170)-T170*AT170</f>
        <v/>
      </c>
      <c r="BA170" s="43">
        <f>IF(AU170="",0,(AH170-T170)*AF170)</f>
        <v/>
      </c>
      <c r="BB170" s="43">
        <f>IF(AU170="",0,T170*(AF170-AT170))</f>
        <v/>
      </c>
      <c r="BC170" s="51" t="n">
        <v>0.5219106957424714</v>
      </c>
      <c r="BD170" s="51" t="n">
        <v>0.06362062997577016</v>
      </c>
      <c r="BE170" s="51" t="n">
        <v>0.2128132798090485</v>
      </c>
      <c r="BF170" s="43" t="n">
        <v>28890</v>
      </c>
    </row>
    <row r="171">
      <c r="A171" s="42" t="inlineStr">
        <is>
          <t>GA</t>
        </is>
      </c>
      <c r="B171" s="42" t="inlineStr">
        <is>
          <t>13263</t>
        </is>
      </c>
      <c r="C171" s="42" t="inlineStr">
        <is>
          <t>Talbot</t>
        </is>
      </c>
      <c r="D171" s="42" t="inlineStr">
        <is>
          <t>Black Belt</t>
        </is>
      </c>
      <c r="E171" s="42" t="inlineStr"/>
      <c r="F171" s="43" t="n">
        <v>1888</v>
      </c>
      <c r="G171" s="43" t="n">
        <v>1483</v>
      </c>
      <c r="H171" s="43" t="n">
        <v>3379</v>
      </c>
      <c r="I171" s="43" t="n">
        <v>2114</v>
      </c>
      <c r="J171" s="43" t="n">
        <v>1392</v>
      </c>
      <c r="K171" s="42" t="inlineStr">
        <is>
          <t>US Senate</t>
        </is>
      </c>
      <c r="L171" s="43" t="n">
        <v>1688</v>
      </c>
      <c r="M171" s="43" t="n">
        <v>1118</v>
      </c>
      <c r="N171" s="43" t="n">
        <v>2849</v>
      </c>
      <c r="O171" s="44">
        <f>IFERROR((F171-G171)/(F171+G171),"")</f>
        <v/>
      </c>
      <c r="P171" s="44">
        <f>IFERROR((I171-J171)/(I171+J171),"")</f>
        <v/>
      </c>
      <c r="Q171" s="45">
        <f>IFERROR(O171-P171,"")</f>
        <v/>
      </c>
      <c r="R171" s="44">
        <f>IFERROR((L171-M171)/(L171+M171),"")</f>
        <v/>
      </c>
      <c r="S171" s="46">
        <f>H171/SUMIFS(Counties!$H$2:$H$1583,Counties!$A$2:$A$1583,$A171)</f>
        <v/>
      </c>
      <c r="T171" s="44">
        <f>O171+INDEX(Dashboard!$F$6:$F$22,MATCH($A171,Dashboard!$A$6:$A$22,0))</f>
        <v/>
      </c>
      <c r="U171" s="43">
        <f>AQ171*INDEX(Dashboard!$G$6:$G$22,MATCH($A171,Dashboard!$A$6:$A$22,0))</f>
        <v/>
      </c>
      <c r="V171" s="47" t="n"/>
      <c r="W171" s="47" t="n"/>
      <c r="X171" s="47" t="n"/>
      <c r="Y171" s="48" t="n"/>
      <c r="Z171" s="49" t="n"/>
      <c r="AA171" s="49" t="n"/>
      <c r="AB171" s="49" t="n"/>
      <c r="AC171" s="50" t="n"/>
      <c r="AD171" s="43">
        <f>IF(Z171&lt;&gt;"",Z171,N(V171))</f>
        <v/>
      </c>
      <c r="AE171" s="43">
        <f>IF(AA171&lt;&gt;"",AA171,N(W171))</f>
        <v/>
      </c>
      <c r="AF171" s="43">
        <f>AD171+AE171</f>
        <v/>
      </c>
      <c r="AG171" s="42">
        <f>IF(UPPER(AC171)="Y",1,IF(AF171=0,0,IF(AND(Z171="",Y171&lt;&gt;""),IF(Y171&gt;=0.999,1,0),IF(AF171&gt;=U171,1,0))))</f>
        <v/>
      </c>
      <c r="AH171" s="44">
        <f>IF(AF171&gt;0,(AD171-AE171)/AF171,"")</f>
        <v/>
      </c>
      <c r="AI171" s="45">
        <f>IF(AG171=1,AH171-O171,"")</f>
        <v/>
      </c>
      <c r="AJ171" s="44">
        <f>IF(AG171=1,AH171,MAX(-1,MIN(1,O171+INDEX(Types!$H:$H,MATCH($A171&amp;"|"&amp;$D171,Types!$A:$A,0)))))</f>
        <v/>
      </c>
      <c r="AK171" s="43">
        <f>IF(AG171=1,AF171,MAX(AQ171*AS171,AF171))</f>
        <v/>
      </c>
      <c r="AL171" s="43">
        <f>IF(AG171=1,AD171,AK171*(1+AJ171)/2)</f>
        <v/>
      </c>
      <c r="AM171" s="43">
        <f>IF(AG171=1,AE171,AK171*(1-AJ171)/2)</f>
        <v/>
      </c>
      <c r="AN171" s="45">
        <f>IF(AH171="","",AH171-T171)</f>
        <v/>
      </c>
      <c r="AO171" s="51">
        <f>IF(AG171=1,1,IF(U171&gt;0,MIN(AF171/U171,0.99),0))</f>
        <v/>
      </c>
      <c r="AP171" s="43">
        <f>IF(AG171=1,AI171*AF171,0)</f>
        <v/>
      </c>
      <c r="AQ171" s="43">
        <f>N171*(F171+G171)/H171</f>
        <v/>
      </c>
      <c r="AR171" s="43">
        <f>O171*AQ171</f>
        <v/>
      </c>
      <c r="AS171" s="52">
        <f>IF(AG171=1,IF(AQ171&gt;0,AF171/AQ171,1),IFERROR(INDEX(Types!$K:$K,MATCH($A171&amp;"|"&amp;$D171,Types!$A:$A,0)),INDEX(Dashboard!$X$6:$X$22,MATCH($A171,Dashboard!$A$6:$A$22,0))))</f>
        <v/>
      </c>
      <c r="AT171" s="43">
        <f>AQ171*INDEX(Dashboard!$Y$6:$Y$22,MATCH($A171,Dashboard!$A$6:$A$22,0))</f>
        <v/>
      </c>
      <c r="AU171" s="53">
        <f>IF(AND(AG171=1,AT171&gt;0,AF171&gt;0),100*AF171/AT171,"")</f>
        <v/>
      </c>
      <c r="AV171" s="44">
        <f>IF(AU171="","",T171/(AU171/100))</f>
        <v/>
      </c>
      <c r="AW171" s="53">
        <f>IF(AU171="","",IF(AND(ABS(AH171)&gt;=0.1,ABS(T171)&gt;=0.05,SIGN(AH171)=SIGN(T171)),100*T171/AH171,""))</f>
        <v/>
      </c>
      <c r="AX171" s="45">
        <f>IF(AU171="","",T171-AV171)</f>
        <v/>
      </c>
      <c r="AY171" s="45">
        <f>IF(AU171="","",AH171-AV171)</f>
        <v/>
      </c>
      <c r="AZ171" s="54">
        <f>(AL171-AM171)-T171*AT171</f>
        <v/>
      </c>
      <c r="BA171" s="43">
        <f>IF(AU171="",0,(AH171-T171)*AF171)</f>
        <v/>
      </c>
      <c r="BB171" s="43">
        <f>IF(AU171="",0,T171*(AF171-AT171))</f>
        <v/>
      </c>
      <c r="BC171" s="51" t="n">
        <v>0.5246589716684156</v>
      </c>
      <c r="BD171" s="51" t="n">
        <v>0.03585169639734173</v>
      </c>
      <c r="BE171" s="51" t="n">
        <v>0.1504687857306197</v>
      </c>
      <c r="BF171" s="43" t="n">
        <v>5718</v>
      </c>
    </row>
    <row r="172">
      <c r="A172" s="42" t="inlineStr">
        <is>
          <t>GA</t>
        </is>
      </c>
      <c r="B172" s="42" t="inlineStr">
        <is>
          <t>13265</t>
        </is>
      </c>
      <c r="C172" s="42" t="inlineStr">
        <is>
          <t>Taliaferro</t>
        </is>
      </c>
      <c r="D172" s="42" t="inlineStr">
        <is>
          <t>Black Belt</t>
        </is>
      </c>
      <c r="E172" s="42" t="inlineStr"/>
      <c r="F172" s="43" t="n">
        <v>507</v>
      </c>
      <c r="G172" s="43" t="n">
        <v>375</v>
      </c>
      <c r="H172" s="43" t="n">
        <v>884</v>
      </c>
      <c r="I172" s="43" t="n">
        <v>561</v>
      </c>
      <c r="J172" s="43" t="n">
        <v>360</v>
      </c>
      <c r="K172" s="42" t="inlineStr">
        <is>
          <t>US Senate</t>
        </is>
      </c>
      <c r="L172" s="43" t="n">
        <v>483</v>
      </c>
      <c r="M172" s="43" t="n">
        <v>310</v>
      </c>
      <c r="N172" s="43" t="n">
        <v>797</v>
      </c>
      <c r="O172" s="44">
        <f>IFERROR((F172-G172)/(F172+G172),"")</f>
        <v/>
      </c>
      <c r="P172" s="44">
        <f>IFERROR((I172-J172)/(I172+J172),"")</f>
        <v/>
      </c>
      <c r="Q172" s="45">
        <f>IFERROR(O172-P172,"")</f>
        <v/>
      </c>
      <c r="R172" s="44">
        <f>IFERROR((L172-M172)/(L172+M172),"")</f>
        <v/>
      </c>
      <c r="S172" s="46">
        <f>H172/SUMIFS(Counties!$H$2:$H$1583,Counties!$A$2:$A$1583,$A172)</f>
        <v/>
      </c>
      <c r="T172" s="44">
        <f>O172+INDEX(Dashboard!$F$6:$F$22,MATCH($A172,Dashboard!$A$6:$A$22,0))</f>
        <v/>
      </c>
      <c r="U172" s="43">
        <f>AQ172*INDEX(Dashboard!$G$6:$G$22,MATCH($A172,Dashboard!$A$6:$A$22,0))</f>
        <v/>
      </c>
      <c r="V172" s="47" t="n"/>
      <c r="W172" s="47" t="n"/>
      <c r="X172" s="47" t="n"/>
      <c r="Y172" s="48" t="n"/>
      <c r="Z172" s="49" t="n"/>
      <c r="AA172" s="49" t="n"/>
      <c r="AB172" s="49" t="n"/>
      <c r="AC172" s="50" t="n"/>
      <c r="AD172" s="43">
        <f>IF(Z172&lt;&gt;"",Z172,N(V172))</f>
        <v/>
      </c>
      <c r="AE172" s="43">
        <f>IF(AA172&lt;&gt;"",AA172,N(W172))</f>
        <v/>
      </c>
      <c r="AF172" s="43">
        <f>AD172+AE172</f>
        <v/>
      </c>
      <c r="AG172" s="42">
        <f>IF(UPPER(AC172)="Y",1,IF(AF172=0,0,IF(AND(Z172="",Y172&lt;&gt;""),IF(Y172&gt;=0.999,1,0),IF(AF172&gt;=U172,1,0))))</f>
        <v/>
      </c>
      <c r="AH172" s="44">
        <f>IF(AF172&gt;0,(AD172-AE172)/AF172,"")</f>
        <v/>
      </c>
      <c r="AI172" s="45">
        <f>IF(AG172=1,AH172-O172,"")</f>
        <v/>
      </c>
      <c r="AJ172" s="44">
        <f>IF(AG172=1,AH172,MAX(-1,MIN(1,O172+INDEX(Types!$H:$H,MATCH($A172&amp;"|"&amp;$D172,Types!$A:$A,0)))))</f>
        <v/>
      </c>
      <c r="AK172" s="43">
        <f>IF(AG172=1,AF172,MAX(AQ172*AS172,AF172))</f>
        <v/>
      </c>
      <c r="AL172" s="43">
        <f>IF(AG172=1,AD172,AK172*(1+AJ172)/2)</f>
        <v/>
      </c>
      <c r="AM172" s="43">
        <f>IF(AG172=1,AE172,AK172*(1-AJ172)/2)</f>
        <v/>
      </c>
      <c r="AN172" s="45">
        <f>IF(AH172="","",AH172-T172)</f>
        <v/>
      </c>
      <c r="AO172" s="51">
        <f>IF(AG172=1,1,IF(U172&gt;0,MIN(AF172/U172,0.99),0))</f>
        <v/>
      </c>
      <c r="AP172" s="43">
        <f>IF(AG172=1,AI172*AF172,0)</f>
        <v/>
      </c>
      <c r="AQ172" s="43">
        <f>N172*(F172+G172)/H172</f>
        <v/>
      </c>
      <c r="AR172" s="43">
        <f>O172*AQ172</f>
        <v/>
      </c>
      <c r="AS172" s="52">
        <f>IF(AG172=1,IF(AQ172&gt;0,AF172/AQ172,1),IFERROR(INDEX(Types!$K:$K,MATCH($A172&amp;"|"&amp;$D172,Types!$A:$A,0)),INDEX(Dashboard!$X$6:$X$22,MATCH($A172,Dashboard!$A$6:$A$22,0))))</f>
        <v/>
      </c>
      <c r="AT172" s="43">
        <f>AQ172*INDEX(Dashboard!$Y$6:$Y$22,MATCH($A172,Dashboard!$A$6:$A$22,0))</f>
        <v/>
      </c>
      <c r="AU172" s="53">
        <f>IF(AND(AG172=1,AT172&gt;0,AF172&gt;0),100*AF172/AT172,"")</f>
        <v/>
      </c>
      <c r="AV172" s="44">
        <f>IF(AU172="","",T172/(AU172/100))</f>
        <v/>
      </c>
      <c r="AW172" s="53">
        <f>IF(AU172="","",IF(AND(ABS(AH172)&gt;=0.1,ABS(T172)&gt;=0.05,SIGN(AH172)=SIGN(T172)),100*T172/AH172,""))</f>
        <v/>
      </c>
      <c r="AX172" s="45">
        <f>IF(AU172="","",T172-AV172)</f>
        <v/>
      </c>
      <c r="AY172" s="45">
        <f>IF(AU172="","",AH172-AV172)</f>
        <v/>
      </c>
      <c r="AZ172" s="54">
        <f>(AL172-AM172)-T172*AT172</f>
        <v/>
      </c>
      <c r="BA172" s="43">
        <f>IF(AU172="",0,(AH172-T172)*AF172)</f>
        <v/>
      </c>
      <c r="BB172" s="43">
        <f>IF(AU172="",0,T172*(AF172-AT172))</f>
        <v/>
      </c>
      <c r="BC172" s="51" t="n">
        <v>0.5034182722187694</v>
      </c>
      <c r="BD172" s="51" t="n">
        <v>0.05469235550031075</v>
      </c>
      <c r="BE172" s="51" t="n">
        <v>0.09922480620155039</v>
      </c>
      <c r="BF172" s="43" t="n">
        <v>1609</v>
      </c>
    </row>
    <row r="173">
      <c r="A173" s="42" t="inlineStr">
        <is>
          <t>GA</t>
        </is>
      </c>
      <c r="B173" s="42" t="inlineStr">
        <is>
          <t>13267</t>
        </is>
      </c>
      <c r="C173" s="42" t="inlineStr">
        <is>
          <t>Tattnall</t>
        </is>
      </c>
      <c r="D173" s="42" t="inlineStr">
        <is>
          <t>Small town &amp; rural</t>
        </is>
      </c>
      <c r="E173" s="42" t="inlineStr"/>
      <c r="F173" s="43" t="n">
        <v>1967</v>
      </c>
      <c r="G173" s="43" t="n">
        <v>6515</v>
      </c>
      <c r="H173" s="43" t="n">
        <v>8512</v>
      </c>
      <c r="I173" s="43" t="n">
        <v>2062</v>
      </c>
      <c r="J173" s="43" t="n">
        <v>6054</v>
      </c>
      <c r="K173" s="42" t="inlineStr">
        <is>
          <t>US Senate</t>
        </is>
      </c>
      <c r="L173" s="43" t="n">
        <v>1525</v>
      </c>
      <c r="M173" s="43" t="n">
        <v>4866</v>
      </c>
      <c r="N173" s="43" t="n">
        <v>6500</v>
      </c>
      <c r="O173" s="44">
        <f>IFERROR((F173-G173)/(F173+G173),"")</f>
        <v/>
      </c>
      <c r="P173" s="44">
        <f>IFERROR((I173-J173)/(I173+J173),"")</f>
        <v/>
      </c>
      <c r="Q173" s="45">
        <f>IFERROR(O173-P173,"")</f>
        <v/>
      </c>
      <c r="R173" s="44">
        <f>IFERROR((L173-M173)/(L173+M173),"")</f>
        <v/>
      </c>
      <c r="S173" s="46">
        <f>H173/SUMIFS(Counties!$H$2:$H$1583,Counties!$A$2:$A$1583,$A173)</f>
        <v/>
      </c>
      <c r="T173" s="44">
        <f>O173+INDEX(Dashboard!$F$6:$F$22,MATCH($A173,Dashboard!$A$6:$A$22,0))</f>
        <v/>
      </c>
      <c r="U173" s="43">
        <f>AQ173*INDEX(Dashboard!$G$6:$G$22,MATCH($A173,Dashboard!$A$6:$A$22,0))</f>
        <v/>
      </c>
      <c r="V173" s="47" t="n"/>
      <c r="W173" s="47" t="n"/>
      <c r="X173" s="47" t="n"/>
      <c r="Y173" s="48" t="n"/>
      <c r="Z173" s="49" t="n"/>
      <c r="AA173" s="49" t="n"/>
      <c r="AB173" s="49" t="n"/>
      <c r="AC173" s="50" t="n"/>
      <c r="AD173" s="43">
        <f>IF(Z173&lt;&gt;"",Z173,N(V173))</f>
        <v/>
      </c>
      <c r="AE173" s="43">
        <f>IF(AA173&lt;&gt;"",AA173,N(W173))</f>
        <v/>
      </c>
      <c r="AF173" s="43">
        <f>AD173+AE173</f>
        <v/>
      </c>
      <c r="AG173" s="42">
        <f>IF(UPPER(AC173)="Y",1,IF(AF173=0,0,IF(AND(Z173="",Y173&lt;&gt;""),IF(Y173&gt;=0.999,1,0),IF(AF173&gt;=U173,1,0))))</f>
        <v/>
      </c>
      <c r="AH173" s="44">
        <f>IF(AF173&gt;0,(AD173-AE173)/AF173,"")</f>
        <v/>
      </c>
      <c r="AI173" s="45">
        <f>IF(AG173=1,AH173-O173,"")</f>
        <v/>
      </c>
      <c r="AJ173" s="44">
        <f>IF(AG173=1,AH173,MAX(-1,MIN(1,O173+INDEX(Types!$H:$H,MATCH($A173&amp;"|"&amp;$D173,Types!$A:$A,0)))))</f>
        <v/>
      </c>
      <c r="AK173" s="43">
        <f>IF(AG173=1,AF173,MAX(AQ173*AS173,AF173))</f>
        <v/>
      </c>
      <c r="AL173" s="43">
        <f>IF(AG173=1,AD173,AK173*(1+AJ173)/2)</f>
        <v/>
      </c>
      <c r="AM173" s="43">
        <f>IF(AG173=1,AE173,AK173*(1-AJ173)/2)</f>
        <v/>
      </c>
      <c r="AN173" s="45">
        <f>IF(AH173="","",AH173-T173)</f>
        <v/>
      </c>
      <c r="AO173" s="51">
        <f>IF(AG173=1,1,IF(U173&gt;0,MIN(AF173/U173,0.99),0))</f>
        <v/>
      </c>
      <c r="AP173" s="43">
        <f>IF(AG173=1,AI173*AF173,0)</f>
        <v/>
      </c>
      <c r="AQ173" s="43">
        <f>N173*(F173+G173)/H173</f>
        <v/>
      </c>
      <c r="AR173" s="43">
        <f>O173*AQ173</f>
        <v/>
      </c>
      <c r="AS173" s="52">
        <f>IF(AG173=1,IF(AQ173&gt;0,AF173/AQ173,1),IFERROR(INDEX(Types!$K:$K,MATCH($A173&amp;"|"&amp;$D173,Types!$A:$A,0)),INDEX(Dashboard!$X$6:$X$22,MATCH($A173,Dashboard!$A$6:$A$22,0))))</f>
        <v/>
      </c>
      <c r="AT173" s="43">
        <f>AQ173*INDEX(Dashboard!$Y$6:$Y$22,MATCH($A173,Dashboard!$A$6:$A$22,0))</f>
        <v/>
      </c>
      <c r="AU173" s="53">
        <f>IF(AND(AG173=1,AT173&gt;0,AF173&gt;0),100*AF173/AT173,"")</f>
        <v/>
      </c>
      <c r="AV173" s="44">
        <f>IF(AU173="","",T173/(AU173/100))</f>
        <v/>
      </c>
      <c r="AW173" s="53">
        <f>IF(AU173="","",IF(AND(ABS(AH173)&gt;=0.1,ABS(T173)&gt;=0.05,SIGN(AH173)=SIGN(T173)),100*T173/AH173,""))</f>
        <v/>
      </c>
      <c r="AX173" s="45">
        <f>IF(AU173="","",T173-AV173)</f>
        <v/>
      </c>
      <c r="AY173" s="45">
        <f>IF(AU173="","",AH173-AV173)</f>
        <v/>
      </c>
      <c r="AZ173" s="54">
        <f>(AL173-AM173)-T173*AT173</f>
        <v/>
      </c>
      <c r="BA173" s="43">
        <f>IF(AU173="",0,(AH173-T173)*AF173)</f>
        <v/>
      </c>
      <c r="BB173" s="43">
        <f>IF(AU173="",0,T173*(AF173-AT173))</f>
        <v/>
      </c>
      <c r="BC173" s="51" t="n">
        <v>0.2830507079354626</v>
      </c>
      <c r="BD173" s="51" t="n">
        <v>0.1089068159367797</v>
      </c>
      <c r="BE173" s="51" t="n">
        <v>0.146428991646076</v>
      </c>
      <c r="BF173" s="43" t="n">
        <v>24296</v>
      </c>
    </row>
    <row r="174">
      <c r="A174" s="42" t="inlineStr">
        <is>
          <t>GA</t>
        </is>
      </c>
      <c r="B174" s="42" t="inlineStr">
        <is>
          <t>13269</t>
        </is>
      </c>
      <c r="C174" s="42" t="inlineStr">
        <is>
          <t>Taylor</t>
        </is>
      </c>
      <c r="D174" s="42" t="inlineStr">
        <is>
          <t>Small town &amp; rural</t>
        </is>
      </c>
      <c r="E174" s="42" t="inlineStr"/>
      <c r="F174" s="43" t="n">
        <v>1366</v>
      </c>
      <c r="G174" s="43" t="n">
        <v>2600</v>
      </c>
      <c r="H174" s="43" t="n">
        <v>3982</v>
      </c>
      <c r="I174" s="43" t="n">
        <v>1388</v>
      </c>
      <c r="J174" s="43" t="n">
        <v>2420</v>
      </c>
      <c r="K174" s="42" t="inlineStr">
        <is>
          <t>US Senate</t>
        </is>
      </c>
      <c r="L174" s="43" t="n">
        <v>1145</v>
      </c>
      <c r="M174" s="43" t="n">
        <v>2020</v>
      </c>
      <c r="N174" s="43" t="n">
        <v>3200</v>
      </c>
      <c r="O174" s="44">
        <f>IFERROR((F174-G174)/(F174+G174),"")</f>
        <v/>
      </c>
      <c r="P174" s="44">
        <f>IFERROR((I174-J174)/(I174+J174),"")</f>
        <v/>
      </c>
      <c r="Q174" s="45">
        <f>IFERROR(O174-P174,"")</f>
        <v/>
      </c>
      <c r="R174" s="44">
        <f>IFERROR((L174-M174)/(L174+M174),"")</f>
        <v/>
      </c>
      <c r="S174" s="46">
        <f>H174/SUMIFS(Counties!$H$2:$H$1583,Counties!$A$2:$A$1583,$A174)</f>
        <v/>
      </c>
      <c r="T174" s="44">
        <f>O174+INDEX(Dashboard!$F$6:$F$22,MATCH($A174,Dashboard!$A$6:$A$22,0))</f>
        <v/>
      </c>
      <c r="U174" s="43">
        <f>AQ174*INDEX(Dashboard!$G$6:$G$22,MATCH($A174,Dashboard!$A$6:$A$22,0))</f>
        <v/>
      </c>
      <c r="V174" s="47" t="n"/>
      <c r="W174" s="47" t="n"/>
      <c r="X174" s="47" t="n"/>
      <c r="Y174" s="48" t="n"/>
      <c r="Z174" s="49" t="n"/>
      <c r="AA174" s="49" t="n"/>
      <c r="AB174" s="49" t="n"/>
      <c r="AC174" s="50" t="n"/>
      <c r="AD174" s="43">
        <f>IF(Z174&lt;&gt;"",Z174,N(V174))</f>
        <v/>
      </c>
      <c r="AE174" s="43">
        <f>IF(AA174&lt;&gt;"",AA174,N(W174))</f>
        <v/>
      </c>
      <c r="AF174" s="43">
        <f>AD174+AE174</f>
        <v/>
      </c>
      <c r="AG174" s="42">
        <f>IF(UPPER(AC174)="Y",1,IF(AF174=0,0,IF(AND(Z174="",Y174&lt;&gt;""),IF(Y174&gt;=0.999,1,0),IF(AF174&gt;=U174,1,0))))</f>
        <v/>
      </c>
      <c r="AH174" s="44">
        <f>IF(AF174&gt;0,(AD174-AE174)/AF174,"")</f>
        <v/>
      </c>
      <c r="AI174" s="45">
        <f>IF(AG174=1,AH174-O174,"")</f>
        <v/>
      </c>
      <c r="AJ174" s="44">
        <f>IF(AG174=1,AH174,MAX(-1,MIN(1,O174+INDEX(Types!$H:$H,MATCH($A174&amp;"|"&amp;$D174,Types!$A:$A,0)))))</f>
        <v/>
      </c>
      <c r="AK174" s="43">
        <f>IF(AG174=1,AF174,MAX(AQ174*AS174,AF174))</f>
        <v/>
      </c>
      <c r="AL174" s="43">
        <f>IF(AG174=1,AD174,AK174*(1+AJ174)/2)</f>
        <v/>
      </c>
      <c r="AM174" s="43">
        <f>IF(AG174=1,AE174,AK174*(1-AJ174)/2)</f>
        <v/>
      </c>
      <c r="AN174" s="45">
        <f>IF(AH174="","",AH174-T174)</f>
        <v/>
      </c>
      <c r="AO174" s="51">
        <f>IF(AG174=1,1,IF(U174&gt;0,MIN(AF174/U174,0.99),0))</f>
        <v/>
      </c>
      <c r="AP174" s="43">
        <f>IF(AG174=1,AI174*AF174,0)</f>
        <v/>
      </c>
      <c r="AQ174" s="43">
        <f>N174*(F174+G174)/H174</f>
        <v/>
      </c>
      <c r="AR174" s="43">
        <f>O174*AQ174</f>
        <v/>
      </c>
      <c r="AS174" s="52">
        <f>IF(AG174=1,IF(AQ174&gt;0,AF174/AQ174,1),IFERROR(INDEX(Types!$K:$K,MATCH($A174&amp;"|"&amp;$D174,Types!$A:$A,0)),INDEX(Dashboard!$X$6:$X$22,MATCH($A174,Dashboard!$A$6:$A$22,0))))</f>
        <v/>
      </c>
      <c r="AT174" s="43">
        <f>AQ174*INDEX(Dashboard!$Y$6:$Y$22,MATCH($A174,Dashboard!$A$6:$A$22,0))</f>
        <v/>
      </c>
      <c r="AU174" s="53">
        <f>IF(AND(AG174=1,AT174&gt;0,AF174&gt;0),100*AF174/AT174,"")</f>
        <v/>
      </c>
      <c r="AV174" s="44">
        <f>IF(AU174="","",T174/(AU174/100))</f>
        <v/>
      </c>
      <c r="AW174" s="53">
        <f>IF(AU174="","",IF(AND(ABS(AH174)&gt;=0.1,ABS(T174)&gt;=0.05,SIGN(AH174)=SIGN(T174)),100*T174/AH174,""))</f>
        <v/>
      </c>
      <c r="AX174" s="45">
        <f>IF(AU174="","",T174-AV174)</f>
        <v/>
      </c>
      <c r="AY174" s="45">
        <f>IF(AU174="","",AH174-AV174)</f>
        <v/>
      </c>
      <c r="AZ174" s="54">
        <f>(AL174-AM174)-T174*AT174</f>
        <v/>
      </c>
      <c r="BA174" s="43">
        <f>IF(AU174="",0,(AH174-T174)*AF174)</f>
        <v/>
      </c>
      <c r="BB174" s="43">
        <f>IF(AU174="",0,T174*(AF174-AT174))</f>
        <v/>
      </c>
      <c r="BC174" s="51" t="n">
        <v>0.3526682134570766</v>
      </c>
      <c r="BD174" s="51" t="n">
        <v>0.02926011858726476</v>
      </c>
      <c r="BE174" s="51" t="n">
        <v>0.1814927510291749</v>
      </c>
      <c r="BF174" s="43" t="n">
        <v>7758</v>
      </c>
    </row>
    <row r="175">
      <c r="A175" s="42" t="inlineStr">
        <is>
          <t>GA</t>
        </is>
      </c>
      <c r="B175" s="42" t="inlineStr">
        <is>
          <t>13271</t>
        </is>
      </c>
      <c r="C175" s="42" t="inlineStr">
        <is>
          <t>Telfair</t>
        </is>
      </c>
      <c r="D175" s="42" t="inlineStr">
        <is>
          <t>Small town &amp; rural</t>
        </is>
      </c>
      <c r="E175" s="42" t="inlineStr"/>
      <c r="F175" s="43" t="n">
        <v>1274</v>
      </c>
      <c r="G175" s="43" t="n">
        <v>2930</v>
      </c>
      <c r="H175" s="43" t="n">
        <v>4214</v>
      </c>
      <c r="I175" s="43" t="n">
        <v>1488</v>
      </c>
      <c r="J175" s="43" t="n">
        <v>2825</v>
      </c>
      <c r="K175" s="42" t="inlineStr">
        <is>
          <t>US Senate</t>
        </is>
      </c>
      <c r="L175" s="43" t="n">
        <v>1032</v>
      </c>
      <c r="M175" s="43" t="n">
        <v>2340</v>
      </c>
      <c r="N175" s="43" t="n">
        <v>3400</v>
      </c>
      <c r="O175" s="44">
        <f>IFERROR((F175-G175)/(F175+G175),"")</f>
        <v/>
      </c>
      <c r="P175" s="44">
        <f>IFERROR((I175-J175)/(I175+J175),"")</f>
        <v/>
      </c>
      <c r="Q175" s="45">
        <f>IFERROR(O175-P175,"")</f>
        <v/>
      </c>
      <c r="R175" s="44">
        <f>IFERROR((L175-M175)/(L175+M175),"")</f>
        <v/>
      </c>
      <c r="S175" s="46">
        <f>H175/SUMIFS(Counties!$H$2:$H$1583,Counties!$A$2:$A$1583,$A175)</f>
        <v/>
      </c>
      <c r="T175" s="44">
        <f>O175+INDEX(Dashboard!$F$6:$F$22,MATCH($A175,Dashboard!$A$6:$A$22,0))</f>
        <v/>
      </c>
      <c r="U175" s="43">
        <f>AQ175*INDEX(Dashboard!$G$6:$G$22,MATCH($A175,Dashboard!$A$6:$A$22,0))</f>
        <v/>
      </c>
      <c r="V175" s="47" t="n"/>
      <c r="W175" s="47" t="n"/>
      <c r="X175" s="47" t="n"/>
      <c r="Y175" s="48" t="n"/>
      <c r="Z175" s="49" t="n"/>
      <c r="AA175" s="49" t="n"/>
      <c r="AB175" s="49" t="n"/>
      <c r="AC175" s="50" t="n"/>
      <c r="AD175" s="43">
        <f>IF(Z175&lt;&gt;"",Z175,N(V175))</f>
        <v/>
      </c>
      <c r="AE175" s="43">
        <f>IF(AA175&lt;&gt;"",AA175,N(W175))</f>
        <v/>
      </c>
      <c r="AF175" s="43">
        <f>AD175+AE175</f>
        <v/>
      </c>
      <c r="AG175" s="42">
        <f>IF(UPPER(AC175)="Y",1,IF(AF175=0,0,IF(AND(Z175="",Y175&lt;&gt;""),IF(Y175&gt;=0.999,1,0),IF(AF175&gt;=U175,1,0))))</f>
        <v/>
      </c>
      <c r="AH175" s="44">
        <f>IF(AF175&gt;0,(AD175-AE175)/AF175,"")</f>
        <v/>
      </c>
      <c r="AI175" s="45">
        <f>IF(AG175=1,AH175-O175,"")</f>
        <v/>
      </c>
      <c r="AJ175" s="44">
        <f>IF(AG175=1,AH175,MAX(-1,MIN(1,O175+INDEX(Types!$H:$H,MATCH($A175&amp;"|"&amp;$D175,Types!$A:$A,0)))))</f>
        <v/>
      </c>
      <c r="AK175" s="43">
        <f>IF(AG175=1,AF175,MAX(AQ175*AS175,AF175))</f>
        <v/>
      </c>
      <c r="AL175" s="43">
        <f>IF(AG175=1,AD175,AK175*(1+AJ175)/2)</f>
        <v/>
      </c>
      <c r="AM175" s="43">
        <f>IF(AG175=1,AE175,AK175*(1-AJ175)/2)</f>
        <v/>
      </c>
      <c r="AN175" s="45">
        <f>IF(AH175="","",AH175-T175)</f>
        <v/>
      </c>
      <c r="AO175" s="51">
        <f>IF(AG175=1,1,IF(U175&gt;0,MIN(AF175/U175,0.99),0))</f>
        <v/>
      </c>
      <c r="AP175" s="43">
        <f>IF(AG175=1,AI175*AF175,0)</f>
        <v/>
      </c>
      <c r="AQ175" s="43">
        <f>N175*(F175+G175)/H175</f>
        <v/>
      </c>
      <c r="AR175" s="43">
        <f>O175*AQ175</f>
        <v/>
      </c>
      <c r="AS175" s="52">
        <f>IF(AG175=1,IF(AQ175&gt;0,AF175/AQ175,1),IFERROR(INDEX(Types!$K:$K,MATCH($A175&amp;"|"&amp;$D175,Types!$A:$A,0)),INDEX(Dashboard!$X$6:$X$22,MATCH($A175,Dashboard!$A$6:$A$22,0))))</f>
        <v/>
      </c>
      <c r="AT175" s="43">
        <f>AQ175*INDEX(Dashboard!$Y$6:$Y$22,MATCH($A175,Dashboard!$A$6:$A$22,0))</f>
        <v/>
      </c>
      <c r="AU175" s="53">
        <f>IF(AND(AG175=1,AT175&gt;0,AF175&gt;0),100*AF175/AT175,"")</f>
        <v/>
      </c>
      <c r="AV175" s="44">
        <f>IF(AU175="","",T175/(AU175/100))</f>
        <v/>
      </c>
      <c r="AW175" s="53">
        <f>IF(AU175="","",IF(AND(ABS(AH175)&gt;=0.1,ABS(T175)&gt;=0.05,SIGN(AH175)=SIGN(T175)),100*T175/AH175,""))</f>
        <v/>
      </c>
      <c r="AX175" s="45">
        <f>IF(AU175="","",T175-AV175)</f>
        <v/>
      </c>
      <c r="AY175" s="45">
        <f>IF(AU175="","",AH175-AV175)</f>
        <v/>
      </c>
      <c r="AZ175" s="54">
        <f>(AL175-AM175)-T175*AT175</f>
        <v/>
      </c>
      <c r="BA175" s="43">
        <f>IF(AU175="",0,(AH175-T175)*AF175)</f>
        <v/>
      </c>
      <c r="BB175" s="43">
        <f>IF(AU175="",0,T175*(AF175-AT175))</f>
        <v/>
      </c>
      <c r="BC175" s="51" t="n">
        <v>0.3422161172161172</v>
      </c>
      <c r="BD175" s="51" t="n">
        <v>0.1258241758241758</v>
      </c>
      <c r="BE175" s="51" t="n">
        <v>0.1007382710169088</v>
      </c>
      <c r="BF175" s="43" t="n">
        <v>10920</v>
      </c>
    </row>
    <row r="176">
      <c r="A176" s="42" t="inlineStr">
        <is>
          <t>GA</t>
        </is>
      </c>
      <c r="B176" s="42" t="inlineStr">
        <is>
          <t>13273</t>
        </is>
      </c>
      <c r="C176" s="42" t="inlineStr">
        <is>
          <t>Terrell</t>
        </is>
      </c>
      <c r="D176" s="42" t="inlineStr">
        <is>
          <t>Black Belt</t>
        </is>
      </c>
      <c r="E176" s="42" t="inlineStr"/>
      <c r="F176" s="43" t="n">
        <v>2253</v>
      </c>
      <c r="G176" s="43" t="n">
        <v>2075</v>
      </c>
      <c r="H176" s="43" t="n">
        <v>4341</v>
      </c>
      <c r="I176" s="43" t="n">
        <v>2376</v>
      </c>
      <c r="J176" s="43" t="n">
        <v>2004</v>
      </c>
      <c r="K176" s="42" t="inlineStr">
        <is>
          <t>US Senate</t>
        </is>
      </c>
      <c r="L176" s="43" t="n">
        <v>1904</v>
      </c>
      <c r="M176" s="43" t="n">
        <v>1695</v>
      </c>
      <c r="N176" s="43" t="n">
        <v>3638</v>
      </c>
      <c r="O176" s="44">
        <f>IFERROR((F176-G176)/(F176+G176),"")</f>
        <v/>
      </c>
      <c r="P176" s="44">
        <f>IFERROR((I176-J176)/(I176+J176),"")</f>
        <v/>
      </c>
      <c r="Q176" s="45">
        <f>IFERROR(O176-P176,"")</f>
        <v/>
      </c>
      <c r="R176" s="44">
        <f>IFERROR((L176-M176)/(L176+M176),"")</f>
        <v/>
      </c>
      <c r="S176" s="46">
        <f>H176/SUMIFS(Counties!$H$2:$H$1583,Counties!$A$2:$A$1583,$A176)</f>
        <v/>
      </c>
      <c r="T176" s="44">
        <f>O176+INDEX(Dashboard!$F$6:$F$22,MATCH($A176,Dashboard!$A$6:$A$22,0))</f>
        <v/>
      </c>
      <c r="U176" s="43">
        <f>AQ176*INDEX(Dashboard!$G$6:$G$22,MATCH($A176,Dashboard!$A$6:$A$22,0))</f>
        <v/>
      </c>
      <c r="V176" s="47" t="n"/>
      <c r="W176" s="47" t="n"/>
      <c r="X176" s="47" t="n"/>
      <c r="Y176" s="48" t="n"/>
      <c r="Z176" s="49" t="n"/>
      <c r="AA176" s="49" t="n"/>
      <c r="AB176" s="49" t="n"/>
      <c r="AC176" s="50" t="n"/>
      <c r="AD176" s="43">
        <f>IF(Z176&lt;&gt;"",Z176,N(V176))</f>
        <v/>
      </c>
      <c r="AE176" s="43">
        <f>IF(AA176&lt;&gt;"",AA176,N(W176))</f>
        <v/>
      </c>
      <c r="AF176" s="43">
        <f>AD176+AE176</f>
        <v/>
      </c>
      <c r="AG176" s="42">
        <f>IF(UPPER(AC176)="Y",1,IF(AF176=0,0,IF(AND(Z176="",Y176&lt;&gt;""),IF(Y176&gt;=0.999,1,0),IF(AF176&gt;=U176,1,0))))</f>
        <v/>
      </c>
      <c r="AH176" s="44">
        <f>IF(AF176&gt;0,(AD176-AE176)/AF176,"")</f>
        <v/>
      </c>
      <c r="AI176" s="45">
        <f>IF(AG176=1,AH176-O176,"")</f>
        <v/>
      </c>
      <c r="AJ176" s="44">
        <f>IF(AG176=1,AH176,MAX(-1,MIN(1,O176+INDEX(Types!$H:$H,MATCH($A176&amp;"|"&amp;$D176,Types!$A:$A,0)))))</f>
        <v/>
      </c>
      <c r="AK176" s="43">
        <f>IF(AG176=1,AF176,MAX(AQ176*AS176,AF176))</f>
        <v/>
      </c>
      <c r="AL176" s="43">
        <f>IF(AG176=1,AD176,AK176*(1+AJ176)/2)</f>
        <v/>
      </c>
      <c r="AM176" s="43">
        <f>IF(AG176=1,AE176,AK176*(1-AJ176)/2)</f>
        <v/>
      </c>
      <c r="AN176" s="45">
        <f>IF(AH176="","",AH176-T176)</f>
        <v/>
      </c>
      <c r="AO176" s="51">
        <f>IF(AG176=1,1,IF(U176&gt;0,MIN(AF176/U176,0.99),0))</f>
        <v/>
      </c>
      <c r="AP176" s="43">
        <f>IF(AG176=1,AI176*AF176,0)</f>
        <v/>
      </c>
      <c r="AQ176" s="43">
        <f>N176*(F176+G176)/H176</f>
        <v/>
      </c>
      <c r="AR176" s="43">
        <f>O176*AQ176</f>
        <v/>
      </c>
      <c r="AS176" s="52">
        <f>IF(AG176=1,IF(AQ176&gt;0,AF176/AQ176,1),IFERROR(INDEX(Types!$K:$K,MATCH($A176&amp;"|"&amp;$D176,Types!$A:$A,0)),INDEX(Dashboard!$X$6:$X$22,MATCH($A176,Dashboard!$A$6:$A$22,0))))</f>
        <v/>
      </c>
      <c r="AT176" s="43">
        <f>AQ176*INDEX(Dashboard!$Y$6:$Y$22,MATCH($A176,Dashboard!$A$6:$A$22,0))</f>
        <v/>
      </c>
      <c r="AU176" s="53">
        <f>IF(AND(AG176=1,AT176&gt;0,AF176&gt;0),100*AF176/AT176,"")</f>
        <v/>
      </c>
      <c r="AV176" s="44">
        <f>IF(AU176="","",T176/(AU176/100))</f>
        <v/>
      </c>
      <c r="AW176" s="53">
        <f>IF(AU176="","",IF(AND(ABS(AH176)&gt;=0.1,ABS(T176)&gt;=0.05,SIGN(AH176)=SIGN(T176)),100*T176/AH176,""))</f>
        <v/>
      </c>
      <c r="AX176" s="45">
        <f>IF(AU176="","",T176-AV176)</f>
        <v/>
      </c>
      <c r="AY176" s="45">
        <f>IF(AU176="","",AH176-AV176)</f>
        <v/>
      </c>
      <c r="AZ176" s="54">
        <f>(AL176-AM176)-T176*AT176</f>
        <v/>
      </c>
      <c r="BA176" s="43">
        <f>IF(AU176="",0,(AH176-T176)*AF176)</f>
        <v/>
      </c>
      <c r="BB176" s="43">
        <f>IF(AU176="",0,T176*(AF176-AT176))</f>
        <v/>
      </c>
      <c r="BC176" s="51" t="n">
        <v>0.5786877724248681</v>
      </c>
      <c r="BD176" s="51" t="n">
        <v>0.02867630190410645</v>
      </c>
      <c r="BE176" s="51" t="n">
        <v>0.1153036437246964</v>
      </c>
      <c r="BF176" s="43" t="n">
        <v>8718</v>
      </c>
    </row>
    <row r="177">
      <c r="A177" s="42" t="inlineStr">
        <is>
          <t>GA</t>
        </is>
      </c>
      <c r="B177" s="42" t="inlineStr">
        <is>
          <t>13275</t>
        </is>
      </c>
      <c r="C177" s="42" t="inlineStr">
        <is>
          <t>Thomas</t>
        </is>
      </c>
      <c r="D177" s="42" t="inlineStr">
        <is>
          <t>Small town &amp; rural</t>
        </is>
      </c>
      <c r="E177" s="42" t="inlineStr"/>
      <c r="F177" s="43" t="n">
        <v>8347</v>
      </c>
      <c r="G177" s="43" t="n">
        <v>13670</v>
      </c>
      <c r="H177" s="43" t="n">
        <v>22080</v>
      </c>
      <c r="I177" s="43" t="n">
        <v>8708</v>
      </c>
      <c r="J177" s="43" t="n">
        <v>12969</v>
      </c>
      <c r="K177" s="42" t="inlineStr">
        <is>
          <t>US Senate</t>
        </is>
      </c>
      <c r="L177" s="43" t="n">
        <v>6436</v>
      </c>
      <c r="M177" s="43" t="n">
        <v>10481</v>
      </c>
      <c r="N177" s="43" t="n">
        <v>17180</v>
      </c>
      <c r="O177" s="44">
        <f>IFERROR((F177-G177)/(F177+G177),"")</f>
        <v/>
      </c>
      <c r="P177" s="44">
        <f>IFERROR((I177-J177)/(I177+J177),"")</f>
        <v/>
      </c>
      <c r="Q177" s="45">
        <f>IFERROR(O177-P177,"")</f>
        <v/>
      </c>
      <c r="R177" s="44">
        <f>IFERROR((L177-M177)/(L177+M177),"")</f>
        <v/>
      </c>
      <c r="S177" s="46">
        <f>H177/SUMIFS(Counties!$H$2:$H$1583,Counties!$A$2:$A$1583,$A177)</f>
        <v/>
      </c>
      <c r="T177" s="44">
        <f>O177+INDEX(Dashboard!$F$6:$F$22,MATCH($A177,Dashboard!$A$6:$A$22,0))</f>
        <v/>
      </c>
      <c r="U177" s="43">
        <f>AQ177*INDEX(Dashboard!$G$6:$G$22,MATCH($A177,Dashboard!$A$6:$A$22,0))</f>
        <v/>
      </c>
      <c r="V177" s="47" t="n"/>
      <c r="W177" s="47" t="n"/>
      <c r="X177" s="47" t="n"/>
      <c r="Y177" s="48" t="n"/>
      <c r="Z177" s="49" t="n"/>
      <c r="AA177" s="49" t="n"/>
      <c r="AB177" s="49" t="n"/>
      <c r="AC177" s="50" t="n"/>
      <c r="AD177" s="43">
        <f>IF(Z177&lt;&gt;"",Z177,N(V177))</f>
        <v/>
      </c>
      <c r="AE177" s="43">
        <f>IF(AA177&lt;&gt;"",AA177,N(W177))</f>
        <v/>
      </c>
      <c r="AF177" s="43">
        <f>AD177+AE177</f>
        <v/>
      </c>
      <c r="AG177" s="42">
        <f>IF(UPPER(AC177)="Y",1,IF(AF177=0,0,IF(AND(Z177="",Y177&lt;&gt;""),IF(Y177&gt;=0.999,1,0),IF(AF177&gt;=U177,1,0))))</f>
        <v/>
      </c>
      <c r="AH177" s="44">
        <f>IF(AF177&gt;0,(AD177-AE177)/AF177,"")</f>
        <v/>
      </c>
      <c r="AI177" s="45">
        <f>IF(AG177=1,AH177-O177,"")</f>
        <v/>
      </c>
      <c r="AJ177" s="44">
        <f>IF(AG177=1,AH177,MAX(-1,MIN(1,O177+INDEX(Types!$H:$H,MATCH($A177&amp;"|"&amp;$D177,Types!$A:$A,0)))))</f>
        <v/>
      </c>
      <c r="AK177" s="43">
        <f>IF(AG177=1,AF177,MAX(AQ177*AS177,AF177))</f>
        <v/>
      </c>
      <c r="AL177" s="43">
        <f>IF(AG177=1,AD177,AK177*(1+AJ177)/2)</f>
        <v/>
      </c>
      <c r="AM177" s="43">
        <f>IF(AG177=1,AE177,AK177*(1-AJ177)/2)</f>
        <v/>
      </c>
      <c r="AN177" s="45">
        <f>IF(AH177="","",AH177-T177)</f>
        <v/>
      </c>
      <c r="AO177" s="51">
        <f>IF(AG177=1,1,IF(U177&gt;0,MIN(AF177/U177,0.99),0))</f>
        <v/>
      </c>
      <c r="AP177" s="43">
        <f>IF(AG177=1,AI177*AF177,0)</f>
        <v/>
      </c>
      <c r="AQ177" s="43">
        <f>N177*(F177+G177)/H177</f>
        <v/>
      </c>
      <c r="AR177" s="43">
        <f>O177*AQ177</f>
        <v/>
      </c>
      <c r="AS177" s="52">
        <f>IF(AG177=1,IF(AQ177&gt;0,AF177/AQ177,1),IFERROR(INDEX(Types!$K:$K,MATCH($A177&amp;"|"&amp;$D177,Types!$A:$A,0)),INDEX(Dashboard!$X$6:$X$22,MATCH($A177,Dashboard!$A$6:$A$22,0))))</f>
        <v/>
      </c>
      <c r="AT177" s="43">
        <f>AQ177*INDEX(Dashboard!$Y$6:$Y$22,MATCH($A177,Dashboard!$A$6:$A$22,0))</f>
        <v/>
      </c>
      <c r="AU177" s="53">
        <f>IF(AND(AG177=1,AT177&gt;0,AF177&gt;0),100*AF177/AT177,"")</f>
        <v/>
      </c>
      <c r="AV177" s="44">
        <f>IF(AU177="","",T177/(AU177/100))</f>
        <v/>
      </c>
      <c r="AW177" s="53">
        <f>IF(AU177="","",IF(AND(ABS(AH177)&gt;=0.1,ABS(T177)&gt;=0.05,SIGN(AH177)=SIGN(T177)),100*T177/AH177,""))</f>
        <v/>
      </c>
      <c r="AX177" s="45">
        <f>IF(AU177="","",T177-AV177)</f>
        <v/>
      </c>
      <c r="AY177" s="45">
        <f>IF(AU177="","",AH177-AV177)</f>
        <v/>
      </c>
      <c r="AZ177" s="54">
        <f>(AL177-AM177)-T177*AT177</f>
        <v/>
      </c>
      <c r="BA177" s="43">
        <f>IF(AU177="",0,(AH177-T177)*AF177)</f>
        <v/>
      </c>
      <c r="BB177" s="43">
        <f>IF(AU177="",0,T177*(AF177-AT177))</f>
        <v/>
      </c>
      <c r="BC177" s="51" t="n">
        <v>0.3587592280225196</v>
      </c>
      <c r="BD177" s="51" t="n">
        <v>0.04105237792722732</v>
      </c>
      <c r="BE177" s="51" t="n">
        <v>0.2363782051282051</v>
      </c>
      <c r="BF177" s="43" t="n">
        <v>45649</v>
      </c>
    </row>
    <row r="178">
      <c r="A178" s="42" t="inlineStr">
        <is>
          <t>GA</t>
        </is>
      </c>
      <c r="B178" s="42" t="inlineStr">
        <is>
          <t>13277</t>
        </is>
      </c>
      <c r="C178" s="42" t="inlineStr">
        <is>
          <t>Tift</t>
        </is>
      </c>
      <c r="D178" s="42" t="inlineStr">
        <is>
          <t>Small town &amp; rural</t>
        </is>
      </c>
      <c r="E178" s="42" t="inlineStr"/>
      <c r="F178" s="43" t="n">
        <v>5438</v>
      </c>
      <c r="G178" s="43" t="n">
        <v>11496</v>
      </c>
      <c r="H178" s="43" t="n">
        <v>16989</v>
      </c>
      <c r="I178" s="43" t="n">
        <v>5318</v>
      </c>
      <c r="J178" s="43" t="n">
        <v>10784</v>
      </c>
      <c r="K178" s="42" t="inlineStr">
        <is>
          <t>US Senate</t>
        </is>
      </c>
      <c r="L178" s="43" t="n">
        <v>3878</v>
      </c>
      <c r="M178" s="43" t="n">
        <v>8921</v>
      </c>
      <c r="N178" s="43" t="n">
        <v>12975</v>
      </c>
      <c r="O178" s="44">
        <f>IFERROR((F178-G178)/(F178+G178),"")</f>
        <v/>
      </c>
      <c r="P178" s="44">
        <f>IFERROR((I178-J178)/(I178+J178),"")</f>
        <v/>
      </c>
      <c r="Q178" s="45">
        <f>IFERROR(O178-P178,"")</f>
        <v/>
      </c>
      <c r="R178" s="44">
        <f>IFERROR((L178-M178)/(L178+M178),"")</f>
        <v/>
      </c>
      <c r="S178" s="46">
        <f>H178/SUMIFS(Counties!$H$2:$H$1583,Counties!$A$2:$A$1583,$A178)</f>
        <v/>
      </c>
      <c r="T178" s="44">
        <f>O178+INDEX(Dashboard!$F$6:$F$22,MATCH($A178,Dashboard!$A$6:$A$22,0))</f>
        <v/>
      </c>
      <c r="U178" s="43">
        <f>AQ178*INDEX(Dashboard!$G$6:$G$22,MATCH($A178,Dashboard!$A$6:$A$22,0))</f>
        <v/>
      </c>
      <c r="V178" s="47" t="n"/>
      <c r="W178" s="47" t="n"/>
      <c r="X178" s="47" t="n"/>
      <c r="Y178" s="48" t="n"/>
      <c r="Z178" s="49" t="n"/>
      <c r="AA178" s="49" t="n"/>
      <c r="AB178" s="49" t="n"/>
      <c r="AC178" s="50" t="n"/>
      <c r="AD178" s="43">
        <f>IF(Z178&lt;&gt;"",Z178,N(V178))</f>
        <v/>
      </c>
      <c r="AE178" s="43">
        <f>IF(AA178&lt;&gt;"",AA178,N(W178))</f>
        <v/>
      </c>
      <c r="AF178" s="43">
        <f>AD178+AE178</f>
        <v/>
      </c>
      <c r="AG178" s="42">
        <f>IF(UPPER(AC178)="Y",1,IF(AF178=0,0,IF(AND(Z178="",Y178&lt;&gt;""),IF(Y178&gt;=0.999,1,0),IF(AF178&gt;=U178,1,0))))</f>
        <v/>
      </c>
      <c r="AH178" s="44">
        <f>IF(AF178&gt;0,(AD178-AE178)/AF178,"")</f>
        <v/>
      </c>
      <c r="AI178" s="45">
        <f>IF(AG178=1,AH178-O178,"")</f>
        <v/>
      </c>
      <c r="AJ178" s="44">
        <f>IF(AG178=1,AH178,MAX(-1,MIN(1,O178+INDEX(Types!$H:$H,MATCH($A178&amp;"|"&amp;$D178,Types!$A:$A,0)))))</f>
        <v/>
      </c>
      <c r="AK178" s="43">
        <f>IF(AG178=1,AF178,MAX(AQ178*AS178,AF178))</f>
        <v/>
      </c>
      <c r="AL178" s="43">
        <f>IF(AG178=1,AD178,AK178*(1+AJ178)/2)</f>
        <v/>
      </c>
      <c r="AM178" s="43">
        <f>IF(AG178=1,AE178,AK178*(1-AJ178)/2)</f>
        <v/>
      </c>
      <c r="AN178" s="45">
        <f>IF(AH178="","",AH178-T178)</f>
        <v/>
      </c>
      <c r="AO178" s="51">
        <f>IF(AG178=1,1,IF(U178&gt;0,MIN(AF178/U178,0.99),0))</f>
        <v/>
      </c>
      <c r="AP178" s="43">
        <f>IF(AG178=1,AI178*AF178,0)</f>
        <v/>
      </c>
      <c r="AQ178" s="43">
        <f>N178*(F178+G178)/H178</f>
        <v/>
      </c>
      <c r="AR178" s="43">
        <f>O178*AQ178</f>
        <v/>
      </c>
      <c r="AS178" s="52">
        <f>IF(AG178=1,IF(AQ178&gt;0,AF178/AQ178,1),IFERROR(INDEX(Types!$K:$K,MATCH($A178&amp;"|"&amp;$D178,Types!$A:$A,0)),INDEX(Dashboard!$X$6:$X$22,MATCH($A178,Dashboard!$A$6:$A$22,0))))</f>
        <v/>
      </c>
      <c r="AT178" s="43">
        <f>AQ178*INDEX(Dashboard!$Y$6:$Y$22,MATCH($A178,Dashboard!$A$6:$A$22,0))</f>
        <v/>
      </c>
      <c r="AU178" s="53">
        <f>IF(AND(AG178=1,AT178&gt;0,AF178&gt;0),100*AF178/AT178,"")</f>
        <v/>
      </c>
      <c r="AV178" s="44">
        <f>IF(AU178="","",T178/(AU178/100))</f>
        <v/>
      </c>
      <c r="AW178" s="53">
        <f>IF(AU178="","",IF(AND(ABS(AH178)&gt;=0.1,ABS(T178)&gt;=0.05,SIGN(AH178)=SIGN(T178)),100*T178/AH178,""))</f>
        <v/>
      </c>
      <c r="AX178" s="45">
        <f>IF(AU178="","",T178-AV178)</f>
        <v/>
      </c>
      <c r="AY178" s="45">
        <f>IF(AU178="","",AH178-AV178)</f>
        <v/>
      </c>
      <c r="AZ178" s="54">
        <f>(AL178-AM178)-T178*AT178</f>
        <v/>
      </c>
      <c r="BA178" s="43">
        <f>IF(AU178="",0,(AH178-T178)*AF178)</f>
        <v/>
      </c>
      <c r="BB178" s="43">
        <f>IF(AU178="",0,T178*(AF178-AT178))</f>
        <v/>
      </c>
      <c r="BC178" s="51" t="n">
        <v>0.3041584444337488</v>
      </c>
      <c r="BD178" s="51" t="n">
        <v>0.132983587620927</v>
      </c>
      <c r="BE178" s="51" t="n">
        <v>0.2019230769230769</v>
      </c>
      <c r="BF178" s="43" t="n">
        <v>41554</v>
      </c>
    </row>
    <row r="179">
      <c r="A179" s="42" t="inlineStr">
        <is>
          <t>GA</t>
        </is>
      </c>
      <c r="B179" s="42" t="inlineStr">
        <is>
          <t>13279</t>
        </is>
      </c>
      <c r="C179" s="42" t="inlineStr">
        <is>
          <t>Toombs</t>
        </is>
      </c>
      <c r="D179" s="42" t="inlineStr">
        <is>
          <t>Small town &amp; rural</t>
        </is>
      </c>
      <c r="E179" s="42" t="inlineStr"/>
      <c r="F179" s="43" t="n">
        <v>2674</v>
      </c>
      <c r="G179" s="43" t="n">
        <v>8208</v>
      </c>
      <c r="H179" s="43" t="n">
        <v>10912</v>
      </c>
      <c r="I179" s="43" t="n">
        <v>2938</v>
      </c>
      <c r="J179" s="43" t="n">
        <v>7873</v>
      </c>
      <c r="K179" s="42" t="inlineStr">
        <is>
          <t>US Senate</t>
        </is>
      </c>
      <c r="L179" s="43" t="n">
        <v>2062</v>
      </c>
      <c r="M179" s="43" t="n">
        <v>6298</v>
      </c>
      <c r="N179" s="43" t="n">
        <v>8460</v>
      </c>
      <c r="O179" s="44">
        <f>IFERROR((F179-G179)/(F179+G179),"")</f>
        <v/>
      </c>
      <c r="P179" s="44">
        <f>IFERROR((I179-J179)/(I179+J179),"")</f>
        <v/>
      </c>
      <c r="Q179" s="45">
        <f>IFERROR(O179-P179,"")</f>
        <v/>
      </c>
      <c r="R179" s="44">
        <f>IFERROR((L179-M179)/(L179+M179),"")</f>
        <v/>
      </c>
      <c r="S179" s="46">
        <f>H179/SUMIFS(Counties!$H$2:$H$1583,Counties!$A$2:$A$1583,$A179)</f>
        <v/>
      </c>
      <c r="T179" s="44">
        <f>O179+INDEX(Dashboard!$F$6:$F$22,MATCH($A179,Dashboard!$A$6:$A$22,0))</f>
        <v/>
      </c>
      <c r="U179" s="43">
        <f>AQ179*INDEX(Dashboard!$G$6:$G$22,MATCH($A179,Dashboard!$A$6:$A$22,0))</f>
        <v/>
      </c>
      <c r="V179" s="47" t="n"/>
      <c r="W179" s="47" t="n"/>
      <c r="X179" s="47" t="n"/>
      <c r="Y179" s="48" t="n"/>
      <c r="Z179" s="49" t="n"/>
      <c r="AA179" s="49" t="n"/>
      <c r="AB179" s="49" t="n"/>
      <c r="AC179" s="50" t="n"/>
      <c r="AD179" s="43">
        <f>IF(Z179&lt;&gt;"",Z179,N(V179))</f>
        <v/>
      </c>
      <c r="AE179" s="43">
        <f>IF(AA179&lt;&gt;"",AA179,N(W179))</f>
        <v/>
      </c>
      <c r="AF179" s="43">
        <f>AD179+AE179</f>
        <v/>
      </c>
      <c r="AG179" s="42">
        <f>IF(UPPER(AC179)="Y",1,IF(AF179=0,0,IF(AND(Z179="",Y179&lt;&gt;""),IF(Y179&gt;=0.999,1,0),IF(AF179&gt;=U179,1,0))))</f>
        <v/>
      </c>
      <c r="AH179" s="44">
        <f>IF(AF179&gt;0,(AD179-AE179)/AF179,"")</f>
        <v/>
      </c>
      <c r="AI179" s="45">
        <f>IF(AG179=1,AH179-O179,"")</f>
        <v/>
      </c>
      <c r="AJ179" s="44">
        <f>IF(AG179=1,AH179,MAX(-1,MIN(1,O179+INDEX(Types!$H:$H,MATCH($A179&amp;"|"&amp;$D179,Types!$A:$A,0)))))</f>
        <v/>
      </c>
      <c r="AK179" s="43">
        <f>IF(AG179=1,AF179,MAX(AQ179*AS179,AF179))</f>
        <v/>
      </c>
      <c r="AL179" s="43">
        <f>IF(AG179=1,AD179,AK179*(1+AJ179)/2)</f>
        <v/>
      </c>
      <c r="AM179" s="43">
        <f>IF(AG179=1,AE179,AK179*(1-AJ179)/2)</f>
        <v/>
      </c>
      <c r="AN179" s="45">
        <f>IF(AH179="","",AH179-T179)</f>
        <v/>
      </c>
      <c r="AO179" s="51">
        <f>IF(AG179=1,1,IF(U179&gt;0,MIN(AF179/U179,0.99),0))</f>
        <v/>
      </c>
      <c r="AP179" s="43">
        <f>IF(AG179=1,AI179*AF179,0)</f>
        <v/>
      </c>
      <c r="AQ179" s="43">
        <f>N179*(F179+G179)/H179</f>
        <v/>
      </c>
      <c r="AR179" s="43">
        <f>O179*AQ179</f>
        <v/>
      </c>
      <c r="AS179" s="52">
        <f>IF(AG179=1,IF(AQ179&gt;0,AF179/AQ179,1),IFERROR(INDEX(Types!$K:$K,MATCH($A179&amp;"|"&amp;$D179,Types!$A:$A,0)),INDEX(Dashboard!$X$6:$X$22,MATCH($A179,Dashboard!$A$6:$A$22,0))))</f>
        <v/>
      </c>
      <c r="AT179" s="43">
        <f>AQ179*INDEX(Dashboard!$Y$6:$Y$22,MATCH($A179,Dashboard!$A$6:$A$22,0))</f>
        <v/>
      </c>
      <c r="AU179" s="53">
        <f>IF(AND(AG179=1,AT179&gt;0,AF179&gt;0),100*AF179/AT179,"")</f>
        <v/>
      </c>
      <c r="AV179" s="44">
        <f>IF(AU179="","",T179/(AU179/100))</f>
        <v/>
      </c>
      <c r="AW179" s="53">
        <f>IF(AU179="","",IF(AND(ABS(AH179)&gt;=0.1,ABS(T179)&gt;=0.05,SIGN(AH179)=SIGN(T179)),100*T179/AH179,""))</f>
        <v/>
      </c>
      <c r="AX179" s="45">
        <f>IF(AU179="","",T179-AV179)</f>
        <v/>
      </c>
      <c r="AY179" s="45">
        <f>IF(AU179="","",AH179-AV179)</f>
        <v/>
      </c>
      <c r="AZ179" s="54">
        <f>(AL179-AM179)-T179*AT179</f>
        <v/>
      </c>
      <c r="BA179" s="43">
        <f>IF(AU179="",0,(AH179-T179)*AF179)</f>
        <v/>
      </c>
      <c r="BB179" s="43">
        <f>IF(AU179="",0,T179*(AF179-AT179))</f>
        <v/>
      </c>
      <c r="BC179" s="51" t="n">
        <v>0.2663831360946746</v>
      </c>
      <c r="BD179" s="51" t="n">
        <v>0.1223002958579882</v>
      </c>
      <c r="BE179" s="51" t="n">
        <v>0.1947350069735007</v>
      </c>
      <c r="BF179" s="43" t="n">
        <v>27040</v>
      </c>
    </row>
    <row r="180">
      <c r="A180" s="42" t="inlineStr">
        <is>
          <t>GA</t>
        </is>
      </c>
      <c r="B180" s="42" t="inlineStr">
        <is>
          <t>13281</t>
        </is>
      </c>
      <c r="C180" s="42" t="inlineStr">
        <is>
          <t>Towns</t>
        </is>
      </c>
      <c r="D180" s="42" t="inlineStr">
        <is>
          <t>Small town &amp; rural</t>
        </is>
      </c>
      <c r="E180" s="42" t="inlineStr"/>
      <c r="F180" s="43" t="n">
        <v>1649</v>
      </c>
      <c r="G180" s="43" t="n">
        <v>7155</v>
      </c>
      <c r="H180" s="43" t="n">
        <v>8838</v>
      </c>
      <c r="I180" s="43" t="n">
        <v>1550</v>
      </c>
      <c r="J180" s="43" t="n">
        <v>6384</v>
      </c>
      <c r="K180" s="42" t="inlineStr">
        <is>
          <t>US Senate</t>
        </is>
      </c>
      <c r="L180" s="43" t="n">
        <v>1362</v>
      </c>
      <c r="M180" s="43" t="n">
        <v>5568</v>
      </c>
      <c r="N180" s="43" t="n">
        <v>7109</v>
      </c>
      <c r="O180" s="44">
        <f>IFERROR((F180-G180)/(F180+G180),"")</f>
        <v/>
      </c>
      <c r="P180" s="44">
        <f>IFERROR((I180-J180)/(I180+J180),"")</f>
        <v/>
      </c>
      <c r="Q180" s="45">
        <f>IFERROR(O180-P180,"")</f>
        <v/>
      </c>
      <c r="R180" s="44">
        <f>IFERROR((L180-M180)/(L180+M180),"")</f>
        <v/>
      </c>
      <c r="S180" s="46">
        <f>H180/SUMIFS(Counties!$H$2:$H$1583,Counties!$A$2:$A$1583,$A180)</f>
        <v/>
      </c>
      <c r="T180" s="44">
        <f>O180+INDEX(Dashboard!$F$6:$F$22,MATCH($A180,Dashboard!$A$6:$A$22,0))</f>
        <v/>
      </c>
      <c r="U180" s="43">
        <f>AQ180*INDEX(Dashboard!$G$6:$G$22,MATCH($A180,Dashboard!$A$6:$A$22,0))</f>
        <v/>
      </c>
      <c r="V180" s="47" t="n"/>
      <c r="W180" s="47" t="n"/>
      <c r="X180" s="47" t="n"/>
      <c r="Y180" s="48" t="n"/>
      <c r="Z180" s="49" t="n"/>
      <c r="AA180" s="49" t="n"/>
      <c r="AB180" s="49" t="n"/>
      <c r="AC180" s="50" t="n"/>
      <c r="AD180" s="43">
        <f>IF(Z180&lt;&gt;"",Z180,N(V180))</f>
        <v/>
      </c>
      <c r="AE180" s="43">
        <f>IF(AA180&lt;&gt;"",AA180,N(W180))</f>
        <v/>
      </c>
      <c r="AF180" s="43">
        <f>AD180+AE180</f>
        <v/>
      </c>
      <c r="AG180" s="42">
        <f>IF(UPPER(AC180)="Y",1,IF(AF180=0,0,IF(AND(Z180="",Y180&lt;&gt;""),IF(Y180&gt;=0.999,1,0),IF(AF180&gt;=U180,1,0))))</f>
        <v/>
      </c>
      <c r="AH180" s="44">
        <f>IF(AF180&gt;0,(AD180-AE180)/AF180,"")</f>
        <v/>
      </c>
      <c r="AI180" s="45">
        <f>IF(AG180=1,AH180-O180,"")</f>
        <v/>
      </c>
      <c r="AJ180" s="44">
        <f>IF(AG180=1,AH180,MAX(-1,MIN(1,O180+INDEX(Types!$H:$H,MATCH($A180&amp;"|"&amp;$D180,Types!$A:$A,0)))))</f>
        <v/>
      </c>
      <c r="AK180" s="43">
        <f>IF(AG180=1,AF180,MAX(AQ180*AS180,AF180))</f>
        <v/>
      </c>
      <c r="AL180" s="43">
        <f>IF(AG180=1,AD180,AK180*(1+AJ180)/2)</f>
        <v/>
      </c>
      <c r="AM180" s="43">
        <f>IF(AG180=1,AE180,AK180*(1-AJ180)/2)</f>
        <v/>
      </c>
      <c r="AN180" s="45">
        <f>IF(AH180="","",AH180-T180)</f>
        <v/>
      </c>
      <c r="AO180" s="51">
        <f>IF(AG180=1,1,IF(U180&gt;0,MIN(AF180/U180,0.99),0))</f>
        <v/>
      </c>
      <c r="AP180" s="43">
        <f>IF(AG180=1,AI180*AF180,0)</f>
        <v/>
      </c>
      <c r="AQ180" s="43">
        <f>N180*(F180+G180)/H180</f>
        <v/>
      </c>
      <c r="AR180" s="43">
        <f>O180*AQ180</f>
        <v/>
      </c>
      <c r="AS180" s="52">
        <f>IF(AG180=1,IF(AQ180&gt;0,AF180/AQ180,1),IFERROR(INDEX(Types!$K:$K,MATCH($A180&amp;"|"&amp;$D180,Types!$A:$A,0)),INDEX(Dashboard!$X$6:$X$22,MATCH($A180,Dashboard!$A$6:$A$22,0))))</f>
        <v/>
      </c>
      <c r="AT180" s="43">
        <f>AQ180*INDEX(Dashboard!$Y$6:$Y$22,MATCH($A180,Dashboard!$A$6:$A$22,0))</f>
        <v/>
      </c>
      <c r="AU180" s="53">
        <f>IF(AND(AG180=1,AT180&gt;0,AF180&gt;0),100*AF180/AT180,"")</f>
        <v/>
      </c>
      <c r="AV180" s="44">
        <f>IF(AU180="","",T180/(AU180/100))</f>
        <v/>
      </c>
      <c r="AW180" s="53">
        <f>IF(AU180="","",IF(AND(ABS(AH180)&gt;=0.1,ABS(T180)&gt;=0.05,SIGN(AH180)=SIGN(T180)),100*T180/AH180,""))</f>
        <v/>
      </c>
      <c r="AX180" s="45">
        <f>IF(AU180="","",T180-AV180)</f>
        <v/>
      </c>
      <c r="AY180" s="45">
        <f>IF(AU180="","",AH180-AV180)</f>
        <v/>
      </c>
      <c r="AZ180" s="54">
        <f>(AL180-AM180)-T180*AT180</f>
        <v/>
      </c>
      <c r="BA180" s="43">
        <f>IF(AU180="",0,(AH180-T180)*AF180)</f>
        <v/>
      </c>
      <c r="BB180" s="43">
        <f>IF(AU180="",0,T180*(AF180-AT180))</f>
        <v/>
      </c>
      <c r="BC180" s="51" t="n">
        <v>0.0112006137322593</v>
      </c>
      <c r="BD180" s="51" t="n">
        <v>0.03344840813195243</v>
      </c>
      <c r="BE180" s="51" t="n">
        <v>0.328458942632171</v>
      </c>
      <c r="BF180" s="43" t="n">
        <v>13035</v>
      </c>
    </row>
    <row r="181">
      <c r="A181" s="42" t="inlineStr">
        <is>
          <t>GA</t>
        </is>
      </c>
      <c r="B181" s="42" t="inlineStr">
        <is>
          <t>13283</t>
        </is>
      </c>
      <c r="C181" s="42" t="inlineStr">
        <is>
          <t>Treutlen</t>
        </is>
      </c>
      <c r="D181" s="42" t="inlineStr">
        <is>
          <t>Small town &amp; rural</t>
        </is>
      </c>
      <c r="E181" s="42" t="inlineStr"/>
      <c r="F181" s="43" t="n">
        <v>864</v>
      </c>
      <c r="G181" s="43" t="n">
        <v>2250</v>
      </c>
      <c r="H181" s="43" t="n">
        <v>3121</v>
      </c>
      <c r="I181" s="43" t="n">
        <v>952</v>
      </c>
      <c r="J181" s="43" t="n">
        <v>2101</v>
      </c>
      <c r="K181" s="42" t="inlineStr">
        <is>
          <t>US Senate</t>
        </is>
      </c>
      <c r="L181" s="43" t="n">
        <v>711</v>
      </c>
      <c r="M181" s="43" t="n">
        <v>1721</v>
      </c>
      <c r="N181" s="43" t="n">
        <v>2444</v>
      </c>
      <c r="O181" s="44">
        <f>IFERROR((F181-G181)/(F181+G181),"")</f>
        <v/>
      </c>
      <c r="P181" s="44">
        <f>IFERROR((I181-J181)/(I181+J181),"")</f>
        <v/>
      </c>
      <c r="Q181" s="45">
        <f>IFERROR(O181-P181,"")</f>
        <v/>
      </c>
      <c r="R181" s="44">
        <f>IFERROR((L181-M181)/(L181+M181),"")</f>
        <v/>
      </c>
      <c r="S181" s="46">
        <f>H181/SUMIFS(Counties!$H$2:$H$1583,Counties!$A$2:$A$1583,$A181)</f>
        <v/>
      </c>
      <c r="T181" s="44">
        <f>O181+INDEX(Dashboard!$F$6:$F$22,MATCH($A181,Dashboard!$A$6:$A$22,0))</f>
        <v/>
      </c>
      <c r="U181" s="43">
        <f>AQ181*INDEX(Dashboard!$G$6:$G$22,MATCH($A181,Dashboard!$A$6:$A$22,0))</f>
        <v/>
      </c>
      <c r="V181" s="47" t="n"/>
      <c r="W181" s="47" t="n"/>
      <c r="X181" s="47" t="n"/>
      <c r="Y181" s="48" t="n"/>
      <c r="Z181" s="49" t="n"/>
      <c r="AA181" s="49" t="n"/>
      <c r="AB181" s="49" t="n"/>
      <c r="AC181" s="50" t="n"/>
      <c r="AD181" s="43">
        <f>IF(Z181&lt;&gt;"",Z181,N(V181))</f>
        <v/>
      </c>
      <c r="AE181" s="43">
        <f>IF(AA181&lt;&gt;"",AA181,N(W181))</f>
        <v/>
      </c>
      <c r="AF181" s="43">
        <f>AD181+AE181</f>
        <v/>
      </c>
      <c r="AG181" s="42">
        <f>IF(UPPER(AC181)="Y",1,IF(AF181=0,0,IF(AND(Z181="",Y181&lt;&gt;""),IF(Y181&gt;=0.999,1,0),IF(AF181&gt;=U181,1,0))))</f>
        <v/>
      </c>
      <c r="AH181" s="44">
        <f>IF(AF181&gt;0,(AD181-AE181)/AF181,"")</f>
        <v/>
      </c>
      <c r="AI181" s="45">
        <f>IF(AG181=1,AH181-O181,"")</f>
        <v/>
      </c>
      <c r="AJ181" s="44">
        <f>IF(AG181=1,AH181,MAX(-1,MIN(1,O181+INDEX(Types!$H:$H,MATCH($A181&amp;"|"&amp;$D181,Types!$A:$A,0)))))</f>
        <v/>
      </c>
      <c r="AK181" s="43">
        <f>IF(AG181=1,AF181,MAX(AQ181*AS181,AF181))</f>
        <v/>
      </c>
      <c r="AL181" s="43">
        <f>IF(AG181=1,AD181,AK181*(1+AJ181)/2)</f>
        <v/>
      </c>
      <c r="AM181" s="43">
        <f>IF(AG181=1,AE181,AK181*(1-AJ181)/2)</f>
        <v/>
      </c>
      <c r="AN181" s="45">
        <f>IF(AH181="","",AH181-T181)</f>
        <v/>
      </c>
      <c r="AO181" s="51">
        <f>IF(AG181=1,1,IF(U181&gt;0,MIN(AF181/U181,0.99),0))</f>
        <v/>
      </c>
      <c r="AP181" s="43">
        <f>IF(AG181=1,AI181*AF181,0)</f>
        <v/>
      </c>
      <c r="AQ181" s="43">
        <f>N181*(F181+G181)/H181</f>
        <v/>
      </c>
      <c r="AR181" s="43">
        <f>O181*AQ181</f>
        <v/>
      </c>
      <c r="AS181" s="52">
        <f>IF(AG181=1,IF(AQ181&gt;0,AF181/AQ181,1),IFERROR(INDEX(Types!$K:$K,MATCH($A181&amp;"|"&amp;$D181,Types!$A:$A,0)),INDEX(Dashboard!$X$6:$X$22,MATCH($A181,Dashboard!$A$6:$A$22,0))))</f>
        <v/>
      </c>
      <c r="AT181" s="43">
        <f>AQ181*INDEX(Dashboard!$Y$6:$Y$22,MATCH($A181,Dashboard!$A$6:$A$22,0))</f>
        <v/>
      </c>
      <c r="AU181" s="53">
        <f>IF(AND(AG181=1,AT181&gt;0,AF181&gt;0),100*AF181/AT181,"")</f>
        <v/>
      </c>
      <c r="AV181" s="44">
        <f>IF(AU181="","",T181/(AU181/100))</f>
        <v/>
      </c>
      <c r="AW181" s="53">
        <f>IF(AU181="","",IF(AND(ABS(AH181)&gt;=0.1,ABS(T181)&gt;=0.05,SIGN(AH181)=SIGN(T181)),100*T181/AH181,""))</f>
        <v/>
      </c>
      <c r="AX181" s="45">
        <f>IF(AU181="","",T181-AV181)</f>
        <v/>
      </c>
      <c r="AY181" s="45">
        <f>IF(AU181="","",AH181-AV181)</f>
        <v/>
      </c>
      <c r="AZ181" s="54">
        <f>(AL181-AM181)-T181*AT181</f>
        <v/>
      </c>
      <c r="BA181" s="43">
        <f>IF(AU181="",0,(AH181-T181)*AF181)</f>
        <v/>
      </c>
      <c r="BB181" s="43">
        <f>IF(AU181="",0,T181*(AF181-AT181))</f>
        <v/>
      </c>
      <c r="BC181" s="51" t="n">
        <v>0.3100457341113389</v>
      </c>
      <c r="BD181" s="51" t="n">
        <v>0.02807128213215581</v>
      </c>
      <c r="BE181" s="51" t="n">
        <v>0.1282173498570067</v>
      </c>
      <c r="BF181" s="43" t="n">
        <v>6341</v>
      </c>
    </row>
    <row r="182">
      <c r="A182" s="42" t="inlineStr">
        <is>
          <t>GA</t>
        </is>
      </c>
      <c r="B182" s="42" t="inlineStr">
        <is>
          <t>13285</t>
        </is>
      </c>
      <c r="C182" s="42" t="inlineStr">
        <is>
          <t>Troup</t>
        </is>
      </c>
      <c r="D182" s="42" t="inlineStr">
        <is>
          <t>Small town &amp; rural</t>
        </is>
      </c>
      <c r="E182" s="42" t="inlineStr"/>
      <c r="F182" s="43" t="n">
        <v>11757</v>
      </c>
      <c r="G182" s="43" t="n">
        <v>19392</v>
      </c>
      <c r="H182" s="43" t="n">
        <v>31304</v>
      </c>
      <c r="I182" s="43" t="n">
        <v>11577</v>
      </c>
      <c r="J182" s="43" t="n">
        <v>18142</v>
      </c>
      <c r="K182" s="42" t="inlineStr">
        <is>
          <t>US Senate</t>
        </is>
      </c>
      <c r="L182" s="43" t="n">
        <v>8806</v>
      </c>
      <c r="M182" s="43" t="n">
        <v>13937</v>
      </c>
      <c r="N182" s="43" t="n">
        <v>23169</v>
      </c>
      <c r="O182" s="44">
        <f>IFERROR((F182-G182)/(F182+G182),"")</f>
        <v/>
      </c>
      <c r="P182" s="44">
        <f>IFERROR((I182-J182)/(I182+J182),"")</f>
        <v/>
      </c>
      <c r="Q182" s="45">
        <f>IFERROR(O182-P182,"")</f>
        <v/>
      </c>
      <c r="R182" s="44">
        <f>IFERROR((L182-M182)/(L182+M182),"")</f>
        <v/>
      </c>
      <c r="S182" s="46">
        <f>H182/SUMIFS(Counties!$H$2:$H$1583,Counties!$A$2:$A$1583,$A182)</f>
        <v/>
      </c>
      <c r="T182" s="44">
        <f>O182+INDEX(Dashboard!$F$6:$F$22,MATCH($A182,Dashboard!$A$6:$A$22,0))</f>
        <v/>
      </c>
      <c r="U182" s="43">
        <f>AQ182*INDEX(Dashboard!$G$6:$G$22,MATCH($A182,Dashboard!$A$6:$A$22,0))</f>
        <v/>
      </c>
      <c r="V182" s="47" t="n"/>
      <c r="W182" s="47" t="n"/>
      <c r="X182" s="47" t="n"/>
      <c r="Y182" s="48" t="n"/>
      <c r="Z182" s="49" t="n"/>
      <c r="AA182" s="49" t="n"/>
      <c r="AB182" s="49" t="n"/>
      <c r="AC182" s="50" t="n"/>
      <c r="AD182" s="43">
        <f>IF(Z182&lt;&gt;"",Z182,N(V182))</f>
        <v/>
      </c>
      <c r="AE182" s="43">
        <f>IF(AA182&lt;&gt;"",AA182,N(W182))</f>
        <v/>
      </c>
      <c r="AF182" s="43">
        <f>AD182+AE182</f>
        <v/>
      </c>
      <c r="AG182" s="42">
        <f>IF(UPPER(AC182)="Y",1,IF(AF182=0,0,IF(AND(Z182="",Y182&lt;&gt;""),IF(Y182&gt;=0.999,1,0),IF(AF182&gt;=U182,1,0))))</f>
        <v/>
      </c>
      <c r="AH182" s="44">
        <f>IF(AF182&gt;0,(AD182-AE182)/AF182,"")</f>
        <v/>
      </c>
      <c r="AI182" s="45">
        <f>IF(AG182=1,AH182-O182,"")</f>
        <v/>
      </c>
      <c r="AJ182" s="44">
        <f>IF(AG182=1,AH182,MAX(-1,MIN(1,O182+INDEX(Types!$H:$H,MATCH($A182&amp;"|"&amp;$D182,Types!$A:$A,0)))))</f>
        <v/>
      </c>
      <c r="AK182" s="43">
        <f>IF(AG182=1,AF182,MAX(AQ182*AS182,AF182))</f>
        <v/>
      </c>
      <c r="AL182" s="43">
        <f>IF(AG182=1,AD182,AK182*(1+AJ182)/2)</f>
        <v/>
      </c>
      <c r="AM182" s="43">
        <f>IF(AG182=1,AE182,AK182*(1-AJ182)/2)</f>
        <v/>
      </c>
      <c r="AN182" s="45">
        <f>IF(AH182="","",AH182-T182)</f>
        <v/>
      </c>
      <c r="AO182" s="51">
        <f>IF(AG182=1,1,IF(U182&gt;0,MIN(AF182/U182,0.99),0))</f>
        <v/>
      </c>
      <c r="AP182" s="43">
        <f>IF(AG182=1,AI182*AF182,0)</f>
        <v/>
      </c>
      <c r="AQ182" s="43">
        <f>N182*(F182+G182)/H182</f>
        <v/>
      </c>
      <c r="AR182" s="43">
        <f>O182*AQ182</f>
        <v/>
      </c>
      <c r="AS182" s="52">
        <f>IF(AG182=1,IF(AQ182&gt;0,AF182/AQ182,1),IFERROR(INDEX(Types!$K:$K,MATCH($A182&amp;"|"&amp;$D182,Types!$A:$A,0)),INDEX(Dashboard!$X$6:$X$22,MATCH($A182,Dashboard!$A$6:$A$22,0))))</f>
        <v/>
      </c>
      <c r="AT182" s="43">
        <f>AQ182*INDEX(Dashboard!$Y$6:$Y$22,MATCH($A182,Dashboard!$A$6:$A$22,0))</f>
        <v/>
      </c>
      <c r="AU182" s="53">
        <f>IF(AND(AG182=1,AT182&gt;0,AF182&gt;0),100*AF182/AT182,"")</f>
        <v/>
      </c>
      <c r="AV182" s="44">
        <f>IF(AU182="","",T182/(AU182/100))</f>
        <v/>
      </c>
      <c r="AW182" s="53">
        <f>IF(AU182="","",IF(AND(ABS(AH182)&gt;=0.1,ABS(T182)&gt;=0.05,SIGN(AH182)=SIGN(T182)),100*T182/AH182,""))</f>
        <v/>
      </c>
      <c r="AX182" s="45">
        <f>IF(AU182="","",T182-AV182)</f>
        <v/>
      </c>
      <c r="AY182" s="45">
        <f>IF(AU182="","",AH182-AV182)</f>
        <v/>
      </c>
      <c r="AZ182" s="54">
        <f>(AL182-AM182)-T182*AT182</f>
        <v/>
      </c>
      <c r="BA182" s="43">
        <f>IF(AU182="",0,(AH182-T182)*AF182)</f>
        <v/>
      </c>
      <c r="BB182" s="43">
        <f>IF(AU182="",0,T182*(AF182-AT182))</f>
        <v/>
      </c>
      <c r="BC182" s="51" t="n">
        <v>0.364762093240225</v>
      </c>
      <c r="BD182" s="51" t="n">
        <v>0.04807610754572955</v>
      </c>
      <c r="BE182" s="51" t="n">
        <v>0.224735724853657</v>
      </c>
      <c r="BF182" s="43" t="n">
        <v>70742</v>
      </c>
    </row>
    <row r="183">
      <c r="A183" s="42" t="inlineStr">
        <is>
          <t>GA</t>
        </is>
      </c>
      <c r="B183" s="42" t="inlineStr">
        <is>
          <t>13287</t>
        </is>
      </c>
      <c r="C183" s="42" t="inlineStr">
        <is>
          <t>Turner</t>
        </is>
      </c>
      <c r="D183" s="42" t="inlineStr">
        <is>
          <t>Small town &amp; rural</t>
        </is>
      </c>
      <c r="E183" s="42" t="inlineStr"/>
      <c r="F183" s="43" t="n">
        <v>1365</v>
      </c>
      <c r="G183" s="43" t="n">
        <v>2457</v>
      </c>
      <c r="H183" s="43" t="n">
        <v>3833</v>
      </c>
      <c r="I183" s="43" t="n">
        <v>1409</v>
      </c>
      <c r="J183" s="43" t="n">
        <v>2349</v>
      </c>
      <c r="K183" s="42" t="inlineStr">
        <is>
          <t>US Senate</t>
        </is>
      </c>
      <c r="L183" s="43" t="n">
        <v>1152</v>
      </c>
      <c r="M183" s="43" t="n">
        <v>1892</v>
      </c>
      <c r="N183" s="43" t="n">
        <v>3086</v>
      </c>
      <c r="O183" s="44">
        <f>IFERROR((F183-G183)/(F183+G183),"")</f>
        <v/>
      </c>
      <c r="P183" s="44">
        <f>IFERROR((I183-J183)/(I183+J183),"")</f>
        <v/>
      </c>
      <c r="Q183" s="45">
        <f>IFERROR(O183-P183,"")</f>
        <v/>
      </c>
      <c r="R183" s="44">
        <f>IFERROR((L183-M183)/(L183+M183),"")</f>
        <v/>
      </c>
      <c r="S183" s="46">
        <f>H183/SUMIFS(Counties!$H$2:$H$1583,Counties!$A$2:$A$1583,$A183)</f>
        <v/>
      </c>
      <c r="T183" s="44">
        <f>O183+INDEX(Dashboard!$F$6:$F$22,MATCH($A183,Dashboard!$A$6:$A$22,0))</f>
        <v/>
      </c>
      <c r="U183" s="43">
        <f>AQ183*INDEX(Dashboard!$G$6:$G$22,MATCH($A183,Dashboard!$A$6:$A$22,0))</f>
        <v/>
      </c>
      <c r="V183" s="47" t="n"/>
      <c r="W183" s="47" t="n"/>
      <c r="X183" s="47" t="n"/>
      <c r="Y183" s="48" t="n"/>
      <c r="Z183" s="49" t="n"/>
      <c r="AA183" s="49" t="n"/>
      <c r="AB183" s="49" t="n"/>
      <c r="AC183" s="50" t="n"/>
      <c r="AD183" s="43">
        <f>IF(Z183&lt;&gt;"",Z183,N(V183))</f>
        <v/>
      </c>
      <c r="AE183" s="43">
        <f>IF(AA183&lt;&gt;"",AA183,N(W183))</f>
        <v/>
      </c>
      <c r="AF183" s="43">
        <f>AD183+AE183</f>
        <v/>
      </c>
      <c r="AG183" s="42">
        <f>IF(UPPER(AC183)="Y",1,IF(AF183=0,0,IF(AND(Z183="",Y183&lt;&gt;""),IF(Y183&gt;=0.999,1,0),IF(AF183&gt;=U183,1,0))))</f>
        <v/>
      </c>
      <c r="AH183" s="44">
        <f>IF(AF183&gt;0,(AD183-AE183)/AF183,"")</f>
        <v/>
      </c>
      <c r="AI183" s="45">
        <f>IF(AG183=1,AH183-O183,"")</f>
        <v/>
      </c>
      <c r="AJ183" s="44">
        <f>IF(AG183=1,AH183,MAX(-1,MIN(1,O183+INDEX(Types!$H:$H,MATCH($A183&amp;"|"&amp;$D183,Types!$A:$A,0)))))</f>
        <v/>
      </c>
      <c r="AK183" s="43">
        <f>IF(AG183=1,AF183,MAX(AQ183*AS183,AF183))</f>
        <v/>
      </c>
      <c r="AL183" s="43">
        <f>IF(AG183=1,AD183,AK183*(1+AJ183)/2)</f>
        <v/>
      </c>
      <c r="AM183" s="43">
        <f>IF(AG183=1,AE183,AK183*(1-AJ183)/2)</f>
        <v/>
      </c>
      <c r="AN183" s="45">
        <f>IF(AH183="","",AH183-T183)</f>
        <v/>
      </c>
      <c r="AO183" s="51">
        <f>IF(AG183=1,1,IF(U183&gt;0,MIN(AF183/U183,0.99),0))</f>
        <v/>
      </c>
      <c r="AP183" s="43">
        <f>IF(AG183=1,AI183*AF183,0)</f>
        <v/>
      </c>
      <c r="AQ183" s="43">
        <f>N183*(F183+G183)/H183</f>
        <v/>
      </c>
      <c r="AR183" s="43">
        <f>O183*AQ183</f>
        <v/>
      </c>
      <c r="AS183" s="52">
        <f>IF(AG183=1,IF(AQ183&gt;0,AF183/AQ183,1),IFERROR(INDEX(Types!$K:$K,MATCH($A183&amp;"|"&amp;$D183,Types!$A:$A,0)),INDEX(Dashboard!$X$6:$X$22,MATCH($A183,Dashboard!$A$6:$A$22,0))))</f>
        <v/>
      </c>
      <c r="AT183" s="43">
        <f>AQ183*INDEX(Dashboard!$Y$6:$Y$22,MATCH($A183,Dashboard!$A$6:$A$22,0))</f>
        <v/>
      </c>
      <c r="AU183" s="53">
        <f>IF(AND(AG183=1,AT183&gt;0,AF183&gt;0),100*AF183/AT183,"")</f>
        <v/>
      </c>
      <c r="AV183" s="44">
        <f>IF(AU183="","",T183/(AU183/100))</f>
        <v/>
      </c>
      <c r="AW183" s="53">
        <f>IF(AU183="","",IF(AND(ABS(AH183)&gt;=0.1,ABS(T183)&gt;=0.05,SIGN(AH183)=SIGN(T183)),100*T183/AH183,""))</f>
        <v/>
      </c>
      <c r="AX183" s="45">
        <f>IF(AU183="","",T183-AV183)</f>
        <v/>
      </c>
      <c r="AY183" s="45">
        <f>IF(AU183="","",AH183-AV183)</f>
        <v/>
      </c>
      <c r="AZ183" s="54">
        <f>(AL183-AM183)-T183*AT183</f>
        <v/>
      </c>
      <c r="BA183" s="43">
        <f>IF(AU183="",0,(AH183-T183)*AF183)</f>
        <v/>
      </c>
      <c r="BB183" s="43">
        <f>IF(AU183="",0,T183*(AF183-AT183))</f>
        <v/>
      </c>
      <c r="BC183" s="51" t="n">
        <v>0.3889325401279605</v>
      </c>
      <c r="BD183" s="51" t="n">
        <v>0.04961275115052195</v>
      </c>
      <c r="BE183" s="51" t="n">
        <v>0.1108382449246889</v>
      </c>
      <c r="BF183" s="43" t="n">
        <v>8909</v>
      </c>
    </row>
    <row r="184">
      <c r="A184" s="42" t="inlineStr">
        <is>
          <t>GA</t>
        </is>
      </c>
      <c r="B184" s="42" t="inlineStr">
        <is>
          <t>13289</t>
        </is>
      </c>
      <c r="C184" s="42" t="inlineStr">
        <is>
          <t>Twiggs</t>
        </is>
      </c>
      <c r="D184" s="42" t="inlineStr">
        <is>
          <t>Small town &amp; rural</t>
        </is>
      </c>
      <c r="E184" s="42" t="inlineStr"/>
      <c r="F184" s="43" t="n">
        <v>1895</v>
      </c>
      <c r="G184" s="43" t="n">
        <v>2549</v>
      </c>
      <c r="H184" s="43" t="n">
        <v>4456</v>
      </c>
      <c r="I184" s="43" t="n">
        <v>2044</v>
      </c>
      <c r="J184" s="43" t="n">
        <v>2370</v>
      </c>
      <c r="K184" s="42" t="inlineStr">
        <is>
          <t>US Senate</t>
        </is>
      </c>
      <c r="L184" s="43" t="n">
        <v>1601</v>
      </c>
      <c r="M184" s="43" t="n">
        <v>1886</v>
      </c>
      <c r="N184" s="43" t="n">
        <v>3532</v>
      </c>
      <c r="O184" s="44">
        <f>IFERROR((F184-G184)/(F184+G184),"")</f>
        <v/>
      </c>
      <c r="P184" s="44">
        <f>IFERROR((I184-J184)/(I184+J184),"")</f>
        <v/>
      </c>
      <c r="Q184" s="45">
        <f>IFERROR(O184-P184,"")</f>
        <v/>
      </c>
      <c r="R184" s="44">
        <f>IFERROR((L184-M184)/(L184+M184),"")</f>
        <v/>
      </c>
      <c r="S184" s="46">
        <f>H184/SUMIFS(Counties!$H$2:$H$1583,Counties!$A$2:$A$1583,$A184)</f>
        <v/>
      </c>
      <c r="T184" s="44">
        <f>O184+INDEX(Dashboard!$F$6:$F$22,MATCH($A184,Dashboard!$A$6:$A$22,0))</f>
        <v/>
      </c>
      <c r="U184" s="43">
        <f>AQ184*INDEX(Dashboard!$G$6:$G$22,MATCH($A184,Dashboard!$A$6:$A$22,0))</f>
        <v/>
      </c>
      <c r="V184" s="47" t="n"/>
      <c r="W184" s="47" t="n"/>
      <c r="X184" s="47" t="n"/>
      <c r="Y184" s="48" t="n"/>
      <c r="Z184" s="49" t="n"/>
      <c r="AA184" s="49" t="n"/>
      <c r="AB184" s="49" t="n"/>
      <c r="AC184" s="50" t="n"/>
      <c r="AD184" s="43">
        <f>IF(Z184&lt;&gt;"",Z184,N(V184))</f>
        <v/>
      </c>
      <c r="AE184" s="43">
        <f>IF(AA184&lt;&gt;"",AA184,N(W184))</f>
        <v/>
      </c>
      <c r="AF184" s="43">
        <f>AD184+AE184</f>
        <v/>
      </c>
      <c r="AG184" s="42">
        <f>IF(UPPER(AC184)="Y",1,IF(AF184=0,0,IF(AND(Z184="",Y184&lt;&gt;""),IF(Y184&gt;=0.999,1,0),IF(AF184&gt;=U184,1,0))))</f>
        <v/>
      </c>
      <c r="AH184" s="44">
        <f>IF(AF184&gt;0,(AD184-AE184)/AF184,"")</f>
        <v/>
      </c>
      <c r="AI184" s="45">
        <f>IF(AG184=1,AH184-O184,"")</f>
        <v/>
      </c>
      <c r="AJ184" s="44">
        <f>IF(AG184=1,AH184,MAX(-1,MIN(1,O184+INDEX(Types!$H:$H,MATCH($A184&amp;"|"&amp;$D184,Types!$A:$A,0)))))</f>
        <v/>
      </c>
      <c r="AK184" s="43">
        <f>IF(AG184=1,AF184,MAX(AQ184*AS184,AF184))</f>
        <v/>
      </c>
      <c r="AL184" s="43">
        <f>IF(AG184=1,AD184,AK184*(1+AJ184)/2)</f>
        <v/>
      </c>
      <c r="AM184" s="43">
        <f>IF(AG184=1,AE184,AK184*(1-AJ184)/2)</f>
        <v/>
      </c>
      <c r="AN184" s="45">
        <f>IF(AH184="","",AH184-T184)</f>
        <v/>
      </c>
      <c r="AO184" s="51">
        <f>IF(AG184=1,1,IF(U184&gt;0,MIN(AF184/U184,0.99),0))</f>
        <v/>
      </c>
      <c r="AP184" s="43">
        <f>IF(AG184=1,AI184*AF184,0)</f>
        <v/>
      </c>
      <c r="AQ184" s="43">
        <f>N184*(F184+G184)/H184</f>
        <v/>
      </c>
      <c r="AR184" s="43">
        <f>O184*AQ184</f>
        <v/>
      </c>
      <c r="AS184" s="52">
        <f>IF(AG184=1,IF(AQ184&gt;0,AF184/AQ184,1),IFERROR(INDEX(Types!$K:$K,MATCH($A184&amp;"|"&amp;$D184,Types!$A:$A,0)),INDEX(Dashboard!$X$6:$X$22,MATCH($A184,Dashboard!$A$6:$A$22,0))))</f>
        <v/>
      </c>
      <c r="AT184" s="43">
        <f>AQ184*INDEX(Dashboard!$Y$6:$Y$22,MATCH($A184,Dashboard!$A$6:$A$22,0))</f>
        <v/>
      </c>
      <c r="AU184" s="53">
        <f>IF(AND(AG184=1,AT184&gt;0,AF184&gt;0),100*AF184/AT184,"")</f>
        <v/>
      </c>
      <c r="AV184" s="44">
        <f>IF(AU184="","",T184/(AU184/100))</f>
        <v/>
      </c>
      <c r="AW184" s="53">
        <f>IF(AU184="","",IF(AND(ABS(AH184)&gt;=0.1,ABS(T184)&gt;=0.05,SIGN(AH184)=SIGN(T184)),100*T184/AH184,""))</f>
        <v/>
      </c>
      <c r="AX184" s="45">
        <f>IF(AU184="","",T184-AV184)</f>
        <v/>
      </c>
      <c r="AY184" s="45">
        <f>IF(AU184="","",AH184-AV184)</f>
        <v/>
      </c>
      <c r="AZ184" s="54">
        <f>(AL184-AM184)-T184*AT184</f>
        <v/>
      </c>
      <c r="BA184" s="43">
        <f>IF(AU184="",0,(AH184-T184)*AF184)</f>
        <v/>
      </c>
      <c r="BB184" s="43">
        <f>IF(AU184="",0,T184*(AF184-AT184))</f>
        <v/>
      </c>
      <c r="BC184" s="51" t="n">
        <v>0.3944870628006761</v>
      </c>
      <c r="BD184" s="51" t="n">
        <v>0.02171369132752568</v>
      </c>
      <c r="BE184" s="51" t="n">
        <v>0.1091091091091091</v>
      </c>
      <c r="BF184" s="43" t="n">
        <v>7691</v>
      </c>
    </row>
    <row r="185">
      <c r="A185" s="42" t="inlineStr">
        <is>
          <t>GA</t>
        </is>
      </c>
      <c r="B185" s="42" t="inlineStr">
        <is>
          <t>13291</t>
        </is>
      </c>
      <c r="C185" s="42" t="inlineStr">
        <is>
          <t>Union</t>
        </is>
      </c>
      <c r="D185" s="42" t="inlineStr">
        <is>
          <t>Small town &amp; rural</t>
        </is>
      </c>
      <c r="E185" s="42" t="inlineStr"/>
      <c r="F185" s="43" t="n">
        <v>3309</v>
      </c>
      <c r="G185" s="43" t="n">
        <v>14477</v>
      </c>
      <c r="H185" s="43" t="n">
        <v>17880</v>
      </c>
      <c r="I185" s="43" t="n">
        <v>2800</v>
      </c>
      <c r="J185" s="43" t="n">
        <v>12650</v>
      </c>
      <c r="K185" s="42" t="inlineStr">
        <is>
          <t>US Senate</t>
        </is>
      </c>
      <c r="L185" s="43" t="n">
        <v>2621</v>
      </c>
      <c r="M185" s="43" t="n">
        <v>11186</v>
      </c>
      <c r="N185" s="43" t="n">
        <v>14185</v>
      </c>
      <c r="O185" s="44">
        <f>IFERROR((F185-G185)/(F185+G185),"")</f>
        <v/>
      </c>
      <c r="P185" s="44">
        <f>IFERROR((I185-J185)/(I185+J185),"")</f>
        <v/>
      </c>
      <c r="Q185" s="45">
        <f>IFERROR(O185-P185,"")</f>
        <v/>
      </c>
      <c r="R185" s="44">
        <f>IFERROR((L185-M185)/(L185+M185),"")</f>
        <v/>
      </c>
      <c r="S185" s="46">
        <f>H185/SUMIFS(Counties!$H$2:$H$1583,Counties!$A$2:$A$1583,$A185)</f>
        <v/>
      </c>
      <c r="T185" s="44">
        <f>O185+INDEX(Dashboard!$F$6:$F$22,MATCH($A185,Dashboard!$A$6:$A$22,0))</f>
        <v/>
      </c>
      <c r="U185" s="43">
        <f>AQ185*INDEX(Dashboard!$G$6:$G$22,MATCH($A185,Dashboard!$A$6:$A$22,0))</f>
        <v/>
      </c>
      <c r="V185" s="47" t="n"/>
      <c r="W185" s="47" t="n"/>
      <c r="X185" s="47" t="n"/>
      <c r="Y185" s="48" t="n"/>
      <c r="Z185" s="49" t="n"/>
      <c r="AA185" s="49" t="n"/>
      <c r="AB185" s="49" t="n"/>
      <c r="AC185" s="50" t="n"/>
      <c r="AD185" s="43">
        <f>IF(Z185&lt;&gt;"",Z185,N(V185))</f>
        <v/>
      </c>
      <c r="AE185" s="43">
        <f>IF(AA185&lt;&gt;"",AA185,N(W185))</f>
        <v/>
      </c>
      <c r="AF185" s="43">
        <f>AD185+AE185</f>
        <v/>
      </c>
      <c r="AG185" s="42">
        <f>IF(UPPER(AC185)="Y",1,IF(AF185=0,0,IF(AND(Z185="",Y185&lt;&gt;""),IF(Y185&gt;=0.999,1,0),IF(AF185&gt;=U185,1,0))))</f>
        <v/>
      </c>
      <c r="AH185" s="44">
        <f>IF(AF185&gt;0,(AD185-AE185)/AF185,"")</f>
        <v/>
      </c>
      <c r="AI185" s="45">
        <f>IF(AG185=1,AH185-O185,"")</f>
        <v/>
      </c>
      <c r="AJ185" s="44">
        <f>IF(AG185=1,AH185,MAX(-1,MIN(1,O185+INDEX(Types!$H:$H,MATCH($A185&amp;"|"&amp;$D185,Types!$A:$A,0)))))</f>
        <v/>
      </c>
      <c r="AK185" s="43">
        <f>IF(AG185=1,AF185,MAX(AQ185*AS185,AF185))</f>
        <v/>
      </c>
      <c r="AL185" s="43">
        <f>IF(AG185=1,AD185,AK185*(1+AJ185)/2)</f>
        <v/>
      </c>
      <c r="AM185" s="43">
        <f>IF(AG185=1,AE185,AK185*(1-AJ185)/2)</f>
        <v/>
      </c>
      <c r="AN185" s="45">
        <f>IF(AH185="","",AH185-T185)</f>
        <v/>
      </c>
      <c r="AO185" s="51">
        <f>IF(AG185=1,1,IF(U185&gt;0,MIN(AF185/U185,0.99),0))</f>
        <v/>
      </c>
      <c r="AP185" s="43">
        <f>IF(AG185=1,AI185*AF185,0)</f>
        <v/>
      </c>
      <c r="AQ185" s="43">
        <f>N185*(F185+G185)/H185</f>
        <v/>
      </c>
      <c r="AR185" s="43">
        <f>O185*AQ185</f>
        <v/>
      </c>
      <c r="AS185" s="52">
        <f>IF(AG185=1,IF(AQ185&gt;0,AF185/AQ185,1),IFERROR(INDEX(Types!$K:$K,MATCH($A185&amp;"|"&amp;$D185,Types!$A:$A,0)),INDEX(Dashboard!$X$6:$X$22,MATCH($A185,Dashboard!$A$6:$A$22,0))))</f>
        <v/>
      </c>
      <c r="AT185" s="43">
        <f>AQ185*INDEX(Dashboard!$Y$6:$Y$22,MATCH($A185,Dashboard!$A$6:$A$22,0))</f>
        <v/>
      </c>
      <c r="AU185" s="53">
        <f>IF(AND(AG185=1,AT185&gt;0,AF185&gt;0),100*AF185/AT185,"")</f>
        <v/>
      </c>
      <c r="AV185" s="44">
        <f>IF(AU185="","",T185/(AU185/100))</f>
        <v/>
      </c>
      <c r="AW185" s="53">
        <f>IF(AU185="","",IF(AND(ABS(AH185)&gt;=0.1,ABS(T185)&gt;=0.05,SIGN(AH185)=SIGN(T185)),100*T185/AH185,""))</f>
        <v/>
      </c>
      <c r="AX185" s="45">
        <f>IF(AU185="","",T185-AV185)</f>
        <v/>
      </c>
      <c r="AY185" s="45">
        <f>IF(AU185="","",AH185-AV185)</f>
        <v/>
      </c>
      <c r="AZ185" s="54">
        <f>(AL185-AM185)-T185*AT185</f>
        <v/>
      </c>
      <c r="BA185" s="43">
        <f>IF(AU185="",0,(AH185-T185)*AF185)</f>
        <v/>
      </c>
      <c r="BB185" s="43">
        <f>IF(AU185="",0,T185*(AF185-AT185))</f>
        <v/>
      </c>
      <c r="BC185" s="51" t="n">
        <v>0.01087597699454358</v>
      </c>
      <c r="BD185" s="51" t="n">
        <v>0.03963279752248931</v>
      </c>
      <c r="BE185" s="51" t="n">
        <v>0.2571711667079514</v>
      </c>
      <c r="BF185" s="43" t="n">
        <v>27124</v>
      </c>
    </row>
    <row r="186">
      <c r="A186" s="42" t="inlineStr">
        <is>
          <t>GA</t>
        </is>
      </c>
      <c r="B186" s="42" t="inlineStr">
        <is>
          <t>13293</t>
        </is>
      </c>
      <c r="C186" s="42" t="inlineStr">
        <is>
          <t>Upson</t>
        </is>
      </c>
      <c r="D186" s="42" t="inlineStr">
        <is>
          <t>Small town &amp; rural</t>
        </is>
      </c>
      <c r="E186" s="42" t="inlineStr"/>
      <c r="F186" s="43" t="n">
        <v>4098</v>
      </c>
      <c r="G186" s="43" t="n">
        <v>9528</v>
      </c>
      <c r="H186" s="43" t="n">
        <v>13662</v>
      </c>
      <c r="I186" s="43" t="n">
        <v>4203</v>
      </c>
      <c r="J186" s="43" t="n">
        <v>8606</v>
      </c>
      <c r="K186" s="42" t="inlineStr">
        <is>
          <t>US Senate</t>
        </is>
      </c>
      <c r="L186" s="43" t="n">
        <v>3173</v>
      </c>
      <c r="M186" s="43" t="n">
        <v>6685</v>
      </c>
      <c r="N186" s="43" t="n">
        <v>10064</v>
      </c>
      <c r="O186" s="44">
        <f>IFERROR((F186-G186)/(F186+G186),"")</f>
        <v/>
      </c>
      <c r="P186" s="44">
        <f>IFERROR((I186-J186)/(I186+J186),"")</f>
        <v/>
      </c>
      <c r="Q186" s="45">
        <f>IFERROR(O186-P186,"")</f>
        <v/>
      </c>
      <c r="R186" s="44">
        <f>IFERROR((L186-M186)/(L186+M186),"")</f>
        <v/>
      </c>
      <c r="S186" s="46">
        <f>H186/SUMIFS(Counties!$H$2:$H$1583,Counties!$A$2:$A$1583,$A186)</f>
        <v/>
      </c>
      <c r="T186" s="44">
        <f>O186+INDEX(Dashboard!$F$6:$F$22,MATCH($A186,Dashboard!$A$6:$A$22,0))</f>
        <v/>
      </c>
      <c r="U186" s="43">
        <f>AQ186*INDEX(Dashboard!$G$6:$G$22,MATCH($A186,Dashboard!$A$6:$A$22,0))</f>
        <v/>
      </c>
      <c r="V186" s="47" t="n"/>
      <c r="W186" s="47" t="n"/>
      <c r="X186" s="47" t="n"/>
      <c r="Y186" s="48" t="n"/>
      <c r="Z186" s="49" t="n"/>
      <c r="AA186" s="49" t="n"/>
      <c r="AB186" s="49" t="n"/>
      <c r="AC186" s="50" t="n"/>
      <c r="AD186" s="43">
        <f>IF(Z186&lt;&gt;"",Z186,N(V186))</f>
        <v/>
      </c>
      <c r="AE186" s="43">
        <f>IF(AA186&lt;&gt;"",AA186,N(W186))</f>
        <v/>
      </c>
      <c r="AF186" s="43">
        <f>AD186+AE186</f>
        <v/>
      </c>
      <c r="AG186" s="42">
        <f>IF(UPPER(AC186)="Y",1,IF(AF186=0,0,IF(AND(Z186="",Y186&lt;&gt;""),IF(Y186&gt;=0.999,1,0),IF(AF186&gt;=U186,1,0))))</f>
        <v/>
      </c>
      <c r="AH186" s="44">
        <f>IF(AF186&gt;0,(AD186-AE186)/AF186,"")</f>
        <v/>
      </c>
      <c r="AI186" s="45">
        <f>IF(AG186=1,AH186-O186,"")</f>
        <v/>
      </c>
      <c r="AJ186" s="44">
        <f>IF(AG186=1,AH186,MAX(-1,MIN(1,O186+INDEX(Types!$H:$H,MATCH($A186&amp;"|"&amp;$D186,Types!$A:$A,0)))))</f>
        <v/>
      </c>
      <c r="AK186" s="43">
        <f>IF(AG186=1,AF186,MAX(AQ186*AS186,AF186))</f>
        <v/>
      </c>
      <c r="AL186" s="43">
        <f>IF(AG186=1,AD186,AK186*(1+AJ186)/2)</f>
        <v/>
      </c>
      <c r="AM186" s="43">
        <f>IF(AG186=1,AE186,AK186*(1-AJ186)/2)</f>
        <v/>
      </c>
      <c r="AN186" s="45">
        <f>IF(AH186="","",AH186-T186)</f>
        <v/>
      </c>
      <c r="AO186" s="51">
        <f>IF(AG186=1,1,IF(U186&gt;0,MIN(AF186/U186,0.99),0))</f>
        <v/>
      </c>
      <c r="AP186" s="43">
        <f>IF(AG186=1,AI186*AF186,0)</f>
        <v/>
      </c>
      <c r="AQ186" s="43">
        <f>N186*(F186+G186)/H186</f>
        <v/>
      </c>
      <c r="AR186" s="43">
        <f>O186*AQ186</f>
        <v/>
      </c>
      <c r="AS186" s="52">
        <f>IF(AG186=1,IF(AQ186&gt;0,AF186/AQ186,1),IFERROR(INDEX(Types!$K:$K,MATCH($A186&amp;"|"&amp;$D186,Types!$A:$A,0)),INDEX(Dashboard!$X$6:$X$22,MATCH($A186,Dashboard!$A$6:$A$22,0))))</f>
        <v/>
      </c>
      <c r="AT186" s="43">
        <f>AQ186*INDEX(Dashboard!$Y$6:$Y$22,MATCH($A186,Dashboard!$A$6:$A$22,0))</f>
        <v/>
      </c>
      <c r="AU186" s="53">
        <f>IF(AND(AG186=1,AT186&gt;0,AF186&gt;0),100*AF186/AT186,"")</f>
        <v/>
      </c>
      <c r="AV186" s="44">
        <f>IF(AU186="","",T186/(AU186/100))</f>
        <v/>
      </c>
      <c r="AW186" s="53">
        <f>IF(AU186="","",IF(AND(ABS(AH186)&gt;=0.1,ABS(T186)&gt;=0.05,SIGN(AH186)=SIGN(T186)),100*T186/AH186,""))</f>
        <v/>
      </c>
      <c r="AX186" s="45">
        <f>IF(AU186="","",T186-AV186)</f>
        <v/>
      </c>
      <c r="AY186" s="45">
        <f>IF(AU186="","",AH186-AV186)</f>
        <v/>
      </c>
      <c r="AZ186" s="54">
        <f>(AL186-AM186)-T186*AT186</f>
        <v/>
      </c>
      <c r="BA186" s="43">
        <f>IF(AU186="",0,(AH186-T186)*AF186)</f>
        <v/>
      </c>
      <c r="BB186" s="43">
        <f>IF(AU186="",0,T186*(AF186-AT186))</f>
        <v/>
      </c>
      <c r="BC186" s="51" t="n">
        <v>0.2771821816509217</v>
      </c>
      <c r="BD186" s="51" t="n">
        <v>0.02855323214096168</v>
      </c>
      <c r="BE186" s="51" t="n">
        <v>0.1483004528655458</v>
      </c>
      <c r="BF186" s="43" t="n">
        <v>28263</v>
      </c>
    </row>
    <row r="187">
      <c r="A187" s="42" t="inlineStr">
        <is>
          <t>GA</t>
        </is>
      </c>
      <c r="B187" s="42" t="inlineStr">
        <is>
          <t>13295</t>
        </is>
      </c>
      <c r="C187" s="42" t="inlineStr">
        <is>
          <t>Walker</t>
        </is>
      </c>
      <c r="D187" s="42" t="inlineStr">
        <is>
          <t>Small town &amp; rural</t>
        </is>
      </c>
      <c r="E187" s="42" t="inlineStr"/>
      <c r="F187" s="43" t="n">
        <v>6436</v>
      </c>
      <c r="G187" s="43" t="n">
        <v>25462</v>
      </c>
      <c r="H187" s="43" t="n">
        <v>32086</v>
      </c>
      <c r="I187" s="43" t="n">
        <v>5770</v>
      </c>
      <c r="J187" s="43" t="n">
        <v>23173</v>
      </c>
      <c r="K187" s="42" t="inlineStr">
        <is>
          <t>US Senate</t>
        </is>
      </c>
      <c r="L187" s="43" t="n">
        <v>4377</v>
      </c>
      <c r="M187" s="43" t="n">
        <v>17064</v>
      </c>
      <c r="N187" s="43" t="n">
        <v>21972</v>
      </c>
      <c r="O187" s="44">
        <f>IFERROR((F187-G187)/(F187+G187),"")</f>
        <v/>
      </c>
      <c r="P187" s="44">
        <f>IFERROR((I187-J187)/(I187+J187),"")</f>
        <v/>
      </c>
      <c r="Q187" s="45">
        <f>IFERROR(O187-P187,"")</f>
        <v/>
      </c>
      <c r="R187" s="44">
        <f>IFERROR((L187-M187)/(L187+M187),"")</f>
        <v/>
      </c>
      <c r="S187" s="46">
        <f>H187/SUMIFS(Counties!$H$2:$H$1583,Counties!$A$2:$A$1583,$A187)</f>
        <v/>
      </c>
      <c r="T187" s="44">
        <f>O187+INDEX(Dashboard!$F$6:$F$22,MATCH($A187,Dashboard!$A$6:$A$22,0))</f>
        <v/>
      </c>
      <c r="U187" s="43">
        <f>AQ187*INDEX(Dashboard!$G$6:$G$22,MATCH($A187,Dashboard!$A$6:$A$22,0))</f>
        <v/>
      </c>
      <c r="V187" s="47" t="n"/>
      <c r="W187" s="47" t="n"/>
      <c r="X187" s="47" t="n"/>
      <c r="Y187" s="48" t="n"/>
      <c r="Z187" s="49" t="n"/>
      <c r="AA187" s="49" t="n"/>
      <c r="AB187" s="49" t="n"/>
      <c r="AC187" s="50" t="n"/>
      <c r="AD187" s="43">
        <f>IF(Z187&lt;&gt;"",Z187,N(V187))</f>
        <v/>
      </c>
      <c r="AE187" s="43">
        <f>IF(AA187&lt;&gt;"",AA187,N(W187))</f>
        <v/>
      </c>
      <c r="AF187" s="43">
        <f>AD187+AE187</f>
        <v/>
      </c>
      <c r="AG187" s="42">
        <f>IF(UPPER(AC187)="Y",1,IF(AF187=0,0,IF(AND(Z187="",Y187&lt;&gt;""),IF(Y187&gt;=0.999,1,0),IF(AF187&gt;=U187,1,0))))</f>
        <v/>
      </c>
      <c r="AH187" s="44">
        <f>IF(AF187&gt;0,(AD187-AE187)/AF187,"")</f>
        <v/>
      </c>
      <c r="AI187" s="45">
        <f>IF(AG187=1,AH187-O187,"")</f>
        <v/>
      </c>
      <c r="AJ187" s="44">
        <f>IF(AG187=1,AH187,MAX(-1,MIN(1,O187+INDEX(Types!$H:$H,MATCH($A187&amp;"|"&amp;$D187,Types!$A:$A,0)))))</f>
        <v/>
      </c>
      <c r="AK187" s="43">
        <f>IF(AG187=1,AF187,MAX(AQ187*AS187,AF187))</f>
        <v/>
      </c>
      <c r="AL187" s="43">
        <f>IF(AG187=1,AD187,AK187*(1+AJ187)/2)</f>
        <v/>
      </c>
      <c r="AM187" s="43">
        <f>IF(AG187=1,AE187,AK187*(1-AJ187)/2)</f>
        <v/>
      </c>
      <c r="AN187" s="45">
        <f>IF(AH187="","",AH187-T187)</f>
        <v/>
      </c>
      <c r="AO187" s="51">
        <f>IF(AG187=1,1,IF(U187&gt;0,MIN(AF187/U187,0.99),0))</f>
        <v/>
      </c>
      <c r="AP187" s="43">
        <f>IF(AG187=1,AI187*AF187,0)</f>
        <v/>
      </c>
      <c r="AQ187" s="43">
        <f>N187*(F187+G187)/H187</f>
        <v/>
      </c>
      <c r="AR187" s="43">
        <f>O187*AQ187</f>
        <v/>
      </c>
      <c r="AS187" s="52">
        <f>IF(AG187=1,IF(AQ187&gt;0,AF187/AQ187,1),IFERROR(INDEX(Types!$K:$K,MATCH($A187&amp;"|"&amp;$D187,Types!$A:$A,0)),INDEX(Dashboard!$X$6:$X$22,MATCH($A187,Dashboard!$A$6:$A$22,0))))</f>
        <v/>
      </c>
      <c r="AT187" s="43">
        <f>AQ187*INDEX(Dashboard!$Y$6:$Y$22,MATCH($A187,Dashboard!$A$6:$A$22,0))</f>
        <v/>
      </c>
      <c r="AU187" s="53">
        <f>IF(AND(AG187=1,AT187&gt;0,AF187&gt;0),100*AF187/AT187,"")</f>
        <v/>
      </c>
      <c r="AV187" s="44">
        <f>IF(AU187="","",T187/(AU187/100))</f>
        <v/>
      </c>
      <c r="AW187" s="53">
        <f>IF(AU187="","",IF(AND(ABS(AH187)&gt;=0.1,ABS(T187)&gt;=0.05,SIGN(AH187)=SIGN(T187)),100*T187/AH187,""))</f>
        <v/>
      </c>
      <c r="AX187" s="45">
        <f>IF(AU187="","",T187-AV187)</f>
        <v/>
      </c>
      <c r="AY187" s="45">
        <f>IF(AU187="","",AH187-AV187)</f>
        <v/>
      </c>
      <c r="AZ187" s="54">
        <f>(AL187-AM187)-T187*AT187</f>
        <v/>
      </c>
      <c r="BA187" s="43">
        <f>IF(AU187="",0,(AH187-T187)*AF187)</f>
        <v/>
      </c>
      <c r="BB187" s="43">
        <f>IF(AU187="",0,T187*(AF187-AT187))</f>
        <v/>
      </c>
      <c r="BC187" s="51" t="n">
        <v>0.04685633697419735</v>
      </c>
      <c r="BD187" s="51" t="n">
        <v>0.03036451812517089</v>
      </c>
      <c r="BE187" s="51" t="n">
        <v>0.2007232152081827</v>
      </c>
      <c r="BF187" s="43" t="n">
        <v>69489</v>
      </c>
    </row>
    <row r="188">
      <c r="A188" s="42" t="inlineStr">
        <is>
          <t>GA</t>
        </is>
      </c>
      <c r="B188" s="42" t="inlineStr">
        <is>
          <t>13297</t>
        </is>
      </c>
      <c r="C188" s="42" t="inlineStr">
        <is>
          <t>Walton</t>
        </is>
      </c>
      <c r="D188" s="42" t="inlineStr">
        <is>
          <t>Mid-size/working metro</t>
        </is>
      </c>
      <c r="E188" s="42" t="inlineStr"/>
      <c r="F188" s="43" t="n">
        <v>15605</v>
      </c>
      <c r="G188" s="43" t="n">
        <v>42407</v>
      </c>
      <c r="H188" s="43" t="n">
        <v>58376</v>
      </c>
      <c r="I188" s="43" t="n">
        <v>12683</v>
      </c>
      <c r="J188" s="43" t="n">
        <v>37839</v>
      </c>
      <c r="K188" s="42" t="inlineStr">
        <is>
          <t>US Senate</t>
        </is>
      </c>
      <c r="L188" s="43" t="n">
        <v>10702</v>
      </c>
      <c r="M188" s="43" t="n">
        <v>30553</v>
      </c>
      <c r="N188" s="43" t="n">
        <v>42259</v>
      </c>
      <c r="O188" s="44">
        <f>IFERROR((F188-G188)/(F188+G188),"")</f>
        <v/>
      </c>
      <c r="P188" s="44">
        <f>IFERROR((I188-J188)/(I188+J188),"")</f>
        <v/>
      </c>
      <c r="Q188" s="45">
        <f>IFERROR(O188-P188,"")</f>
        <v/>
      </c>
      <c r="R188" s="44">
        <f>IFERROR((L188-M188)/(L188+M188),"")</f>
        <v/>
      </c>
      <c r="S188" s="46">
        <f>H188/SUMIFS(Counties!$H$2:$H$1583,Counties!$A$2:$A$1583,$A188)</f>
        <v/>
      </c>
      <c r="T188" s="44">
        <f>O188+INDEX(Dashboard!$F$6:$F$22,MATCH($A188,Dashboard!$A$6:$A$22,0))</f>
        <v/>
      </c>
      <c r="U188" s="43">
        <f>AQ188*INDEX(Dashboard!$G$6:$G$22,MATCH($A188,Dashboard!$A$6:$A$22,0))</f>
        <v/>
      </c>
      <c r="V188" s="47" t="n"/>
      <c r="W188" s="47" t="n"/>
      <c r="X188" s="47" t="n"/>
      <c r="Y188" s="48" t="n"/>
      <c r="Z188" s="49" t="n"/>
      <c r="AA188" s="49" t="n"/>
      <c r="AB188" s="49" t="n"/>
      <c r="AC188" s="50" t="n"/>
      <c r="AD188" s="43">
        <f>IF(Z188&lt;&gt;"",Z188,N(V188))</f>
        <v/>
      </c>
      <c r="AE188" s="43">
        <f>IF(AA188&lt;&gt;"",AA188,N(W188))</f>
        <v/>
      </c>
      <c r="AF188" s="43">
        <f>AD188+AE188</f>
        <v/>
      </c>
      <c r="AG188" s="42">
        <f>IF(UPPER(AC188)="Y",1,IF(AF188=0,0,IF(AND(Z188="",Y188&lt;&gt;""),IF(Y188&gt;=0.999,1,0),IF(AF188&gt;=U188,1,0))))</f>
        <v/>
      </c>
      <c r="AH188" s="44">
        <f>IF(AF188&gt;0,(AD188-AE188)/AF188,"")</f>
        <v/>
      </c>
      <c r="AI188" s="45">
        <f>IF(AG188=1,AH188-O188,"")</f>
        <v/>
      </c>
      <c r="AJ188" s="44">
        <f>IF(AG188=1,AH188,MAX(-1,MIN(1,O188+INDEX(Types!$H:$H,MATCH($A188&amp;"|"&amp;$D188,Types!$A:$A,0)))))</f>
        <v/>
      </c>
      <c r="AK188" s="43">
        <f>IF(AG188=1,AF188,MAX(AQ188*AS188,AF188))</f>
        <v/>
      </c>
      <c r="AL188" s="43">
        <f>IF(AG188=1,AD188,AK188*(1+AJ188)/2)</f>
        <v/>
      </c>
      <c r="AM188" s="43">
        <f>IF(AG188=1,AE188,AK188*(1-AJ188)/2)</f>
        <v/>
      </c>
      <c r="AN188" s="45">
        <f>IF(AH188="","",AH188-T188)</f>
        <v/>
      </c>
      <c r="AO188" s="51">
        <f>IF(AG188=1,1,IF(U188&gt;0,MIN(AF188/U188,0.99),0))</f>
        <v/>
      </c>
      <c r="AP188" s="43">
        <f>IF(AG188=1,AI188*AF188,0)</f>
        <v/>
      </c>
      <c r="AQ188" s="43">
        <f>N188*(F188+G188)/H188</f>
        <v/>
      </c>
      <c r="AR188" s="43">
        <f>O188*AQ188</f>
        <v/>
      </c>
      <c r="AS188" s="52">
        <f>IF(AG188=1,IF(AQ188&gt;0,AF188/AQ188,1),IFERROR(INDEX(Types!$K:$K,MATCH($A188&amp;"|"&amp;$D188,Types!$A:$A,0)),INDEX(Dashboard!$X$6:$X$22,MATCH($A188,Dashboard!$A$6:$A$22,0))))</f>
        <v/>
      </c>
      <c r="AT188" s="43">
        <f>AQ188*INDEX(Dashboard!$Y$6:$Y$22,MATCH($A188,Dashboard!$A$6:$A$22,0))</f>
        <v/>
      </c>
      <c r="AU188" s="53">
        <f>IF(AND(AG188=1,AT188&gt;0,AF188&gt;0),100*AF188/AT188,"")</f>
        <v/>
      </c>
      <c r="AV188" s="44">
        <f>IF(AU188="","",T188/(AU188/100))</f>
        <v/>
      </c>
      <c r="AW188" s="53">
        <f>IF(AU188="","",IF(AND(ABS(AH188)&gt;=0.1,ABS(T188)&gt;=0.05,SIGN(AH188)=SIGN(T188)),100*T188/AH188,""))</f>
        <v/>
      </c>
      <c r="AX188" s="45">
        <f>IF(AU188="","",T188-AV188)</f>
        <v/>
      </c>
      <c r="AY188" s="45">
        <f>IF(AU188="","",AH188-AV188)</f>
        <v/>
      </c>
      <c r="AZ188" s="54">
        <f>(AL188-AM188)-T188*AT188</f>
        <v/>
      </c>
      <c r="BA188" s="43">
        <f>IF(AU188="",0,(AH188-T188)*AF188)</f>
        <v/>
      </c>
      <c r="BB188" s="43">
        <f>IF(AU188="",0,T188*(AF188-AT188))</f>
        <v/>
      </c>
      <c r="BC188" s="51" t="n">
        <v>0.2155629697662649</v>
      </c>
      <c r="BD188" s="51" t="n">
        <v>0.07155442259751457</v>
      </c>
      <c r="BE188" s="51" t="n">
        <v>0.2492196168355648</v>
      </c>
      <c r="BF188" s="43" t="n">
        <v>106702</v>
      </c>
    </row>
    <row r="189">
      <c r="A189" s="42" t="inlineStr">
        <is>
          <t>GA</t>
        </is>
      </c>
      <c r="B189" s="42" t="inlineStr">
        <is>
          <t>13299</t>
        </is>
      </c>
      <c r="C189" s="42" t="inlineStr">
        <is>
          <t>Ware</t>
        </is>
      </c>
      <c r="D189" s="42" t="inlineStr">
        <is>
          <t>Small town &amp; rural</t>
        </is>
      </c>
      <c r="E189" s="42" t="inlineStr"/>
      <c r="F189" s="43" t="n">
        <v>4068</v>
      </c>
      <c r="G189" s="43" t="n">
        <v>10279</v>
      </c>
      <c r="H189" s="43" t="n">
        <v>14392</v>
      </c>
      <c r="I189" s="43" t="n">
        <v>4169</v>
      </c>
      <c r="J189" s="43" t="n">
        <v>9903</v>
      </c>
      <c r="K189" s="42" t="inlineStr">
        <is>
          <t>US Senate</t>
        </is>
      </c>
      <c r="L189" s="43" t="n">
        <v>2976</v>
      </c>
      <c r="M189" s="43" t="n">
        <v>7567</v>
      </c>
      <c r="N189" s="43" t="n">
        <v>10704</v>
      </c>
      <c r="O189" s="44">
        <f>IFERROR((F189-G189)/(F189+G189),"")</f>
        <v/>
      </c>
      <c r="P189" s="44">
        <f>IFERROR((I189-J189)/(I189+J189),"")</f>
        <v/>
      </c>
      <c r="Q189" s="45">
        <f>IFERROR(O189-P189,"")</f>
        <v/>
      </c>
      <c r="R189" s="44">
        <f>IFERROR((L189-M189)/(L189+M189),"")</f>
        <v/>
      </c>
      <c r="S189" s="46">
        <f>H189/SUMIFS(Counties!$H$2:$H$1583,Counties!$A$2:$A$1583,$A189)</f>
        <v/>
      </c>
      <c r="T189" s="44">
        <f>O189+INDEX(Dashboard!$F$6:$F$22,MATCH($A189,Dashboard!$A$6:$A$22,0))</f>
        <v/>
      </c>
      <c r="U189" s="43">
        <f>AQ189*INDEX(Dashboard!$G$6:$G$22,MATCH($A189,Dashboard!$A$6:$A$22,0))</f>
        <v/>
      </c>
      <c r="V189" s="47" t="n"/>
      <c r="W189" s="47" t="n"/>
      <c r="X189" s="47" t="n"/>
      <c r="Y189" s="48" t="n"/>
      <c r="Z189" s="49" t="n"/>
      <c r="AA189" s="49" t="n"/>
      <c r="AB189" s="49" t="n"/>
      <c r="AC189" s="50" t="n"/>
      <c r="AD189" s="43">
        <f>IF(Z189&lt;&gt;"",Z189,N(V189))</f>
        <v/>
      </c>
      <c r="AE189" s="43">
        <f>IF(AA189&lt;&gt;"",AA189,N(W189))</f>
        <v/>
      </c>
      <c r="AF189" s="43">
        <f>AD189+AE189</f>
        <v/>
      </c>
      <c r="AG189" s="42">
        <f>IF(UPPER(AC189)="Y",1,IF(AF189=0,0,IF(AND(Z189="",Y189&lt;&gt;""),IF(Y189&gt;=0.999,1,0),IF(AF189&gt;=U189,1,0))))</f>
        <v/>
      </c>
      <c r="AH189" s="44">
        <f>IF(AF189&gt;0,(AD189-AE189)/AF189,"")</f>
        <v/>
      </c>
      <c r="AI189" s="45">
        <f>IF(AG189=1,AH189-O189,"")</f>
        <v/>
      </c>
      <c r="AJ189" s="44">
        <f>IF(AG189=1,AH189,MAX(-1,MIN(1,O189+INDEX(Types!$H:$H,MATCH($A189&amp;"|"&amp;$D189,Types!$A:$A,0)))))</f>
        <v/>
      </c>
      <c r="AK189" s="43">
        <f>IF(AG189=1,AF189,MAX(AQ189*AS189,AF189))</f>
        <v/>
      </c>
      <c r="AL189" s="43">
        <f>IF(AG189=1,AD189,AK189*(1+AJ189)/2)</f>
        <v/>
      </c>
      <c r="AM189" s="43">
        <f>IF(AG189=1,AE189,AK189*(1-AJ189)/2)</f>
        <v/>
      </c>
      <c r="AN189" s="45">
        <f>IF(AH189="","",AH189-T189)</f>
        <v/>
      </c>
      <c r="AO189" s="51">
        <f>IF(AG189=1,1,IF(U189&gt;0,MIN(AF189/U189,0.99),0))</f>
        <v/>
      </c>
      <c r="AP189" s="43">
        <f>IF(AG189=1,AI189*AF189,0)</f>
        <v/>
      </c>
      <c r="AQ189" s="43">
        <f>N189*(F189+G189)/H189</f>
        <v/>
      </c>
      <c r="AR189" s="43">
        <f>O189*AQ189</f>
        <v/>
      </c>
      <c r="AS189" s="52">
        <f>IF(AG189=1,IF(AQ189&gt;0,AF189/AQ189,1),IFERROR(INDEX(Types!$K:$K,MATCH($A189&amp;"|"&amp;$D189,Types!$A:$A,0)),INDEX(Dashboard!$X$6:$X$22,MATCH($A189,Dashboard!$A$6:$A$22,0))))</f>
        <v/>
      </c>
      <c r="AT189" s="43">
        <f>AQ189*INDEX(Dashboard!$Y$6:$Y$22,MATCH($A189,Dashboard!$A$6:$A$22,0))</f>
        <v/>
      </c>
      <c r="AU189" s="53">
        <f>IF(AND(AG189=1,AT189&gt;0,AF189&gt;0),100*AF189/AT189,"")</f>
        <v/>
      </c>
      <c r="AV189" s="44">
        <f>IF(AU189="","",T189/(AU189/100))</f>
        <v/>
      </c>
      <c r="AW189" s="53">
        <f>IF(AU189="","",IF(AND(ABS(AH189)&gt;=0.1,ABS(T189)&gt;=0.05,SIGN(AH189)=SIGN(T189)),100*T189/AH189,""))</f>
        <v/>
      </c>
      <c r="AX189" s="45">
        <f>IF(AU189="","",T189-AV189)</f>
        <v/>
      </c>
      <c r="AY189" s="45">
        <f>IF(AU189="","",AH189-AV189)</f>
        <v/>
      </c>
      <c r="AZ189" s="54">
        <f>(AL189-AM189)-T189*AT189</f>
        <v/>
      </c>
      <c r="BA189" s="43">
        <f>IF(AU189="",0,(AH189-T189)*AF189)</f>
        <v/>
      </c>
      <c r="BB189" s="43">
        <f>IF(AU189="",0,T189*(AF189-AT189))</f>
        <v/>
      </c>
      <c r="BC189" s="51" t="n">
        <v>0.2983472670584665</v>
      </c>
      <c r="BD189" s="51" t="n">
        <v>0.05217559252821234</v>
      </c>
      <c r="BE189" s="51" t="n">
        <v>0.1501525018547523</v>
      </c>
      <c r="BF189" s="43" t="n">
        <v>36243</v>
      </c>
    </row>
    <row r="190">
      <c r="A190" s="42" t="inlineStr">
        <is>
          <t>GA</t>
        </is>
      </c>
      <c r="B190" s="42" t="inlineStr">
        <is>
          <t>13301</t>
        </is>
      </c>
      <c r="C190" s="42" t="inlineStr">
        <is>
          <t>Warren</t>
        </is>
      </c>
      <c r="D190" s="42" t="inlineStr">
        <is>
          <t>Black Belt</t>
        </is>
      </c>
      <c r="E190" s="42" t="inlineStr"/>
      <c r="F190" s="43" t="n">
        <v>1354</v>
      </c>
      <c r="G190" s="43" t="n">
        <v>1232</v>
      </c>
      <c r="H190" s="43" t="n">
        <v>2592</v>
      </c>
      <c r="I190" s="43" t="n">
        <v>1468</v>
      </c>
      <c r="J190" s="43" t="n">
        <v>1166</v>
      </c>
      <c r="K190" s="42" t="inlineStr">
        <is>
          <t>US Senate</t>
        </is>
      </c>
      <c r="L190" s="43" t="n">
        <v>1117</v>
      </c>
      <c r="M190" s="43" t="n">
        <v>1007</v>
      </c>
      <c r="N190" s="43" t="n">
        <v>2149</v>
      </c>
      <c r="O190" s="44">
        <f>IFERROR((F190-G190)/(F190+G190),"")</f>
        <v/>
      </c>
      <c r="P190" s="44">
        <f>IFERROR((I190-J190)/(I190+J190),"")</f>
        <v/>
      </c>
      <c r="Q190" s="45">
        <f>IFERROR(O190-P190,"")</f>
        <v/>
      </c>
      <c r="R190" s="44">
        <f>IFERROR((L190-M190)/(L190+M190),"")</f>
        <v/>
      </c>
      <c r="S190" s="46">
        <f>H190/SUMIFS(Counties!$H$2:$H$1583,Counties!$A$2:$A$1583,$A190)</f>
        <v/>
      </c>
      <c r="T190" s="44">
        <f>O190+INDEX(Dashboard!$F$6:$F$22,MATCH($A190,Dashboard!$A$6:$A$22,0))</f>
        <v/>
      </c>
      <c r="U190" s="43">
        <f>AQ190*INDEX(Dashboard!$G$6:$G$22,MATCH($A190,Dashboard!$A$6:$A$22,0))</f>
        <v/>
      </c>
      <c r="V190" s="47" t="n"/>
      <c r="W190" s="47" t="n"/>
      <c r="X190" s="47" t="n"/>
      <c r="Y190" s="48" t="n"/>
      <c r="Z190" s="49" t="n"/>
      <c r="AA190" s="49" t="n"/>
      <c r="AB190" s="49" t="n"/>
      <c r="AC190" s="50" t="n"/>
      <c r="AD190" s="43">
        <f>IF(Z190&lt;&gt;"",Z190,N(V190))</f>
        <v/>
      </c>
      <c r="AE190" s="43">
        <f>IF(AA190&lt;&gt;"",AA190,N(W190))</f>
        <v/>
      </c>
      <c r="AF190" s="43">
        <f>AD190+AE190</f>
        <v/>
      </c>
      <c r="AG190" s="42">
        <f>IF(UPPER(AC190)="Y",1,IF(AF190=0,0,IF(AND(Z190="",Y190&lt;&gt;""),IF(Y190&gt;=0.999,1,0),IF(AF190&gt;=U190,1,0))))</f>
        <v/>
      </c>
      <c r="AH190" s="44">
        <f>IF(AF190&gt;0,(AD190-AE190)/AF190,"")</f>
        <v/>
      </c>
      <c r="AI190" s="45">
        <f>IF(AG190=1,AH190-O190,"")</f>
        <v/>
      </c>
      <c r="AJ190" s="44">
        <f>IF(AG190=1,AH190,MAX(-1,MIN(1,O190+INDEX(Types!$H:$H,MATCH($A190&amp;"|"&amp;$D190,Types!$A:$A,0)))))</f>
        <v/>
      </c>
      <c r="AK190" s="43">
        <f>IF(AG190=1,AF190,MAX(AQ190*AS190,AF190))</f>
        <v/>
      </c>
      <c r="AL190" s="43">
        <f>IF(AG190=1,AD190,AK190*(1+AJ190)/2)</f>
        <v/>
      </c>
      <c r="AM190" s="43">
        <f>IF(AG190=1,AE190,AK190*(1-AJ190)/2)</f>
        <v/>
      </c>
      <c r="AN190" s="45">
        <f>IF(AH190="","",AH190-T190)</f>
        <v/>
      </c>
      <c r="AO190" s="51">
        <f>IF(AG190=1,1,IF(U190&gt;0,MIN(AF190/U190,0.99),0))</f>
        <v/>
      </c>
      <c r="AP190" s="43">
        <f>IF(AG190=1,AI190*AF190,0)</f>
        <v/>
      </c>
      <c r="AQ190" s="43">
        <f>N190*(F190+G190)/H190</f>
        <v/>
      </c>
      <c r="AR190" s="43">
        <f>O190*AQ190</f>
        <v/>
      </c>
      <c r="AS190" s="52">
        <f>IF(AG190=1,IF(AQ190&gt;0,AF190/AQ190,1),IFERROR(INDEX(Types!$K:$K,MATCH($A190&amp;"|"&amp;$D190,Types!$A:$A,0)),INDEX(Dashboard!$X$6:$X$22,MATCH($A190,Dashboard!$A$6:$A$22,0))))</f>
        <v/>
      </c>
      <c r="AT190" s="43">
        <f>AQ190*INDEX(Dashboard!$Y$6:$Y$22,MATCH($A190,Dashboard!$A$6:$A$22,0))</f>
        <v/>
      </c>
      <c r="AU190" s="53">
        <f>IF(AND(AG190=1,AT190&gt;0,AF190&gt;0),100*AF190/AT190,"")</f>
        <v/>
      </c>
      <c r="AV190" s="44">
        <f>IF(AU190="","",T190/(AU190/100))</f>
        <v/>
      </c>
      <c r="AW190" s="53">
        <f>IF(AU190="","",IF(AND(ABS(AH190)&gt;=0.1,ABS(T190)&gt;=0.05,SIGN(AH190)=SIGN(T190)),100*T190/AH190,""))</f>
        <v/>
      </c>
      <c r="AX190" s="45">
        <f>IF(AU190="","",T190-AV190)</f>
        <v/>
      </c>
      <c r="AY190" s="45">
        <f>IF(AU190="","",AH190-AV190)</f>
        <v/>
      </c>
      <c r="AZ190" s="54">
        <f>(AL190-AM190)-T190*AT190</f>
        <v/>
      </c>
      <c r="BA190" s="43">
        <f>IF(AU190="",0,(AH190-T190)*AF190)</f>
        <v/>
      </c>
      <c r="BB190" s="43">
        <f>IF(AU190="",0,T190*(AF190-AT190))</f>
        <v/>
      </c>
      <c r="BC190" s="51" t="n">
        <v>0.5526831179005092</v>
      </c>
      <c r="BD190" s="51" t="n">
        <v>0.018213866039953</v>
      </c>
      <c r="BE190" s="51" t="n">
        <v>0.1267379679144385</v>
      </c>
      <c r="BF190" s="43" t="n">
        <v>5106</v>
      </c>
    </row>
    <row r="191">
      <c r="A191" s="42" t="inlineStr">
        <is>
          <t>GA</t>
        </is>
      </c>
      <c r="B191" s="42" t="inlineStr">
        <is>
          <t>13303</t>
        </is>
      </c>
      <c r="C191" s="42" t="inlineStr">
        <is>
          <t>Washington</t>
        </is>
      </c>
      <c r="D191" s="42" t="inlineStr">
        <is>
          <t>Black Belt</t>
        </is>
      </c>
      <c r="E191" s="42" t="inlineStr"/>
      <c r="F191" s="43" t="n">
        <v>4643</v>
      </c>
      <c r="G191" s="43" t="n">
        <v>4824</v>
      </c>
      <c r="H191" s="43" t="n">
        <v>9493</v>
      </c>
      <c r="I191" s="43" t="n">
        <v>4743</v>
      </c>
      <c r="J191" s="43" t="n">
        <v>4668</v>
      </c>
      <c r="K191" s="42" t="inlineStr">
        <is>
          <t>US Senate</t>
        </is>
      </c>
      <c r="L191" s="43" t="n">
        <v>3793</v>
      </c>
      <c r="M191" s="43" t="n">
        <v>3904</v>
      </c>
      <c r="N191" s="43" t="n">
        <v>7763</v>
      </c>
      <c r="O191" s="44">
        <f>IFERROR((F191-G191)/(F191+G191),"")</f>
        <v/>
      </c>
      <c r="P191" s="44">
        <f>IFERROR((I191-J191)/(I191+J191),"")</f>
        <v/>
      </c>
      <c r="Q191" s="45">
        <f>IFERROR(O191-P191,"")</f>
        <v/>
      </c>
      <c r="R191" s="44">
        <f>IFERROR((L191-M191)/(L191+M191),"")</f>
        <v/>
      </c>
      <c r="S191" s="46">
        <f>H191/SUMIFS(Counties!$H$2:$H$1583,Counties!$A$2:$A$1583,$A191)</f>
        <v/>
      </c>
      <c r="T191" s="44">
        <f>O191+INDEX(Dashboard!$F$6:$F$22,MATCH($A191,Dashboard!$A$6:$A$22,0))</f>
        <v/>
      </c>
      <c r="U191" s="43">
        <f>AQ191*INDEX(Dashboard!$G$6:$G$22,MATCH($A191,Dashboard!$A$6:$A$22,0))</f>
        <v/>
      </c>
      <c r="V191" s="47" t="n"/>
      <c r="W191" s="47" t="n"/>
      <c r="X191" s="47" t="n"/>
      <c r="Y191" s="48" t="n"/>
      <c r="Z191" s="49" t="n"/>
      <c r="AA191" s="49" t="n"/>
      <c r="AB191" s="49" t="n"/>
      <c r="AC191" s="50" t="n"/>
      <c r="AD191" s="43">
        <f>IF(Z191&lt;&gt;"",Z191,N(V191))</f>
        <v/>
      </c>
      <c r="AE191" s="43">
        <f>IF(AA191&lt;&gt;"",AA191,N(W191))</f>
        <v/>
      </c>
      <c r="AF191" s="43">
        <f>AD191+AE191</f>
        <v/>
      </c>
      <c r="AG191" s="42">
        <f>IF(UPPER(AC191)="Y",1,IF(AF191=0,0,IF(AND(Z191="",Y191&lt;&gt;""),IF(Y191&gt;=0.999,1,0),IF(AF191&gt;=U191,1,0))))</f>
        <v/>
      </c>
      <c r="AH191" s="44">
        <f>IF(AF191&gt;0,(AD191-AE191)/AF191,"")</f>
        <v/>
      </c>
      <c r="AI191" s="45">
        <f>IF(AG191=1,AH191-O191,"")</f>
        <v/>
      </c>
      <c r="AJ191" s="44">
        <f>IF(AG191=1,AH191,MAX(-1,MIN(1,O191+INDEX(Types!$H:$H,MATCH($A191&amp;"|"&amp;$D191,Types!$A:$A,0)))))</f>
        <v/>
      </c>
      <c r="AK191" s="43">
        <f>IF(AG191=1,AF191,MAX(AQ191*AS191,AF191))</f>
        <v/>
      </c>
      <c r="AL191" s="43">
        <f>IF(AG191=1,AD191,AK191*(1+AJ191)/2)</f>
        <v/>
      </c>
      <c r="AM191" s="43">
        <f>IF(AG191=1,AE191,AK191*(1-AJ191)/2)</f>
        <v/>
      </c>
      <c r="AN191" s="45">
        <f>IF(AH191="","",AH191-T191)</f>
        <v/>
      </c>
      <c r="AO191" s="51">
        <f>IF(AG191=1,1,IF(U191&gt;0,MIN(AF191/U191,0.99),0))</f>
        <v/>
      </c>
      <c r="AP191" s="43">
        <f>IF(AG191=1,AI191*AF191,0)</f>
        <v/>
      </c>
      <c r="AQ191" s="43">
        <f>N191*(F191+G191)/H191</f>
        <v/>
      </c>
      <c r="AR191" s="43">
        <f>O191*AQ191</f>
        <v/>
      </c>
      <c r="AS191" s="52">
        <f>IF(AG191=1,IF(AQ191&gt;0,AF191/AQ191,1),IFERROR(INDEX(Types!$K:$K,MATCH($A191&amp;"|"&amp;$D191,Types!$A:$A,0)),INDEX(Dashboard!$X$6:$X$22,MATCH($A191,Dashboard!$A$6:$A$22,0))))</f>
        <v/>
      </c>
      <c r="AT191" s="43">
        <f>AQ191*INDEX(Dashboard!$Y$6:$Y$22,MATCH($A191,Dashboard!$A$6:$A$22,0))</f>
        <v/>
      </c>
      <c r="AU191" s="53">
        <f>IF(AND(AG191=1,AT191&gt;0,AF191&gt;0),100*AF191/AT191,"")</f>
        <v/>
      </c>
      <c r="AV191" s="44">
        <f>IF(AU191="","",T191/(AU191/100))</f>
        <v/>
      </c>
      <c r="AW191" s="53">
        <f>IF(AU191="","",IF(AND(ABS(AH191)&gt;=0.1,ABS(T191)&gt;=0.05,SIGN(AH191)=SIGN(T191)),100*T191/AH191,""))</f>
        <v/>
      </c>
      <c r="AX191" s="45">
        <f>IF(AU191="","",T191-AV191)</f>
        <v/>
      </c>
      <c r="AY191" s="45">
        <f>IF(AU191="","",AH191-AV191)</f>
        <v/>
      </c>
      <c r="AZ191" s="54">
        <f>(AL191-AM191)-T191*AT191</f>
        <v/>
      </c>
      <c r="BA191" s="43">
        <f>IF(AU191="",0,(AH191-T191)*AF191)</f>
        <v/>
      </c>
      <c r="BB191" s="43">
        <f>IF(AU191="",0,T191*(AF191-AT191))</f>
        <v/>
      </c>
      <c r="BC191" s="51" t="n">
        <v>0.5371846619576186</v>
      </c>
      <c r="BD191" s="51" t="n">
        <v>0.02240161453077699</v>
      </c>
      <c r="BE191" s="51" t="n">
        <v>0.1747288812785388</v>
      </c>
      <c r="BF191" s="43" t="n">
        <v>19820</v>
      </c>
    </row>
    <row r="192">
      <c r="A192" s="42" t="inlineStr">
        <is>
          <t>GA</t>
        </is>
      </c>
      <c r="B192" s="42" t="inlineStr">
        <is>
          <t>13305</t>
        </is>
      </c>
      <c r="C192" s="42" t="inlineStr">
        <is>
          <t>Wayne</t>
        </is>
      </c>
      <c r="D192" s="42" t="inlineStr">
        <is>
          <t>Small town &amp; rural</t>
        </is>
      </c>
      <c r="E192" s="42" t="inlineStr"/>
      <c r="F192" s="43" t="n">
        <v>2708</v>
      </c>
      <c r="G192" s="43" t="n">
        <v>10811</v>
      </c>
      <c r="H192" s="43" t="n">
        <v>13561</v>
      </c>
      <c r="I192" s="43" t="n">
        <v>2688</v>
      </c>
      <c r="J192" s="43" t="n">
        <v>9987</v>
      </c>
      <c r="K192" s="42" t="inlineStr">
        <is>
          <t>US Senate</t>
        </is>
      </c>
      <c r="L192" s="43" t="n">
        <v>2014</v>
      </c>
      <c r="M192" s="43" t="n">
        <v>7838</v>
      </c>
      <c r="N192" s="43" t="n">
        <v>9988</v>
      </c>
      <c r="O192" s="44">
        <f>IFERROR((F192-G192)/(F192+G192),"")</f>
        <v/>
      </c>
      <c r="P192" s="44">
        <f>IFERROR((I192-J192)/(I192+J192),"")</f>
        <v/>
      </c>
      <c r="Q192" s="45">
        <f>IFERROR(O192-P192,"")</f>
        <v/>
      </c>
      <c r="R192" s="44">
        <f>IFERROR((L192-M192)/(L192+M192),"")</f>
        <v/>
      </c>
      <c r="S192" s="46">
        <f>H192/SUMIFS(Counties!$H$2:$H$1583,Counties!$A$2:$A$1583,$A192)</f>
        <v/>
      </c>
      <c r="T192" s="44">
        <f>O192+INDEX(Dashboard!$F$6:$F$22,MATCH($A192,Dashboard!$A$6:$A$22,0))</f>
        <v/>
      </c>
      <c r="U192" s="43">
        <f>AQ192*INDEX(Dashboard!$G$6:$G$22,MATCH($A192,Dashboard!$A$6:$A$22,0))</f>
        <v/>
      </c>
      <c r="V192" s="47" t="n"/>
      <c r="W192" s="47" t="n"/>
      <c r="X192" s="47" t="n"/>
      <c r="Y192" s="48" t="n"/>
      <c r="Z192" s="49" t="n"/>
      <c r="AA192" s="49" t="n"/>
      <c r="AB192" s="49" t="n"/>
      <c r="AC192" s="50" t="n"/>
      <c r="AD192" s="43">
        <f>IF(Z192&lt;&gt;"",Z192,N(V192))</f>
        <v/>
      </c>
      <c r="AE192" s="43">
        <f>IF(AA192&lt;&gt;"",AA192,N(W192))</f>
        <v/>
      </c>
      <c r="AF192" s="43">
        <f>AD192+AE192</f>
        <v/>
      </c>
      <c r="AG192" s="42">
        <f>IF(UPPER(AC192)="Y",1,IF(AF192=0,0,IF(AND(Z192="",Y192&lt;&gt;""),IF(Y192&gt;=0.999,1,0),IF(AF192&gt;=U192,1,0))))</f>
        <v/>
      </c>
      <c r="AH192" s="44">
        <f>IF(AF192&gt;0,(AD192-AE192)/AF192,"")</f>
        <v/>
      </c>
      <c r="AI192" s="45">
        <f>IF(AG192=1,AH192-O192,"")</f>
        <v/>
      </c>
      <c r="AJ192" s="44">
        <f>IF(AG192=1,AH192,MAX(-1,MIN(1,O192+INDEX(Types!$H:$H,MATCH($A192&amp;"|"&amp;$D192,Types!$A:$A,0)))))</f>
        <v/>
      </c>
      <c r="AK192" s="43">
        <f>IF(AG192=1,AF192,MAX(AQ192*AS192,AF192))</f>
        <v/>
      </c>
      <c r="AL192" s="43">
        <f>IF(AG192=1,AD192,AK192*(1+AJ192)/2)</f>
        <v/>
      </c>
      <c r="AM192" s="43">
        <f>IF(AG192=1,AE192,AK192*(1-AJ192)/2)</f>
        <v/>
      </c>
      <c r="AN192" s="45">
        <f>IF(AH192="","",AH192-T192)</f>
        <v/>
      </c>
      <c r="AO192" s="51">
        <f>IF(AG192=1,1,IF(U192&gt;0,MIN(AF192/U192,0.99),0))</f>
        <v/>
      </c>
      <c r="AP192" s="43">
        <f>IF(AG192=1,AI192*AF192,0)</f>
        <v/>
      </c>
      <c r="AQ192" s="43">
        <f>N192*(F192+G192)/H192</f>
        <v/>
      </c>
      <c r="AR192" s="43">
        <f>O192*AQ192</f>
        <v/>
      </c>
      <c r="AS192" s="52">
        <f>IF(AG192=1,IF(AQ192&gt;0,AF192/AQ192,1),IFERROR(INDEX(Types!$K:$K,MATCH($A192&amp;"|"&amp;$D192,Types!$A:$A,0)),INDEX(Dashboard!$X$6:$X$22,MATCH($A192,Dashboard!$A$6:$A$22,0))))</f>
        <v/>
      </c>
      <c r="AT192" s="43">
        <f>AQ192*INDEX(Dashboard!$Y$6:$Y$22,MATCH($A192,Dashboard!$A$6:$A$22,0))</f>
        <v/>
      </c>
      <c r="AU192" s="53">
        <f>IF(AND(AG192=1,AT192&gt;0,AF192&gt;0),100*AF192/AT192,"")</f>
        <v/>
      </c>
      <c r="AV192" s="44">
        <f>IF(AU192="","",T192/(AU192/100))</f>
        <v/>
      </c>
      <c r="AW192" s="53">
        <f>IF(AU192="","",IF(AND(ABS(AH192)&gt;=0.1,ABS(T192)&gt;=0.05,SIGN(AH192)=SIGN(T192)),100*T192/AH192,""))</f>
        <v/>
      </c>
      <c r="AX192" s="45">
        <f>IF(AU192="","",T192-AV192)</f>
        <v/>
      </c>
      <c r="AY192" s="45">
        <f>IF(AU192="","",AH192-AV192)</f>
        <v/>
      </c>
      <c r="AZ192" s="54">
        <f>(AL192-AM192)-T192*AT192</f>
        <v/>
      </c>
      <c r="BA192" s="43">
        <f>IF(AU192="",0,(AH192-T192)*AF192)</f>
        <v/>
      </c>
      <c r="BB192" s="43">
        <f>IF(AU192="",0,T192*(AF192-AT192))</f>
        <v/>
      </c>
      <c r="BC192" s="51" t="n">
        <v>0.1935103432888152</v>
      </c>
      <c r="BD192" s="51" t="n">
        <v>0.06422720173397507</v>
      </c>
      <c r="BE192" s="51" t="n">
        <v>0.1401081502411458</v>
      </c>
      <c r="BF192" s="43" t="n">
        <v>31373</v>
      </c>
    </row>
    <row r="193">
      <c r="A193" s="42" t="inlineStr">
        <is>
          <t>GA</t>
        </is>
      </c>
      <c r="B193" s="42" t="inlineStr">
        <is>
          <t>13307</t>
        </is>
      </c>
      <c r="C193" s="42" t="inlineStr">
        <is>
          <t>Webster</t>
        </is>
      </c>
      <c r="D193" s="42" t="inlineStr">
        <is>
          <t>Black Belt</t>
        </is>
      </c>
      <c r="E193" s="42" t="inlineStr"/>
      <c r="F193" s="43" t="n">
        <v>544</v>
      </c>
      <c r="G193" s="43" t="n">
        <v>790</v>
      </c>
      <c r="H193" s="43" t="n">
        <v>1336</v>
      </c>
      <c r="I193" s="43" t="n">
        <v>640</v>
      </c>
      <c r="J193" s="43" t="n">
        <v>748</v>
      </c>
      <c r="K193" s="42" t="inlineStr">
        <is>
          <t>US Senate</t>
        </is>
      </c>
      <c r="L193" s="43" t="n">
        <v>442</v>
      </c>
      <c r="M193" s="43" t="n">
        <v>676</v>
      </c>
      <c r="N193" s="43" t="n">
        <v>1125</v>
      </c>
      <c r="O193" s="44">
        <f>IFERROR((F193-G193)/(F193+G193),"")</f>
        <v/>
      </c>
      <c r="P193" s="44">
        <f>IFERROR((I193-J193)/(I193+J193),"")</f>
        <v/>
      </c>
      <c r="Q193" s="45">
        <f>IFERROR(O193-P193,"")</f>
        <v/>
      </c>
      <c r="R193" s="44">
        <f>IFERROR((L193-M193)/(L193+M193),"")</f>
        <v/>
      </c>
      <c r="S193" s="46">
        <f>H193/SUMIFS(Counties!$H$2:$H$1583,Counties!$A$2:$A$1583,$A193)</f>
        <v/>
      </c>
      <c r="T193" s="44">
        <f>O193+INDEX(Dashboard!$F$6:$F$22,MATCH($A193,Dashboard!$A$6:$A$22,0))</f>
        <v/>
      </c>
      <c r="U193" s="43">
        <f>AQ193*INDEX(Dashboard!$G$6:$G$22,MATCH($A193,Dashboard!$A$6:$A$22,0))</f>
        <v/>
      </c>
      <c r="V193" s="47" t="n"/>
      <c r="W193" s="47" t="n"/>
      <c r="X193" s="47" t="n"/>
      <c r="Y193" s="48" t="n"/>
      <c r="Z193" s="49" t="n"/>
      <c r="AA193" s="49" t="n"/>
      <c r="AB193" s="49" t="n"/>
      <c r="AC193" s="50" t="n"/>
      <c r="AD193" s="43">
        <f>IF(Z193&lt;&gt;"",Z193,N(V193))</f>
        <v/>
      </c>
      <c r="AE193" s="43">
        <f>IF(AA193&lt;&gt;"",AA193,N(W193))</f>
        <v/>
      </c>
      <c r="AF193" s="43">
        <f>AD193+AE193</f>
        <v/>
      </c>
      <c r="AG193" s="42">
        <f>IF(UPPER(AC193)="Y",1,IF(AF193=0,0,IF(AND(Z193="",Y193&lt;&gt;""),IF(Y193&gt;=0.999,1,0),IF(AF193&gt;=U193,1,0))))</f>
        <v/>
      </c>
      <c r="AH193" s="44">
        <f>IF(AF193&gt;0,(AD193-AE193)/AF193,"")</f>
        <v/>
      </c>
      <c r="AI193" s="45">
        <f>IF(AG193=1,AH193-O193,"")</f>
        <v/>
      </c>
      <c r="AJ193" s="44">
        <f>IF(AG193=1,AH193,MAX(-1,MIN(1,O193+INDEX(Types!$H:$H,MATCH($A193&amp;"|"&amp;$D193,Types!$A:$A,0)))))</f>
        <v/>
      </c>
      <c r="AK193" s="43">
        <f>IF(AG193=1,AF193,MAX(AQ193*AS193,AF193))</f>
        <v/>
      </c>
      <c r="AL193" s="43">
        <f>IF(AG193=1,AD193,AK193*(1+AJ193)/2)</f>
        <v/>
      </c>
      <c r="AM193" s="43">
        <f>IF(AG193=1,AE193,AK193*(1-AJ193)/2)</f>
        <v/>
      </c>
      <c r="AN193" s="45">
        <f>IF(AH193="","",AH193-T193)</f>
        <v/>
      </c>
      <c r="AO193" s="51">
        <f>IF(AG193=1,1,IF(U193&gt;0,MIN(AF193/U193,0.99),0))</f>
        <v/>
      </c>
      <c r="AP193" s="43">
        <f>IF(AG193=1,AI193*AF193,0)</f>
        <v/>
      </c>
      <c r="AQ193" s="43">
        <f>N193*(F193+G193)/H193</f>
        <v/>
      </c>
      <c r="AR193" s="43">
        <f>O193*AQ193</f>
        <v/>
      </c>
      <c r="AS193" s="52">
        <f>IF(AG193=1,IF(AQ193&gt;0,AF193/AQ193,1),IFERROR(INDEX(Types!$K:$K,MATCH($A193&amp;"|"&amp;$D193,Types!$A:$A,0)),INDEX(Dashboard!$X$6:$X$22,MATCH($A193,Dashboard!$A$6:$A$22,0))))</f>
        <v/>
      </c>
      <c r="AT193" s="43">
        <f>AQ193*INDEX(Dashboard!$Y$6:$Y$22,MATCH($A193,Dashboard!$A$6:$A$22,0))</f>
        <v/>
      </c>
      <c r="AU193" s="53">
        <f>IF(AND(AG193=1,AT193&gt;0,AF193&gt;0),100*AF193/AT193,"")</f>
        <v/>
      </c>
      <c r="AV193" s="44">
        <f>IF(AU193="","",T193/(AU193/100))</f>
        <v/>
      </c>
      <c r="AW193" s="53">
        <f>IF(AU193="","",IF(AND(ABS(AH193)&gt;=0.1,ABS(T193)&gt;=0.05,SIGN(AH193)=SIGN(T193)),100*T193/AH193,""))</f>
        <v/>
      </c>
      <c r="AX193" s="45">
        <f>IF(AU193="","",T193-AV193)</f>
        <v/>
      </c>
      <c r="AY193" s="45">
        <f>IF(AU193="","",AH193-AV193)</f>
        <v/>
      </c>
      <c r="AZ193" s="54">
        <f>(AL193-AM193)-T193*AT193</f>
        <v/>
      </c>
      <c r="BA193" s="43">
        <f>IF(AU193="",0,(AH193-T193)*AF193)</f>
        <v/>
      </c>
      <c r="BB193" s="43">
        <f>IF(AU193="",0,T193*(AF193-AT193))</f>
        <v/>
      </c>
      <c r="BC193" s="51" t="n">
        <v>0.4338896020539153</v>
      </c>
      <c r="BD193" s="51" t="n">
        <v>0.03038083012409071</v>
      </c>
      <c r="BE193" s="51" t="n">
        <v>0.1133603238866397</v>
      </c>
      <c r="BF193" s="43" t="n">
        <v>2337</v>
      </c>
    </row>
    <row r="194">
      <c r="A194" s="42" t="inlineStr">
        <is>
          <t>GA</t>
        </is>
      </c>
      <c r="B194" s="42" t="inlineStr">
        <is>
          <t>13309</t>
        </is>
      </c>
      <c r="C194" s="42" t="inlineStr">
        <is>
          <t>Wheeler</t>
        </is>
      </c>
      <c r="D194" s="42" t="inlineStr">
        <is>
          <t>Small town &amp; rural</t>
        </is>
      </c>
      <c r="E194" s="42" t="inlineStr"/>
      <c r="F194" s="43" t="n">
        <v>622</v>
      </c>
      <c r="G194" s="43" t="n">
        <v>1648</v>
      </c>
      <c r="H194" s="43" t="n">
        <v>2276</v>
      </c>
      <c r="I194" s="43" t="n">
        <v>689</v>
      </c>
      <c r="J194" s="43" t="n">
        <v>1583</v>
      </c>
      <c r="K194" s="42" t="inlineStr">
        <is>
          <t>US Senate</t>
        </is>
      </c>
      <c r="L194" s="43" t="n">
        <v>534</v>
      </c>
      <c r="M194" s="43" t="n">
        <v>1266</v>
      </c>
      <c r="N194" s="43" t="n">
        <v>1817</v>
      </c>
      <c r="O194" s="44">
        <f>IFERROR((F194-G194)/(F194+G194),"")</f>
        <v/>
      </c>
      <c r="P194" s="44">
        <f>IFERROR((I194-J194)/(I194+J194),"")</f>
        <v/>
      </c>
      <c r="Q194" s="45">
        <f>IFERROR(O194-P194,"")</f>
        <v/>
      </c>
      <c r="R194" s="44">
        <f>IFERROR((L194-M194)/(L194+M194),"")</f>
        <v/>
      </c>
      <c r="S194" s="46">
        <f>H194/SUMIFS(Counties!$H$2:$H$1583,Counties!$A$2:$A$1583,$A194)</f>
        <v/>
      </c>
      <c r="T194" s="44">
        <f>O194+INDEX(Dashboard!$F$6:$F$22,MATCH($A194,Dashboard!$A$6:$A$22,0))</f>
        <v/>
      </c>
      <c r="U194" s="43">
        <f>AQ194*INDEX(Dashboard!$G$6:$G$22,MATCH($A194,Dashboard!$A$6:$A$22,0))</f>
        <v/>
      </c>
      <c r="V194" s="47" t="n"/>
      <c r="W194" s="47" t="n"/>
      <c r="X194" s="47" t="n"/>
      <c r="Y194" s="48" t="n"/>
      <c r="Z194" s="49" t="n"/>
      <c r="AA194" s="49" t="n"/>
      <c r="AB194" s="49" t="n"/>
      <c r="AC194" s="50" t="n"/>
      <c r="AD194" s="43">
        <f>IF(Z194&lt;&gt;"",Z194,N(V194))</f>
        <v/>
      </c>
      <c r="AE194" s="43">
        <f>IF(AA194&lt;&gt;"",AA194,N(W194))</f>
        <v/>
      </c>
      <c r="AF194" s="43">
        <f>AD194+AE194</f>
        <v/>
      </c>
      <c r="AG194" s="42">
        <f>IF(UPPER(AC194)="Y",1,IF(AF194=0,0,IF(AND(Z194="",Y194&lt;&gt;""),IF(Y194&gt;=0.999,1,0),IF(AF194&gt;=U194,1,0))))</f>
        <v/>
      </c>
      <c r="AH194" s="44">
        <f>IF(AF194&gt;0,(AD194-AE194)/AF194,"")</f>
        <v/>
      </c>
      <c r="AI194" s="45">
        <f>IF(AG194=1,AH194-O194,"")</f>
        <v/>
      </c>
      <c r="AJ194" s="44">
        <f>IF(AG194=1,AH194,MAX(-1,MIN(1,O194+INDEX(Types!$H:$H,MATCH($A194&amp;"|"&amp;$D194,Types!$A:$A,0)))))</f>
        <v/>
      </c>
      <c r="AK194" s="43">
        <f>IF(AG194=1,AF194,MAX(AQ194*AS194,AF194))</f>
        <v/>
      </c>
      <c r="AL194" s="43">
        <f>IF(AG194=1,AD194,AK194*(1+AJ194)/2)</f>
        <v/>
      </c>
      <c r="AM194" s="43">
        <f>IF(AG194=1,AE194,AK194*(1-AJ194)/2)</f>
        <v/>
      </c>
      <c r="AN194" s="45">
        <f>IF(AH194="","",AH194-T194)</f>
        <v/>
      </c>
      <c r="AO194" s="51">
        <f>IF(AG194=1,1,IF(U194&gt;0,MIN(AF194/U194,0.99),0))</f>
        <v/>
      </c>
      <c r="AP194" s="43">
        <f>IF(AG194=1,AI194*AF194,0)</f>
        <v/>
      </c>
      <c r="AQ194" s="43">
        <f>N194*(F194+G194)/H194</f>
        <v/>
      </c>
      <c r="AR194" s="43">
        <f>O194*AQ194</f>
        <v/>
      </c>
      <c r="AS194" s="52">
        <f>IF(AG194=1,IF(AQ194&gt;0,AF194/AQ194,1),IFERROR(INDEX(Types!$K:$K,MATCH($A194&amp;"|"&amp;$D194,Types!$A:$A,0)),INDEX(Dashboard!$X$6:$X$22,MATCH($A194,Dashboard!$A$6:$A$22,0))))</f>
        <v/>
      </c>
      <c r="AT194" s="43">
        <f>AQ194*INDEX(Dashboard!$Y$6:$Y$22,MATCH($A194,Dashboard!$A$6:$A$22,0))</f>
        <v/>
      </c>
      <c r="AU194" s="53">
        <f>IF(AND(AG194=1,AT194&gt;0,AF194&gt;0),100*AF194/AT194,"")</f>
        <v/>
      </c>
      <c r="AV194" s="44">
        <f>IF(AU194="","",T194/(AU194/100))</f>
        <v/>
      </c>
      <c r="AW194" s="53">
        <f>IF(AU194="","",IF(AND(ABS(AH194)&gt;=0.1,ABS(T194)&gt;=0.05,SIGN(AH194)=SIGN(T194)),100*T194/AH194,""))</f>
        <v/>
      </c>
      <c r="AX194" s="45">
        <f>IF(AU194="","",T194-AV194)</f>
        <v/>
      </c>
      <c r="AY194" s="45">
        <f>IF(AU194="","",AH194-AV194)</f>
        <v/>
      </c>
      <c r="AZ194" s="54">
        <f>(AL194-AM194)-T194*AT194</f>
        <v/>
      </c>
      <c r="BA194" s="43">
        <f>IF(AU194="",0,(AH194-T194)*AF194)</f>
        <v/>
      </c>
      <c r="BB194" s="43">
        <f>IF(AU194="",0,T194*(AF194-AT194))</f>
        <v/>
      </c>
      <c r="BC194" s="51" t="n">
        <v>0.3596949583392176</v>
      </c>
      <c r="BD194" s="51" t="n">
        <v>0.04773337099279763</v>
      </c>
      <c r="BE194" s="51" t="n">
        <v>0.1221166892808684</v>
      </c>
      <c r="BF194" s="43" t="n">
        <v>7081</v>
      </c>
    </row>
    <row r="195">
      <c r="A195" s="42" t="inlineStr">
        <is>
          <t>GA</t>
        </is>
      </c>
      <c r="B195" s="42" t="inlineStr">
        <is>
          <t>13311</t>
        </is>
      </c>
      <c r="C195" s="42" t="inlineStr">
        <is>
          <t>White</t>
        </is>
      </c>
      <c r="D195" s="42" t="inlineStr">
        <is>
          <t>Small town &amp; rural</t>
        </is>
      </c>
      <c r="E195" s="42" t="inlineStr"/>
      <c r="F195" s="43" t="n">
        <v>2609</v>
      </c>
      <c r="G195" s="43" t="n">
        <v>14136</v>
      </c>
      <c r="H195" s="43" t="n">
        <v>16825</v>
      </c>
      <c r="I195" s="43" t="n">
        <v>2411</v>
      </c>
      <c r="J195" s="43" t="n">
        <v>12222</v>
      </c>
      <c r="K195" s="42" t="inlineStr">
        <is>
          <t>US Senate</t>
        </is>
      </c>
      <c r="L195" s="43" t="n">
        <v>2063</v>
      </c>
      <c r="M195" s="43" t="n">
        <v>10249</v>
      </c>
      <c r="N195" s="43" t="n">
        <v>12660</v>
      </c>
      <c r="O195" s="44">
        <f>IFERROR((F195-G195)/(F195+G195),"")</f>
        <v/>
      </c>
      <c r="P195" s="44">
        <f>IFERROR((I195-J195)/(I195+J195),"")</f>
        <v/>
      </c>
      <c r="Q195" s="45">
        <f>IFERROR(O195-P195,"")</f>
        <v/>
      </c>
      <c r="R195" s="44">
        <f>IFERROR((L195-M195)/(L195+M195),"")</f>
        <v/>
      </c>
      <c r="S195" s="46">
        <f>H195/SUMIFS(Counties!$H$2:$H$1583,Counties!$A$2:$A$1583,$A195)</f>
        <v/>
      </c>
      <c r="T195" s="44">
        <f>O195+INDEX(Dashboard!$F$6:$F$22,MATCH($A195,Dashboard!$A$6:$A$22,0))</f>
        <v/>
      </c>
      <c r="U195" s="43">
        <f>AQ195*INDEX(Dashboard!$G$6:$G$22,MATCH($A195,Dashboard!$A$6:$A$22,0))</f>
        <v/>
      </c>
      <c r="V195" s="47" t="n"/>
      <c r="W195" s="47" t="n"/>
      <c r="X195" s="47" t="n"/>
      <c r="Y195" s="48" t="n"/>
      <c r="Z195" s="49" t="n"/>
      <c r="AA195" s="49" t="n"/>
      <c r="AB195" s="49" t="n"/>
      <c r="AC195" s="50" t="n"/>
      <c r="AD195" s="43">
        <f>IF(Z195&lt;&gt;"",Z195,N(V195))</f>
        <v/>
      </c>
      <c r="AE195" s="43">
        <f>IF(AA195&lt;&gt;"",AA195,N(W195))</f>
        <v/>
      </c>
      <c r="AF195" s="43">
        <f>AD195+AE195</f>
        <v/>
      </c>
      <c r="AG195" s="42">
        <f>IF(UPPER(AC195)="Y",1,IF(AF195=0,0,IF(AND(Z195="",Y195&lt;&gt;""),IF(Y195&gt;=0.999,1,0),IF(AF195&gt;=U195,1,0))))</f>
        <v/>
      </c>
      <c r="AH195" s="44">
        <f>IF(AF195&gt;0,(AD195-AE195)/AF195,"")</f>
        <v/>
      </c>
      <c r="AI195" s="45">
        <f>IF(AG195=1,AH195-O195,"")</f>
        <v/>
      </c>
      <c r="AJ195" s="44">
        <f>IF(AG195=1,AH195,MAX(-1,MIN(1,O195+INDEX(Types!$H:$H,MATCH($A195&amp;"|"&amp;$D195,Types!$A:$A,0)))))</f>
        <v/>
      </c>
      <c r="AK195" s="43">
        <f>IF(AG195=1,AF195,MAX(AQ195*AS195,AF195))</f>
        <v/>
      </c>
      <c r="AL195" s="43">
        <f>IF(AG195=1,AD195,AK195*(1+AJ195)/2)</f>
        <v/>
      </c>
      <c r="AM195" s="43">
        <f>IF(AG195=1,AE195,AK195*(1-AJ195)/2)</f>
        <v/>
      </c>
      <c r="AN195" s="45">
        <f>IF(AH195="","",AH195-T195)</f>
        <v/>
      </c>
      <c r="AO195" s="51">
        <f>IF(AG195=1,1,IF(U195&gt;0,MIN(AF195/U195,0.99),0))</f>
        <v/>
      </c>
      <c r="AP195" s="43">
        <f>IF(AG195=1,AI195*AF195,0)</f>
        <v/>
      </c>
      <c r="AQ195" s="43">
        <f>N195*(F195+G195)/H195</f>
        <v/>
      </c>
      <c r="AR195" s="43">
        <f>O195*AQ195</f>
        <v/>
      </c>
      <c r="AS195" s="52">
        <f>IF(AG195=1,IF(AQ195&gt;0,AF195/AQ195,1),IFERROR(INDEX(Types!$K:$K,MATCH($A195&amp;"|"&amp;$D195,Types!$A:$A,0)),INDEX(Dashboard!$X$6:$X$22,MATCH($A195,Dashboard!$A$6:$A$22,0))))</f>
        <v/>
      </c>
      <c r="AT195" s="43">
        <f>AQ195*INDEX(Dashboard!$Y$6:$Y$22,MATCH($A195,Dashboard!$A$6:$A$22,0))</f>
        <v/>
      </c>
      <c r="AU195" s="53">
        <f>IF(AND(AG195=1,AT195&gt;0,AF195&gt;0),100*AF195/AT195,"")</f>
        <v/>
      </c>
      <c r="AV195" s="44">
        <f>IF(AU195="","",T195/(AU195/100))</f>
        <v/>
      </c>
      <c r="AW195" s="53">
        <f>IF(AU195="","",IF(AND(ABS(AH195)&gt;=0.1,ABS(T195)&gt;=0.05,SIGN(AH195)=SIGN(T195)),100*T195/AH195,""))</f>
        <v/>
      </c>
      <c r="AX195" s="45">
        <f>IF(AU195="","",T195-AV195)</f>
        <v/>
      </c>
      <c r="AY195" s="45">
        <f>IF(AU195="","",AH195-AV195)</f>
        <v/>
      </c>
      <c r="AZ195" s="54">
        <f>(AL195-AM195)-T195*AT195</f>
        <v/>
      </c>
      <c r="BA195" s="43">
        <f>IF(AU195="",0,(AH195-T195)*AF195)</f>
        <v/>
      </c>
      <c r="BB195" s="43">
        <f>IF(AU195="",0,T195*(AF195-AT195))</f>
        <v/>
      </c>
      <c r="BC195" s="51" t="n">
        <v>0.0213946117274168</v>
      </c>
      <c r="BD195" s="51" t="n">
        <v>0.03917177702749259</v>
      </c>
      <c r="BE195" s="51" t="n">
        <v>0.2427324139299534</v>
      </c>
      <c r="BF195" s="43" t="n">
        <v>29026</v>
      </c>
    </row>
    <row r="196">
      <c r="A196" s="42" t="inlineStr">
        <is>
          <t>GA</t>
        </is>
      </c>
      <c r="B196" s="42" t="inlineStr">
        <is>
          <t>13313</t>
        </is>
      </c>
      <c r="C196" s="42" t="inlineStr">
        <is>
          <t>Whitfield</t>
        </is>
      </c>
      <c r="D196" s="42" t="inlineStr">
        <is>
          <t>Mid-size/working metro</t>
        </is>
      </c>
      <c r="E196" s="42" t="inlineStr"/>
      <c r="F196" s="43" t="n">
        <v>10953</v>
      </c>
      <c r="G196" s="43" t="n">
        <v>28655</v>
      </c>
      <c r="H196" s="43" t="n">
        <v>39828</v>
      </c>
      <c r="I196" s="43" t="n">
        <v>10680</v>
      </c>
      <c r="J196" s="43" t="n">
        <v>25644</v>
      </c>
      <c r="K196" s="42" t="inlineStr">
        <is>
          <t>US Senate</t>
        </is>
      </c>
      <c r="L196" s="43" t="n">
        <v>6904</v>
      </c>
      <c r="M196" s="43" t="n">
        <v>19387</v>
      </c>
      <c r="N196" s="43" t="n">
        <v>26888</v>
      </c>
      <c r="O196" s="44">
        <f>IFERROR((F196-G196)/(F196+G196),"")</f>
        <v/>
      </c>
      <c r="P196" s="44">
        <f>IFERROR((I196-J196)/(I196+J196),"")</f>
        <v/>
      </c>
      <c r="Q196" s="45">
        <f>IFERROR(O196-P196,"")</f>
        <v/>
      </c>
      <c r="R196" s="44">
        <f>IFERROR((L196-M196)/(L196+M196),"")</f>
        <v/>
      </c>
      <c r="S196" s="46">
        <f>H196/SUMIFS(Counties!$H$2:$H$1583,Counties!$A$2:$A$1583,$A196)</f>
        <v/>
      </c>
      <c r="T196" s="44">
        <f>O196+INDEX(Dashboard!$F$6:$F$22,MATCH($A196,Dashboard!$A$6:$A$22,0))</f>
        <v/>
      </c>
      <c r="U196" s="43">
        <f>AQ196*INDEX(Dashboard!$G$6:$G$22,MATCH($A196,Dashboard!$A$6:$A$22,0))</f>
        <v/>
      </c>
      <c r="V196" s="47" t="n"/>
      <c r="W196" s="47" t="n"/>
      <c r="X196" s="47" t="n"/>
      <c r="Y196" s="48" t="n"/>
      <c r="Z196" s="49" t="n"/>
      <c r="AA196" s="49" t="n"/>
      <c r="AB196" s="49" t="n"/>
      <c r="AC196" s="50" t="n"/>
      <c r="AD196" s="43">
        <f>IF(Z196&lt;&gt;"",Z196,N(V196))</f>
        <v/>
      </c>
      <c r="AE196" s="43">
        <f>IF(AA196&lt;&gt;"",AA196,N(W196))</f>
        <v/>
      </c>
      <c r="AF196" s="43">
        <f>AD196+AE196</f>
        <v/>
      </c>
      <c r="AG196" s="42">
        <f>IF(UPPER(AC196)="Y",1,IF(AF196=0,0,IF(AND(Z196="",Y196&lt;&gt;""),IF(Y196&gt;=0.999,1,0),IF(AF196&gt;=U196,1,0))))</f>
        <v/>
      </c>
      <c r="AH196" s="44">
        <f>IF(AF196&gt;0,(AD196-AE196)/AF196,"")</f>
        <v/>
      </c>
      <c r="AI196" s="45">
        <f>IF(AG196=1,AH196-O196,"")</f>
        <v/>
      </c>
      <c r="AJ196" s="44">
        <f>IF(AG196=1,AH196,MAX(-1,MIN(1,O196+INDEX(Types!$H:$H,MATCH($A196&amp;"|"&amp;$D196,Types!$A:$A,0)))))</f>
        <v/>
      </c>
      <c r="AK196" s="43">
        <f>IF(AG196=1,AF196,MAX(AQ196*AS196,AF196))</f>
        <v/>
      </c>
      <c r="AL196" s="43">
        <f>IF(AG196=1,AD196,AK196*(1+AJ196)/2)</f>
        <v/>
      </c>
      <c r="AM196" s="43">
        <f>IF(AG196=1,AE196,AK196*(1-AJ196)/2)</f>
        <v/>
      </c>
      <c r="AN196" s="45">
        <f>IF(AH196="","",AH196-T196)</f>
        <v/>
      </c>
      <c r="AO196" s="51">
        <f>IF(AG196=1,1,IF(U196&gt;0,MIN(AF196/U196,0.99),0))</f>
        <v/>
      </c>
      <c r="AP196" s="43">
        <f>IF(AG196=1,AI196*AF196,0)</f>
        <v/>
      </c>
      <c r="AQ196" s="43">
        <f>N196*(F196+G196)/H196</f>
        <v/>
      </c>
      <c r="AR196" s="43">
        <f>O196*AQ196</f>
        <v/>
      </c>
      <c r="AS196" s="52">
        <f>IF(AG196=1,IF(AQ196&gt;0,AF196/AQ196,1),IFERROR(INDEX(Types!$K:$K,MATCH($A196&amp;"|"&amp;$D196,Types!$A:$A,0)),INDEX(Dashboard!$X$6:$X$22,MATCH($A196,Dashboard!$A$6:$A$22,0))))</f>
        <v/>
      </c>
      <c r="AT196" s="43">
        <f>AQ196*INDEX(Dashboard!$Y$6:$Y$22,MATCH($A196,Dashboard!$A$6:$A$22,0))</f>
        <v/>
      </c>
      <c r="AU196" s="53">
        <f>IF(AND(AG196=1,AT196&gt;0,AF196&gt;0),100*AF196/AT196,"")</f>
        <v/>
      </c>
      <c r="AV196" s="44">
        <f>IF(AU196="","",T196/(AU196/100))</f>
        <v/>
      </c>
      <c r="AW196" s="53">
        <f>IF(AU196="","",IF(AND(ABS(AH196)&gt;=0.1,ABS(T196)&gt;=0.05,SIGN(AH196)=SIGN(T196)),100*T196/AH196,""))</f>
        <v/>
      </c>
      <c r="AX196" s="45">
        <f>IF(AU196="","",T196-AV196)</f>
        <v/>
      </c>
      <c r="AY196" s="45">
        <f>IF(AU196="","",AH196-AV196)</f>
        <v/>
      </c>
      <c r="AZ196" s="54">
        <f>(AL196-AM196)-T196*AT196</f>
        <v/>
      </c>
      <c r="BA196" s="43">
        <f>IF(AU196="",0,(AH196-T196)*AF196)</f>
        <v/>
      </c>
      <c r="BB196" s="43">
        <f>IF(AU196="",0,T196*(AF196-AT196))</f>
        <v/>
      </c>
      <c r="BC196" s="51" t="n">
        <v>0.03661982697927416</v>
      </c>
      <c r="BD196" s="51" t="n">
        <v>0.375456903951315</v>
      </c>
      <c r="BE196" s="51" t="n">
        <v>0.1934722242846324</v>
      </c>
      <c r="BF196" s="43" t="n">
        <v>103687</v>
      </c>
    </row>
    <row r="197">
      <c r="A197" s="42" t="inlineStr">
        <is>
          <t>GA</t>
        </is>
      </c>
      <c r="B197" s="42" t="inlineStr">
        <is>
          <t>13315</t>
        </is>
      </c>
      <c r="C197" s="42" t="inlineStr">
        <is>
          <t>Wilcox</t>
        </is>
      </c>
      <c r="D197" s="42" t="inlineStr">
        <is>
          <t>Small town &amp; rural</t>
        </is>
      </c>
      <c r="E197" s="42" t="inlineStr"/>
      <c r="F197" s="43" t="n">
        <v>847</v>
      </c>
      <c r="G197" s="43" t="n">
        <v>2493</v>
      </c>
      <c r="H197" s="43" t="n">
        <v>3347</v>
      </c>
      <c r="I197" s="43" t="n">
        <v>861</v>
      </c>
      <c r="J197" s="43" t="n">
        <v>2402</v>
      </c>
      <c r="K197" s="42" t="inlineStr">
        <is>
          <t>US Senate</t>
        </is>
      </c>
      <c r="L197" s="43" t="n">
        <v>644</v>
      </c>
      <c r="M197" s="43" t="n">
        <v>1947</v>
      </c>
      <c r="N197" s="43" t="n">
        <v>2613</v>
      </c>
      <c r="O197" s="44">
        <f>IFERROR((F197-G197)/(F197+G197),"")</f>
        <v/>
      </c>
      <c r="P197" s="44">
        <f>IFERROR((I197-J197)/(I197+J197),"")</f>
        <v/>
      </c>
      <c r="Q197" s="45">
        <f>IFERROR(O197-P197,"")</f>
        <v/>
      </c>
      <c r="R197" s="44">
        <f>IFERROR((L197-M197)/(L197+M197),"")</f>
        <v/>
      </c>
      <c r="S197" s="46">
        <f>H197/SUMIFS(Counties!$H$2:$H$1583,Counties!$A$2:$A$1583,$A197)</f>
        <v/>
      </c>
      <c r="T197" s="44">
        <f>O197+INDEX(Dashboard!$F$6:$F$22,MATCH($A197,Dashboard!$A$6:$A$22,0))</f>
        <v/>
      </c>
      <c r="U197" s="43">
        <f>AQ197*INDEX(Dashboard!$G$6:$G$22,MATCH($A197,Dashboard!$A$6:$A$22,0))</f>
        <v/>
      </c>
      <c r="V197" s="47" t="n"/>
      <c r="W197" s="47" t="n"/>
      <c r="X197" s="47" t="n"/>
      <c r="Y197" s="48" t="n"/>
      <c r="Z197" s="49" t="n"/>
      <c r="AA197" s="49" t="n"/>
      <c r="AB197" s="49" t="n"/>
      <c r="AC197" s="50" t="n"/>
      <c r="AD197" s="43">
        <f>IF(Z197&lt;&gt;"",Z197,N(V197))</f>
        <v/>
      </c>
      <c r="AE197" s="43">
        <f>IF(AA197&lt;&gt;"",AA197,N(W197))</f>
        <v/>
      </c>
      <c r="AF197" s="43">
        <f>AD197+AE197</f>
        <v/>
      </c>
      <c r="AG197" s="42">
        <f>IF(UPPER(AC197)="Y",1,IF(AF197=0,0,IF(AND(Z197="",Y197&lt;&gt;""),IF(Y197&gt;=0.999,1,0),IF(AF197&gt;=U197,1,0))))</f>
        <v/>
      </c>
      <c r="AH197" s="44">
        <f>IF(AF197&gt;0,(AD197-AE197)/AF197,"")</f>
        <v/>
      </c>
      <c r="AI197" s="45">
        <f>IF(AG197=1,AH197-O197,"")</f>
        <v/>
      </c>
      <c r="AJ197" s="44">
        <f>IF(AG197=1,AH197,MAX(-1,MIN(1,O197+INDEX(Types!$H:$H,MATCH($A197&amp;"|"&amp;$D197,Types!$A:$A,0)))))</f>
        <v/>
      </c>
      <c r="AK197" s="43">
        <f>IF(AG197=1,AF197,MAX(AQ197*AS197,AF197))</f>
        <v/>
      </c>
      <c r="AL197" s="43">
        <f>IF(AG197=1,AD197,AK197*(1+AJ197)/2)</f>
        <v/>
      </c>
      <c r="AM197" s="43">
        <f>IF(AG197=1,AE197,AK197*(1-AJ197)/2)</f>
        <v/>
      </c>
      <c r="AN197" s="45">
        <f>IF(AH197="","",AH197-T197)</f>
        <v/>
      </c>
      <c r="AO197" s="51">
        <f>IF(AG197=1,1,IF(U197&gt;0,MIN(AF197/U197,0.99),0))</f>
        <v/>
      </c>
      <c r="AP197" s="43">
        <f>IF(AG197=1,AI197*AF197,0)</f>
        <v/>
      </c>
      <c r="AQ197" s="43">
        <f>N197*(F197+G197)/H197</f>
        <v/>
      </c>
      <c r="AR197" s="43">
        <f>O197*AQ197</f>
        <v/>
      </c>
      <c r="AS197" s="52">
        <f>IF(AG197=1,IF(AQ197&gt;0,AF197/AQ197,1),IFERROR(INDEX(Types!$K:$K,MATCH($A197&amp;"|"&amp;$D197,Types!$A:$A,0)),INDEX(Dashboard!$X$6:$X$22,MATCH($A197,Dashboard!$A$6:$A$22,0))))</f>
        <v/>
      </c>
      <c r="AT197" s="43">
        <f>AQ197*INDEX(Dashboard!$Y$6:$Y$22,MATCH($A197,Dashboard!$A$6:$A$22,0))</f>
        <v/>
      </c>
      <c r="AU197" s="53">
        <f>IF(AND(AG197=1,AT197&gt;0,AF197&gt;0),100*AF197/AT197,"")</f>
        <v/>
      </c>
      <c r="AV197" s="44">
        <f>IF(AU197="","",T197/(AU197/100))</f>
        <v/>
      </c>
      <c r="AW197" s="53">
        <f>IF(AU197="","",IF(AND(ABS(AH197)&gt;=0.1,ABS(T197)&gt;=0.05,SIGN(AH197)=SIGN(T197)),100*T197/AH197,""))</f>
        <v/>
      </c>
      <c r="AX197" s="45">
        <f>IF(AU197="","",T197-AV197)</f>
        <v/>
      </c>
      <c r="AY197" s="45">
        <f>IF(AU197="","",AH197-AV197)</f>
        <v/>
      </c>
      <c r="AZ197" s="54">
        <f>(AL197-AM197)-T197*AT197</f>
        <v/>
      </c>
      <c r="BA197" s="43">
        <f>IF(AU197="",0,(AH197-T197)*AF197)</f>
        <v/>
      </c>
      <c r="BB197" s="43">
        <f>IF(AU197="",0,T197*(AF197-AT197))</f>
        <v/>
      </c>
      <c r="BC197" s="51" t="n">
        <v>0.3435471010365646</v>
      </c>
      <c r="BD197" s="51" t="n">
        <v>0.03952614192960474</v>
      </c>
      <c r="BE197" s="51" t="n">
        <v>0.1407942238267148</v>
      </c>
      <c r="BF197" s="43" t="n">
        <v>8779</v>
      </c>
    </row>
    <row r="198">
      <c r="A198" s="42" t="inlineStr">
        <is>
          <t>GA</t>
        </is>
      </c>
      <c r="B198" s="42" t="inlineStr">
        <is>
          <t>13317</t>
        </is>
      </c>
      <c r="C198" s="42" t="inlineStr">
        <is>
          <t>Wilkes</t>
        </is>
      </c>
      <c r="D198" s="42" t="inlineStr">
        <is>
          <t>Small town &amp; rural</t>
        </is>
      </c>
      <c r="E198" s="42" t="inlineStr"/>
      <c r="F198" s="43" t="n">
        <v>2112</v>
      </c>
      <c r="G198" s="43" t="n">
        <v>2971</v>
      </c>
      <c r="H198" s="43" t="n">
        <v>5098</v>
      </c>
      <c r="I198" s="43" t="n">
        <v>2160</v>
      </c>
      <c r="J198" s="43" t="n">
        <v>2823</v>
      </c>
      <c r="K198" s="42" t="inlineStr">
        <is>
          <t>US Senate</t>
        </is>
      </c>
      <c r="L198" s="43" t="n">
        <v>1680</v>
      </c>
      <c r="M198" s="43" t="n">
        <v>2402</v>
      </c>
      <c r="N198" s="43" t="n">
        <v>4128</v>
      </c>
      <c r="O198" s="44">
        <f>IFERROR((F198-G198)/(F198+G198),"")</f>
        <v/>
      </c>
      <c r="P198" s="44">
        <f>IFERROR((I198-J198)/(I198+J198),"")</f>
        <v/>
      </c>
      <c r="Q198" s="45">
        <f>IFERROR(O198-P198,"")</f>
        <v/>
      </c>
      <c r="R198" s="44">
        <f>IFERROR((L198-M198)/(L198+M198),"")</f>
        <v/>
      </c>
      <c r="S198" s="46">
        <f>H198/SUMIFS(Counties!$H$2:$H$1583,Counties!$A$2:$A$1583,$A198)</f>
        <v/>
      </c>
      <c r="T198" s="44">
        <f>O198+INDEX(Dashboard!$F$6:$F$22,MATCH($A198,Dashboard!$A$6:$A$22,0))</f>
        <v/>
      </c>
      <c r="U198" s="43">
        <f>AQ198*INDEX(Dashboard!$G$6:$G$22,MATCH($A198,Dashboard!$A$6:$A$22,0))</f>
        <v/>
      </c>
      <c r="V198" s="47" t="n"/>
      <c r="W198" s="47" t="n"/>
      <c r="X198" s="47" t="n"/>
      <c r="Y198" s="48" t="n"/>
      <c r="Z198" s="49" t="n"/>
      <c r="AA198" s="49" t="n"/>
      <c r="AB198" s="49" t="n"/>
      <c r="AC198" s="50" t="n"/>
      <c r="AD198" s="43">
        <f>IF(Z198&lt;&gt;"",Z198,N(V198))</f>
        <v/>
      </c>
      <c r="AE198" s="43">
        <f>IF(AA198&lt;&gt;"",AA198,N(W198))</f>
        <v/>
      </c>
      <c r="AF198" s="43">
        <f>AD198+AE198</f>
        <v/>
      </c>
      <c r="AG198" s="42">
        <f>IF(UPPER(AC198)="Y",1,IF(AF198=0,0,IF(AND(Z198="",Y198&lt;&gt;""),IF(Y198&gt;=0.999,1,0),IF(AF198&gt;=U198,1,0))))</f>
        <v/>
      </c>
      <c r="AH198" s="44">
        <f>IF(AF198&gt;0,(AD198-AE198)/AF198,"")</f>
        <v/>
      </c>
      <c r="AI198" s="45">
        <f>IF(AG198=1,AH198-O198,"")</f>
        <v/>
      </c>
      <c r="AJ198" s="44">
        <f>IF(AG198=1,AH198,MAX(-1,MIN(1,O198+INDEX(Types!$H:$H,MATCH($A198&amp;"|"&amp;$D198,Types!$A:$A,0)))))</f>
        <v/>
      </c>
      <c r="AK198" s="43">
        <f>IF(AG198=1,AF198,MAX(AQ198*AS198,AF198))</f>
        <v/>
      </c>
      <c r="AL198" s="43">
        <f>IF(AG198=1,AD198,AK198*(1+AJ198)/2)</f>
        <v/>
      </c>
      <c r="AM198" s="43">
        <f>IF(AG198=1,AE198,AK198*(1-AJ198)/2)</f>
        <v/>
      </c>
      <c r="AN198" s="45">
        <f>IF(AH198="","",AH198-T198)</f>
        <v/>
      </c>
      <c r="AO198" s="51">
        <f>IF(AG198=1,1,IF(U198&gt;0,MIN(AF198/U198,0.99),0))</f>
        <v/>
      </c>
      <c r="AP198" s="43">
        <f>IF(AG198=1,AI198*AF198,0)</f>
        <v/>
      </c>
      <c r="AQ198" s="43">
        <f>N198*(F198+G198)/H198</f>
        <v/>
      </c>
      <c r="AR198" s="43">
        <f>O198*AQ198</f>
        <v/>
      </c>
      <c r="AS198" s="52">
        <f>IF(AG198=1,IF(AQ198&gt;0,AF198/AQ198,1),IFERROR(INDEX(Types!$K:$K,MATCH($A198&amp;"|"&amp;$D198,Types!$A:$A,0)),INDEX(Dashboard!$X$6:$X$22,MATCH($A198,Dashboard!$A$6:$A$22,0))))</f>
        <v/>
      </c>
      <c r="AT198" s="43">
        <f>AQ198*INDEX(Dashboard!$Y$6:$Y$22,MATCH($A198,Dashboard!$A$6:$A$22,0))</f>
        <v/>
      </c>
      <c r="AU198" s="53">
        <f>IF(AND(AG198=1,AT198&gt;0,AF198&gt;0),100*AF198/AT198,"")</f>
        <v/>
      </c>
      <c r="AV198" s="44">
        <f>IF(AU198="","",T198/(AU198/100))</f>
        <v/>
      </c>
      <c r="AW198" s="53">
        <f>IF(AU198="","",IF(AND(ABS(AH198)&gt;=0.1,ABS(T198)&gt;=0.05,SIGN(AH198)=SIGN(T198)),100*T198/AH198,""))</f>
        <v/>
      </c>
      <c r="AX198" s="45">
        <f>IF(AU198="","",T198-AV198)</f>
        <v/>
      </c>
      <c r="AY198" s="45">
        <f>IF(AU198="","",AH198-AV198)</f>
        <v/>
      </c>
      <c r="AZ198" s="54">
        <f>(AL198-AM198)-T198*AT198</f>
        <v/>
      </c>
      <c r="BA198" s="43">
        <f>IF(AU198="",0,(AH198-T198)*AF198)</f>
        <v/>
      </c>
      <c r="BB198" s="43">
        <f>IF(AU198="",0,T198*(AF198-AT198))</f>
        <v/>
      </c>
      <c r="BC198" s="51" t="n">
        <v>0.3925194368564824</v>
      </c>
      <c r="BD198" s="51" t="n">
        <v>0.05053582685438118</v>
      </c>
      <c r="BE198" s="51" t="n">
        <v>0.1574624752194846</v>
      </c>
      <c r="BF198" s="43" t="n">
        <v>9518</v>
      </c>
    </row>
    <row r="199">
      <c r="A199" s="42" t="inlineStr">
        <is>
          <t>GA</t>
        </is>
      </c>
      <c r="B199" s="42" t="inlineStr">
        <is>
          <t>13319</t>
        </is>
      </c>
      <c r="C199" s="42" t="inlineStr">
        <is>
          <t>Wilkinson</t>
        </is>
      </c>
      <c r="D199" s="42" t="inlineStr">
        <is>
          <t>Small town &amp; rural</t>
        </is>
      </c>
      <c r="E199" s="42" t="inlineStr"/>
      <c r="F199" s="43" t="n">
        <v>2012</v>
      </c>
      <c r="G199" s="43" t="n">
        <v>2888</v>
      </c>
      <c r="H199" s="43" t="n">
        <v>4908</v>
      </c>
      <c r="I199" s="43" t="n">
        <v>2074</v>
      </c>
      <c r="J199" s="43" t="n">
        <v>2665</v>
      </c>
      <c r="K199" s="42" t="inlineStr">
        <is>
          <t>US Senate</t>
        </is>
      </c>
      <c r="L199" s="43" t="n">
        <v>1728</v>
      </c>
      <c r="M199" s="43" t="n">
        <v>2272</v>
      </c>
      <c r="N199" s="43" t="n">
        <v>4043</v>
      </c>
      <c r="O199" s="44">
        <f>IFERROR((F199-G199)/(F199+G199),"")</f>
        <v/>
      </c>
      <c r="P199" s="44">
        <f>IFERROR((I199-J199)/(I199+J199),"")</f>
        <v/>
      </c>
      <c r="Q199" s="45">
        <f>IFERROR(O199-P199,"")</f>
        <v/>
      </c>
      <c r="R199" s="44">
        <f>IFERROR((L199-M199)/(L199+M199),"")</f>
        <v/>
      </c>
      <c r="S199" s="46">
        <f>H199/SUMIFS(Counties!$H$2:$H$1583,Counties!$A$2:$A$1583,$A199)</f>
        <v/>
      </c>
      <c r="T199" s="44">
        <f>O199+INDEX(Dashboard!$F$6:$F$22,MATCH($A199,Dashboard!$A$6:$A$22,0))</f>
        <v/>
      </c>
      <c r="U199" s="43">
        <f>AQ199*INDEX(Dashboard!$G$6:$G$22,MATCH($A199,Dashboard!$A$6:$A$22,0))</f>
        <v/>
      </c>
      <c r="V199" s="47" t="n"/>
      <c r="W199" s="47" t="n"/>
      <c r="X199" s="47" t="n"/>
      <c r="Y199" s="48" t="n"/>
      <c r="Z199" s="49" t="n"/>
      <c r="AA199" s="49" t="n"/>
      <c r="AB199" s="49" t="n"/>
      <c r="AC199" s="50" t="n"/>
      <c r="AD199" s="43">
        <f>IF(Z199&lt;&gt;"",Z199,N(V199))</f>
        <v/>
      </c>
      <c r="AE199" s="43">
        <f>IF(AA199&lt;&gt;"",AA199,N(W199))</f>
        <v/>
      </c>
      <c r="AF199" s="43">
        <f>AD199+AE199</f>
        <v/>
      </c>
      <c r="AG199" s="42">
        <f>IF(UPPER(AC199)="Y",1,IF(AF199=0,0,IF(AND(Z199="",Y199&lt;&gt;""),IF(Y199&gt;=0.999,1,0),IF(AF199&gt;=U199,1,0))))</f>
        <v/>
      </c>
      <c r="AH199" s="44">
        <f>IF(AF199&gt;0,(AD199-AE199)/AF199,"")</f>
        <v/>
      </c>
      <c r="AI199" s="45">
        <f>IF(AG199=1,AH199-O199,"")</f>
        <v/>
      </c>
      <c r="AJ199" s="44">
        <f>IF(AG199=1,AH199,MAX(-1,MIN(1,O199+INDEX(Types!$H:$H,MATCH($A199&amp;"|"&amp;$D199,Types!$A:$A,0)))))</f>
        <v/>
      </c>
      <c r="AK199" s="43">
        <f>IF(AG199=1,AF199,MAX(AQ199*AS199,AF199))</f>
        <v/>
      </c>
      <c r="AL199" s="43">
        <f>IF(AG199=1,AD199,AK199*(1+AJ199)/2)</f>
        <v/>
      </c>
      <c r="AM199" s="43">
        <f>IF(AG199=1,AE199,AK199*(1-AJ199)/2)</f>
        <v/>
      </c>
      <c r="AN199" s="45">
        <f>IF(AH199="","",AH199-T199)</f>
        <v/>
      </c>
      <c r="AO199" s="51">
        <f>IF(AG199=1,1,IF(U199&gt;0,MIN(AF199/U199,0.99),0))</f>
        <v/>
      </c>
      <c r="AP199" s="43">
        <f>IF(AG199=1,AI199*AF199,0)</f>
        <v/>
      </c>
      <c r="AQ199" s="43">
        <f>N199*(F199+G199)/H199</f>
        <v/>
      </c>
      <c r="AR199" s="43">
        <f>O199*AQ199</f>
        <v/>
      </c>
      <c r="AS199" s="52">
        <f>IF(AG199=1,IF(AQ199&gt;0,AF199/AQ199,1),IFERROR(INDEX(Types!$K:$K,MATCH($A199&amp;"|"&amp;$D199,Types!$A:$A,0)),INDEX(Dashboard!$X$6:$X$22,MATCH($A199,Dashboard!$A$6:$A$22,0))))</f>
        <v/>
      </c>
      <c r="AT199" s="43">
        <f>AQ199*INDEX(Dashboard!$Y$6:$Y$22,MATCH($A199,Dashboard!$A$6:$A$22,0))</f>
        <v/>
      </c>
      <c r="AU199" s="53">
        <f>IF(AND(AG199=1,AT199&gt;0,AF199&gt;0),100*AF199/AT199,"")</f>
        <v/>
      </c>
      <c r="AV199" s="44">
        <f>IF(AU199="","",T199/(AU199/100))</f>
        <v/>
      </c>
      <c r="AW199" s="53">
        <f>IF(AU199="","",IF(AND(ABS(AH199)&gt;=0.1,ABS(T199)&gt;=0.05,SIGN(AH199)=SIGN(T199)),100*T199/AH199,""))</f>
        <v/>
      </c>
      <c r="AX199" s="45">
        <f>IF(AU199="","",T199-AV199)</f>
        <v/>
      </c>
      <c r="AY199" s="45">
        <f>IF(AU199="","",AH199-AV199)</f>
        <v/>
      </c>
      <c r="AZ199" s="54">
        <f>(AL199-AM199)-T199*AT199</f>
        <v/>
      </c>
      <c r="BA199" s="43">
        <f>IF(AU199="",0,(AH199-T199)*AF199)</f>
        <v/>
      </c>
      <c r="BB199" s="43">
        <f>IF(AU199="",0,T199*(AF199-AT199))</f>
        <v/>
      </c>
      <c r="BC199" s="51" t="n">
        <v>0.3674498567335244</v>
      </c>
      <c r="BD199" s="51" t="n">
        <v>0.03300859598853868</v>
      </c>
      <c r="BE199" s="51" t="n">
        <v>0.1268680961663418</v>
      </c>
      <c r="BF199" s="43" t="n">
        <v>8725</v>
      </c>
    </row>
    <row r="200">
      <c r="A200" s="42" t="inlineStr">
        <is>
          <t>GA</t>
        </is>
      </c>
      <c r="B200" s="42" t="inlineStr">
        <is>
          <t>13321</t>
        </is>
      </c>
      <c r="C200" s="42" t="inlineStr">
        <is>
          <t>Worth</t>
        </is>
      </c>
      <c r="D200" s="42" t="inlineStr">
        <is>
          <t>Small town &amp; rural</t>
        </is>
      </c>
      <c r="E200" s="42" t="inlineStr"/>
      <c r="F200" s="43" t="n">
        <v>2300</v>
      </c>
      <c r="G200" s="43" t="n">
        <v>6991</v>
      </c>
      <c r="H200" s="43" t="n">
        <v>9309</v>
      </c>
      <c r="I200" s="43" t="n">
        <v>2395</v>
      </c>
      <c r="J200" s="43" t="n">
        <v>6830</v>
      </c>
      <c r="K200" s="42" t="inlineStr">
        <is>
          <t>US Senate</t>
        </is>
      </c>
      <c r="L200" s="43" t="n">
        <v>1842</v>
      </c>
      <c r="M200" s="43" t="n">
        <v>5416</v>
      </c>
      <c r="N200" s="43" t="n">
        <v>7358</v>
      </c>
      <c r="O200" s="44">
        <f>IFERROR((F200-G200)/(F200+G200),"")</f>
        <v/>
      </c>
      <c r="P200" s="44">
        <f>IFERROR((I200-J200)/(I200+J200),"")</f>
        <v/>
      </c>
      <c r="Q200" s="45">
        <f>IFERROR(O200-P200,"")</f>
        <v/>
      </c>
      <c r="R200" s="44">
        <f>IFERROR((L200-M200)/(L200+M200),"")</f>
        <v/>
      </c>
      <c r="S200" s="46">
        <f>H200/SUMIFS(Counties!$H$2:$H$1583,Counties!$A$2:$A$1583,$A200)</f>
        <v/>
      </c>
      <c r="T200" s="44">
        <f>O200+INDEX(Dashboard!$F$6:$F$22,MATCH($A200,Dashboard!$A$6:$A$22,0))</f>
        <v/>
      </c>
      <c r="U200" s="43">
        <f>AQ200*INDEX(Dashboard!$G$6:$G$22,MATCH($A200,Dashboard!$A$6:$A$22,0))</f>
        <v/>
      </c>
      <c r="V200" s="47" t="n"/>
      <c r="W200" s="47" t="n"/>
      <c r="X200" s="47" t="n"/>
      <c r="Y200" s="48" t="n"/>
      <c r="Z200" s="49" t="n"/>
      <c r="AA200" s="49" t="n"/>
      <c r="AB200" s="49" t="n"/>
      <c r="AC200" s="50" t="n"/>
      <c r="AD200" s="43">
        <f>IF(Z200&lt;&gt;"",Z200,N(V200))</f>
        <v/>
      </c>
      <c r="AE200" s="43">
        <f>IF(AA200&lt;&gt;"",AA200,N(W200))</f>
        <v/>
      </c>
      <c r="AF200" s="43">
        <f>AD200+AE200</f>
        <v/>
      </c>
      <c r="AG200" s="42">
        <f>IF(UPPER(AC200)="Y",1,IF(AF200=0,0,IF(AND(Z200="",Y200&lt;&gt;""),IF(Y200&gt;=0.999,1,0),IF(AF200&gt;=U200,1,0))))</f>
        <v/>
      </c>
      <c r="AH200" s="44">
        <f>IF(AF200&gt;0,(AD200-AE200)/AF200,"")</f>
        <v/>
      </c>
      <c r="AI200" s="45">
        <f>IF(AG200=1,AH200-O200,"")</f>
        <v/>
      </c>
      <c r="AJ200" s="44">
        <f>IF(AG200=1,AH200,MAX(-1,MIN(1,O200+INDEX(Types!$H:$H,MATCH($A200&amp;"|"&amp;$D200,Types!$A:$A,0)))))</f>
        <v/>
      </c>
      <c r="AK200" s="43">
        <f>IF(AG200=1,AF200,MAX(AQ200*AS200,AF200))</f>
        <v/>
      </c>
      <c r="AL200" s="43">
        <f>IF(AG200=1,AD200,AK200*(1+AJ200)/2)</f>
        <v/>
      </c>
      <c r="AM200" s="43">
        <f>IF(AG200=1,AE200,AK200*(1-AJ200)/2)</f>
        <v/>
      </c>
      <c r="AN200" s="45">
        <f>IF(AH200="","",AH200-T200)</f>
        <v/>
      </c>
      <c r="AO200" s="51">
        <f>IF(AG200=1,1,IF(U200&gt;0,MIN(AF200/U200,0.99),0))</f>
        <v/>
      </c>
      <c r="AP200" s="43">
        <f>IF(AG200=1,AI200*AF200,0)</f>
        <v/>
      </c>
      <c r="AQ200" s="43">
        <f>N200*(F200+G200)/H200</f>
        <v/>
      </c>
      <c r="AR200" s="43">
        <f>O200*AQ200</f>
        <v/>
      </c>
      <c r="AS200" s="52">
        <f>IF(AG200=1,IF(AQ200&gt;0,AF200/AQ200,1),IFERROR(INDEX(Types!$K:$K,MATCH($A200&amp;"|"&amp;$D200,Types!$A:$A,0)),INDEX(Dashboard!$X$6:$X$22,MATCH($A200,Dashboard!$A$6:$A$22,0))))</f>
        <v/>
      </c>
      <c r="AT200" s="43">
        <f>AQ200*INDEX(Dashboard!$Y$6:$Y$22,MATCH($A200,Dashboard!$A$6:$A$22,0))</f>
        <v/>
      </c>
      <c r="AU200" s="53">
        <f>IF(AND(AG200=1,AT200&gt;0,AF200&gt;0),100*AF200/AT200,"")</f>
        <v/>
      </c>
      <c r="AV200" s="44">
        <f>IF(AU200="","",T200/(AU200/100))</f>
        <v/>
      </c>
      <c r="AW200" s="53">
        <f>IF(AU200="","",IF(AND(ABS(AH200)&gt;=0.1,ABS(T200)&gt;=0.05,SIGN(AH200)=SIGN(T200)),100*T200/AH200,""))</f>
        <v/>
      </c>
      <c r="AX200" s="45">
        <f>IF(AU200="","",T200-AV200)</f>
        <v/>
      </c>
      <c r="AY200" s="45">
        <f>IF(AU200="","",AH200-AV200)</f>
        <v/>
      </c>
      <c r="AZ200" s="54">
        <f>(AL200-AM200)-T200*AT200</f>
        <v/>
      </c>
      <c r="BA200" s="43">
        <f>IF(AU200="",0,(AH200-T200)*AF200)</f>
        <v/>
      </c>
      <c r="BB200" s="43">
        <f>IF(AU200="",0,T200*(AF200-AT200))</f>
        <v/>
      </c>
      <c r="BC200" s="51" t="n">
        <v>0.2820500172643418</v>
      </c>
      <c r="BD200" s="51" t="n">
        <v>0.02732698663246683</v>
      </c>
      <c r="BE200" s="51" t="n">
        <v>0.1129343629343629</v>
      </c>
      <c r="BF200" s="43" t="n">
        <v>20273</v>
      </c>
    </row>
    <row r="201">
      <c r="A201" s="42" t="inlineStr">
        <is>
          <t>IA</t>
        </is>
      </c>
      <c r="B201" s="42" t="inlineStr">
        <is>
          <t>19001</t>
        </is>
      </c>
      <c r="C201" s="42" t="inlineStr">
        <is>
          <t>Adair</t>
        </is>
      </c>
      <c r="D201" s="42" t="inlineStr">
        <is>
          <t>Small town &amp; rural</t>
        </is>
      </c>
      <c r="E201" s="42" t="inlineStr"/>
      <c r="F201" s="43" t="n">
        <v>1086</v>
      </c>
      <c r="G201" s="43" t="n">
        <v>2916</v>
      </c>
      <c r="H201" s="43" t="n">
        <v>4064</v>
      </c>
      <c r="I201" s="43" t="n">
        <v>1198</v>
      </c>
      <c r="J201" s="43" t="n">
        <v>2917</v>
      </c>
      <c r="K201" s="42" t="inlineStr">
        <is>
          <t>US Senate</t>
        </is>
      </c>
      <c r="L201" s="43" t="n">
        <v>887</v>
      </c>
      <c r="M201" s="43" t="n">
        <v>2279</v>
      </c>
      <c r="N201" s="43" t="n">
        <v>3169</v>
      </c>
      <c r="O201" s="44">
        <f>IFERROR((F201-G201)/(F201+G201),"")</f>
        <v/>
      </c>
      <c r="P201" s="44">
        <f>IFERROR((I201-J201)/(I201+J201),"")</f>
        <v/>
      </c>
      <c r="Q201" s="45">
        <f>IFERROR(O201-P201,"")</f>
        <v/>
      </c>
      <c r="R201" s="44">
        <f>IFERROR((L201-M201)/(L201+M201),"")</f>
        <v/>
      </c>
      <c r="S201" s="46">
        <f>H201/SUMIFS(Counties!$H$2:$H$1583,Counties!$A$2:$A$1583,$A201)</f>
        <v/>
      </c>
      <c r="T201" s="44">
        <f>O201+INDEX(Dashboard!$F$6:$F$22,MATCH($A201,Dashboard!$A$6:$A$22,0))</f>
        <v/>
      </c>
      <c r="U201" s="43">
        <f>AQ201*INDEX(Dashboard!$G$6:$G$22,MATCH($A201,Dashboard!$A$6:$A$22,0))</f>
        <v/>
      </c>
      <c r="V201" s="47" t="n"/>
      <c r="W201" s="47" t="n"/>
      <c r="X201" s="47" t="n"/>
      <c r="Y201" s="48" t="n"/>
      <c r="Z201" s="49" t="n"/>
      <c r="AA201" s="49" t="n"/>
      <c r="AB201" s="49" t="n"/>
      <c r="AC201" s="50" t="n"/>
      <c r="AD201" s="43">
        <f>IF(Z201&lt;&gt;"",Z201,N(V201))</f>
        <v/>
      </c>
      <c r="AE201" s="43">
        <f>IF(AA201&lt;&gt;"",AA201,N(W201))</f>
        <v/>
      </c>
      <c r="AF201" s="43">
        <f>AD201+AE201</f>
        <v/>
      </c>
      <c r="AG201" s="42">
        <f>IF(UPPER(AC201)="Y",1,IF(AF201=0,0,IF(AND(Z201="",Y201&lt;&gt;""),IF(Y201&gt;=0.999,1,0),IF(AF201&gt;=U201,1,0))))</f>
        <v/>
      </c>
      <c r="AH201" s="44">
        <f>IF(AF201&gt;0,(AD201-AE201)/AF201,"")</f>
        <v/>
      </c>
      <c r="AI201" s="45">
        <f>IF(AG201=1,AH201-O201,"")</f>
        <v/>
      </c>
      <c r="AJ201" s="44">
        <f>IF(AG201=1,AH201,MAX(-1,MIN(1,O201+INDEX(Types!$H:$H,MATCH($A201&amp;"|"&amp;$D201,Types!$A:$A,0)))))</f>
        <v/>
      </c>
      <c r="AK201" s="43">
        <f>IF(AG201=1,AF201,MAX(AQ201*AS201,AF201))</f>
        <v/>
      </c>
      <c r="AL201" s="43">
        <f>IF(AG201=1,AD201,AK201*(1+AJ201)/2)</f>
        <v/>
      </c>
      <c r="AM201" s="43">
        <f>IF(AG201=1,AE201,AK201*(1-AJ201)/2)</f>
        <v/>
      </c>
      <c r="AN201" s="45">
        <f>IF(AH201="","",AH201-T201)</f>
        <v/>
      </c>
      <c r="AO201" s="51">
        <f>IF(AG201=1,1,IF(U201&gt;0,MIN(AF201/U201,0.99),0))</f>
        <v/>
      </c>
      <c r="AP201" s="43">
        <f>IF(AG201=1,AI201*AF201,0)</f>
        <v/>
      </c>
      <c r="AQ201" s="43">
        <f>N201*(F201+G201)/H201</f>
        <v/>
      </c>
      <c r="AR201" s="43">
        <f>O201*AQ201</f>
        <v/>
      </c>
      <c r="AS201" s="52">
        <f>IF(AG201=1,IF(AQ201&gt;0,AF201/AQ201,1),IFERROR(INDEX(Types!$K:$K,MATCH($A201&amp;"|"&amp;$D201,Types!$A:$A,0)),INDEX(Dashboard!$X$6:$X$22,MATCH($A201,Dashboard!$A$6:$A$22,0))))</f>
        <v/>
      </c>
      <c r="AT201" s="43">
        <f>AQ201*INDEX(Dashboard!$Y$6:$Y$22,MATCH($A201,Dashboard!$A$6:$A$22,0))</f>
        <v/>
      </c>
      <c r="AU201" s="53">
        <f>IF(AND(AG201=1,AT201&gt;0,AF201&gt;0),100*AF201/AT201,"")</f>
        <v/>
      </c>
      <c r="AV201" s="44">
        <f>IF(AU201="","",T201/(AU201/100))</f>
        <v/>
      </c>
      <c r="AW201" s="53">
        <f>IF(AU201="","",IF(AND(ABS(AH201)&gt;=0.1,ABS(T201)&gt;=0.05,SIGN(AH201)=SIGN(T201)),100*T201/AH201,""))</f>
        <v/>
      </c>
      <c r="AX201" s="45">
        <f>IF(AU201="","",T201-AV201)</f>
        <v/>
      </c>
      <c r="AY201" s="45">
        <f>IF(AU201="","",AH201-AV201)</f>
        <v/>
      </c>
      <c r="AZ201" s="54">
        <f>(AL201-AM201)-T201*AT201</f>
        <v/>
      </c>
      <c r="BA201" s="43">
        <f>IF(AU201="",0,(AH201-T201)*AF201)</f>
        <v/>
      </c>
      <c r="BB201" s="43">
        <f>IF(AU201="",0,T201*(AF201-AT201))</f>
        <v/>
      </c>
      <c r="BC201" s="51" t="n">
        <v>0.00987955068344837</v>
      </c>
      <c r="BD201" s="51" t="n">
        <v>0.03342806875084585</v>
      </c>
      <c r="BE201" s="51" t="n">
        <v>0.2001141335362374</v>
      </c>
      <c r="BF201" s="43" t="n">
        <v>7389</v>
      </c>
    </row>
    <row r="202">
      <c r="A202" s="42" t="inlineStr">
        <is>
          <t>IA</t>
        </is>
      </c>
      <c r="B202" s="42" t="inlineStr">
        <is>
          <t>19003</t>
        </is>
      </c>
      <c r="C202" s="42" t="inlineStr">
        <is>
          <t>Adams</t>
        </is>
      </c>
      <c r="D202" s="42" t="inlineStr">
        <is>
          <t>Small town &amp; rural</t>
        </is>
      </c>
      <c r="E202" s="42" t="inlineStr"/>
      <c r="F202" s="43" t="n">
        <v>576</v>
      </c>
      <c r="G202" s="43" t="n">
        <v>1517</v>
      </c>
      <c r="H202" s="43" t="n">
        <v>2131</v>
      </c>
      <c r="I202" s="43" t="n">
        <v>590</v>
      </c>
      <c r="J202" s="43" t="n">
        <v>1530</v>
      </c>
      <c r="K202" s="42" t="inlineStr">
        <is>
          <t>US Senate</t>
        </is>
      </c>
      <c r="L202" s="43" t="n">
        <v>467</v>
      </c>
      <c r="M202" s="43" t="n">
        <v>1167</v>
      </c>
      <c r="N202" s="43" t="n">
        <v>1637</v>
      </c>
      <c r="O202" s="44">
        <f>IFERROR((F202-G202)/(F202+G202),"")</f>
        <v/>
      </c>
      <c r="P202" s="44">
        <f>IFERROR((I202-J202)/(I202+J202),"")</f>
        <v/>
      </c>
      <c r="Q202" s="45">
        <f>IFERROR(O202-P202,"")</f>
        <v/>
      </c>
      <c r="R202" s="44">
        <f>IFERROR((L202-M202)/(L202+M202),"")</f>
        <v/>
      </c>
      <c r="S202" s="46">
        <f>H202/SUMIFS(Counties!$H$2:$H$1583,Counties!$A$2:$A$1583,$A202)</f>
        <v/>
      </c>
      <c r="T202" s="44">
        <f>O202+INDEX(Dashboard!$F$6:$F$22,MATCH($A202,Dashboard!$A$6:$A$22,0))</f>
        <v/>
      </c>
      <c r="U202" s="43">
        <f>AQ202*INDEX(Dashboard!$G$6:$G$22,MATCH($A202,Dashboard!$A$6:$A$22,0))</f>
        <v/>
      </c>
      <c r="V202" s="47" t="n"/>
      <c r="W202" s="47" t="n"/>
      <c r="X202" s="47" t="n"/>
      <c r="Y202" s="48" t="n"/>
      <c r="Z202" s="49" t="n"/>
      <c r="AA202" s="49" t="n"/>
      <c r="AB202" s="49" t="n"/>
      <c r="AC202" s="50" t="n"/>
      <c r="AD202" s="43">
        <f>IF(Z202&lt;&gt;"",Z202,N(V202))</f>
        <v/>
      </c>
      <c r="AE202" s="43">
        <f>IF(AA202&lt;&gt;"",AA202,N(W202))</f>
        <v/>
      </c>
      <c r="AF202" s="43">
        <f>AD202+AE202</f>
        <v/>
      </c>
      <c r="AG202" s="42">
        <f>IF(UPPER(AC202)="Y",1,IF(AF202=0,0,IF(AND(Z202="",Y202&lt;&gt;""),IF(Y202&gt;=0.999,1,0),IF(AF202&gt;=U202,1,0))))</f>
        <v/>
      </c>
      <c r="AH202" s="44">
        <f>IF(AF202&gt;0,(AD202-AE202)/AF202,"")</f>
        <v/>
      </c>
      <c r="AI202" s="45">
        <f>IF(AG202=1,AH202-O202,"")</f>
        <v/>
      </c>
      <c r="AJ202" s="44">
        <f>IF(AG202=1,AH202,MAX(-1,MIN(1,O202+INDEX(Types!$H:$H,MATCH($A202&amp;"|"&amp;$D202,Types!$A:$A,0)))))</f>
        <v/>
      </c>
      <c r="AK202" s="43">
        <f>IF(AG202=1,AF202,MAX(AQ202*AS202,AF202))</f>
        <v/>
      </c>
      <c r="AL202" s="43">
        <f>IF(AG202=1,AD202,AK202*(1+AJ202)/2)</f>
        <v/>
      </c>
      <c r="AM202" s="43">
        <f>IF(AG202=1,AE202,AK202*(1-AJ202)/2)</f>
        <v/>
      </c>
      <c r="AN202" s="45">
        <f>IF(AH202="","",AH202-T202)</f>
        <v/>
      </c>
      <c r="AO202" s="51">
        <f>IF(AG202=1,1,IF(U202&gt;0,MIN(AF202/U202,0.99),0))</f>
        <v/>
      </c>
      <c r="AP202" s="43">
        <f>IF(AG202=1,AI202*AF202,0)</f>
        <v/>
      </c>
      <c r="AQ202" s="43">
        <f>N202*(F202+G202)/H202</f>
        <v/>
      </c>
      <c r="AR202" s="43">
        <f>O202*AQ202</f>
        <v/>
      </c>
      <c r="AS202" s="52">
        <f>IF(AG202=1,IF(AQ202&gt;0,AF202/AQ202,1),IFERROR(INDEX(Types!$K:$K,MATCH($A202&amp;"|"&amp;$D202,Types!$A:$A,0)),INDEX(Dashboard!$X$6:$X$22,MATCH($A202,Dashboard!$A$6:$A$22,0))))</f>
        <v/>
      </c>
      <c r="AT202" s="43">
        <f>AQ202*INDEX(Dashboard!$Y$6:$Y$22,MATCH($A202,Dashboard!$A$6:$A$22,0))</f>
        <v/>
      </c>
      <c r="AU202" s="53">
        <f>IF(AND(AG202=1,AT202&gt;0,AF202&gt;0),100*AF202/AT202,"")</f>
        <v/>
      </c>
      <c r="AV202" s="44">
        <f>IF(AU202="","",T202/(AU202/100))</f>
        <v/>
      </c>
      <c r="AW202" s="53">
        <f>IF(AU202="","",IF(AND(ABS(AH202)&gt;=0.1,ABS(T202)&gt;=0.05,SIGN(AH202)=SIGN(T202)),100*T202/AH202,""))</f>
        <v/>
      </c>
      <c r="AX202" s="45">
        <f>IF(AU202="","",T202-AV202)</f>
        <v/>
      </c>
      <c r="AY202" s="45">
        <f>IF(AU202="","",AH202-AV202)</f>
        <v/>
      </c>
      <c r="AZ202" s="54">
        <f>(AL202-AM202)-T202*AT202</f>
        <v/>
      </c>
      <c r="BA202" s="43">
        <f>IF(AU202="",0,(AH202-T202)*AF202)</f>
        <v/>
      </c>
      <c r="BB202" s="43">
        <f>IF(AU202="",0,T202*(AF202-AT202))</f>
        <v/>
      </c>
      <c r="BC202" s="51" t="n">
        <v>0.009875846501128669</v>
      </c>
      <c r="BD202" s="51" t="n">
        <v>0.01749435665914221</v>
      </c>
      <c r="BE202" s="51" t="n">
        <v>0.2446287222012816</v>
      </c>
      <c r="BF202" s="43" t="n">
        <v>3544</v>
      </c>
    </row>
    <row r="203">
      <c r="A203" s="42" t="inlineStr">
        <is>
          <t>IA</t>
        </is>
      </c>
      <c r="B203" s="42" t="inlineStr">
        <is>
          <t>19005</t>
        </is>
      </c>
      <c r="C203" s="42" t="inlineStr">
        <is>
          <t>Allamakee</t>
        </is>
      </c>
      <c r="D203" s="42" t="inlineStr">
        <is>
          <t>Small town &amp; rural</t>
        </is>
      </c>
      <c r="E203" s="42" t="inlineStr"/>
      <c r="F203" s="43" t="n">
        <v>2350</v>
      </c>
      <c r="G203" s="43" t="n">
        <v>4857</v>
      </c>
      <c r="H203" s="43" t="n">
        <v>7303</v>
      </c>
      <c r="I203" s="43" t="n">
        <v>2576</v>
      </c>
      <c r="J203" s="43" t="n">
        <v>4735</v>
      </c>
      <c r="K203" s="42" t="inlineStr">
        <is>
          <t>US Senate</t>
        </is>
      </c>
      <c r="L203" s="43" t="n">
        <v>1934</v>
      </c>
      <c r="M203" s="43" t="n">
        <v>3806</v>
      </c>
      <c r="N203" s="43" t="n">
        <v>5742</v>
      </c>
      <c r="O203" s="44">
        <f>IFERROR((F203-G203)/(F203+G203),"")</f>
        <v/>
      </c>
      <c r="P203" s="44">
        <f>IFERROR((I203-J203)/(I203+J203),"")</f>
        <v/>
      </c>
      <c r="Q203" s="45">
        <f>IFERROR(O203-P203,"")</f>
        <v/>
      </c>
      <c r="R203" s="44">
        <f>IFERROR((L203-M203)/(L203+M203),"")</f>
        <v/>
      </c>
      <c r="S203" s="46">
        <f>H203/SUMIFS(Counties!$H$2:$H$1583,Counties!$A$2:$A$1583,$A203)</f>
        <v/>
      </c>
      <c r="T203" s="44">
        <f>O203+INDEX(Dashboard!$F$6:$F$22,MATCH($A203,Dashboard!$A$6:$A$22,0))</f>
        <v/>
      </c>
      <c r="U203" s="43">
        <f>AQ203*INDEX(Dashboard!$G$6:$G$22,MATCH($A203,Dashboard!$A$6:$A$22,0))</f>
        <v/>
      </c>
      <c r="V203" s="47" t="n"/>
      <c r="W203" s="47" t="n"/>
      <c r="X203" s="47" t="n"/>
      <c r="Y203" s="48" t="n"/>
      <c r="Z203" s="49" t="n"/>
      <c r="AA203" s="49" t="n"/>
      <c r="AB203" s="49" t="n"/>
      <c r="AC203" s="50" t="n"/>
      <c r="AD203" s="43">
        <f>IF(Z203&lt;&gt;"",Z203,N(V203))</f>
        <v/>
      </c>
      <c r="AE203" s="43">
        <f>IF(AA203&lt;&gt;"",AA203,N(W203))</f>
        <v/>
      </c>
      <c r="AF203" s="43">
        <f>AD203+AE203</f>
        <v/>
      </c>
      <c r="AG203" s="42">
        <f>IF(UPPER(AC203)="Y",1,IF(AF203=0,0,IF(AND(Z203="",Y203&lt;&gt;""),IF(Y203&gt;=0.999,1,0),IF(AF203&gt;=U203,1,0))))</f>
        <v/>
      </c>
      <c r="AH203" s="44">
        <f>IF(AF203&gt;0,(AD203-AE203)/AF203,"")</f>
        <v/>
      </c>
      <c r="AI203" s="45">
        <f>IF(AG203=1,AH203-O203,"")</f>
        <v/>
      </c>
      <c r="AJ203" s="44">
        <f>IF(AG203=1,AH203,MAX(-1,MIN(1,O203+INDEX(Types!$H:$H,MATCH($A203&amp;"|"&amp;$D203,Types!$A:$A,0)))))</f>
        <v/>
      </c>
      <c r="AK203" s="43">
        <f>IF(AG203=1,AF203,MAX(AQ203*AS203,AF203))</f>
        <v/>
      </c>
      <c r="AL203" s="43">
        <f>IF(AG203=1,AD203,AK203*(1+AJ203)/2)</f>
        <v/>
      </c>
      <c r="AM203" s="43">
        <f>IF(AG203=1,AE203,AK203*(1-AJ203)/2)</f>
        <v/>
      </c>
      <c r="AN203" s="45">
        <f>IF(AH203="","",AH203-T203)</f>
        <v/>
      </c>
      <c r="AO203" s="51">
        <f>IF(AG203=1,1,IF(U203&gt;0,MIN(AF203/U203,0.99),0))</f>
        <v/>
      </c>
      <c r="AP203" s="43">
        <f>IF(AG203=1,AI203*AF203,0)</f>
        <v/>
      </c>
      <c r="AQ203" s="43">
        <f>N203*(F203+G203)/H203</f>
        <v/>
      </c>
      <c r="AR203" s="43">
        <f>O203*AQ203</f>
        <v/>
      </c>
      <c r="AS203" s="52">
        <f>IF(AG203=1,IF(AQ203&gt;0,AF203/AQ203,1),IFERROR(INDEX(Types!$K:$K,MATCH($A203&amp;"|"&amp;$D203,Types!$A:$A,0)),INDEX(Dashboard!$X$6:$X$22,MATCH($A203,Dashboard!$A$6:$A$22,0))))</f>
        <v/>
      </c>
      <c r="AT203" s="43">
        <f>AQ203*INDEX(Dashboard!$Y$6:$Y$22,MATCH($A203,Dashboard!$A$6:$A$22,0))</f>
        <v/>
      </c>
      <c r="AU203" s="53">
        <f>IF(AND(AG203=1,AT203&gt;0,AF203&gt;0),100*AF203/AT203,"")</f>
        <v/>
      </c>
      <c r="AV203" s="44">
        <f>IF(AU203="","",T203/(AU203/100))</f>
        <v/>
      </c>
      <c r="AW203" s="53">
        <f>IF(AU203="","",IF(AND(ABS(AH203)&gt;=0.1,ABS(T203)&gt;=0.05,SIGN(AH203)=SIGN(T203)),100*T203/AH203,""))</f>
        <v/>
      </c>
      <c r="AX203" s="45">
        <f>IF(AU203="","",T203-AV203)</f>
        <v/>
      </c>
      <c r="AY203" s="45">
        <f>IF(AU203="","",AH203-AV203)</f>
        <v/>
      </c>
      <c r="AZ203" s="54">
        <f>(AL203-AM203)-T203*AT203</f>
        <v/>
      </c>
      <c r="BA203" s="43">
        <f>IF(AU203="",0,(AH203-T203)*AF203)</f>
        <v/>
      </c>
      <c r="BB203" s="43">
        <f>IF(AU203="",0,T203*(AF203-AT203))</f>
        <v/>
      </c>
      <c r="BC203" s="51" t="n">
        <v>0.01676850930794373</v>
      </c>
      <c r="BD203" s="51" t="n">
        <v>0.09272417223248543</v>
      </c>
      <c r="BE203" s="51" t="n">
        <v>0.1985522233712513</v>
      </c>
      <c r="BF203" s="43" t="n">
        <v>14074</v>
      </c>
    </row>
    <row r="204">
      <c r="A204" s="42" t="inlineStr">
        <is>
          <t>IA</t>
        </is>
      </c>
      <c r="B204" s="42" t="inlineStr">
        <is>
          <t>19007</t>
        </is>
      </c>
      <c r="C204" s="42" t="inlineStr">
        <is>
          <t>Appanoose</t>
        </is>
      </c>
      <c r="D204" s="42" t="inlineStr">
        <is>
          <t>Small town &amp; rural</t>
        </is>
      </c>
      <c r="E204" s="42" t="inlineStr"/>
      <c r="F204" s="43" t="n">
        <v>1686</v>
      </c>
      <c r="G204" s="43" t="n">
        <v>4704</v>
      </c>
      <c r="H204" s="43" t="n">
        <v>6466</v>
      </c>
      <c r="I204" s="43" t="n">
        <v>1891</v>
      </c>
      <c r="J204" s="43" t="n">
        <v>4512</v>
      </c>
      <c r="K204" s="42" t="inlineStr">
        <is>
          <t>US Senate</t>
        </is>
      </c>
      <c r="L204" s="43" t="n">
        <v>1349</v>
      </c>
      <c r="M204" s="43" t="n">
        <v>3357</v>
      </c>
      <c r="N204" s="43" t="n">
        <v>4711</v>
      </c>
      <c r="O204" s="44">
        <f>IFERROR((F204-G204)/(F204+G204),"")</f>
        <v/>
      </c>
      <c r="P204" s="44">
        <f>IFERROR((I204-J204)/(I204+J204),"")</f>
        <v/>
      </c>
      <c r="Q204" s="45">
        <f>IFERROR(O204-P204,"")</f>
        <v/>
      </c>
      <c r="R204" s="44">
        <f>IFERROR((L204-M204)/(L204+M204),"")</f>
        <v/>
      </c>
      <c r="S204" s="46">
        <f>H204/SUMIFS(Counties!$H$2:$H$1583,Counties!$A$2:$A$1583,$A204)</f>
        <v/>
      </c>
      <c r="T204" s="44">
        <f>O204+INDEX(Dashboard!$F$6:$F$22,MATCH($A204,Dashboard!$A$6:$A$22,0))</f>
        <v/>
      </c>
      <c r="U204" s="43">
        <f>AQ204*INDEX(Dashboard!$G$6:$G$22,MATCH($A204,Dashboard!$A$6:$A$22,0))</f>
        <v/>
      </c>
      <c r="V204" s="47" t="n"/>
      <c r="W204" s="47" t="n"/>
      <c r="X204" s="47" t="n"/>
      <c r="Y204" s="48" t="n"/>
      <c r="Z204" s="49" t="n"/>
      <c r="AA204" s="49" t="n"/>
      <c r="AB204" s="49" t="n"/>
      <c r="AC204" s="50" t="n"/>
      <c r="AD204" s="43">
        <f>IF(Z204&lt;&gt;"",Z204,N(V204))</f>
        <v/>
      </c>
      <c r="AE204" s="43">
        <f>IF(AA204&lt;&gt;"",AA204,N(W204))</f>
        <v/>
      </c>
      <c r="AF204" s="43">
        <f>AD204+AE204</f>
        <v/>
      </c>
      <c r="AG204" s="42">
        <f>IF(UPPER(AC204)="Y",1,IF(AF204=0,0,IF(AND(Z204="",Y204&lt;&gt;""),IF(Y204&gt;=0.999,1,0),IF(AF204&gt;=U204,1,0))))</f>
        <v/>
      </c>
      <c r="AH204" s="44">
        <f>IF(AF204&gt;0,(AD204-AE204)/AF204,"")</f>
        <v/>
      </c>
      <c r="AI204" s="45">
        <f>IF(AG204=1,AH204-O204,"")</f>
        <v/>
      </c>
      <c r="AJ204" s="44">
        <f>IF(AG204=1,AH204,MAX(-1,MIN(1,O204+INDEX(Types!$H:$H,MATCH($A204&amp;"|"&amp;$D204,Types!$A:$A,0)))))</f>
        <v/>
      </c>
      <c r="AK204" s="43">
        <f>IF(AG204=1,AF204,MAX(AQ204*AS204,AF204))</f>
        <v/>
      </c>
      <c r="AL204" s="43">
        <f>IF(AG204=1,AD204,AK204*(1+AJ204)/2)</f>
        <v/>
      </c>
      <c r="AM204" s="43">
        <f>IF(AG204=1,AE204,AK204*(1-AJ204)/2)</f>
        <v/>
      </c>
      <c r="AN204" s="45">
        <f>IF(AH204="","",AH204-T204)</f>
        <v/>
      </c>
      <c r="AO204" s="51">
        <f>IF(AG204=1,1,IF(U204&gt;0,MIN(AF204/U204,0.99),0))</f>
        <v/>
      </c>
      <c r="AP204" s="43">
        <f>IF(AG204=1,AI204*AF204,0)</f>
        <v/>
      </c>
      <c r="AQ204" s="43">
        <f>N204*(F204+G204)/H204</f>
        <v/>
      </c>
      <c r="AR204" s="43">
        <f>O204*AQ204</f>
        <v/>
      </c>
      <c r="AS204" s="52">
        <f>IF(AG204=1,IF(AQ204&gt;0,AF204/AQ204,1),IFERROR(INDEX(Types!$K:$K,MATCH($A204&amp;"|"&amp;$D204,Types!$A:$A,0)),INDEX(Dashboard!$X$6:$X$22,MATCH($A204,Dashboard!$A$6:$A$22,0))))</f>
        <v/>
      </c>
      <c r="AT204" s="43">
        <f>AQ204*INDEX(Dashboard!$Y$6:$Y$22,MATCH($A204,Dashboard!$A$6:$A$22,0))</f>
        <v/>
      </c>
      <c r="AU204" s="53">
        <f>IF(AND(AG204=1,AT204&gt;0,AF204&gt;0),100*AF204/AT204,"")</f>
        <v/>
      </c>
      <c r="AV204" s="44">
        <f>IF(AU204="","",T204/(AU204/100))</f>
        <v/>
      </c>
      <c r="AW204" s="53">
        <f>IF(AU204="","",IF(AND(ABS(AH204)&gt;=0.1,ABS(T204)&gt;=0.05,SIGN(AH204)=SIGN(T204)),100*T204/AH204,""))</f>
        <v/>
      </c>
      <c r="AX204" s="45">
        <f>IF(AU204="","",T204-AV204)</f>
        <v/>
      </c>
      <c r="AY204" s="45">
        <f>IF(AU204="","",AH204-AV204)</f>
        <v/>
      </c>
      <c r="AZ204" s="54">
        <f>(AL204-AM204)-T204*AT204</f>
        <v/>
      </c>
      <c r="BA204" s="43">
        <f>IF(AU204="",0,(AH204-T204)*AF204)</f>
        <v/>
      </c>
      <c r="BB204" s="43">
        <f>IF(AU204="",0,T204*(AF204-AT204))</f>
        <v/>
      </c>
      <c r="BC204" s="51" t="n">
        <v>0.007508870368842313</v>
      </c>
      <c r="BD204" s="51" t="n">
        <v>0.02244409604752868</v>
      </c>
      <c r="BE204" s="51" t="n">
        <v>0.1934053439454235</v>
      </c>
      <c r="BF204" s="43" t="n">
        <v>12119</v>
      </c>
    </row>
    <row r="205">
      <c r="A205" s="42" t="inlineStr">
        <is>
          <t>IA</t>
        </is>
      </c>
      <c r="B205" s="42" t="inlineStr">
        <is>
          <t>19009</t>
        </is>
      </c>
      <c r="C205" s="42" t="inlineStr">
        <is>
          <t>Audubon</t>
        </is>
      </c>
      <c r="D205" s="42" t="inlineStr">
        <is>
          <t>Small town &amp; rural</t>
        </is>
      </c>
      <c r="E205" s="42" t="inlineStr"/>
      <c r="F205" s="43" t="n">
        <v>970</v>
      </c>
      <c r="G205" s="43" t="n">
        <v>2214</v>
      </c>
      <c r="H205" s="43" t="n">
        <v>3239</v>
      </c>
      <c r="I205" s="43" t="n">
        <v>1071</v>
      </c>
      <c r="J205" s="43" t="n">
        <v>2295</v>
      </c>
      <c r="K205" s="42" t="inlineStr">
        <is>
          <t>US Senate</t>
        </is>
      </c>
      <c r="L205" s="43" t="n">
        <v>760</v>
      </c>
      <c r="M205" s="43" t="n">
        <v>1661</v>
      </c>
      <c r="N205" s="43" t="n">
        <v>2425</v>
      </c>
      <c r="O205" s="44">
        <f>IFERROR((F205-G205)/(F205+G205),"")</f>
        <v/>
      </c>
      <c r="P205" s="44">
        <f>IFERROR((I205-J205)/(I205+J205),"")</f>
        <v/>
      </c>
      <c r="Q205" s="45">
        <f>IFERROR(O205-P205,"")</f>
        <v/>
      </c>
      <c r="R205" s="44">
        <f>IFERROR((L205-M205)/(L205+M205),"")</f>
        <v/>
      </c>
      <c r="S205" s="46">
        <f>H205/SUMIFS(Counties!$H$2:$H$1583,Counties!$A$2:$A$1583,$A205)</f>
        <v/>
      </c>
      <c r="T205" s="44">
        <f>O205+INDEX(Dashboard!$F$6:$F$22,MATCH($A205,Dashboard!$A$6:$A$22,0))</f>
        <v/>
      </c>
      <c r="U205" s="43">
        <f>AQ205*INDEX(Dashboard!$G$6:$G$22,MATCH($A205,Dashboard!$A$6:$A$22,0))</f>
        <v/>
      </c>
      <c r="V205" s="47" t="n"/>
      <c r="W205" s="47" t="n"/>
      <c r="X205" s="47" t="n"/>
      <c r="Y205" s="48" t="n"/>
      <c r="Z205" s="49" t="n"/>
      <c r="AA205" s="49" t="n"/>
      <c r="AB205" s="49" t="n"/>
      <c r="AC205" s="50" t="n"/>
      <c r="AD205" s="43">
        <f>IF(Z205&lt;&gt;"",Z205,N(V205))</f>
        <v/>
      </c>
      <c r="AE205" s="43">
        <f>IF(AA205&lt;&gt;"",AA205,N(W205))</f>
        <v/>
      </c>
      <c r="AF205" s="43">
        <f>AD205+AE205</f>
        <v/>
      </c>
      <c r="AG205" s="42">
        <f>IF(UPPER(AC205)="Y",1,IF(AF205=0,0,IF(AND(Z205="",Y205&lt;&gt;""),IF(Y205&gt;=0.999,1,0),IF(AF205&gt;=U205,1,0))))</f>
        <v/>
      </c>
      <c r="AH205" s="44">
        <f>IF(AF205&gt;0,(AD205-AE205)/AF205,"")</f>
        <v/>
      </c>
      <c r="AI205" s="45">
        <f>IF(AG205=1,AH205-O205,"")</f>
        <v/>
      </c>
      <c r="AJ205" s="44">
        <f>IF(AG205=1,AH205,MAX(-1,MIN(1,O205+INDEX(Types!$H:$H,MATCH($A205&amp;"|"&amp;$D205,Types!$A:$A,0)))))</f>
        <v/>
      </c>
      <c r="AK205" s="43">
        <f>IF(AG205=1,AF205,MAX(AQ205*AS205,AF205))</f>
        <v/>
      </c>
      <c r="AL205" s="43">
        <f>IF(AG205=1,AD205,AK205*(1+AJ205)/2)</f>
        <v/>
      </c>
      <c r="AM205" s="43">
        <f>IF(AG205=1,AE205,AK205*(1-AJ205)/2)</f>
        <v/>
      </c>
      <c r="AN205" s="45">
        <f>IF(AH205="","",AH205-T205)</f>
        <v/>
      </c>
      <c r="AO205" s="51">
        <f>IF(AG205=1,1,IF(U205&gt;0,MIN(AF205/U205,0.99),0))</f>
        <v/>
      </c>
      <c r="AP205" s="43">
        <f>IF(AG205=1,AI205*AF205,0)</f>
        <v/>
      </c>
      <c r="AQ205" s="43">
        <f>N205*(F205+G205)/H205</f>
        <v/>
      </c>
      <c r="AR205" s="43">
        <f>O205*AQ205</f>
        <v/>
      </c>
      <c r="AS205" s="52">
        <f>IF(AG205=1,IF(AQ205&gt;0,AF205/AQ205,1),IFERROR(INDEX(Types!$K:$K,MATCH($A205&amp;"|"&amp;$D205,Types!$A:$A,0)),INDEX(Dashboard!$X$6:$X$22,MATCH($A205,Dashboard!$A$6:$A$22,0))))</f>
        <v/>
      </c>
      <c r="AT205" s="43">
        <f>AQ205*INDEX(Dashboard!$Y$6:$Y$22,MATCH($A205,Dashboard!$A$6:$A$22,0))</f>
        <v/>
      </c>
      <c r="AU205" s="53">
        <f>IF(AND(AG205=1,AT205&gt;0,AF205&gt;0),100*AF205/AT205,"")</f>
        <v/>
      </c>
      <c r="AV205" s="44">
        <f>IF(AU205="","",T205/(AU205/100))</f>
        <v/>
      </c>
      <c r="AW205" s="53">
        <f>IF(AU205="","",IF(AND(ABS(AH205)&gt;=0.1,ABS(T205)&gt;=0.05,SIGN(AH205)=SIGN(T205)),100*T205/AH205,""))</f>
        <v/>
      </c>
      <c r="AX205" s="45">
        <f>IF(AU205="","",T205-AV205)</f>
        <v/>
      </c>
      <c r="AY205" s="45">
        <f>IF(AU205="","",AH205-AV205)</f>
        <v/>
      </c>
      <c r="AZ205" s="54">
        <f>(AL205-AM205)-T205*AT205</f>
        <v/>
      </c>
      <c r="BA205" s="43">
        <f>IF(AU205="",0,(AH205-T205)*AF205)</f>
        <v/>
      </c>
      <c r="BB205" s="43">
        <f>IF(AU205="",0,T205*(AF205-AT205))</f>
        <v/>
      </c>
      <c r="BC205" s="51" t="n">
        <v>0.007228044813877846</v>
      </c>
      <c r="BD205" s="51" t="n">
        <v>0.02782797253342971</v>
      </c>
      <c r="BE205" s="51" t="n">
        <v>0.2062391681109186</v>
      </c>
      <c r="BF205" s="43" t="n">
        <v>5534</v>
      </c>
    </row>
    <row r="206">
      <c r="A206" s="42" t="inlineStr">
        <is>
          <t>IA</t>
        </is>
      </c>
      <c r="B206" s="42" t="inlineStr">
        <is>
          <t>19011</t>
        </is>
      </c>
      <c r="C206" s="42" t="inlineStr">
        <is>
          <t>Benton</t>
        </is>
      </c>
      <c r="D206" s="42" t="inlineStr">
        <is>
          <t>Small town &amp; rural</t>
        </is>
      </c>
      <c r="E206" s="42" t="inlineStr"/>
      <c r="F206" s="43" t="n">
        <v>4739</v>
      </c>
      <c r="G206" s="43" t="n">
        <v>9549</v>
      </c>
      <c r="H206" s="43" t="n">
        <v>14470</v>
      </c>
      <c r="I206" s="43" t="n">
        <v>5160</v>
      </c>
      <c r="J206" s="43" t="n">
        <v>9188</v>
      </c>
      <c r="K206" s="42" t="inlineStr">
        <is>
          <t>US Senate</t>
        </is>
      </c>
      <c r="L206" s="43" t="n">
        <v>3823</v>
      </c>
      <c r="M206" s="43" t="n">
        <v>7502</v>
      </c>
      <c r="N206" s="43" t="n">
        <v>11346</v>
      </c>
      <c r="O206" s="44">
        <f>IFERROR((F206-G206)/(F206+G206),"")</f>
        <v/>
      </c>
      <c r="P206" s="44">
        <f>IFERROR((I206-J206)/(I206+J206),"")</f>
        <v/>
      </c>
      <c r="Q206" s="45">
        <f>IFERROR(O206-P206,"")</f>
        <v/>
      </c>
      <c r="R206" s="44">
        <f>IFERROR((L206-M206)/(L206+M206),"")</f>
        <v/>
      </c>
      <c r="S206" s="46">
        <f>H206/SUMIFS(Counties!$H$2:$H$1583,Counties!$A$2:$A$1583,$A206)</f>
        <v/>
      </c>
      <c r="T206" s="44">
        <f>O206+INDEX(Dashboard!$F$6:$F$22,MATCH($A206,Dashboard!$A$6:$A$22,0))</f>
        <v/>
      </c>
      <c r="U206" s="43">
        <f>AQ206*INDEX(Dashboard!$G$6:$G$22,MATCH($A206,Dashboard!$A$6:$A$22,0))</f>
        <v/>
      </c>
      <c r="V206" s="47" t="n"/>
      <c r="W206" s="47" t="n"/>
      <c r="X206" s="47" t="n"/>
      <c r="Y206" s="48" t="n"/>
      <c r="Z206" s="49" t="n"/>
      <c r="AA206" s="49" t="n"/>
      <c r="AB206" s="49" t="n"/>
      <c r="AC206" s="50" t="n"/>
      <c r="AD206" s="43">
        <f>IF(Z206&lt;&gt;"",Z206,N(V206))</f>
        <v/>
      </c>
      <c r="AE206" s="43">
        <f>IF(AA206&lt;&gt;"",AA206,N(W206))</f>
        <v/>
      </c>
      <c r="AF206" s="43">
        <f>AD206+AE206</f>
        <v/>
      </c>
      <c r="AG206" s="42">
        <f>IF(UPPER(AC206)="Y",1,IF(AF206=0,0,IF(AND(Z206="",Y206&lt;&gt;""),IF(Y206&gt;=0.999,1,0),IF(AF206&gt;=U206,1,0))))</f>
        <v/>
      </c>
      <c r="AH206" s="44">
        <f>IF(AF206&gt;0,(AD206-AE206)/AF206,"")</f>
        <v/>
      </c>
      <c r="AI206" s="45">
        <f>IF(AG206=1,AH206-O206,"")</f>
        <v/>
      </c>
      <c r="AJ206" s="44">
        <f>IF(AG206=1,AH206,MAX(-1,MIN(1,O206+INDEX(Types!$H:$H,MATCH($A206&amp;"|"&amp;$D206,Types!$A:$A,0)))))</f>
        <v/>
      </c>
      <c r="AK206" s="43">
        <f>IF(AG206=1,AF206,MAX(AQ206*AS206,AF206))</f>
        <v/>
      </c>
      <c r="AL206" s="43">
        <f>IF(AG206=1,AD206,AK206*(1+AJ206)/2)</f>
        <v/>
      </c>
      <c r="AM206" s="43">
        <f>IF(AG206=1,AE206,AK206*(1-AJ206)/2)</f>
        <v/>
      </c>
      <c r="AN206" s="45">
        <f>IF(AH206="","",AH206-T206)</f>
        <v/>
      </c>
      <c r="AO206" s="51">
        <f>IF(AG206=1,1,IF(U206&gt;0,MIN(AF206/U206,0.99),0))</f>
        <v/>
      </c>
      <c r="AP206" s="43">
        <f>IF(AG206=1,AI206*AF206,0)</f>
        <v/>
      </c>
      <c r="AQ206" s="43">
        <f>N206*(F206+G206)/H206</f>
        <v/>
      </c>
      <c r="AR206" s="43">
        <f>O206*AQ206</f>
        <v/>
      </c>
      <c r="AS206" s="52">
        <f>IF(AG206=1,IF(AQ206&gt;0,AF206/AQ206,1),IFERROR(INDEX(Types!$K:$K,MATCH($A206&amp;"|"&amp;$D206,Types!$A:$A,0)),INDEX(Dashboard!$X$6:$X$22,MATCH($A206,Dashboard!$A$6:$A$22,0))))</f>
        <v/>
      </c>
      <c r="AT206" s="43">
        <f>AQ206*INDEX(Dashboard!$Y$6:$Y$22,MATCH($A206,Dashboard!$A$6:$A$22,0))</f>
        <v/>
      </c>
      <c r="AU206" s="53">
        <f>IF(AND(AG206=1,AT206&gt;0,AF206&gt;0),100*AF206/AT206,"")</f>
        <v/>
      </c>
      <c r="AV206" s="44">
        <f>IF(AU206="","",T206/(AU206/100))</f>
        <v/>
      </c>
      <c r="AW206" s="53">
        <f>IF(AU206="","",IF(AND(ABS(AH206)&gt;=0.1,ABS(T206)&gt;=0.05,SIGN(AH206)=SIGN(T206)),100*T206/AH206,""))</f>
        <v/>
      </c>
      <c r="AX206" s="45">
        <f>IF(AU206="","",T206-AV206)</f>
        <v/>
      </c>
      <c r="AY206" s="45">
        <f>IF(AU206="","",AH206-AV206)</f>
        <v/>
      </c>
      <c r="AZ206" s="54">
        <f>(AL206-AM206)-T206*AT206</f>
        <v/>
      </c>
      <c r="BA206" s="43">
        <f>IF(AU206="",0,(AH206-T206)*AF206)</f>
        <v/>
      </c>
      <c r="BB206" s="43">
        <f>IF(AU206="",0,T206*(AF206-AT206))</f>
        <v/>
      </c>
      <c r="BC206" s="51" t="n">
        <v>0.008838579624748023</v>
      </c>
      <c r="BD206" s="51" t="n">
        <v>0.0201969297565514</v>
      </c>
      <c r="BE206" s="51" t="n">
        <v>0.2493036211699164</v>
      </c>
      <c r="BF206" s="43" t="n">
        <v>25796</v>
      </c>
    </row>
    <row r="207">
      <c r="A207" s="42" t="inlineStr">
        <is>
          <t>IA</t>
        </is>
      </c>
      <c r="B207" s="42" t="inlineStr">
        <is>
          <t>19013</t>
        </is>
      </c>
      <c r="C207" s="42" t="inlineStr">
        <is>
          <t>Black Hawk</t>
        </is>
      </c>
      <c r="D207" s="42" t="inlineStr">
        <is>
          <t>Mid-size/working metro</t>
        </is>
      </c>
      <c r="E207" s="42" t="inlineStr">
        <is>
          <t>★</t>
        </is>
      </c>
      <c r="F207" s="43" t="n">
        <v>31299</v>
      </c>
      <c r="G207" s="43" t="n">
        <v>30572</v>
      </c>
      <c r="H207" s="43" t="n">
        <v>62653</v>
      </c>
      <c r="I207" s="43" t="n">
        <v>35647</v>
      </c>
      <c r="J207" s="43" t="n">
        <v>29640</v>
      </c>
      <c r="K207" s="42" t="inlineStr">
        <is>
          <t>US Senate</t>
        </is>
      </c>
      <c r="L207" s="43" t="n">
        <v>24036</v>
      </c>
      <c r="M207" s="43" t="n">
        <v>23133</v>
      </c>
      <c r="N207" s="43" t="n">
        <v>47223</v>
      </c>
      <c r="O207" s="44">
        <f>IFERROR((F207-G207)/(F207+G207),"")</f>
        <v/>
      </c>
      <c r="P207" s="44">
        <f>IFERROR((I207-J207)/(I207+J207),"")</f>
        <v/>
      </c>
      <c r="Q207" s="45">
        <f>IFERROR(O207-P207,"")</f>
        <v/>
      </c>
      <c r="R207" s="44">
        <f>IFERROR((L207-M207)/(L207+M207),"")</f>
        <v/>
      </c>
      <c r="S207" s="46">
        <f>H207/SUMIFS(Counties!$H$2:$H$1583,Counties!$A$2:$A$1583,$A207)</f>
        <v/>
      </c>
      <c r="T207" s="44">
        <f>O207+INDEX(Dashboard!$F$6:$F$22,MATCH($A207,Dashboard!$A$6:$A$22,0))</f>
        <v/>
      </c>
      <c r="U207" s="43">
        <f>AQ207*INDEX(Dashboard!$G$6:$G$22,MATCH($A207,Dashboard!$A$6:$A$22,0))</f>
        <v/>
      </c>
      <c r="V207" s="47" t="n"/>
      <c r="W207" s="47" t="n"/>
      <c r="X207" s="47" t="n"/>
      <c r="Y207" s="48" t="n"/>
      <c r="Z207" s="49" t="n"/>
      <c r="AA207" s="49" t="n"/>
      <c r="AB207" s="49" t="n"/>
      <c r="AC207" s="50" t="n"/>
      <c r="AD207" s="43">
        <f>IF(Z207&lt;&gt;"",Z207,N(V207))</f>
        <v/>
      </c>
      <c r="AE207" s="43">
        <f>IF(AA207&lt;&gt;"",AA207,N(W207))</f>
        <v/>
      </c>
      <c r="AF207" s="43">
        <f>AD207+AE207</f>
        <v/>
      </c>
      <c r="AG207" s="42">
        <f>IF(UPPER(AC207)="Y",1,IF(AF207=0,0,IF(AND(Z207="",Y207&lt;&gt;""),IF(Y207&gt;=0.999,1,0),IF(AF207&gt;=U207,1,0))))</f>
        <v/>
      </c>
      <c r="AH207" s="44">
        <f>IF(AF207&gt;0,(AD207-AE207)/AF207,"")</f>
        <v/>
      </c>
      <c r="AI207" s="45">
        <f>IF(AG207=1,AH207-O207,"")</f>
        <v/>
      </c>
      <c r="AJ207" s="44">
        <f>IF(AG207=1,AH207,MAX(-1,MIN(1,O207+INDEX(Types!$H:$H,MATCH($A207&amp;"|"&amp;$D207,Types!$A:$A,0)))))</f>
        <v/>
      </c>
      <c r="AK207" s="43">
        <f>IF(AG207=1,AF207,MAX(AQ207*AS207,AF207))</f>
        <v/>
      </c>
      <c r="AL207" s="43">
        <f>IF(AG207=1,AD207,AK207*(1+AJ207)/2)</f>
        <v/>
      </c>
      <c r="AM207" s="43">
        <f>IF(AG207=1,AE207,AK207*(1-AJ207)/2)</f>
        <v/>
      </c>
      <c r="AN207" s="45">
        <f>IF(AH207="","",AH207-T207)</f>
        <v/>
      </c>
      <c r="AO207" s="51">
        <f>IF(AG207=1,1,IF(U207&gt;0,MIN(AF207/U207,0.99),0))</f>
        <v/>
      </c>
      <c r="AP207" s="43">
        <f>IF(AG207=1,AI207*AF207,0)</f>
        <v/>
      </c>
      <c r="AQ207" s="43">
        <f>N207*(F207+G207)/H207</f>
        <v/>
      </c>
      <c r="AR207" s="43">
        <f>O207*AQ207</f>
        <v/>
      </c>
      <c r="AS207" s="52">
        <f>IF(AG207=1,IF(AQ207&gt;0,AF207/AQ207,1),IFERROR(INDEX(Types!$K:$K,MATCH($A207&amp;"|"&amp;$D207,Types!$A:$A,0)),INDEX(Dashboard!$X$6:$X$22,MATCH($A207,Dashboard!$A$6:$A$22,0))))</f>
        <v/>
      </c>
      <c r="AT207" s="43">
        <f>AQ207*INDEX(Dashboard!$Y$6:$Y$22,MATCH($A207,Dashboard!$A$6:$A$22,0))</f>
        <v/>
      </c>
      <c r="AU207" s="53">
        <f>IF(AND(AG207=1,AT207&gt;0,AF207&gt;0),100*AF207/AT207,"")</f>
        <v/>
      </c>
      <c r="AV207" s="44">
        <f>IF(AU207="","",T207/(AU207/100))</f>
        <v/>
      </c>
      <c r="AW207" s="53">
        <f>IF(AU207="","",IF(AND(ABS(AH207)&gt;=0.1,ABS(T207)&gt;=0.05,SIGN(AH207)=SIGN(T207)),100*T207/AH207,""))</f>
        <v/>
      </c>
      <c r="AX207" s="45">
        <f>IF(AU207="","",T207-AV207)</f>
        <v/>
      </c>
      <c r="AY207" s="45">
        <f>IF(AU207="","",AH207-AV207)</f>
        <v/>
      </c>
      <c r="AZ207" s="54">
        <f>(AL207-AM207)-T207*AT207</f>
        <v/>
      </c>
      <c r="BA207" s="43">
        <f>IF(AU207="",0,(AH207-T207)*AF207)</f>
        <v/>
      </c>
      <c r="BB207" s="43">
        <f>IF(AU207="",0,T207*(AF207-AT207))</f>
        <v/>
      </c>
      <c r="BC207" s="51" t="n">
        <v>0.09553847215089943</v>
      </c>
      <c r="BD207" s="51" t="n">
        <v>0.05319189704991914</v>
      </c>
      <c r="BE207" s="51" t="n">
        <v>0.3013706872690952</v>
      </c>
      <c r="BF207" s="43" t="n">
        <v>130471</v>
      </c>
    </row>
    <row r="208">
      <c r="A208" s="42" t="inlineStr">
        <is>
          <t>IA</t>
        </is>
      </c>
      <c r="B208" s="42" t="inlineStr">
        <is>
          <t>19015</t>
        </is>
      </c>
      <c r="C208" s="42" t="inlineStr">
        <is>
          <t>Boone</t>
        </is>
      </c>
      <c r="D208" s="42" t="inlineStr">
        <is>
          <t>Small town &amp; rural</t>
        </is>
      </c>
      <c r="E208" s="42" t="inlineStr"/>
      <c r="F208" s="43" t="n">
        <v>5895</v>
      </c>
      <c r="G208" s="43" t="n">
        <v>9199</v>
      </c>
      <c r="H208" s="43" t="n">
        <v>15346</v>
      </c>
      <c r="I208" s="43" t="n">
        <v>6303</v>
      </c>
      <c r="J208" s="43" t="n">
        <v>8695</v>
      </c>
      <c r="K208" s="42" t="inlineStr">
        <is>
          <t>US Senate</t>
        </is>
      </c>
      <c r="L208" s="43" t="n">
        <v>4618</v>
      </c>
      <c r="M208" s="43" t="n">
        <v>6456</v>
      </c>
      <c r="N208" s="43" t="n">
        <v>11094</v>
      </c>
      <c r="O208" s="44">
        <f>IFERROR((F208-G208)/(F208+G208),"")</f>
        <v/>
      </c>
      <c r="P208" s="44">
        <f>IFERROR((I208-J208)/(I208+J208),"")</f>
        <v/>
      </c>
      <c r="Q208" s="45">
        <f>IFERROR(O208-P208,"")</f>
        <v/>
      </c>
      <c r="R208" s="44">
        <f>IFERROR((L208-M208)/(L208+M208),"")</f>
        <v/>
      </c>
      <c r="S208" s="46">
        <f>H208/SUMIFS(Counties!$H$2:$H$1583,Counties!$A$2:$A$1583,$A208)</f>
        <v/>
      </c>
      <c r="T208" s="44">
        <f>O208+INDEX(Dashboard!$F$6:$F$22,MATCH($A208,Dashboard!$A$6:$A$22,0))</f>
        <v/>
      </c>
      <c r="U208" s="43">
        <f>AQ208*INDEX(Dashboard!$G$6:$G$22,MATCH($A208,Dashboard!$A$6:$A$22,0))</f>
        <v/>
      </c>
      <c r="V208" s="47" t="n"/>
      <c r="W208" s="47" t="n"/>
      <c r="X208" s="47" t="n"/>
      <c r="Y208" s="48" t="n"/>
      <c r="Z208" s="49" t="n"/>
      <c r="AA208" s="49" t="n"/>
      <c r="AB208" s="49" t="n"/>
      <c r="AC208" s="50" t="n"/>
      <c r="AD208" s="43">
        <f>IF(Z208&lt;&gt;"",Z208,N(V208))</f>
        <v/>
      </c>
      <c r="AE208" s="43">
        <f>IF(AA208&lt;&gt;"",AA208,N(W208))</f>
        <v/>
      </c>
      <c r="AF208" s="43">
        <f>AD208+AE208</f>
        <v/>
      </c>
      <c r="AG208" s="42">
        <f>IF(UPPER(AC208)="Y",1,IF(AF208=0,0,IF(AND(Z208="",Y208&lt;&gt;""),IF(Y208&gt;=0.999,1,0),IF(AF208&gt;=U208,1,0))))</f>
        <v/>
      </c>
      <c r="AH208" s="44">
        <f>IF(AF208&gt;0,(AD208-AE208)/AF208,"")</f>
        <v/>
      </c>
      <c r="AI208" s="45">
        <f>IF(AG208=1,AH208-O208,"")</f>
        <v/>
      </c>
      <c r="AJ208" s="44">
        <f>IF(AG208=1,AH208,MAX(-1,MIN(1,O208+INDEX(Types!$H:$H,MATCH($A208&amp;"|"&amp;$D208,Types!$A:$A,0)))))</f>
        <v/>
      </c>
      <c r="AK208" s="43">
        <f>IF(AG208=1,AF208,MAX(AQ208*AS208,AF208))</f>
        <v/>
      </c>
      <c r="AL208" s="43">
        <f>IF(AG208=1,AD208,AK208*(1+AJ208)/2)</f>
        <v/>
      </c>
      <c r="AM208" s="43">
        <f>IF(AG208=1,AE208,AK208*(1-AJ208)/2)</f>
        <v/>
      </c>
      <c r="AN208" s="45">
        <f>IF(AH208="","",AH208-T208)</f>
        <v/>
      </c>
      <c r="AO208" s="51">
        <f>IF(AG208=1,1,IF(U208&gt;0,MIN(AF208/U208,0.99),0))</f>
        <v/>
      </c>
      <c r="AP208" s="43">
        <f>IF(AG208=1,AI208*AF208,0)</f>
        <v/>
      </c>
      <c r="AQ208" s="43">
        <f>N208*(F208+G208)/H208</f>
        <v/>
      </c>
      <c r="AR208" s="43">
        <f>O208*AQ208</f>
        <v/>
      </c>
      <c r="AS208" s="52">
        <f>IF(AG208=1,IF(AQ208&gt;0,AF208/AQ208,1),IFERROR(INDEX(Types!$K:$K,MATCH($A208&amp;"|"&amp;$D208,Types!$A:$A,0)),INDEX(Dashboard!$X$6:$X$22,MATCH($A208,Dashboard!$A$6:$A$22,0))))</f>
        <v/>
      </c>
      <c r="AT208" s="43">
        <f>AQ208*INDEX(Dashboard!$Y$6:$Y$22,MATCH($A208,Dashboard!$A$6:$A$22,0))</f>
        <v/>
      </c>
      <c r="AU208" s="53">
        <f>IF(AND(AG208=1,AT208&gt;0,AF208&gt;0),100*AF208/AT208,"")</f>
        <v/>
      </c>
      <c r="AV208" s="44">
        <f>IF(AU208="","",T208/(AU208/100))</f>
        <v/>
      </c>
      <c r="AW208" s="53">
        <f>IF(AU208="","",IF(AND(ABS(AH208)&gt;=0.1,ABS(T208)&gt;=0.05,SIGN(AH208)=SIGN(T208)),100*T208/AH208,""))</f>
        <v/>
      </c>
      <c r="AX208" s="45">
        <f>IF(AU208="","",T208-AV208)</f>
        <v/>
      </c>
      <c r="AY208" s="45">
        <f>IF(AU208="","",AH208-AV208)</f>
        <v/>
      </c>
      <c r="AZ208" s="54">
        <f>(AL208-AM208)-T208*AT208</f>
        <v/>
      </c>
      <c r="BA208" s="43">
        <f>IF(AU208="",0,(AH208-T208)*AF208)</f>
        <v/>
      </c>
      <c r="BB208" s="43">
        <f>IF(AU208="",0,T208*(AF208-AT208))</f>
        <v/>
      </c>
      <c r="BC208" s="51" t="n">
        <v>0.0122226400902595</v>
      </c>
      <c r="BD208" s="51" t="n">
        <v>0.03098909364422715</v>
      </c>
      <c r="BE208" s="51" t="n">
        <v>0.2873521097267302</v>
      </c>
      <c r="BF208" s="43" t="n">
        <v>26590</v>
      </c>
    </row>
    <row r="209">
      <c r="A209" s="42" t="inlineStr">
        <is>
          <t>IA</t>
        </is>
      </c>
      <c r="B209" s="42" t="inlineStr">
        <is>
          <t>19017</t>
        </is>
      </c>
      <c r="C209" s="42" t="inlineStr">
        <is>
          <t>Bremer</t>
        </is>
      </c>
      <c r="D209" s="42" t="inlineStr">
        <is>
          <t>Small town &amp; rural</t>
        </is>
      </c>
      <c r="E209" s="42" t="inlineStr"/>
      <c r="F209" s="43" t="n">
        <v>5571</v>
      </c>
      <c r="G209" s="43" t="n">
        <v>8799</v>
      </c>
      <c r="H209" s="43" t="n">
        <v>14556</v>
      </c>
      <c r="I209" s="43" t="n">
        <v>5958</v>
      </c>
      <c r="J209" s="43" t="n">
        <v>8294</v>
      </c>
      <c r="K209" s="42" t="inlineStr">
        <is>
          <t>US Senate</t>
        </is>
      </c>
      <c r="L209" s="43" t="n">
        <v>4345</v>
      </c>
      <c r="M209" s="43" t="n">
        <v>6641</v>
      </c>
      <c r="N209" s="43" t="n">
        <v>10992</v>
      </c>
      <c r="O209" s="44">
        <f>IFERROR((F209-G209)/(F209+G209),"")</f>
        <v/>
      </c>
      <c r="P209" s="44">
        <f>IFERROR((I209-J209)/(I209+J209),"")</f>
        <v/>
      </c>
      <c r="Q209" s="45">
        <f>IFERROR(O209-P209,"")</f>
        <v/>
      </c>
      <c r="R209" s="44">
        <f>IFERROR((L209-M209)/(L209+M209),"")</f>
        <v/>
      </c>
      <c r="S209" s="46">
        <f>H209/SUMIFS(Counties!$H$2:$H$1583,Counties!$A$2:$A$1583,$A209)</f>
        <v/>
      </c>
      <c r="T209" s="44">
        <f>O209+INDEX(Dashboard!$F$6:$F$22,MATCH($A209,Dashboard!$A$6:$A$22,0))</f>
        <v/>
      </c>
      <c r="U209" s="43">
        <f>AQ209*INDEX(Dashboard!$G$6:$G$22,MATCH($A209,Dashboard!$A$6:$A$22,0))</f>
        <v/>
      </c>
      <c r="V209" s="47" t="n"/>
      <c r="W209" s="47" t="n"/>
      <c r="X209" s="47" t="n"/>
      <c r="Y209" s="48" t="n"/>
      <c r="Z209" s="49" t="n"/>
      <c r="AA209" s="49" t="n"/>
      <c r="AB209" s="49" t="n"/>
      <c r="AC209" s="50" t="n"/>
      <c r="AD209" s="43">
        <f>IF(Z209&lt;&gt;"",Z209,N(V209))</f>
        <v/>
      </c>
      <c r="AE209" s="43">
        <f>IF(AA209&lt;&gt;"",AA209,N(W209))</f>
        <v/>
      </c>
      <c r="AF209" s="43">
        <f>AD209+AE209</f>
        <v/>
      </c>
      <c r="AG209" s="42">
        <f>IF(UPPER(AC209)="Y",1,IF(AF209=0,0,IF(AND(Z209="",Y209&lt;&gt;""),IF(Y209&gt;=0.999,1,0),IF(AF209&gt;=U209,1,0))))</f>
        <v/>
      </c>
      <c r="AH209" s="44">
        <f>IF(AF209&gt;0,(AD209-AE209)/AF209,"")</f>
        <v/>
      </c>
      <c r="AI209" s="45">
        <f>IF(AG209=1,AH209-O209,"")</f>
        <v/>
      </c>
      <c r="AJ209" s="44">
        <f>IF(AG209=1,AH209,MAX(-1,MIN(1,O209+INDEX(Types!$H:$H,MATCH($A209&amp;"|"&amp;$D209,Types!$A:$A,0)))))</f>
        <v/>
      </c>
      <c r="AK209" s="43">
        <f>IF(AG209=1,AF209,MAX(AQ209*AS209,AF209))</f>
        <v/>
      </c>
      <c r="AL209" s="43">
        <f>IF(AG209=1,AD209,AK209*(1+AJ209)/2)</f>
        <v/>
      </c>
      <c r="AM209" s="43">
        <f>IF(AG209=1,AE209,AK209*(1-AJ209)/2)</f>
        <v/>
      </c>
      <c r="AN209" s="45">
        <f>IF(AH209="","",AH209-T209)</f>
        <v/>
      </c>
      <c r="AO209" s="51">
        <f>IF(AG209=1,1,IF(U209&gt;0,MIN(AF209/U209,0.99),0))</f>
        <v/>
      </c>
      <c r="AP209" s="43">
        <f>IF(AG209=1,AI209*AF209,0)</f>
        <v/>
      </c>
      <c r="AQ209" s="43">
        <f>N209*(F209+G209)/H209</f>
        <v/>
      </c>
      <c r="AR209" s="43">
        <f>O209*AQ209</f>
        <v/>
      </c>
      <c r="AS209" s="52">
        <f>IF(AG209=1,IF(AQ209&gt;0,AF209/AQ209,1),IFERROR(INDEX(Types!$K:$K,MATCH($A209&amp;"|"&amp;$D209,Types!$A:$A,0)),INDEX(Dashboard!$X$6:$X$22,MATCH($A209,Dashboard!$A$6:$A$22,0))))</f>
        <v/>
      </c>
      <c r="AT209" s="43">
        <f>AQ209*INDEX(Dashboard!$Y$6:$Y$22,MATCH($A209,Dashboard!$A$6:$A$22,0))</f>
        <v/>
      </c>
      <c r="AU209" s="53">
        <f>IF(AND(AG209=1,AT209&gt;0,AF209&gt;0),100*AF209/AT209,"")</f>
        <v/>
      </c>
      <c r="AV209" s="44">
        <f>IF(AU209="","",T209/(AU209/100))</f>
        <v/>
      </c>
      <c r="AW209" s="53">
        <f>IF(AU209="","",IF(AND(ABS(AH209)&gt;=0.1,ABS(T209)&gt;=0.05,SIGN(AH209)=SIGN(T209)),100*T209/AH209,""))</f>
        <v/>
      </c>
      <c r="AX209" s="45">
        <f>IF(AU209="","",T209-AV209)</f>
        <v/>
      </c>
      <c r="AY209" s="45">
        <f>IF(AU209="","",AH209-AV209)</f>
        <v/>
      </c>
      <c r="AZ209" s="54">
        <f>(AL209-AM209)-T209*AT209</f>
        <v/>
      </c>
      <c r="BA209" s="43">
        <f>IF(AU209="",0,(AH209-T209)*AF209)</f>
        <v/>
      </c>
      <c r="BB209" s="43">
        <f>IF(AU209="",0,T209*(AF209-AT209))</f>
        <v/>
      </c>
      <c r="BC209" s="51" t="n">
        <v>0.0140277393606512</v>
      </c>
      <c r="BD209" s="51" t="n">
        <v>0.02062670407397163</v>
      </c>
      <c r="BE209" s="51" t="n">
        <v>0.3522562741312741</v>
      </c>
      <c r="BF209" s="43" t="n">
        <v>25307</v>
      </c>
    </row>
    <row r="210">
      <c r="A210" s="42" t="inlineStr">
        <is>
          <t>IA</t>
        </is>
      </c>
      <c r="B210" s="42" t="inlineStr">
        <is>
          <t>19019</t>
        </is>
      </c>
      <c r="C210" s="42" t="inlineStr">
        <is>
          <t>Buchanan</t>
        </is>
      </c>
      <c r="D210" s="42" t="inlineStr">
        <is>
          <t>Small town &amp; rural</t>
        </is>
      </c>
      <c r="E210" s="42" t="inlineStr"/>
      <c r="F210" s="43" t="n">
        <v>3766</v>
      </c>
      <c r="G210" s="43" t="n">
        <v>6790</v>
      </c>
      <c r="H210" s="43" t="n">
        <v>10714</v>
      </c>
      <c r="I210" s="43" t="n">
        <v>4169</v>
      </c>
      <c r="J210" s="43" t="n">
        <v>6420</v>
      </c>
      <c r="K210" s="42" t="inlineStr">
        <is>
          <t>US Senate</t>
        </is>
      </c>
      <c r="L210" s="43" t="n">
        <v>3071</v>
      </c>
      <c r="M210" s="43" t="n">
        <v>5085</v>
      </c>
      <c r="N210" s="43" t="n">
        <v>8166</v>
      </c>
      <c r="O210" s="44">
        <f>IFERROR((F210-G210)/(F210+G210),"")</f>
        <v/>
      </c>
      <c r="P210" s="44">
        <f>IFERROR((I210-J210)/(I210+J210),"")</f>
        <v/>
      </c>
      <c r="Q210" s="45">
        <f>IFERROR(O210-P210,"")</f>
        <v/>
      </c>
      <c r="R210" s="44">
        <f>IFERROR((L210-M210)/(L210+M210),"")</f>
        <v/>
      </c>
      <c r="S210" s="46">
        <f>H210/SUMIFS(Counties!$H$2:$H$1583,Counties!$A$2:$A$1583,$A210)</f>
        <v/>
      </c>
      <c r="T210" s="44">
        <f>O210+INDEX(Dashboard!$F$6:$F$22,MATCH($A210,Dashboard!$A$6:$A$22,0))</f>
        <v/>
      </c>
      <c r="U210" s="43">
        <f>AQ210*INDEX(Dashboard!$G$6:$G$22,MATCH($A210,Dashboard!$A$6:$A$22,0))</f>
        <v/>
      </c>
      <c r="V210" s="47" t="n"/>
      <c r="W210" s="47" t="n"/>
      <c r="X210" s="47" t="n"/>
      <c r="Y210" s="48" t="n"/>
      <c r="Z210" s="49" t="n"/>
      <c r="AA210" s="49" t="n"/>
      <c r="AB210" s="49" t="n"/>
      <c r="AC210" s="50" t="n"/>
      <c r="AD210" s="43">
        <f>IF(Z210&lt;&gt;"",Z210,N(V210))</f>
        <v/>
      </c>
      <c r="AE210" s="43">
        <f>IF(AA210&lt;&gt;"",AA210,N(W210))</f>
        <v/>
      </c>
      <c r="AF210" s="43">
        <f>AD210+AE210</f>
        <v/>
      </c>
      <c r="AG210" s="42">
        <f>IF(UPPER(AC210)="Y",1,IF(AF210=0,0,IF(AND(Z210="",Y210&lt;&gt;""),IF(Y210&gt;=0.999,1,0),IF(AF210&gt;=U210,1,0))))</f>
        <v/>
      </c>
      <c r="AH210" s="44">
        <f>IF(AF210&gt;0,(AD210-AE210)/AF210,"")</f>
        <v/>
      </c>
      <c r="AI210" s="45">
        <f>IF(AG210=1,AH210-O210,"")</f>
        <v/>
      </c>
      <c r="AJ210" s="44">
        <f>IF(AG210=1,AH210,MAX(-1,MIN(1,O210+INDEX(Types!$H:$H,MATCH($A210&amp;"|"&amp;$D210,Types!$A:$A,0)))))</f>
        <v/>
      </c>
      <c r="AK210" s="43">
        <f>IF(AG210=1,AF210,MAX(AQ210*AS210,AF210))</f>
        <v/>
      </c>
      <c r="AL210" s="43">
        <f>IF(AG210=1,AD210,AK210*(1+AJ210)/2)</f>
        <v/>
      </c>
      <c r="AM210" s="43">
        <f>IF(AG210=1,AE210,AK210*(1-AJ210)/2)</f>
        <v/>
      </c>
      <c r="AN210" s="45">
        <f>IF(AH210="","",AH210-T210)</f>
        <v/>
      </c>
      <c r="AO210" s="51">
        <f>IF(AG210=1,1,IF(U210&gt;0,MIN(AF210/U210,0.99),0))</f>
        <v/>
      </c>
      <c r="AP210" s="43">
        <f>IF(AG210=1,AI210*AF210,0)</f>
        <v/>
      </c>
      <c r="AQ210" s="43">
        <f>N210*(F210+G210)/H210</f>
        <v/>
      </c>
      <c r="AR210" s="43">
        <f>O210*AQ210</f>
        <v/>
      </c>
      <c r="AS210" s="52">
        <f>IF(AG210=1,IF(AQ210&gt;0,AF210/AQ210,1),IFERROR(INDEX(Types!$K:$K,MATCH($A210&amp;"|"&amp;$D210,Types!$A:$A,0)),INDEX(Dashboard!$X$6:$X$22,MATCH($A210,Dashboard!$A$6:$A$22,0))))</f>
        <v/>
      </c>
      <c r="AT210" s="43">
        <f>AQ210*INDEX(Dashboard!$Y$6:$Y$22,MATCH($A210,Dashboard!$A$6:$A$22,0))</f>
        <v/>
      </c>
      <c r="AU210" s="53">
        <f>IF(AND(AG210=1,AT210&gt;0,AF210&gt;0),100*AF210/AT210,"")</f>
        <v/>
      </c>
      <c r="AV210" s="44">
        <f>IF(AU210="","",T210/(AU210/100))</f>
        <v/>
      </c>
      <c r="AW210" s="53">
        <f>IF(AU210="","",IF(AND(ABS(AH210)&gt;=0.1,ABS(T210)&gt;=0.05,SIGN(AH210)=SIGN(T210)),100*T210/AH210,""))</f>
        <v/>
      </c>
      <c r="AX210" s="45">
        <f>IF(AU210="","",T210-AV210)</f>
        <v/>
      </c>
      <c r="AY210" s="45">
        <f>IF(AU210="","",AH210-AV210)</f>
        <v/>
      </c>
      <c r="AZ210" s="54">
        <f>(AL210-AM210)-T210*AT210</f>
        <v/>
      </c>
      <c r="BA210" s="43">
        <f>IF(AU210="",0,(AH210-T210)*AF210)</f>
        <v/>
      </c>
      <c r="BB210" s="43">
        <f>IF(AU210="",0,T210*(AF210-AT210))</f>
        <v/>
      </c>
      <c r="BC210" s="51" t="n">
        <v>0.009037745879851143</v>
      </c>
      <c r="BD210" s="51" t="n">
        <v>0.01952539751582814</v>
      </c>
      <c r="BE210" s="51" t="n">
        <v>0.2231994809314397</v>
      </c>
      <c r="BF210" s="43" t="n">
        <v>20691</v>
      </c>
    </row>
    <row r="211">
      <c r="A211" s="42" t="inlineStr">
        <is>
          <t>IA</t>
        </is>
      </c>
      <c r="B211" s="42" t="inlineStr">
        <is>
          <t>19021</t>
        </is>
      </c>
      <c r="C211" s="42" t="inlineStr">
        <is>
          <t>Buena Vista</t>
        </is>
      </c>
      <c r="D211" s="42" t="inlineStr">
        <is>
          <t>Small town &amp; rural</t>
        </is>
      </c>
      <c r="E211" s="42" t="inlineStr"/>
      <c r="F211" s="43" t="n">
        <v>2462</v>
      </c>
      <c r="G211" s="43" t="n">
        <v>4962</v>
      </c>
      <c r="H211" s="43" t="n">
        <v>7516</v>
      </c>
      <c r="I211" s="43" t="n">
        <v>2961</v>
      </c>
      <c r="J211" s="43" t="n">
        <v>5056</v>
      </c>
      <c r="K211" s="42" t="inlineStr">
        <is>
          <t>US Senate</t>
        </is>
      </c>
      <c r="L211" s="43" t="n">
        <v>1518</v>
      </c>
      <c r="M211" s="43" t="n">
        <v>3530</v>
      </c>
      <c r="N211" s="43" t="n">
        <v>5053</v>
      </c>
      <c r="O211" s="44">
        <f>IFERROR((F211-G211)/(F211+G211),"")</f>
        <v/>
      </c>
      <c r="P211" s="44">
        <f>IFERROR((I211-J211)/(I211+J211),"")</f>
        <v/>
      </c>
      <c r="Q211" s="45">
        <f>IFERROR(O211-P211,"")</f>
        <v/>
      </c>
      <c r="R211" s="44">
        <f>IFERROR((L211-M211)/(L211+M211),"")</f>
        <v/>
      </c>
      <c r="S211" s="46">
        <f>H211/SUMIFS(Counties!$H$2:$H$1583,Counties!$A$2:$A$1583,$A211)</f>
        <v/>
      </c>
      <c r="T211" s="44">
        <f>O211+INDEX(Dashboard!$F$6:$F$22,MATCH($A211,Dashboard!$A$6:$A$22,0))</f>
        <v/>
      </c>
      <c r="U211" s="43">
        <f>AQ211*INDEX(Dashboard!$G$6:$G$22,MATCH($A211,Dashboard!$A$6:$A$22,0))</f>
        <v/>
      </c>
      <c r="V211" s="47" t="n"/>
      <c r="W211" s="47" t="n"/>
      <c r="X211" s="47" t="n"/>
      <c r="Y211" s="48" t="n"/>
      <c r="Z211" s="49" t="n"/>
      <c r="AA211" s="49" t="n"/>
      <c r="AB211" s="49" t="n"/>
      <c r="AC211" s="50" t="n"/>
      <c r="AD211" s="43">
        <f>IF(Z211&lt;&gt;"",Z211,N(V211))</f>
        <v/>
      </c>
      <c r="AE211" s="43">
        <f>IF(AA211&lt;&gt;"",AA211,N(W211))</f>
        <v/>
      </c>
      <c r="AF211" s="43">
        <f>AD211+AE211</f>
        <v/>
      </c>
      <c r="AG211" s="42">
        <f>IF(UPPER(AC211)="Y",1,IF(AF211=0,0,IF(AND(Z211="",Y211&lt;&gt;""),IF(Y211&gt;=0.999,1,0),IF(AF211&gt;=U211,1,0))))</f>
        <v/>
      </c>
      <c r="AH211" s="44">
        <f>IF(AF211&gt;0,(AD211-AE211)/AF211,"")</f>
        <v/>
      </c>
      <c r="AI211" s="45">
        <f>IF(AG211=1,AH211-O211,"")</f>
        <v/>
      </c>
      <c r="AJ211" s="44">
        <f>IF(AG211=1,AH211,MAX(-1,MIN(1,O211+INDEX(Types!$H:$H,MATCH($A211&amp;"|"&amp;$D211,Types!$A:$A,0)))))</f>
        <v/>
      </c>
      <c r="AK211" s="43">
        <f>IF(AG211=1,AF211,MAX(AQ211*AS211,AF211))</f>
        <v/>
      </c>
      <c r="AL211" s="43">
        <f>IF(AG211=1,AD211,AK211*(1+AJ211)/2)</f>
        <v/>
      </c>
      <c r="AM211" s="43">
        <f>IF(AG211=1,AE211,AK211*(1-AJ211)/2)</f>
        <v/>
      </c>
      <c r="AN211" s="45">
        <f>IF(AH211="","",AH211-T211)</f>
        <v/>
      </c>
      <c r="AO211" s="51">
        <f>IF(AG211=1,1,IF(U211&gt;0,MIN(AF211/U211,0.99),0))</f>
        <v/>
      </c>
      <c r="AP211" s="43">
        <f>IF(AG211=1,AI211*AF211,0)</f>
        <v/>
      </c>
      <c r="AQ211" s="43">
        <f>N211*(F211+G211)/H211</f>
        <v/>
      </c>
      <c r="AR211" s="43">
        <f>O211*AQ211</f>
        <v/>
      </c>
      <c r="AS211" s="52">
        <f>IF(AG211=1,IF(AQ211&gt;0,AF211/AQ211,1),IFERROR(INDEX(Types!$K:$K,MATCH($A211&amp;"|"&amp;$D211,Types!$A:$A,0)),INDEX(Dashboard!$X$6:$X$22,MATCH($A211,Dashboard!$A$6:$A$22,0))))</f>
        <v/>
      </c>
      <c r="AT211" s="43">
        <f>AQ211*INDEX(Dashboard!$Y$6:$Y$22,MATCH($A211,Dashboard!$A$6:$A$22,0))</f>
        <v/>
      </c>
      <c r="AU211" s="53">
        <f>IF(AND(AG211=1,AT211&gt;0,AF211&gt;0),100*AF211/AT211,"")</f>
        <v/>
      </c>
      <c r="AV211" s="44">
        <f>IF(AU211="","",T211/(AU211/100))</f>
        <v/>
      </c>
      <c r="AW211" s="53">
        <f>IF(AU211="","",IF(AND(ABS(AH211)&gt;=0.1,ABS(T211)&gt;=0.05,SIGN(AH211)=SIGN(T211)),100*T211/AH211,""))</f>
        <v/>
      </c>
      <c r="AX211" s="45">
        <f>IF(AU211="","",T211-AV211)</f>
        <v/>
      </c>
      <c r="AY211" s="45">
        <f>IF(AU211="","",AH211-AV211)</f>
        <v/>
      </c>
      <c r="AZ211" s="54">
        <f>(AL211-AM211)-T211*AT211</f>
        <v/>
      </c>
      <c r="BA211" s="43">
        <f>IF(AU211="",0,(AH211-T211)*AF211)</f>
        <v/>
      </c>
      <c r="BB211" s="43">
        <f>IF(AU211="",0,T211*(AF211-AT211))</f>
        <v/>
      </c>
      <c r="BC211" s="51" t="n">
        <v>0.03666067000534837</v>
      </c>
      <c r="BD211" s="51" t="n">
        <v>0.2955705742208392</v>
      </c>
      <c r="BE211" s="51" t="n">
        <v>0.2207007343941249</v>
      </c>
      <c r="BF211" s="43" t="n">
        <v>20567</v>
      </c>
    </row>
    <row r="212">
      <c r="A212" s="42" t="inlineStr">
        <is>
          <t>IA</t>
        </is>
      </c>
      <c r="B212" s="42" t="inlineStr">
        <is>
          <t>19023</t>
        </is>
      </c>
      <c r="C212" s="42" t="inlineStr">
        <is>
          <t>Butler</t>
        </is>
      </c>
      <c r="D212" s="42" t="inlineStr">
        <is>
          <t>Small town &amp; rural</t>
        </is>
      </c>
      <c r="E212" s="42" t="inlineStr"/>
      <c r="F212" s="43" t="n">
        <v>2144</v>
      </c>
      <c r="G212" s="43" t="n">
        <v>5784</v>
      </c>
      <c r="H212" s="43" t="n">
        <v>8027</v>
      </c>
      <c r="I212" s="43" t="n">
        <v>2424</v>
      </c>
      <c r="J212" s="43" t="n">
        <v>5542</v>
      </c>
      <c r="K212" s="42" t="inlineStr">
        <is>
          <t>US Senate</t>
        </is>
      </c>
      <c r="L212" s="43" t="n">
        <v>1669</v>
      </c>
      <c r="M212" s="43" t="n">
        <v>4334</v>
      </c>
      <c r="N212" s="43" t="n">
        <v>6009</v>
      </c>
      <c r="O212" s="44">
        <f>IFERROR((F212-G212)/(F212+G212),"")</f>
        <v/>
      </c>
      <c r="P212" s="44">
        <f>IFERROR((I212-J212)/(I212+J212),"")</f>
        <v/>
      </c>
      <c r="Q212" s="45">
        <f>IFERROR(O212-P212,"")</f>
        <v/>
      </c>
      <c r="R212" s="44">
        <f>IFERROR((L212-M212)/(L212+M212),"")</f>
        <v/>
      </c>
      <c r="S212" s="46">
        <f>H212/SUMIFS(Counties!$H$2:$H$1583,Counties!$A$2:$A$1583,$A212)</f>
        <v/>
      </c>
      <c r="T212" s="44">
        <f>O212+INDEX(Dashboard!$F$6:$F$22,MATCH($A212,Dashboard!$A$6:$A$22,0))</f>
        <v/>
      </c>
      <c r="U212" s="43">
        <f>AQ212*INDEX(Dashboard!$G$6:$G$22,MATCH($A212,Dashboard!$A$6:$A$22,0))</f>
        <v/>
      </c>
      <c r="V212" s="47" t="n"/>
      <c r="W212" s="47" t="n"/>
      <c r="X212" s="47" t="n"/>
      <c r="Y212" s="48" t="n"/>
      <c r="Z212" s="49" t="n"/>
      <c r="AA212" s="49" t="n"/>
      <c r="AB212" s="49" t="n"/>
      <c r="AC212" s="50" t="n"/>
      <c r="AD212" s="43">
        <f>IF(Z212&lt;&gt;"",Z212,N(V212))</f>
        <v/>
      </c>
      <c r="AE212" s="43">
        <f>IF(AA212&lt;&gt;"",AA212,N(W212))</f>
        <v/>
      </c>
      <c r="AF212" s="43">
        <f>AD212+AE212</f>
        <v/>
      </c>
      <c r="AG212" s="42">
        <f>IF(UPPER(AC212)="Y",1,IF(AF212=0,0,IF(AND(Z212="",Y212&lt;&gt;""),IF(Y212&gt;=0.999,1,0),IF(AF212&gt;=U212,1,0))))</f>
        <v/>
      </c>
      <c r="AH212" s="44">
        <f>IF(AF212&gt;0,(AD212-AE212)/AF212,"")</f>
        <v/>
      </c>
      <c r="AI212" s="45">
        <f>IF(AG212=1,AH212-O212,"")</f>
        <v/>
      </c>
      <c r="AJ212" s="44">
        <f>IF(AG212=1,AH212,MAX(-1,MIN(1,O212+INDEX(Types!$H:$H,MATCH($A212&amp;"|"&amp;$D212,Types!$A:$A,0)))))</f>
        <v/>
      </c>
      <c r="AK212" s="43">
        <f>IF(AG212=1,AF212,MAX(AQ212*AS212,AF212))</f>
        <v/>
      </c>
      <c r="AL212" s="43">
        <f>IF(AG212=1,AD212,AK212*(1+AJ212)/2)</f>
        <v/>
      </c>
      <c r="AM212" s="43">
        <f>IF(AG212=1,AE212,AK212*(1-AJ212)/2)</f>
        <v/>
      </c>
      <c r="AN212" s="45">
        <f>IF(AH212="","",AH212-T212)</f>
        <v/>
      </c>
      <c r="AO212" s="51">
        <f>IF(AG212=1,1,IF(U212&gt;0,MIN(AF212/U212,0.99),0))</f>
        <v/>
      </c>
      <c r="AP212" s="43">
        <f>IF(AG212=1,AI212*AF212,0)</f>
        <v/>
      </c>
      <c r="AQ212" s="43">
        <f>N212*(F212+G212)/H212</f>
        <v/>
      </c>
      <c r="AR212" s="43">
        <f>O212*AQ212</f>
        <v/>
      </c>
      <c r="AS212" s="52">
        <f>IF(AG212=1,IF(AQ212&gt;0,AF212/AQ212,1),IFERROR(INDEX(Types!$K:$K,MATCH($A212&amp;"|"&amp;$D212,Types!$A:$A,0)),INDEX(Dashboard!$X$6:$X$22,MATCH($A212,Dashboard!$A$6:$A$22,0))))</f>
        <v/>
      </c>
      <c r="AT212" s="43">
        <f>AQ212*INDEX(Dashboard!$Y$6:$Y$22,MATCH($A212,Dashboard!$A$6:$A$22,0))</f>
        <v/>
      </c>
      <c r="AU212" s="53">
        <f>IF(AND(AG212=1,AT212&gt;0,AF212&gt;0),100*AF212/AT212,"")</f>
        <v/>
      </c>
      <c r="AV212" s="44">
        <f>IF(AU212="","",T212/(AU212/100))</f>
        <v/>
      </c>
      <c r="AW212" s="53">
        <f>IF(AU212="","",IF(AND(ABS(AH212)&gt;=0.1,ABS(T212)&gt;=0.05,SIGN(AH212)=SIGN(T212)),100*T212/AH212,""))</f>
        <v/>
      </c>
      <c r="AX212" s="45">
        <f>IF(AU212="","",T212-AV212)</f>
        <v/>
      </c>
      <c r="AY212" s="45">
        <f>IF(AU212="","",AH212-AV212)</f>
        <v/>
      </c>
      <c r="AZ212" s="54">
        <f>(AL212-AM212)-T212*AT212</f>
        <v/>
      </c>
      <c r="BA212" s="43">
        <f>IF(AU212="",0,(AH212-T212)*AF212)</f>
        <v/>
      </c>
      <c r="BB212" s="43">
        <f>IF(AU212="",0,T212*(AF212-AT212))</f>
        <v/>
      </c>
      <c r="BC212" s="51" t="n">
        <v>0.004304261924922382</v>
      </c>
      <c r="BD212" s="51" t="n">
        <v>0.019616144510302</v>
      </c>
      <c r="BE212" s="51" t="n">
        <v>0.204406243825331</v>
      </c>
      <c r="BF212" s="43" t="n">
        <v>14172</v>
      </c>
    </row>
    <row r="213">
      <c r="A213" s="42" t="inlineStr">
        <is>
          <t>IA</t>
        </is>
      </c>
      <c r="B213" s="42" t="inlineStr">
        <is>
          <t>19025</t>
        </is>
      </c>
      <c r="C213" s="42" t="inlineStr">
        <is>
          <t>Calhoun</t>
        </is>
      </c>
      <c r="D213" s="42" t="inlineStr">
        <is>
          <t>Small town &amp; rural</t>
        </is>
      </c>
      <c r="E213" s="42" t="inlineStr"/>
      <c r="F213" s="43" t="n">
        <v>1328</v>
      </c>
      <c r="G213" s="43" t="n">
        <v>3708</v>
      </c>
      <c r="H213" s="43" t="n">
        <v>5093</v>
      </c>
      <c r="I213" s="43" t="n">
        <v>1470</v>
      </c>
      <c r="J213" s="43" t="n">
        <v>3689</v>
      </c>
      <c r="K213" s="42" t="inlineStr">
        <is>
          <t>US Senate</t>
        </is>
      </c>
      <c r="L213" s="43" t="n">
        <v>1027</v>
      </c>
      <c r="M213" s="43" t="n">
        <v>2853</v>
      </c>
      <c r="N213" s="43" t="n">
        <v>3886</v>
      </c>
      <c r="O213" s="44">
        <f>IFERROR((F213-G213)/(F213+G213),"")</f>
        <v/>
      </c>
      <c r="P213" s="44">
        <f>IFERROR((I213-J213)/(I213+J213),"")</f>
        <v/>
      </c>
      <c r="Q213" s="45">
        <f>IFERROR(O213-P213,"")</f>
        <v/>
      </c>
      <c r="R213" s="44">
        <f>IFERROR((L213-M213)/(L213+M213),"")</f>
        <v/>
      </c>
      <c r="S213" s="46">
        <f>H213/SUMIFS(Counties!$H$2:$H$1583,Counties!$A$2:$A$1583,$A213)</f>
        <v/>
      </c>
      <c r="T213" s="44">
        <f>O213+INDEX(Dashboard!$F$6:$F$22,MATCH($A213,Dashboard!$A$6:$A$22,0))</f>
        <v/>
      </c>
      <c r="U213" s="43">
        <f>AQ213*INDEX(Dashboard!$G$6:$G$22,MATCH($A213,Dashboard!$A$6:$A$22,0))</f>
        <v/>
      </c>
      <c r="V213" s="47" t="n"/>
      <c r="W213" s="47" t="n"/>
      <c r="X213" s="47" t="n"/>
      <c r="Y213" s="48" t="n"/>
      <c r="Z213" s="49" t="n"/>
      <c r="AA213" s="49" t="n"/>
      <c r="AB213" s="49" t="n"/>
      <c r="AC213" s="50" t="n"/>
      <c r="AD213" s="43">
        <f>IF(Z213&lt;&gt;"",Z213,N(V213))</f>
        <v/>
      </c>
      <c r="AE213" s="43">
        <f>IF(AA213&lt;&gt;"",AA213,N(W213))</f>
        <v/>
      </c>
      <c r="AF213" s="43">
        <f>AD213+AE213</f>
        <v/>
      </c>
      <c r="AG213" s="42">
        <f>IF(UPPER(AC213)="Y",1,IF(AF213=0,0,IF(AND(Z213="",Y213&lt;&gt;""),IF(Y213&gt;=0.999,1,0),IF(AF213&gt;=U213,1,0))))</f>
        <v/>
      </c>
      <c r="AH213" s="44">
        <f>IF(AF213&gt;0,(AD213-AE213)/AF213,"")</f>
        <v/>
      </c>
      <c r="AI213" s="45">
        <f>IF(AG213=1,AH213-O213,"")</f>
        <v/>
      </c>
      <c r="AJ213" s="44">
        <f>IF(AG213=1,AH213,MAX(-1,MIN(1,O213+INDEX(Types!$H:$H,MATCH($A213&amp;"|"&amp;$D213,Types!$A:$A,0)))))</f>
        <v/>
      </c>
      <c r="AK213" s="43">
        <f>IF(AG213=1,AF213,MAX(AQ213*AS213,AF213))</f>
        <v/>
      </c>
      <c r="AL213" s="43">
        <f>IF(AG213=1,AD213,AK213*(1+AJ213)/2)</f>
        <v/>
      </c>
      <c r="AM213" s="43">
        <f>IF(AG213=1,AE213,AK213*(1-AJ213)/2)</f>
        <v/>
      </c>
      <c r="AN213" s="45">
        <f>IF(AH213="","",AH213-T213)</f>
        <v/>
      </c>
      <c r="AO213" s="51">
        <f>IF(AG213=1,1,IF(U213&gt;0,MIN(AF213/U213,0.99),0))</f>
        <v/>
      </c>
      <c r="AP213" s="43">
        <f>IF(AG213=1,AI213*AF213,0)</f>
        <v/>
      </c>
      <c r="AQ213" s="43">
        <f>N213*(F213+G213)/H213</f>
        <v/>
      </c>
      <c r="AR213" s="43">
        <f>O213*AQ213</f>
        <v/>
      </c>
      <c r="AS213" s="52">
        <f>IF(AG213=1,IF(AQ213&gt;0,AF213/AQ213,1),IFERROR(INDEX(Types!$K:$K,MATCH($A213&amp;"|"&amp;$D213,Types!$A:$A,0)),INDEX(Dashboard!$X$6:$X$22,MATCH($A213,Dashboard!$A$6:$A$22,0))))</f>
        <v/>
      </c>
      <c r="AT213" s="43">
        <f>AQ213*INDEX(Dashboard!$Y$6:$Y$22,MATCH($A213,Dashboard!$A$6:$A$22,0))</f>
        <v/>
      </c>
      <c r="AU213" s="53">
        <f>IF(AND(AG213=1,AT213&gt;0,AF213&gt;0),100*AF213/AT213,"")</f>
        <v/>
      </c>
      <c r="AV213" s="44">
        <f>IF(AU213="","",T213/(AU213/100))</f>
        <v/>
      </c>
      <c r="AW213" s="53">
        <f>IF(AU213="","",IF(AND(ABS(AH213)&gt;=0.1,ABS(T213)&gt;=0.05,SIGN(AH213)=SIGN(T213)),100*T213/AH213,""))</f>
        <v/>
      </c>
      <c r="AX213" s="45">
        <f>IF(AU213="","",T213-AV213)</f>
        <v/>
      </c>
      <c r="AY213" s="45">
        <f>IF(AU213="","",AH213-AV213)</f>
        <v/>
      </c>
      <c r="AZ213" s="54">
        <f>(AL213-AM213)-T213*AT213</f>
        <v/>
      </c>
      <c r="BA213" s="43">
        <f>IF(AU213="",0,(AH213-T213)*AF213)</f>
        <v/>
      </c>
      <c r="BB213" s="43">
        <f>IF(AU213="",0,T213*(AF213-AT213))</f>
        <v/>
      </c>
      <c r="BC213" s="51" t="n">
        <v>0.02806514391068319</v>
      </c>
      <c r="BD213" s="51" t="n">
        <v>0.02826999897572468</v>
      </c>
      <c r="BE213" s="51" t="n">
        <v>0.2149532710280374</v>
      </c>
      <c r="BF213" s="43" t="n">
        <v>9763</v>
      </c>
    </row>
    <row r="214">
      <c r="A214" s="42" t="inlineStr">
        <is>
          <t>IA</t>
        </is>
      </c>
      <c r="B214" s="42" t="inlineStr">
        <is>
          <t>19027</t>
        </is>
      </c>
      <c r="C214" s="42" t="inlineStr">
        <is>
          <t>Carroll</t>
        </is>
      </c>
      <c r="D214" s="42" t="inlineStr">
        <is>
          <t>Small town &amp; rural</t>
        </is>
      </c>
      <c r="E214" s="42" t="inlineStr"/>
      <c r="F214" s="43" t="n">
        <v>3153</v>
      </c>
      <c r="G214" s="43" t="n">
        <v>7814</v>
      </c>
      <c r="H214" s="43" t="n">
        <v>11120</v>
      </c>
      <c r="I214" s="43" t="n">
        <v>3454</v>
      </c>
      <c r="J214" s="43" t="n">
        <v>7737</v>
      </c>
      <c r="K214" s="42" t="inlineStr">
        <is>
          <t>US Senate</t>
        </is>
      </c>
      <c r="L214" s="43" t="n">
        <v>2327</v>
      </c>
      <c r="M214" s="43" t="n">
        <v>5773</v>
      </c>
      <c r="N214" s="43" t="n">
        <v>8110</v>
      </c>
      <c r="O214" s="44">
        <f>IFERROR((F214-G214)/(F214+G214),"")</f>
        <v/>
      </c>
      <c r="P214" s="44">
        <f>IFERROR((I214-J214)/(I214+J214),"")</f>
        <v/>
      </c>
      <c r="Q214" s="45">
        <f>IFERROR(O214-P214,"")</f>
        <v/>
      </c>
      <c r="R214" s="44">
        <f>IFERROR((L214-M214)/(L214+M214),"")</f>
        <v/>
      </c>
      <c r="S214" s="46">
        <f>H214/SUMIFS(Counties!$H$2:$H$1583,Counties!$A$2:$A$1583,$A214)</f>
        <v/>
      </c>
      <c r="T214" s="44">
        <f>O214+INDEX(Dashboard!$F$6:$F$22,MATCH($A214,Dashboard!$A$6:$A$22,0))</f>
        <v/>
      </c>
      <c r="U214" s="43">
        <f>AQ214*INDEX(Dashboard!$G$6:$G$22,MATCH($A214,Dashboard!$A$6:$A$22,0))</f>
        <v/>
      </c>
      <c r="V214" s="47" t="n"/>
      <c r="W214" s="47" t="n"/>
      <c r="X214" s="47" t="n"/>
      <c r="Y214" s="48" t="n"/>
      <c r="Z214" s="49" t="n"/>
      <c r="AA214" s="49" t="n"/>
      <c r="AB214" s="49" t="n"/>
      <c r="AC214" s="50" t="n"/>
      <c r="AD214" s="43">
        <f>IF(Z214&lt;&gt;"",Z214,N(V214))</f>
        <v/>
      </c>
      <c r="AE214" s="43">
        <f>IF(AA214&lt;&gt;"",AA214,N(W214))</f>
        <v/>
      </c>
      <c r="AF214" s="43">
        <f>AD214+AE214</f>
        <v/>
      </c>
      <c r="AG214" s="42">
        <f>IF(UPPER(AC214)="Y",1,IF(AF214=0,0,IF(AND(Z214="",Y214&lt;&gt;""),IF(Y214&gt;=0.999,1,0),IF(AF214&gt;=U214,1,0))))</f>
        <v/>
      </c>
      <c r="AH214" s="44">
        <f>IF(AF214&gt;0,(AD214-AE214)/AF214,"")</f>
        <v/>
      </c>
      <c r="AI214" s="45">
        <f>IF(AG214=1,AH214-O214,"")</f>
        <v/>
      </c>
      <c r="AJ214" s="44">
        <f>IF(AG214=1,AH214,MAX(-1,MIN(1,O214+INDEX(Types!$H:$H,MATCH($A214&amp;"|"&amp;$D214,Types!$A:$A,0)))))</f>
        <v/>
      </c>
      <c r="AK214" s="43">
        <f>IF(AG214=1,AF214,MAX(AQ214*AS214,AF214))</f>
        <v/>
      </c>
      <c r="AL214" s="43">
        <f>IF(AG214=1,AD214,AK214*(1+AJ214)/2)</f>
        <v/>
      </c>
      <c r="AM214" s="43">
        <f>IF(AG214=1,AE214,AK214*(1-AJ214)/2)</f>
        <v/>
      </c>
      <c r="AN214" s="45">
        <f>IF(AH214="","",AH214-T214)</f>
        <v/>
      </c>
      <c r="AO214" s="51">
        <f>IF(AG214=1,1,IF(U214&gt;0,MIN(AF214/U214,0.99),0))</f>
        <v/>
      </c>
      <c r="AP214" s="43">
        <f>IF(AG214=1,AI214*AF214,0)</f>
        <v/>
      </c>
      <c r="AQ214" s="43">
        <f>N214*(F214+G214)/H214</f>
        <v/>
      </c>
      <c r="AR214" s="43">
        <f>O214*AQ214</f>
        <v/>
      </c>
      <c r="AS214" s="52">
        <f>IF(AG214=1,IF(AQ214&gt;0,AF214/AQ214,1),IFERROR(INDEX(Types!$K:$K,MATCH($A214&amp;"|"&amp;$D214,Types!$A:$A,0)),INDEX(Dashboard!$X$6:$X$22,MATCH($A214,Dashboard!$A$6:$A$22,0))))</f>
        <v/>
      </c>
      <c r="AT214" s="43">
        <f>AQ214*INDEX(Dashboard!$Y$6:$Y$22,MATCH($A214,Dashboard!$A$6:$A$22,0))</f>
        <v/>
      </c>
      <c r="AU214" s="53">
        <f>IF(AND(AG214=1,AT214&gt;0,AF214&gt;0),100*AF214/AT214,"")</f>
        <v/>
      </c>
      <c r="AV214" s="44">
        <f>IF(AU214="","",T214/(AU214/100))</f>
        <v/>
      </c>
      <c r="AW214" s="53">
        <f>IF(AU214="","",IF(AND(ABS(AH214)&gt;=0.1,ABS(T214)&gt;=0.05,SIGN(AH214)=SIGN(T214)),100*T214/AH214,""))</f>
        <v/>
      </c>
      <c r="AX214" s="45">
        <f>IF(AU214="","",T214-AV214)</f>
        <v/>
      </c>
      <c r="AY214" s="45">
        <f>IF(AU214="","",AH214-AV214)</f>
        <v/>
      </c>
      <c r="AZ214" s="54">
        <f>(AL214-AM214)-T214*AT214</f>
        <v/>
      </c>
      <c r="BA214" s="43">
        <f>IF(AU214="",0,(AH214-T214)*AF214)</f>
        <v/>
      </c>
      <c r="BB214" s="43">
        <f>IF(AU214="",0,T214*(AF214-AT214))</f>
        <v/>
      </c>
      <c r="BC214" s="51" t="n">
        <v>0.01296169963941136</v>
      </c>
      <c r="BD214" s="51" t="n">
        <v>0.03732579670597408</v>
      </c>
      <c r="BE214" s="51" t="n">
        <v>0.2339668303793864</v>
      </c>
      <c r="BF214" s="43" t="n">
        <v>20522</v>
      </c>
    </row>
    <row r="215">
      <c r="A215" s="42" t="inlineStr">
        <is>
          <t>IA</t>
        </is>
      </c>
      <c r="B215" s="42" t="inlineStr">
        <is>
          <t>19029</t>
        </is>
      </c>
      <c r="C215" s="42" t="inlineStr">
        <is>
          <t>Cass</t>
        </is>
      </c>
      <c r="D215" s="42" t="inlineStr">
        <is>
          <t>Small town &amp; rural</t>
        </is>
      </c>
      <c r="E215" s="42" t="inlineStr"/>
      <c r="F215" s="43" t="n">
        <v>2077</v>
      </c>
      <c r="G215" s="43" t="n">
        <v>5007</v>
      </c>
      <c r="H215" s="43" t="n">
        <v>7195</v>
      </c>
      <c r="I215" s="43" t="n">
        <v>2201</v>
      </c>
      <c r="J215" s="43" t="n">
        <v>4969</v>
      </c>
      <c r="K215" s="42" t="inlineStr">
        <is>
          <t>US Senate</t>
        </is>
      </c>
      <c r="L215" s="43" t="n">
        <v>1502</v>
      </c>
      <c r="M215" s="43" t="n">
        <v>3698</v>
      </c>
      <c r="N215" s="43" t="n">
        <v>5209</v>
      </c>
      <c r="O215" s="44">
        <f>IFERROR((F215-G215)/(F215+G215),"")</f>
        <v/>
      </c>
      <c r="P215" s="44">
        <f>IFERROR((I215-J215)/(I215+J215),"")</f>
        <v/>
      </c>
      <c r="Q215" s="45">
        <f>IFERROR(O215-P215,"")</f>
        <v/>
      </c>
      <c r="R215" s="44">
        <f>IFERROR((L215-M215)/(L215+M215),"")</f>
        <v/>
      </c>
      <c r="S215" s="46">
        <f>H215/SUMIFS(Counties!$H$2:$H$1583,Counties!$A$2:$A$1583,$A215)</f>
        <v/>
      </c>
      <c r="T215" s="44">
        <f>O215+INDEX(Dashboard!$F$6:$F$22,MATCH($A215,Dashboard!$A$6:$A$22,0))</f>
        <v/>
      </c>
      <c r="U215" s="43">
        <f>AQ215*INDEX(Dashboard!$G$6:$G$22,MATCH($A215,Dashboard!$A$6:$A$22,0))</f>
        <v/>
      </c>
      <c r="V215" s="47" t="n"/>
      <c r="W215" s="47" t="n"/>
      <c r="X215" s="47" t="n"/>
      <c r="Y215" s="48" t="n"/>
      <c r="Z215" s="49" t="n"/>
      <c r="AA215" s="49" t="n"/>
      <c r="AB215" s="49" t="n"/>
      <c r="AC215" s="50" t="n"/>
      <c r="AD215" s="43">
        <f>IF(Z215&lt;&gt;"",Z215,N(V215))</f>
        <v/>
      </c>
      <c r="AE215" s="43">
        <f>IF(AA215&lt;&gt;"",AA215,N(W215))</f>
        <v/>
      </c>
      <c r="AF215" s="43">
        <f>AD215+AE215</f>
        <v/>
      </c>
      <c r="AG215" s="42">
        <f>IF(UPPER(AC215)="Y",1,IF(AF215=0,0,IF(AND(Z215="",Y215&lt;&gt;""),IF(Y215&gt;=0.999,1,0),IF(AF215&gt;=U215,1,0))))</f>
        <v/>
      </c>
      <c r="AH215" s="44">
        <f>IF(AF215&gt;0,(AD215-AE215)/AF215,"")</f>
        <v/>
      </c>
      <c r="AI215" s="45">
        <f>IF(AG215=1,AH215-O215,"")</f>
        <v/>
      </c>
      <c r="AJ215" s="44">
        <f>IF(AG215=1,AH215,MAX(-1,MIN(1,O215+INDEX(Types!$H:$H,MATCH($A215&amp;"|"&amp;$D215,Types!$A:$A,0)))))</f>
        <v/>
      </c>
      <c r="AK215" s="43">
        <f>IF(AG215=1,AF215,MAX(AQ215*AS215,AF215))</f>
        <v/>
      </c>
      <c r="AL215" s="43">
        <f>IF(AG215=1,AD215,AK215*(1+AJ215)/2)</f>
        <v/>
      </c>
      <c r="AM215" s="43">
        <f>IF(AG215=1,AE215,AK215*(1-AJ215)/2)</f>
        <v/>
      </c>
      <c r="AN215" s="45">
        <f>IF(AH215="","",AH215-T215)</f>
        <v/>
      </c>
      <c r="AO215" s="51">
        <f>IF(AG215=1,1,IF(U215&gt;0,MIN(AF215/U215,0.99),0))</f>
        <v/>
      </c>
      <c r="AP215" s="43">
        <f>IF(AG215=1,AI215*AF215,0)</f>
        <v/>
      </c>
      <c r="AQ215" s="43">
        <f>N215*(F215+G215)/H215</f>
        <v/>
      </c>
      <c r="AR215" s="43">
        <f>O215*AQ215</f>
        <v/>
      </c>
      <c r="AS215" s="52">
        <f>IF(AG215=1,IF(AQ215&gt;0,AF215/AQ215,1),IFERROR(INDEX(Types!$K:$K,MATCH($A215&amp;"|"&amp;$D215,Types!$A:$A,0)),INDEX(Dashboard!$X$6:$X$22,MATCH($A215,Dashboard!$A$6:$A$22,0))))</f>
        <v/>
      </c>
      <c r="AT215" s="43">
        <f>AQ215*INDEX(Dashboard!$Y$6:$Y$22,MATCH($A215,Dashboard!$A$6:$A$22,0))</f>
        <v/>
      </c>
      <c r="AU215" s="53">
        <f>IF(AND(AG215=1,AT215&gt;0,AF215&gt;0),100*AF215/AT215,"")</f>
        <v/>
      </c>
      <c r="AV215" s="44">
        <f>IF(AU215="","",T215/(AU215/100))</f>
        <v/>
      </c>
      <c r="AW215" s="53">
        <f>IF(AU215="","",IF(AND(ABS(AH215)&gt;=0.1,ABS(T215)&gt;=0.05,SIGN(AH215)=SIGN(T215)),100*T215/AH215,""))</f>
        <v/>
      </c>
      <c r="AX215" s="45">
        <f>IF(AU215="","",T215-AV215)</f>
        <v/>
      </c>
      <c r="AY215" s="45">
        <f>IF(AU215="","",AH215-AV215)</f>
        <v/>
      </c>
      <c r="AZ215" s="54">
        <f>(AL215-AM215)-T215*AT215</f>
        <v/>
      </c>
      <c r="BA215" s="43">
        <f>IF(AU215="",0,(AH215-T215)*AF215)</f>
        <v/>
      </c>
      <c r="BB215" s="43">
        <f>IF(AU215="",0,T215*(AF215-AT215))</f>
        <v/>
      </c>
      <c r="BC215" s="51" t="n">
        <v>0.005635948210205636</v>
      </c>
      <c r="BD215" s="51" t="n">
        <v>0.02696115765422696</v>
      </c>
      <c r="BE215" s="51" t="n">
        <v>0.2156671012603216</v>
      </c>
      <c r="BF215" s="43" t="n">
        <v>13130</v>
      </c>
    </row>
    <row r="216">
      <c r="A216" s="42" t="inlineStr">
        <is>
          <t>IA</t>
        </is>
      </c>
      <c r="B216" s="42" t="inlineStr">
        <is>
          <t>19031</t>
        </is>
      </c>
      <c r="C216" s="42" t="inlineStr">
        <is>
          <t>Cedar</t>
        </is>
      </c>
      <c r="D216" s="42" t="inlineStr">
        <is>
          <t>Small town &amp; rural</t>
        </is>
      </c>
      <c r="E216" s="42" t="inlineStr"/>
      <c r="F216" s="43" t="n">
        <v>4075</v>
      </c>
      <c r="G216" s="43" t="n">
        <v>6390</v>
      </c>
      <c r="H216" s="43" t="n">
        <v>10624</v>
      </c>
      <c r="I216" s="43" t="n">
        <v>4337</v>
      </c>
      <c r="J216" s="43" t="n">
        <v>6161</v>
      </c>
      <c r="K216" s="42" t="inlineStr">
        <is>
          <t>US Senate</t>
        </is>
      </c>
      <c r="L216" s="43" t="n">
        <v>3106</v>
      </c>
      <c r="M216" s="43" t="n">
        <v>4806</v>
      </c>
      <c r="N216" s="43" t="n">
        <v>7917</v>
      </c>
      <c r="O216" s="44">
        <f>IFERROR((F216-G216)/(F216+G216),"")</f>
        <v/>
      </c>
      <c r="P216" s="44">
        <f>IFERROR((I216-J216)/(I216+J216),"")</f>
        <v/>
      </c>
      <c r="Q216" s="45">
        <f>IFERROR(O216-P216,"")</f>
        <v/>
      </c>
      <c r="R216" s="44">
        <f>IFERROR((L216-M216)/(L216+M216),"")</f>
        <v/>
      </c>
      <c r="S216" s="46">
        <f>H216/SUMIFS(Counties!$H$2:$H$1583,Counties!$A$2:$A$1583,$A216)</f>
        <v/>
      </c>
      <c r="T216" s="44">
        <f>O216+INDEX(Dashboard!$F$6:$F$22,MATCH($A216,Dashboard!$A$6:$A$22,0))</f>
        <v/>
      </c>
      <c r="U216" s="43">
        <f>AQ216*INDEX(Dashboard!$G$6:$G$22,MATCH($A216,Dashboard!$A$6:$A$22,0))</f>
        <v/>
      </c>
      <c r="V216" s="47" t="n"/>
      <c r="W216" s="47" t="n"/>
      <c r="X216" s="47" t="n"/>
      <c r="Y216" s="48" t="n"/>
      <c r="Z216" s="49" t="n"/>
      <c r="AA216" s="49" t="n"/>
      <c r="AB216" s="49" t="n"/>
      <c r="AC216" s="50" t="n"/>
      <c r="AD216" s="43">
        <f>IF(Z216&lt;&gt;"",Z216,N(V216))</f>
        <v/>
      </c>
      <c r="AE216" s="43">
        <f>IF(AA216&lt;&gt;"",AA216,N(W216))</f>
        <v/>
      </c>
      <c r="AF216" s="43">
        <f>AD216+AE216</f>
        <v/>
      </c>
      <c r="AG216" s="42">
        <f>IF(UPPER(AC216)="Y",1,IF(AF216=0,0,IF(AND(Z216="",Y216&lt;&gt;""),IF(Y216&gt;=0.999,1,0),IF(AF216&gt;=U216,1,0))))</f>
        <v/>
      </c>
      <c r="AH216" s="44">
        <f>IF(AF216&gt;0,(AD216-AE216)/AF216,"")</f>
        <v/>
      </c>
      <c r="AI216" s="45">
        <f>IF(AG216=1,AH216-O216,"")</f>
        <v/>
      </c>
      <c r="AJ216" s="44">
        <f>IF(AG216=1,AH216,MAX(-1,MIN(1,O216+INDEX(Types!$H:$H,MATCH($A216&amp;"|"&amp;$D216,Types!$A:$A,0)))))</f>
        <v/>
      </c>
      <c r="AK216" s="43">
        <f>IF(AG216=1,AF216,MAX(AQ216*AS216,AF216))</f>
        <v/>
      </c>
      <c r="AL216" s="43">
        <f>IF(AG216=1,AD216,AK216*(1+AJ216)/2)</f>
        <v/>
      </c>
      <c r="AM216" s="43">
        <f>IF(AG216=1,AE216,AK216*(1-AJ216)/2)</f>
        <v/>
      </c>
      <c r="AN216" s="45">
        <f>IF(AH216="","",AH216-T216)</f>
        <v/>
      </c>
      <c r="AO216" s="51">
        <f>IF(AG216=1,1,IF(U216&gt;0,MIN(AF216/U216,0.99),0))</f>
        <v/>
      </c>
      <c r="AP216" s="43">
        <f>IF(AG216=1,AI216*AF216,0)</f>
        <v/>
      </c>
      <c r="AQ216" s="43">
        <f>N216*(F216+G216)/H216</f>
        <v/>
      </c>
      <c r="AR216" s="43">
        <f>O216*AQ216</f>
        <v/>
      </c>
      <c r="AS216" s="52">
        <f>IF(AG216=1,IF(AQ216&gt;0,AF216/AQ216,1),IFERROR(INDEX(Types!$K:$K,MATCH($A216&amp;"|"&amp;$D216,Types!$A:$A,0)),INDEX(Dashboard!$X$6:$X$22,MATCH($A216,Dashboard!$A$6:$A$22,0))))</f>
        <v/>
      </c>
      <c r="AT216" s="43">
        <f>AQ216*INDEX(Dashboard!$Y$6:$Y$22,MATCH($A216,Dashboard!$A$6:$A$22,0))</f>
        <v/>
      </c>
      <c r="AU216" s="53">
        <f>IF(AND(AG216=1,AT216&gt;0,AF216&gt;0),100*AF216/AT216,"")</f>
        <v/>
      </c>
      <c r="AV216" s="44">
        <f>IF(AU216="","",T216/(AU216/100))</f>
        <v/>
      </c>
      <c r="AW216" s="53">
        <f>IF(AU216="","",IF(AND(ABS(AH216)&gt;=0.1,ABS(T216)&gt;=0.05,SIGN(AH216)=SIGN(T216)),100*T216/AH216,""))</f>
        <v/>
      </c>
      <c r="AX216" s="45">
        <f>IF(AU216="","",T216-AV216)</f>
        <v/>
      </c>
      <c r="AY216" s="45">
        <f>IF(AU216="","",AH216-AV216)</f>
        <v/>
      </c>
      <c r="AZ216" s="54">
        <f>(AL216-AM216)-T216*AT216</f>
        <v/>
      </c>
      <c r="BA216" s="43">
        <f>IF(AU216="",0,(AH216-T216)*AF216)</f>
        <v/>
      </c>
      <c r="BB216" s="43">
        <f>IF(AU216="",0,T216*(AF216-AT216))</f>
        <v/>
      </c>
      <c r="BC216" s="51" t="n">
        <v>0.009288602338542236</v>
      </c>
      <c r="BD216" s="51" t="n">
        <v>0.02737405748005682</v>
      </c>
      <c r="BE216" s="51" t="n">
        <v>0.2147985790945507</v>
      </c>
      <c r="BF216" s="43" t="n">
        <v>18302</v>
      </c>
    </row>
    <row r="217">
      <c r="A217" s="42" t="inlineStr">
        <is>
          <t>IA</t>
        </is>
      </c>
      <c r="B217" s="42" t="inlineStr">
        <is>
          <t>19033</t>
        </is>
      </c>
      <c r="C217" s="42" t="inlineStr">
        <is>
          <t>Cerro Gordo</t>
        </is>
      </c>
      <c r="D217" s="42" t="inlineStr">
        <is>
          <t>Small town &amp; rural</t>
        </is>
      </c>
      <c r="E217" s="42" t="inlineStr"/>
      <c r="F217" s="43" t="n">
        <v>9955</v>
      </c>
      <c r="G217" s="43" t="n">
        <v>12627</v>
      </c>
      <c r="H217" s="43" t="n">
        <v>22942</v>
      </c>
      <c r="I217" s="43" t="n">
        <v>10941</v>
      </c>
      <c r="J217" s="43" t="n">
        <v>12442</v>
      </c>
      <c r="K217" s="42" t="inlineStr">
        <is>
          <t>US Senate</t>
        </is>
      </c>
      <c r="L217" s="43" t="n">
        <v>7644</v>
      </c>
      <c r="M217" s="43" t="n">
        <v>9260</v>
      </c>
      <c r="N217" s="43" t="n">
        <v>16927</v>
      </c>
      <c r="O217" s="44">
        <f>IFERROR((F217-G217)/(F217+G217),"")</f>
        <v/>
      </c>
      <c r="P217" s="44">
        <f>IFERROR((I217-J217)/(I217+J217),"")</f>
        <v/>
      </c>
      <c r="Q217" s="45">
        <f>IFERROR(O217-P217,"")</f>
        <v/>
      </c>
      <c r="R217" s="44">
        <f>IFERROR((L217-M217)/(L217+M217),"")</f>
        <v/>
      </c>
      <c r="S217" s="46">
        <f>H217/SUMIFS(Counties!$H$2:$H$1583,Counties!$A$2:$A$1583,$A217)</f>
        <v/>
      </c>
      <c r="T217" s="44">
        <f>O217+INDEX(Dashboard!$F$6:$F$22,MATCH($A217,Dashboard!$A$6:$A$22,0))</f>
        <v/>
      </c>
      <c r="U217" s="43">
        <f>AQ217*INDEX(Dashboard!$G$6:$G$22,MATCH($A217,Dashboard!$A$6:$A$22,0))</f>
        <v/>
      </c>
      <c r="V217" s="47" t="n"/>
      <c r="W217" s="47" t="n"/>
      <c r="X217" s="47" t="n"/>
      <c r="Y217" s="48" t="n"/>
      <c r="Z217" s="49" t="n"/>
      <c r="AA217" s="49" t="n"/>
      <c r="AB217" s="49" t="n"/>
      <c r="AC217" s="50" t="n"/>
      <c r="AD217" s="43">
        <f>IF(Z217&lt;&gt;"",Z217,N(V217))</f>
        <v/>
      </c>
      <c r="AE217" s="43">
        <f>IF(AA217&lt;&gt;"",AA217,N(W217))</f>
        <v/>
      </c>
      <c r="AF217" s="43">
        <f>AD217+AE217</f>
        <v/>
      </c>
      <c r="AG217" s="42">
        <f>IF(UPPER(AC217)="Y",1,IF(AF217=0,0,IF(AND(Z217="",Y217&lt;&gt;""),IF(Y217&gt;=0.999,1,0),IF(AF217&gt;=U217,1,0))))</f>
        <v/>
      </c>
      <c r="AH217" s="44">
        <f>IF(AF217&gt;0,(AD217-AE217)/AF217,"")</f>
        <v/>
      </c>
      <c r="AI217" s="45">
        <f>IF(AG217=1,AH217-O217,"")</f>
        <v/>
      </c>
      <c r="AJ217" s="44">
        <f>IF(AG217=1,AH217,MAX(-1,MIN(1,O217+INDEX(Types!$H:$H,MATCH($A217&amp;"|"&amp;$D217,Types!$A:$A,0)))))</f>
        <v/>
      </c>
      <c r="AK217" s="43">
        <f>IF(AG217=1,AF217,MAX(AQ217*AS217,AF217))</f>
        <v/>
      </c>
      <c r="AL217" s="43">
        <f>IF(AG217=1,AD217,AK217*(1+AJ217)/2)</f>
        <v/>
      </c>
      <c r="AM217" s="43">
        <f>IF(AG217=1,AE217,AK217*(1-AJ217)/2)</f>
        <v/>
      </c>
      <c r="AN217" s="45">
        <f>IF(AH217="","",AH217-T217)</f>
        <v/>
      </c>
      <c r="AO217" s="51">
        <f>IF(AG217=1,1,IF(U217&gt;0,MIN(AF217/U217,0.99),0))</f>
        <v/>
      </c>
      <c r="AP217" s="43">
        <f>IF(AG217=1,AI217*AF217,0)</f>
        <v/>
      </c>
      <c r="AQ217" s="43">
        <f>N217*(F217+G217)/H217</f>
        <v/>
      </c>
      <c r="AR217" s="43">
        <f>O217*AQ217</f>
        <v/>
      </c>
      <c r="AS217" s="52">
        <f>IF(AG217=1,IF(AQ217&gt;0,AF217/AQ217,1),IFERROR(INDEX(Types!$K:$K,MATCH($A217&amp;"|"&amp;$D217,Types!$A:$A,0)),INDEX(Dashboard!$X$6:$X$22,MATCH($A217,Dashboard!$A$6:$A$22,0))))</f>
        <v/>
      </c>
      <c r="AT217" s="43">
        <f>AQ217*INDEX(Dashboard!$Y$6:$Y$22,MATCH($A217,Dashboard!$A$6:$A$22,0))</f>
        <v/>
      </c>
      <c r="AU217" s="53">
        <f>IF(AND(AG217=1,AT217&gt;0,AF217&gt;0),100*AF217/AT217,"")</f>
        <v/>
      </c>
      <c r="AV217" s="44">
        <f>IF(AU217="","",T217/(AU217/100))</f>
        <v/>
      </c>
      <c r="AW217" s="53">
        <f>IF(AU217="","",IF(AND(ABS(AH217)&gt;=0.1,ABS(T217)&gt;=0.05,SIGN(AH217)=SIGN(T217)),100*T217/AH217,""))</f>
        <v/>
      </c>
      <c r="AX217" s="45">
        <f>IF(AU217="","",T217-AV217)</f>
        <v/>
      </c>
      <c r="AY217" s="45">
        <f>IF(AU217="","",AH217-AV217)</f>
        <v/>
      </c>
      <c r="AZ217" s="54">
        <f>(AL217-AM217)-T217*AT217</f>
        <v/>
      </c>
      <c r="BA217" s="43">
        <f>IF(AU217="",0,(AH217-T217)*AF217)</f>
        <v/>
      </c>
      <c r="BB217" s="43">
        <f>IF(AU217="",0,T217*(AF217-AT217))</f>
        <v/>
      </c>
      <c r="BC217" s="51" t="n">
        <v>0.02018582276093006</v>
      </c>
      <c r="BD217" s="51" t="n">
        <v>0.05727963024100363</v>
      </c>
      <c r="BE217" s="51" t="n">
        <v>0.2426477788295199</v>
      </c>
      <c r="BF217" s="43" t="n">
        <v>42406</v>
      </c>
    </row>
    <row r="218">
      <c r="A218" s="42" t="inlineStr">
        <is>
          <t>IA</t>
        </is>
      </c>
      <c r="B218" s="42" t="inlineStr">
        <is>
          <t>19035</t>
        </is>
      </c>
      <c r="C218" s="42" t="inlineStr">
        <is>
          <t>Cherokee</t>
        </is>
      </c>
      <c r="D218" s="42" t="inlineStr">
        <is>
          <t>Small town &amp; rural</t>
        </is>
      </c>
      <c r="E218" s="42" t="inlineStr"/>
      <c r="F218" s="43" t="n">
        <v>1611</v>
      </c>
      <c r="G218" s="43" t="n">
        <v>4398</v>
      </c>
      <c r="H218" s="43" t="n">
        <v>6089</v>
      </c>
      <c r="I218" s="43" t="n">
        <v>1936</v>
      </c>
      <c r="J218" s="43" t="n">
        <v>4495</v>
      </c>
      <c r="K218" s="42" t="inlineStr">
        <is>
          <t>US Senate</t>
        </is>
      </c>
      <c r="L218" s="43" t="n">
        <v>1159</v>
      </c>
      <c r="M218" s="43" t="n">
        <v>3338</v>
      </c>
      <c r="N218" s="43" t="n">
        <v>4500</v>
      </c>
      <c r="O218" s="44">
        <f>IFERROR((F218-G218)/(F218+G218),"")</f>
        <v/>
      </c>
      <c r="P218" s="44">
        <f>IFERROR((I218-J218)/(I218+J218),"")</f>
        <v/>
      </c>
      <c r="Q218" s="45">
        <f>IFERROR(O218-P218,"")</f>
        <v/>
      </c>
      <c r="R218" s="44">
        <f>IFERROR((L218-M218)/(L218+M218),"")</f>
        <v/>
      </c>
      <c r="S218" s="46">
        <f>H218/SUMIFS(Counties!$H$2:$H$1583,Counties!$A$2:$A$1583,$A218)</f>
        <v/>
      </c>
      <c r="T218" s="44">
        <f>O218+INDEX(Dashboard!$F$6:$F$22,MATCH($A218,Dashboard!$A$6:$A$22,0))</f>
        <v/>
      </c>
      <c r="U218" s="43">
        <f>AQ218*INDEX(Dashboard!$G$6:$G$22,MATCH($A218,Dashboard!$A$6:$A$22,0))</f>
        <v/>
      </c>
      <c r="V218" s="47" t="n"/>
      <c r="W218" s="47" t="n"/>
      <c r="X218" s="47" t="n"/>
      <c r="Y218" s="48" t="n"/>
      <c r="Z218" s="49" t="n"/>
      <c r="AA218" s="49" t="n"/>
      <c r="AB218" s="49" t="n"/>
      <c r="AC218" s="50" t="n"/>
      <c r="AD218" s="43">
        <f>IF(Z218&lt;&gt;"",Z218,N(V218))</f>
        <v/>
      </c>
      <c r="AE218" s="43">
        <f>IF(AA218&lt;&gt;"",AA218,N(W218))</f>
        <v/>
      </c>
      <c r="AF218" s="43">
        <f>AD218+AE218</f>
        <v/>
      </c>
      <c r="AG218" s="42">
        <f>IF(UPPER(AC218)="Y",1,IF(AF218=0,0,IF(AND(Z218="",Y218&lt;&gt;""),IF(Y218&gt;=0.999,1,0),IF(AF218&gt;=U218,1,0))))</f>
        <v/>
      </c>
      <c r="AH218" s="44">
        <f>IF(AF218&gt;0,(AD218-AE218)/AF218,"")</f>
        <v/>
      </c>
      <c r="AI218" s="45">
        <f>IF(AG218=1,AH218-O218,"")</f>
        <v/>
      </c>
      <c r="AJ218" s="44">
        <f>IF(AG218=1,AH218,MAX(-1,MIN(1,O218+INDEX(Types!$H:$H,MATCH($A218&amp;"|"&amp;$D218,Types!$A:$A,0)))))</f>
        <v/>
      </c>
      <c r="AK218" s="43">
        <f>IF(AG218=1,AF218,MAX(AQ218*AS218,AF218))</f>
        <v/>
      </c>
      <c r="AL218" s="43">
        <f>IF(AG218=1,AD218,AK218*(1+AJ218)/2)</f>
        <v/>
      </c>
      <c r="AM218" s="43">
        <f>IF(AG218=1,AE218,AK218*(1-AJ218)/2)</f>
        <v/>
      </c>
      <c r="AN218" s="45">
        <f>IF(AH218="","",AH218-T218)</f>
        <v/>
      </c>
      <c r="AO218" s="51">
        <f>IF(AG218=1,1,IF(U218&gt;0,MIN(AF218/U218,0.99),0))</f>
        <v/>
      </c>
      <c r="AP218" s="43">
        <f>IF(AG218=1,AI218*AF218,0)</f>
        <v/>
      </c>
      <c r="AQ218" s="43">
        <f>N218*(F218+G218)/H218</f>
        <v/>
      </c>
      <c r="AR218" s="43">
        <f>O218*AQ218</f>
        <v/>
      </c>
      <c r="AS218" s="52">
        <f>IF(AG218=1,IF(AQ218&gt;0,AF218/AQ218,1),IFERROR(INDEX(Types!$K:$K,MATCH($A218&amp;"|"&amp;$D218,Types!$A:$A,0)),INDEX(Dashboard!$X$6:$X$22,MATCH($A218,Dashboard!$A$6:$A$22,0))))</f>
        <v/>
      </c>
      <c r="AT218" s="43">
        <f>AQ218*INDEX(Dashboard!$Y$6:$Y$22,MATCH($A218,Dashboard!$A$6:$A$22,0))</f>
        <v/>
      </c>
      <c r="AU218" s="53">
        <f>IF(AND(AG218=1,AT218&gt;0,AF218&gt;0),100*AF218/AT218,"")</f>
        <v/>
      </c>
      <c r="AV218" s="44">
        <f>IF(AU218="","",T218/(AU218/100))</f>
        <v/>
      </c>
      <c r="AW218" s="53">
        <f>IF(AU218="","",IF(AND(ABS(AH218)&gt;=0.1,ABS(T218)&gt;=0.05,SIGN(AH218)=SIGN(T218)),100*T218/AH218,""))</f>
        <v/>
      </c>
      <c r="AX218" s="45">
        <f>IF(AU218="","",T218-AV218)</f>
        <v/>
      </c>
      <c r="AY218" s="45">
        <f>IF(AU218="","",AH218-AV218)</f>
        <v/>
      </c>
      <c r="AZ218" s="54">
        <f>(AL218-AM218)-T218*AT218</f>
        <v/>
      </c>
      <c r="BA218" s="43">
        <f>IF(AU218="",0,(AH218-T218)*AF218)</f>
        <v/>
      </c>
      <c r="BB218" s="43">
        <f>IF(AU218="",0,T218*(AF218-AT218))</f>
        <v/>
      </c>
      <c r="BC218" s="51" t="n">
        <v>0.01301163291684619</v>
      </c>
      <c r="BD218" s="51" t="n">
        <v>0.05333907798362775</v>
      </c>
      <c r="BE218" s="51" t="n">
        <v>0.2163103531107375</v>
      </c>
      <c r="BF218" s="43" t="n">
        <v>11605</v>
      </c>
    </row>
    <row r="219">
      <c r="A219" s="42" t="inlineStr">
        <is>
          <t>IA</t>
        </is>
      </c>
      <c r="B219" s="42" t="inlineStr">
        <is>
          <t>19037</t>
        </is>
      </c>
      <c r="C219" s="42" t="inlineStr">
        <is>
          <t>Chickasaw</t>
        </is>
      </c>
      <c r="D219" s="42" t="inlineStr">
        <is>
          <t>Small town &amp; rural</t>
        </is>
      </c>
      <c r="E219" s="42" t="inlineStr"/>
      <c r="F219" s="43" t="n">
        <v>1919</v>
      </c>
      <c r="G219" s="43" t="n">
        <v>4234</v>
      </c>
      <c r="H219" s="43" t="n">
        <v>6230</v>
      </c>
      <c r="I219" s="43" t="n">
        <v>2233</v>
      </c>
      <c r="J219" s="43" t="n">
        <v>4308</v>
      </c>
      <c r="K219" s="42" t="inlineStr">
        <is>
          <t>US Senate</t>
        </is>
      </c>
      <c r="L219" s="43" t="n">
        <v>1665</v>
      </c>
      <c r="M219" s="43" t="n">
        <v>3276</v>
      </c>
      <c r="N219" s="43" t="n">
        <v>4945</v>
      </c>
      <c r="O219" s="44">
        <f>IFERROR((F219-G219)/(F219+G219),"")</f>
        <v/>
      </c>
      <c r="P219" s="44">
        <f>IFERROR((I219-J219)/(I219+J219),"")</f>
        <v/>
      </c>
      <c r="Q219" s="45">
        <f>IFERROR(O219-P219,"")</f>
        <v/>
      </c>
      <c r="R219" s="44">
        <f>IFERROR((L219-M219)/(L219+M219),"")</f>
        <v/>
      </c>
      <c r="S219" s="46">
        <f>H219/SUMIFS(Counties!$H$2:$H$1583,Counties!$A$2:$A$1583,$A219)</f>
        <v/>
      </c>
      <c r="T219" s="44">
        <f>O219+INDEX(Dashboard!$F$6:$F$22,MATCH($A219,Dashboard!$A$6:$A$22,0))</f>
        <v/>
      </c>
      <c r="U219" s="43">
        <f>AQ219*INDEX(Dashboard!$G$6:$G$22,MATCH($A219,Dashboard!$A$6:$A$22,0))</f>
        <v/>
      </c>
      <c r="V219" s="47" t="n"/>
      <c r="W219" s="47" t="n"/>
      <c r="X219" s="47" t="n"/>
      <c r="Y219" s="48" t="n"/>
      <c r="Z219" s="49" t="n"/>
      <c r="AA219" s="49" t="n"/>
      <c r="AB219" s="49" t="n"/>
      <c r="AC219" s="50" t="n"/>
      <c r="AD219" s="43">
        <f>IF(Z219&lt;&gt;"",Z219,N(V219))</f>
        <v/>
      </c>
      <c r="AE219" s="43">
        <f>IF(AA219&lt;&gt;"",AA219,N(W219))</f>
        <v/>
      </c>
      <c r="AF219" s="43">
        <f>AD219+AE219</f>
        <v/>
      </c>
      <c r="AG219" s="42">
        <f>IF(UPPER(AC219)="Y",1,IF(AF219=0,0,IF(AND(Z219="",Y219&lt;&gt;""),IF(Y219&gt;=0.999,1,0),IF(AF219&gt;=U219,1,0))))</f>
        <v/>
      </c>
      <c r="AH219" s="44">
        <f>IF(AF219&gt;0,(AD219-AE219)/AF219,"")</f>
        <v/>
      </c>
      <c r="AI219" s="45">
        <f>IF(AG219=1,AH219-O219,"")</f>
        <v/>
      </c>
      <c r="AJ219" s="44">
        <f>IF(AG219=1,AH219,MAX(-1,MIN(1,O219+INDEX(Types!$H:$H,MATCH($A219&amp;"|"&amp;$D219,Types!$A:$A,0)))))</f>
        <v/>
      </c>
      <c r="AK219" s="43">
        <f>IF(AG219=1,AF219,MAX(AQ219*AS219,AF219))</f>
        <v/>
      </c>
      <c r="AL219" s="43">
        <f>IF(AG219=1,AD219,AK219*(1+AJ219)/2)</f>
        <v/>
      </c>
      <c r="AM219" s="43">
        <f>IF(AG219=1,AE219,AK219*(1-AJ219)/2)</f>
        <v/>
      </c>
      <c r="AN219" s="45">
        <f>IF(AH219="","",AH219-T219)</f>
        <v/>
      </c>
      <c r="AO219" s="51">
        <f>IF(AG219=1,1,IF(U219&gt;0,MIN(AF219/U219,0.99),0))</f>
        <v/>
      </c>
      <c r="AP219" s="43">
        <f>IF(AG219=1,AI219*AF219,0)</f>
        <v/>
      </c>
      <c r="AQ219" s="43">
        <f>N219*(F219+G219)/H219</f>
        <v/>
      </c>
      <c r="AR219" s="43">
        <f>O219*AQ219</f>
        <v/>
      </c>
      <c r="AS219" s="52">
        <f>IF(AG219=1,IF(AQ219&gt;0,AF219/AQ219,1),IFERROR(INDEX(Types!$K:$K,MATCH($A219&amp;"|"&amp;$D219,Types!$A:$A,0)),INDEX(Dashboard!$X$6:$X$22,MATCH($A219,Dashboard!$A$6:$A$22,0))))</f>
        <v/>
      </c>
      <c r="AT219" s="43">
        <f>AQ219*INDEX(Dashboard!$Y$6:$Y$22,MATCH($A219,Dashboard!$A$6:$A$22,0))</f>
        <v/>
      </c>
      <c r="AU219" s="53">
        <f>IF(AND(AG219=1,AT219&gt;0,AF219&gt;0),100*AF219/AT219,"")</f>
        <v/>
      </c>
      <c r="AV219" s="44">
        <f>IF(AU219="","",T219/(AU219/100))</f>
        <v/>
      </c>
      <c r="AW219" s="53">
        <f>IF(AU219="","",IF(AND(ABS(AH219)&gt;=0.1,ABS(T219)&gt;=0.05,SIGN(AH219)=SIGN(T219)),100*T219/AH219,""))</f>
        <v/>
      </c>
      <c r="AX219" s="45">
        <f>IF(AU219="","",T219-AV219)</f>
        <v/>
      </c>
      <c r="AY219" s="45">
        <f>IF(AU219="","",AH219-AV219)</f>
        <v/>
      </c>
      <c r="AZ219" s="54">
        <f>(AL219-AM219)-T219*AT219</f>
        <v/>
      </c>
      <c r="BA219" s="43">
        <f>IF(AU219="",0,(AH219-T219)*AF219)</f>
        <v/>
      </c>
      <c r="BB219" s="43">
        <f>IF(AU219="",0,T219*(AF219-AT219))</f>
        <v/>
      </c>
      <c r="BC219" s="51" t="n">
        <v>0.006347572482415509</v>
      </c>
      <c r="BD219" s="51" t="n">
        <v>0.04443300737690856</v>
      </c>
      <c r="BE219" s="51" t="n">
        <v>0.1908602150537634</v>
      </c>
      <c r="BF219" s="43" t="n">
        <v>11658</v>
      </c>
    </row>
    <row r="220">
      <c r="A220" s="42" t="inlineStr">
        <is>
          <t>IA</t>
        </is>
      </c>
      <c r="B220" s="42" t="inlineStr">
        <is>
          <t>19039</t>
        </is>
      </c>
      <c r="C220" s="42" t="inlineStr">
        <is>
          <t>Clarke</t>
        </is>
      </c>
      <c r="D220" s="42" t="inlineStr">
        <is>
          <t>Small town &amp; rural</t>
        </is>
      </c>
      <c r="E220" s="42" t="inlineStr"/>
      <c r="F220" s="43" t="n">
        <v>1265</v>
      </c>
      <c r="G220" s="43" t="n">
        <v>3140</v>
      </c>
      <c r="H220" s="43" t="n">
        <v>4459</v>
      </c>
      <c r="I220" s="43" t="n">
        <v>1466</v>
      </c>
      <c r="J220" s="43" t="n">
        <v>3144</v>
      </c>
      <c r="K220" s="42" t="inlineStr">
        <is>
          <t>US Senate</t>
        </is>
      </c>
      <c r="L220" s="43" t="n">
        <v>1005</v>
      </c>
      <c r="M220" s="43" t="n">
        <v>2332</v>
      </c>
      <c r="N220" s="43" t="n">
        <v>3343</v>
      </c>
      <c r="O220" s="44">
        <f>IFERROR((F220-G220)/(F220+G220),"")</f>
        <v/>
      </c>
      <c r="P220" s="44">
        <f>IFERROR((I220-J220)/(I220+J220),"")</f>
        <v/>
      </c>
      <c r="Q220" s="45">
        <f>IFERROR(O220-P220,"")</f>
        <v/>
      </c>
      <c r="R220" s="44">
        <f>IFERROR((L220-M220)/(L220+M220),"")</f>
        <v/>
      </c>
      <c r="S220" s="46">
        <f>H220/SUMIFS(Counties!$H$2:$H$1583,Counties!$A$2:$A$1583,$A220)</f>
        <v/>
      </c>
      <c r="T220" s="44">
        <f>O220+INDEX(Dashboard!$F$6:$F$22,MATCH($A220,Dashboard!$A$6:$A$22,0))</f>
        <v/>
      </c>
      <c r="U220" s="43">
        <f>AQ220*INDEX(Dashboard!$G$6:$G$22,MATCH($A220,Dashboard!$A$6:$A$22,0))</f>
        <v/>
      </c>
      <c r="V220" s="47" t="n"/>
      <c r="W220" s="47" t="n"/>
      <c r="X220" s="47" t="n"/>
      <c r="Y220" s="48" t="n"/>
      <c r="Z220" s="49" t="n"/>
      <c r="AA220" s="49" t="n"/>
      <c r="AB220" s="49" t="n"/>
      <c r="AC220" s="50" t="n"/>
      <c r="AD220" s="43">
        <f>IF(Z220&lt;&gt;"",Z220,N(V220))</f>
        <v/>
      </c>
      <c r="AE220" s="43">
        <f>IF(AA220&lt;&gt;"",AA220,N(W220))</f>
        <v/>
      </c>
      <c r="AF220" s="43">
        <f>AD220+AE220</f>
        <v/>
      </c>
      <c r="AG220" s="42">
        <f>IF(UPPER(AC220)="Y",1,IF(AF220=0,0,IF(AND(Z220="",Y220&lt;&gt;""),IF(Y220&gt;=0.999,1,0),IF(AF220&gt;=U220,1,0))))</f>
        <v/>
      </c>
      <c r="AH220" s="44">
        <f>IF(AF220&gt;0,(AD220-AE220)/AF220,"")</f>
        <v/>
      </c>
      <c r="AI220" s="45">
        <f>IF(AG220=1,AH220-O220,"")</f>
        <v/>
      </c>
      <c r="AJ220" s="44">
        <f>IF(AG220=1,AH220,MAX(-1,MIN(1,O220+INDEX(Types!$H:$H,MATCH($A220&amp;"|"&amp;$D220,Types!$A:$A,0)))))</f>
        <v/>
      </c>
      <c r="AK220" s="43">
        <f>IF(AG220=1,AF220,MAX(AQ220*AS220,AF220))</f>
        <v/>
      </c>
      <c r="AL220" s="43">
        <f>IF(AG220=1,AD220,AK220*(1+AJ220)/2)</f>
        <v/>
      </c>
      <c r="AM220" s="43">
        <f>IF(AG220=1,AE220,AK220*(1-AJ220)/2)</f>
        <v/>
      </c>
      <c r="AN220" s="45">
        <f>IF(AH220="","",AH220-T220)</f>
        <v/>
      </c>
      <c r="AO220" s="51">
        <f>IF(AG220=1,1,IF(U220&gt;0,MIN(AF220/U220,0.99),0))</f>
        <v/>
      </c>
      <c r="AP220" s="43">
        <f>IF(AG220=1,AI220*AF220,0)</f>
        <v/>
      </c>
      <c r="AQ220" s="43">
        <f>N220*(F220+G220)/H220</f>
        <v/>
      </c>
      <c r="AR220" s="43">
        <f>O220*AQ220</f>
        <v/>
      </c>
      <c r="AS220" s="52">
        <f>IF(AG220=1,IF(AQ220&gt;0,AF220/AQ220,1),IFERROR(INDEX(Types!$K:$K,MATCH($A220&amp;"|"&amp;$D220,Types!$A:$A,0)),INDEX(Dashboard!$X$6:$X$22,MATCH($A220,Dashboard!$A$6:$A$22,0))))</f>
        <v/>
      </c>
      <c r="AT220" s="43">
        <f>AQ220*INDEX(Dashboard!$Y$6:$Y$22,MATCH($A220,Dashboard!$A$6:$A$22,0))</f>
        <v/>
      </c>
      <c r="AU220" s="53">
        <f>IF(AND(AG220=1,AT220&gt;0,AF220&gt;0),100*AF220/AT220,"")</f>
        <v/>
      </c>
      <c r="AV220" s="44">
        <f>IF(AU220="","",T220/(AU220/100))</f>
        <v/>
      </c>
      <c r="AW220" s="53">
        <f>IF(AU220="","",IF(AND(ABS(AH220)&gt;=0.1,ABS(T220)&gt;=0.05,SIGN(AH220)=SIGN(T220)),100*T220/AH220,""))</f>
        <v/>
      </c>
      <c r="AX220" s="45">
        <f>IF(AU220="","",T220-AV220)</f>
        <v/>
      </c>
      <c r="AY220" s="45">
        <f>IF(AU220="","",AH220-AV220)</f>
        <v/>
      </c>
      <c r="AZ220" s="54">
        <f>(AL220-AM220)-T220*AT220</f>
        <v/>
      </c>
      <c r="BA220" s="43">
        <f>IF(AU220="",0,(AH220-T220)*AF220)</f>
        <v/>
      </c>
      <c r="BB220" s="43">
        <f>IF(AU220="",0,T220*(AF220-AT220))</f>
        <v/>
      </c>
      <c r="BC220" s="51" t="n">
        <v>0.01209845640383813</v>
      </c>
      <c r="BD220" s="51" t="n">
        <v>0.1722987067167293</v>
      </c>
      <c r="BE220" s="51" t="n">
        <v>0.160174509192895</v>
      </c>
      <c r="BF220" s="43" t="n">
        <v>9588</v>
      </c>
    </row>
    <row r="221">
      <c r="A221" s="42" t="inlineStr">
        <is>
          <t>IA</t>
        </is>
      </c>
      <c r="B221" s="42" t="inlineStr">
        <is>
          <t>19041</t>
        </is>
      </c>
      <c r="C221" s="42" t="inlineStr">
        <is>
          <t>Clay</t>
        </is>
      </c>
      <c r="D221" s="42" t="inlineStr">
        <is>
          <t>Small town &amp; rural</t>
        </is>
      </c>
      <c r="E221" s="42" t="inlineStr"/>
      <c r="F221" s="43" t="n">
        <v>2367</v>
      </c>
      <c r="G221" s="43" t="n">
        <v>6047</v>
      </c>
      <c r="H221" s="43" t="n">
        <v>8514</v>
      </c>
      <c r="I221" s="43" t="n">
        <v>2662</v>
      </c>
      <c r="J221" s="43" t="n">
        <v>6137</v>
      </c>
      <c r="K221" s="42" t="inlineStr">
        <is>
          <t>US Senate</t>
        </is>
      </c>
      <c r="L221" s="43" t="n">
        <v>1795</v>
      </c>
      <c r="M221" s="43" t="n">
        <v>4578</v>
      </c>
      <c r="N221" s="43" t="n">
        <v>6383</v>
      </c>
      <c r="O221" s="44">
        <f>IFERROR((F221-G221)/(F221+G221),"")</f>
        <v/>
      </c>
      <c r="P221" s="44">
        <f>IFERROR((I221-J221)/(I221+J221),"")</f>
        <v/>
      </c>
      <c r="Q221" s="45">
        <f>IFERROR(O221-P221,"")</f>
        <v/>
      </c>
      <c r="R221" s="44">
        <f>IFERROR((L221-M221)/(L221+M221),"")</f>
        <v/>
      </c>
      <c r="S221" s="46">
        <f>H221/SUMIFS(Counties!$H$2:$H$1583,Counties!$A$2:$A$1583,$A221)</f>
        <v/>
      </c>
      <c r="T221" s="44">
        <f>O221+INDEX(Dashboard!$F$6:$F$22,MATCH($A221,Dashboard!$A$6:$A$22,0))</f>
        <v/>
      </c>
      <c r="U221" s="43">
        <f>AQ221*INDEX(Dashboard!$G$6:$G$22,MATCH($A221,Dashboard!$A$6:$A$22,0))</f>
        <v/>
      </c>
      <c r="V221" s="47" t="n"/>
      <c r="W221" s="47" t="n"/>
      <c r="X221" s="47" t="n"/>
      <c r="Y221" s="48" t="n"/>
      <c r="Z221" s="49" t="n"/>
      <c r="AA221" s="49" t="n"/>
      <c r="AB221" s="49" t="n"/>
      <c r="AC221" s="50" t="n"/>
      <c r="AD221" s="43">
        <f>IF(Z221&lt;&gt;"",Z221,N(V221))</f>
        <v/>
      </c>
      <c r="AE221" s="43">
        <f>IF(AA221&lt;&gt;"",AA221,N(W221))</f>
        <v/>
      </c>
      <c r="AF221" s="43">
        <f>AD221+AE221</f>
        <v/>
      </c>
      <c r="AG221" s="42">
        <f>IF(UPPER(AC221)="Y",1,IF(AF221=0,0,IF(AND(Z221="",Y221&lt;&gt;""),IF(Y221&gt;=0.999,1,0),IF(AF221&gt;=U221,1,0))))</f>
        <v/>
      </c>
      <c r="AH221" s="44">
        <f>IF(AF221&gt;0,(AD221-AE221)/AF221,"")</f>
        <v/>
      </c>
      <c r="AI221" s="45">
        <f>IF(AG221=1,AH221-O221,"")</f>
        <v/>
      </c>
      <c r="AJ221" s="44">
        <f>IF(AG221=1,AH221,MAX(-1,MIN(1,O221+INDEX(Types!$H:$H,MATCH($A221&amp;"|"&amp;$D221,Types!$A:$A,0)))))</f>
        <v/>
      </c>
      <c r="AK221" s="43">
        <f>IF(AG221=1,AF221,MAX(AQ221*AS221,AF221))</f>
        <v/>
      </c>
      <c r="AL221" s="43">
        <f>IF(AG221=1,AD221,AK221*(1+AJ221)/2)</f>
        <v/>
      </c>
      <c r="AM221" s="43">
        <f>IF(AG221=1,AE221,AK221*(1-AJ221)/2)</f>
        <v/>
      </c>
      <c r="AN221" s="45">
        <f>IF(AH221="","",AH221-T221)</f>
        <v/>
      </c>
      <c r="AO221" s="51">
        <f>IF(AG221=1,1,IF(U221&gt;0,MIN(AF221/U221,0.99),0))</f>
        <v/>
      </c>
      <c r="AP221" s="43">
        <f>IF(AG221=1,AI221*AF221,0)</f>
        <v/>
      </c>
      <c r="AQ221" s="43">
        <f>N221*(F221+G221)/H221</f>
        <v/>
      </c>
      <c r="AR221" s="43">
        <f>O221*AQ221</f>
        <v/>
      </c>
      <c r="AS221" s="52">
        <f>IF(AG221=1,IF(AQ221&gt;0,AF221/AQ221,1),IFERROR(INDEX(Types!$K:$K,MATCH($A221&amp;"|"&amp;$D221,Types!$A:$A,0)),INDEX(Dashboard!$X$6:$X$22,MATCH($A221,Dashboard!$A$6:$A$22,0))))</f>
        <v/>
      </c>
      <c r="AT221" s="43">
        <f>AQ221*INDEX(Dashboard!$Y$6:$Y$22,MATCH($A221,Dashboard!$A$6:$A$22,0))</f>
        <v/>
      </c>
      <c r="AU221" s="53">
        <f>IF(AND(AG221=1,AT221&gt;0,AF221&gt;0),100*AF221/AT221,"")</f>
        <v/>
      </c>
      <c r="AV221" s="44">
        <f>IF(AU221="","",T221/(AU221/100))</f>
        <v/>
      </c>
      <c r="AW221" s="53">
        <f>IF(AU221="","",IF(AND(ABS(AH221)&gt;=0.1,ABS(T221)&gt;=0.05,SIGN(AH221)=SIGN(T221)),100*T221/AH221,""))</f>
        <v/>
      </c>
      <c r="AX221" s="45">
        <f>IF(AU221="","",T221-AV221)</f>
        <v/>
      </c>
      <c r="AY221" s="45">
        <f>IF(AU221="","",AH221-AV221)</f>
        <v/>
      </c>
      <c r="AZ221" s="54">
        <f>(AL221-AM221)-T221*AT221</f>
        <v/>
      </c>
      <c r="BA221" s="43">
        <f>IF(AU221="",0,(AH221-T221)*AF221)</f>
        <v/>
      </c>
      <c r="BB221" s="43">
        <f>IF(AU221="",0,T221*(AF221-AT221))</f>
        <v/>
      </c>
      <c r="BC221" s="51" t="n">
        <v>0.01047786324268669</v>
      </c>
      <c r="BD221" s="51" t="n">
        <v>0.04936103203924656</v>
      </c>
      <c r="BE221" s="51" t="n">
        <v>0.2603846491613243</v>
      </c>
      <c r="BF221" s="43" t="n">
        <v>16511</v>
      </c>
    </row>
    <row r="222">
      <c r="A222" s="42" t="inlineStr">
        <is>
          <t>IA</t>
        </is>
      </c>
      <c r="B222" s="42" t="inlineStr">
        <is>
          <t>19043</t>
        </is>
      </c>
      <c r="C222" s="42" t="inlineStr">
        <is>
          <t>Clayton</t>
        </is>
      </c>
      <c r="D222" s="42" t="inlineStr">
        <is>
          <t>Small town &amp; rural</t>
        </is>
      </c>
      <c r="E222" s="42" t="inlineStr"/>
      <c r="F222" s="43" t="n">
        <v>3017</v>
      </c>
      <c r="G222" s="43" t="n">
        <v>6255</v>
      </c>
      <c r="H222" s="43" t="n">
        <v>9381</v>
      </c>
      <c r="I222" s="43" t="n">
        <v>3340</v>
      </c>
      <c r="J222" s="43" t="n">
        <v>6106</v>
      </c>
      <c r="K222" s="42" t="inlineStr">
        <is>
          <t>US Senate</t>
        </is>
      </c>
      <c r="L222" s="43" t="n">
        <v>2512</v>
      </c>
      <c r="M222" s="43" t="n">
        <v>4839</v>
      </c>
      <c r="N222" s="43" t="n">
        <v>7360</v>
      </c>
      <c r="O222" s="44">
        <f>IFERROR((F222-G222)/(F222+G222),"")</f>
        <v/>
      </c>
      <c r="P222" s="44">
        <f>IFERROR((I222-J222)/(I222+J222),"")</f>
        <v/>
      </c>
      <c r="Q222" s="45">
        <f>IFERROR(O222-P222,"")</f>
        <v/>
      </c>
      <c r="R222" s="44">
        <f>IFERROR((L222-M222)/(L222+M222),"")</f>
        <v/>
      </c>
      <c r="S222" s="46">
        <f>H222/SUMIFS(Counties!$H$2:$H$1583,Counties!$A$2:$A$1583,$A222)</f>
        <v/>
      </c>
      <c r="T222" s="44">
        <f>O222+INDEX(Dashboard!$F$6:$F$22,MATCH($A222,Dashboard!$A$6:$A$22,0))</f>
        <v/>
      </c>
      <c r="U222" s="43">
        <f>AQ222*INDEX(Dashboard!$G$6:$G$22,MATCH($A222,Dashboard!$A$6:$A$22,0))</f>
        <v/>
      </c>
      <c r="V222" s="47" t="n"/>
      <c r="W222" s="47" t="n"/>
      <c r="X222" s="47" t="n"/>
      <c r="Y222" s="48" t="n"/>
      <c r="Z222" s="49" t="n"/>
      <c r="AA222" s="49" t="n"/>
      <c r="AB222" s="49" t="n"/>
      <c r="AC222" s="50" t="n"/>
      <c r="AD222" s="43">
        <f>IF(Z222&lt;&gt;"",Z222,N(V222))</f>
        <v/>
      </c>
      <c r="AE222" s="43">
        <f>IF(AA222&lt;&gt;"",AA222,N(W222))</f>
        <v/>
      </c>
      <c r="AF222" s="43">
        <f>AD222+AE222</f>
        <v/>
      </c>
      <c r="AG222" s="42">
        <f>IF(UPPER(AC222)="Y",1,IF(AF222=0,0,IF(AND(Z222="",Y222&lt;&gt;""),IF(Y222&gt;=0.999,1,0),IF(AF222&gt;=U222,1,0))))</f>
        <v/>
      </c>
      <c r="AH222" s="44">
        <f>IF(AF222&gt;0,(AD222-AE222)/AF222,"")</f>
        <v/>
      </c>
      <c r="AI222" s="45">
        <f>IF(AG222=1,AH222-O222,"")</f>
        <v/>
      </c>
      <c r="AJ222" s="44">
        <f>IF(AG222=1,AH222,MAX(-1,MIN(1,O222+INDEX(Types!$H:$H,MATCH($A222&amp;"|"&amp;$D222,Types!$A:$A,0)))))</f>
        <v/>
      </c>
      <c r="AK222" s="43">
        <f>IF(AG222=1,AF222,MAX(AQ222*AS222,AF222))</f>
        <v/>
      </c>
      <c r="AL222" s="43">
        <f>IF(AG222=1,AD222,AK222*(1+AJ222)/2)</f>
        <v/>
      </c>
      <c r="AM222" s="43">
        <f>IF(AG222=1,AE222,AK222*(1-AJ222)/2)</f>
        <v/>
      </c>
      <c r="AN222" s="45">
        <f>IF(AH222="","",AH222-T222)</f>
        <v/>
      </c>
      <c r="AO222" s="51">
        <f>IF(AG222=1,1,IF(U222&gt;0,MIN(AF222/U222,0.99),0))</f>
        <v/>
      </c>
      <c r="AP222" s="43">
        <f>IF(AG222=1,AI222*AF222,0)</f>
        <v/>
      </c>
      <c r="AQ222" s="43">
        <f>N222*(F222+G222)/H222</f>
        <v/>
      </c>
      <c r="AR222" s="43">
        <f>O222*AQ222</f>
        <v/>
      </c>
      <c r="AS222" s="52">
        <f>IF(AG222=1,IF(AQ222&gt;0,AF222/AQ222,1),IFERROR(INDEX(Types!$K:$K,MATCH($A222&amp;"|"&amp;$D222,Types!$A:$A,0)),INDEX(Dashboard!$X$6:$X$22,MATCH($A222,Dashboard!$A$6:$A$22,0))))</f>
        <v/>
      </c>
      <c r="AT222" s="43">
        <f>AQ222*INDEX(Dashboard!$Y$6:$Y$22,MATCH($A222,Dashboard!$A$6:$A$22,0))</f>
        <v/>
      </c>
      <c r="AU222" s="53">
        <f>IF(AND(AG222=1,AT222&gt;0,AF222&gt;0),100*AF222/AT222,"")</f>
        <v/>
      </c>
      <c r="AV222" s="44">
        <f>IF(AU222="","",T222/(AU222/100))</f>
        <v/>
      </c>
      <c r="AW222" s="53">
        <f>IF(AU222="","",IF(AND(ABS(AH222)&gt;=0.1,ABS(T222)&gt;=0.05,SIGN(AH222)=SIGN(T222)),100*T222/AH222,""))</f>
        <v/>
      </c>
      <c r="AX222" s="45">
        <f>IF(AU222="","",T222-AV222)</f>
        <v/>
      </c>
      <c r="AY222" s="45">
        <f>IF(AU222="","",AH222-AV222)</f>
        <v/>
      </c>
      <c r="AZ222" s="54">
        <f>(AL222-AM222)-T222*AT222</f>
        <v/>
      </c>
      <c r="BA222" s="43">
        <f>IF(AU222="",0,(AH222-T222)*AF222)</f>
        <v/>
      </c>
      <c r="BB222" s="43">
        <f>IF(AU222="",0,T222*(AF222-AT222))</f>
        <v/>
      </c>
      <c r="BC222" s="51" t="n">
        <v>0.007189581000648241</v>
      </c>
      <c r="BD222" s="51" t="n">
        <v>0.02339560374801108</v>
      </c>
      <c r="BE222" s="51" t="n">
        <v>0.1574165029469548</v>
      </c>
      <c r="BF222" s="43" t="n">
        <v>16969</v>
      </c>
    </row>
    <row r="223">
      <c r="A223" s="42" t="inlineStr">
        <is>
          <t>IA</t>
        </is>
      </c>
      <c r="B223" s="42" t="inlineStr">
        <is>
          <t>19045</t>
        </is>
      </c>
      <c r="C223" s="42" t="inlineStr">
        <is>
          <t>Clinton</t>
        </is>
      </c>
      <c r="D223" s="42" t="inlineStr">
        <is>
          <t>Small town &amp; rural</t>
        </is>
      </c>
      <c r="E223" s="42" t="inlineStr"/>
      <c r="F223" s="43" t="n">
        <v>9472</v>
      </c>
      <c r="G223" s="43" t="n">
        <v>13964</v>
      </c>
      <c r="H223" s="43" t="n">
        <v>23813</v>
      </c>
      <c r="I223" s="43" t="n">
        <v>10812</v>
      </c>
      <c r="J223" s="43" t="n">
        <v>13361</v>
      </c>
      <c r="K223" s="42" t="inlineStr">
        <is>
          <t>US Senate</t>
        </is>
      </c>
      <c r="L223" s="43" t="n">
        <v>7213</v>
      </c>
      <c r="M223" s="43" t="n">
        <v>9595</v>
      </c>
      <c r="N223" s="43" t="n">
        <v>16823</v>
      </c>
      <c r="O223" s="44">
        <f>IFERROR((F223-G223)/(F223+G223),"")</f>
        <v/>
      </c>
      <c r="P223" s="44">
        <f>IFERROR((I223-J223)/(I223+J223),"")</f>
        <v/>
      </c>
      <c r="Q223" s="45">
        <f>IFERROR(O223-P223,"")</f>
        <v/>
      </c>
      <c r="R223" s="44">
        <f>IFERROR((L223-M223)/(L223+M223),"")</f>
        <v/>
      </c>
      <c r="S223" s="46">
        <f>H223/SUMIFS(Counties!$H$2:$H$1583,Counties!$A$2:$A$1583,$A223)</f>
        <v/>
      </c>
      <c r="T223" s="44">
        <f>O223+INDEX(Dashboard!$F$6:$F$22,MATCH($A223,Dashboard!$A$6:$A$22,0))</f>
        <v/>
      </c>
      <c r="U223" s="43">
        <f>AQ223*INDEX(Dashboard!$G$6:$G$22,MATCH($A223,Dashboard!$A$6:$A$22,0))</f>
        <v/>
      </c>
      <c r="V223" s="47" t="n"/>
      <c r="W223" s="47" t="n"/>
      <c r="X223" s="47" t="n"/>
      <c r="Y223" s="48" t="n"/>
      <c r="Z223" s="49" t="n"/>
      <c r="AA223" s="49" t="n"/>
      <c r="AB223" s="49" t="n"/>
      <c r="AC223" s="50" t="n"/>
      <c r="AD223" s="43">
        <f>IF(Z223&lt;&gt;"",Z223,N(V223))</f>
        <v/>
      </c>
      <c r="AE223" s="43">
        <f>IF(AA223&lt;&gt;"",AA223,N(W223))</f>
        <v/>
      </c>
      <c r="AF223" s="43">
        <f>AD223+AE223</f>
        <v/>
      </c>
      <c r="AG223" s="42">
        <f>IF(UPPER(AC223)="Y",1,IF(AF223=0,0,IF(AND(Z223="",Y223&lt;&gt;""),IF(Y223&gt;=0.999,1,0),IF(AF223&gt;=U223,1,0))))</f>
        <v/>
      </c>
      <c r="AH223" s="44">
        <f>IF(AF223&gt;0,(AD223-AE223)/AF223,"")</f>
        <v/>
      </c>
      <c r="AI223" s="45">
        <f>IF(AG223=1,AH223-O223,"")</f>
        <v/>
      </c>
      <c r="AJ223" s="44">
        <f>IF(AG223=1,AH223,MAX(-1,MIN(1,O223+INDEX(Types!$H:$H,MATCH($A223&amp;"|"&amp;$D223,Types!$A:$A,0)))))</f>
        <v/>
      </c>
      <c r="AK223" s="43">
        <f>IF(AG223=1,AF223,MAX(AQ223*AS223,AF223))</f>
        <v/>
      </c>
      <c r="AL223" s="43">
        <f>IF(AG223=1,AD223,AK223*(1+AJ223)/2)</f>
        <v/>
      </c>
      <c r="AM223" s="43">
        <f>IF(AG223=1,AE223,AK223*(1-AJ223)/2)</f>
        <v/>
      </c>
      <c r="AN223" s="45">
        <f>IF(AH223="","",AH223-T223)</f>
        <v/>
      </c>
      <c r="AO223" s="51">
        <f>IF(AG223=1,1,IF(U223&gt;0,MIN(AF223/U223,0.99),0))</f>
        <v/>
      </c>
      <c r="AP223" s="43">
        <f>IF(AG223=1,AI223*AF223,0)</f>
        <v/>
      </c>
      <c r="AQ223" s="43">
        <f>N223*(F223+G223)/H223</f>
        <v/>
      </c>
      <c r="AR223" s="43">
        <f>O223*AQ223</f>
        <v/>
      </c>
      <c r="AS223" s="52">
        <f>IF(AG223=1,IF(AQ223&gt;0,AF223/AQ223,1),IFERROR(INDEX(Types!$K:$K,MATCH($A223&amp;"|"&amp;$D223,Types!$A:$A,0)),INDEX(Dashboard!$X$6:$X$22,MATCH($A223,Dashboard!$A$6:$A$22,0))))</f>
        <v/>
      </c>
      <c r="AT223" s="43">
        <f>AQ223*INDEX(Dashboard!$Y$6:$Y$22,MATCH($A223,Dashboard!$A$6:$A$22,0))</f>
        <v/>
      </c>
      <c r="AU223" s="53">
        <f>IF(AND(AG223=1,AT223&gt;0,AF223&gt;0),100*AF223/AT223,"")</f>
        <v/>
      </c>
      <c r="AV223" s="44">
        <f>IF(AU223="","",T223/(AU223/100))</f>
        <v/>
      </c>
      <c r="AW223" s="53">
        <f>IF(AU223="","",IF(AND(ABS(AH223)&gt;=0.1,ABS(T223)&gt;=0.05,SIGN(AH223)=SIGN(T223)),100*T223/AH223,""))</f>
        <v/>
      </c>
      <c r="AX223" s="45">
        <f>IF(AU223="","",T223-AV223)</f>
        <v/>
      </c>
      <c r="AY223" s="45">
        <f>IF(AU223="","",AH223-AV223)</f>
        <v/>
      </c>
      <c r="AZ223" s="54">
        <f>(AL223-AM223)-T223*AT223</f>
        <v/>
      </c>
      <c r="BA223" s="43">
        <f>IF(AU223="",0,(AH223-T223)*AF223)</f>
        <v/>
      </c>
      <c r="BB223" s="43">
        <f>IF(AU223="",0,T223*(AF223-AT223))</f>
        <v/>
      </c>
      <c r="BC223" s="51" t="n">
        <v>0.03113219810217081</v>
      </c>
      <c r="BD223" s="51" t="n">
        <v>0.03747996013692101</v>
      </c>
      <c r="BE223" s="51" t="n">
        <v>0.2209948180097434</v>
      </c>
      <c r="BF223" s="43" t="n">
        <v>46158</v>
      </c>
    </row>
    <row r="224">
      <c r="A224" s="42" t="inlineStr">
        <is>
          <t>IA</t>
        </is>
      </c>
      <c r="B224" s="42" t="inlineStr">
        <is>
          <t>19047</t>
        </is>
      </c>
      <c r="C224" s="42" t="inlineStr">
        <is>
          <t>Crawford</t>
        </is>
      </c>
      <c r="D224" s="42" t="inlineStr">
        <is>
          <t>Small town &amp; rural</t>
        </is>
      </c>
      <c r="E224" s="42" t="inlineStr"/>
      <c r="F224" s="43" t="n">
        <v>1812</v>
      </c>
      <c r="G224" s="43" t="n">
        <v>4651</v>
      </c>
      <c r="H224" s="43" t="n">
        <v>6525</v>
      </c>
      <c r="I224" s="43" t="n">
        <v>2220</v>
      </c>
      <c r="J224" s="43" t="n">
        <v>4854</v>
      </c>
      <c r="K224" s="42" t="inlineStr">
        <is>
          <t>US Senate</t>
        </is>
      </c>
      <c r="L224" s="43" t="n">
        <v>1101</v>
      </c>
      <c r="M224" s="43" t="n">
        <v>3289</v>
      </c>
      <c r="N224" s="43" t="n">
        <v>4394</v>
      </c>
      <c r="O224" s="44">
        <f>IFERROR((F224-G224)/(F224+G224),"")</f>
        <v/>
      </c>
      <c r="P224" s="44">
        <f>IFERROR((I224-J224)/(I224+J224),"")</f>
        <v/>
      </c>
      <c r="Q224" s="45">
        <f>IFERROR(O224-P224,"")</f>
        <v/>
      </c>
      <c r="R224" s="44">
        <f>IFERROR((L224-M224)/(L224+M224),"")</f>
        <v/>
      </c>
      <c r="S224" s="46">
        <f>H224/SUMIFS(Counties!$H$2:$H$1583,Counties!$A$2:$A$1583,$A224)</f>
        <v/>
      </c>
      <c r="T224" s="44">
        <f>O224+INDEX(Dashboard!$F$6:$F$22,MATCH($A224,Dashboard!$A$6:$A$22,0))</f>
        <v/>
      </c>
      <c r="U224" s="43">
        <f>AQ224*INDEX(Dashboard!$G$6:$G$22,MATCH($A224,Dashboard!$A$6:$A$22,0))</f>
        <v/>
      </c>
      <c r="V224" s="47" t="n"/>
      <c r="W224" s="47" t="n"/>
      <c r="X224" s="47" t="n"/>
      <c r="Y224" s="48" t="n"/>
      <c r="Z224" s="49" t="n"/>
      <c r="AA224" s="49" t="n"/>
      <c r="AB224" s="49" t="n"/>
      <c r="AC224" s="50" t="n"/>
      <c r="AD224" s="43">
        <f>IF(Z224&lt;&gt;"",Z224,N(V224))</f>
        <v/>
      </c>
      <c r="AE224" s="43">
        <f>IF(AA224&lt;&gt;"",AA224,N(W224))</f>
        <v/>
      </c>
      <c r="AF224" s="43">
        <f>AD224+AE224</f>
        <v/>
      </c>
      <c r="AG224" s="42">
        <f>IF(UPPER(AC224)="Y",1,IF(AF224=0,0,IF(AND(Z224="",Y224&lt;&gt;""),IF(Y224&gt;=0.999,1,0),IF(AF224&gt;=U224,1,0))))</f>
        <v/>
      </c>
      <c r="AH224" s="44">
        <f>IF(AF224&gt;0,(AD224-AE224)/AF224,"")</f>
        <v/>
      </c>
      <c r="AI224" s="45">
        <f>IF(AG224=1,AH224-O224,"")</f>
        <v/>
      </c>
      <c r="AJ224" s="44">
        <f>IF(AG224=1,AH224,MAX(-1,MIN(1,O224+INDEX(Types!$H:$H,MATCH($A224&amp;"|"&amp;$D224,Types!$A:$A,0)))))</f>
        <v/>
      </c>
      <c r="AK224" s="43">
        <f>IF(AG224=1,AF224,MAX(AQ224*AS224,AF224))</f>
        <v/>
      </c>
      <c r="AL224" s="43">
        <f>IF(AG224=1,AD224,AK224*(1+AJ224)/2)</f>
        <v/>
      </c>
      <c r="AM224" s="43">
        <f>IF(AG224=1,AE224,AK224*(1-AJ224)/2)</f>
        <v/>
      </c>
      <c r="AN224" s="45">
        <f>IF(AH224="","",AH224-T224)</f>
        <v/>
      </c>
      <c r="AO224" s="51">
        <f>IF(AG224=1,1,IF(U224&gt;0,MIN(AF224/U224,0.99),0))</f>
        <v/>
      </c>
      <c r="AP224" s="43">
        <f>IF(AG224=1,AI224*AF224,0)</f>
        <v/>
      </c>
      <c r="AQ224" s="43">
        <f>N224*(F224+G224)/H224</f>
        <v/>
      </c>
      <c r="AR224" s="43">
        <f>O224*AQ224</f>
        <v/>
      </c>
      <c r="AS224" s="52">
        <f>IF(AG224=1,IF(AQ224&gt;0,AF224/AQ224,1),IFERROR(INDEX(Types!$K:$K,MATCH($A224&amp;"|"&amp;$D224,Types!$A:$A,0)),INDEX(Dashboard!$X$6:$X$22,MATCH($A224,Dashboard!$A$6:$A$22,0))))</f>
        <v/>
      </c>
      <c r="AT224" s="43">
        <f>AQ224*INDEX(Dashboard!$Y$6:$Y$22,MATCH($A224,Dashboard!$A$6:$A$22,0))</f>
        <v/>
      </c>
      <c r="AU224" s="53">
        <f>IF(AND(AG224=1,AT224&gt;0,AF224&gt;0),100*AF224/AT224,"")</f>
        <v/>
      </c>
      <c r="AV224" s="44">
        <f>IF(AU224="","",T224/(AU224/100))</f>
        <v/>
      </c>
      <c r="AW224" s="53">
        <f>IF(AU224="","",IF(AND(ABS(AH224)&gt;=0.1,ABS(T224)&gt;=0.05,SIGN(AH224)=SIGN(T224)),100*T224/AH224,""))</f>
        <v/>
      </c>
      <c r="AX224" s="45">
        <f>IF(AU224="","",T224-AV224)</f>
        <v/>
      </c>
      <c r="AY224" s="45">
        <f>IF(AU224="","",AH224-AV224)</f>
        <v/>
      </c>
      <c r="AZ224" s="54">
        <f>(AL224-AM224)-T224*AT224</f>
        <v/>
      </c>
      <c r="BA224" s="43">
        <f>IF(AU224="",0,(AH224-T224)*AF224)</f>
        <v/>
      </c>
      <c r="BB224" s="43">
        <f>IF(AU224="",0,T224*(AF224-AT224))</f>
        <v/>
      </c>
      <c r="BC224" s="51" t="n">
        <v>0.02853931180915506</v>
      </c>
      <c r="BD224" s="51" t="n">
        <v>0.3104352713420346</v>
      </c>
      <c r="BE224" s="51" t="n">
        <v>0.1826479721464195</v>
      </c>
      <c r="BF224" s="43" t="n">
        <v>16013</v>
      </c>
    </row>
    <row r="225">
      <c r="A225" s="42" t="inlineStr">
        <is>
          <t>IA</t>
        </is>
      </c>
      <c r="B225" s="42" t="inlineStr">
        <is>
          <t>19049</t>
        </is>
      </c>
      <c r="C225" s="42" t="inlineStr">
        <is>
          <t>Dallas</t>
        </is>
      </c>
      <c r="D225" s="42" t="inlineStr">
        <is>
          <t>College suburb/metro</t>
        </is>
      </c>
      <c r="E225" s="42" t="inlineStr">
        <is>
          <t>★</t>
        </is>
      </c>
      <c r="F225" s="43" t="n">
        <v>29402</v>
      </c>
      <c r="G225" s="43" t="n">
        <v>32374</v>
      </c>
      <c r="H225" s="43" t="n">
        <v>62633</v>
      </c>
      <c r="I225" s="43" t="n">
        <v>26879</v>
      </c>
      <c r="J225" s="43" t="n">
        <v>27987</v>
      </c>
      <c r="K225" s="42" t="inlineStr">
        <is>
          <t>US Senate</t>
        </is>
      </c>
      <c r="L225" s="43" t="n">
        <v>20757</v>
      </c>
      <c r="M225" s="43" t="n">
        <v>23286</v>
      </c>
      <c r="N225" s="43" t="n">
        <v>44103</v>
      </c>
      <c r="O225" s="44">
        <f>IFERROR((F225-G225)/(F225+G225),"")</f>
        <v/>
      </c>
      <c r="P225" s="44">
        <f>IFERROR((I225-J225)/(I225+J225),"")</f>
        <v/>
      </c>
      <c r="Q225" s="45">
        <f>IFERROR(O225-P225,"")</f>
        <v/>
      </c>
      <c r="R225" s="44">
        <f>IFERROR((L225-M225)/(L225+M225),"")</f>
        <v/>
      </c>
      <c r="S225" s="46">
        <f>H225/SUMIFS(Counties!$H$2:$H$1583,Counties!$A$2:$A$1583,$A225)</f>
        <v/>
      </c>
      <c r="T225" s="44">
        <f>O225+INDEX(Dashboard!$F$6:$F$22,MATCH($A225,Dashboard!$A$6:$A$22,0))</f>
        <v/>
      </c>
      <c r="U225" s="43">
        <f>AQ225*INDEX(Dashboard!$G$6:$G$22,MATCH($A225,Dashboard!$A$6:$A$22,0))</f>
        <v/>
      </c>
      <c r="V225" s="47" t="n"/>
      <c r="W225" s="47" t="n"/>
      <c r="X225" s="47" t="n"/>
      <c r="Y225" s="48" t="n"/>
      <c r="Z225" s="49" t="n"/>
      <c r="AA225" s="49" t="n"/>
      <c r="AB225" s="49" t="n"/>
      <c r="AC225" s="50" t="n"/>
      <c r="AD225" s="43">
        <f>IF(Z225&lt;&gt;"",Z225,N(V225))</f>
        <v/>
      </c>
      <c r="AE225" s="43">
        <f>IF(AA225&lt;&gt;"",AA225,N(W225))</f>
        <v/>
      </c>
      <c r="AF225" s="43">
        <f>AD225+AE225</f>
        <v/>
      </c>
      <c r="AG225" s="42">
        <f>IF(UPPER(AC225)="Y",1,IF(AF225=0,0,IF(AND(Z225="",Y225&lt;&gt;""),IF(Y225&gt;=0.999,1,0),IF(AF225&gt;=U225,1,0))))</f>
        <v/>
      </c>
      <c r="AH225" s="44">
        <f>IF(AF225&gt;0,(AD225-AE225)/AF225,"")</f>
        <v/>
      </c>
      <c r="AI225" s="45">
        <f>IF(AG225=1,AH225-O225,"")</f>
        <v/>
      </c>
      <c r="AJ225" s="44">
        <f>IF(AG225=1,AH225,MAX(-1,MIN(1,O225+INDEX(Types!$H:$H,MATCH($A225&amp;"|"&amp;$D225,Types!$A:$A,0)))))</f>
        <v/>
      </c>
      <c r="AK225" s="43">
        <f>IF(AG225=1,AF225,MAX(AQ225*AS225,AF225))</f>
        <v/>
      </c>
      <c r="AL225" s="43">
        <f>IF(AG225=1,AD225,AK225*(1+AJ225)/2)</f>
        <v/>
      </c>
      <c r="AM225" s="43">
        <f>IF(AG225=1,AE225,AK225*(1-AJ225)/2)</f>
        <v/>
      </c>
      <c r="AN225" s="45">
        <f>IF(AH225="","",AH225-T225)</f>
        <v/>
      </c>
      <c r="AO225" s="51">
        <f>IF(AG225=1,1,IF(U225&gt;0,MIN(AF225/U225,0.99),0))</f>
        <v/>
      </c>
      <c r="AP225" s="43">
        <f>IF(AG225=1,AI225*AF225,0)</f>
        <v/>
      </c>
      <c r="AQ225" s="43">
        <f>N225*(F225+G225)/H225</f>
        <v/>
      </c>
      <c r="AR225" s="43">
        <f>O225*AQ225</f>
        <v/>
      </c>
      <c r="AS225" s="52">
        <f>IF(AG225=1,IF(AQ225&gt;0,AF225/AQ225,1),IFERROR(INDEX(Types!$K:$K,MATCH($A225&amp;"|"&amp;$D225,Types!$A:$A,0)),INDEX(Dashboard!$X$6:$X$22,MATCH($A225,Dashboard!$A$6:$A$22,0))))</f>
        <v/>
      </c>
      <c r="AT225" s="43">
        <f>AQ225*INDEX(Dashboard!$Y$6:$Y$22,MATCH($A225,Dashboard!$A$6:$A$22,0))</f>
        <v/>
      </c>
      <c r="AU225" s="53">
        <f>IF(AND(AG225=1,AT225&gt;0,AF225&gt;0),100*AF225/AT225,"")</f>
        <v/>
      </c>
      <c r="AV225" s="44">
        <f>IF(AU225="","",T225/(AU225/100))</f>
        <v/>
      </c>
      <c r="AW225" s="53">
        <f>IF(AU225="","",IF(AND(ABS(AH225)&gt;=0.1,ABS(T225)&gt;=0.05,SIGN(AH225)=SIGN(T225)),100*T225/AH225,""))</f>
        <v/>
      </c>
      <c r="AX225" s="45">
        <f>IF(AU225="","",T225-AV225)</f>
        <v/>
      </c>
      <c r="AY225" s="45">
        <f>IF(AU225="","",AH225-AV225)</f>
        <v/>
      </c>
      <c r="AZ225" s="54">
        <f>(AL225-AM225)-T225*AT225</f>
        <v/>
      </c>
      <c r="BA225" s="43">
        <f>IF(AU225="",0,(AH225-T225)*AF225)</f>
        <v/>
      </c>
      <c r="BB225" s="43">
        <f>IF(AU225="",0,T225*(AF225-AT225))</f>
        <v/>
      </c>
      <c r="BC225" s="51" t="n">
        <v>0.03649227667158751</v>
      </c>
      <c r="BD225" s="51" t="n">
        <v>0.06977100061210528</v>
      </c>
      <c r="BE225" s="51" t="n">
        <v>0.5162640760837856</v>
      </c>
      <c r="BF225" s="43" t="n">
        <v>111092</v>
      </c>
    </row>
    <row r="226">
      <c r="A226" s="42" t="inlineStr">
        <is>
          <t>IA</t>
        </is>
      </c>
      <c r="B226" s="42" t="inlineStr">
        <is>
          <t>19051</t>
        </is>
      </c>
      <c r="C226" s="42" t="inlineStr">
        <is>
          <t>Davis</t>
        </is>
      </c>
      <c r="D226" s="42" t="inlineStr">
        <is>
          <t>Small town &amp; rural</t>
        </is>
      </c>
      <c r="E226" s="42" t="inlineStr"/>
      <c r="F226" s="43" t="n">
        <v>878</v>
      </c>
      <c r="G226" s="43" t="n">
        <v>3027</v>
      </c>
      <c r="H226" s="43" t="n">
        <v>3950</v>
      </c>
      <c r="I226" s="43" t="n">
        <v>1013</v>
      </c>
      <c r="J226" s="43" t="n">
        <v>3032</v>
      </c>
      <c r="K226" s="42" t="inlineStr">
        <is>
          <t>US Senate</t>
        </is>
      </c>
      <c r="L226" s="43" t="n">
        <v>764</v>
      </c>
      <c r="M226" s="43" t="n">
        <v>2206</v>
      </c>
      <c r="N226" s="43" t="n">
        <v>2973</v>
      </c>
      <c r="O226" s="44">
        <f>IFERROR((F226-G226)/(F226+G226),"")</f>
        <v/>
      </c>
      <c r="P226" s="44">
        <f>IFERROR((I226-J226)/(I226+J226),"")</f>
        <v/>
      </c>
      <c r="Q226" s="45">
        <f>IFERROR(O226-P226,"")</f>
        <v/>
      </c>
      <c r="R226" s="44">
        <f>IFERROR((L226-M226)/(L226+M226),"")</f>
        <v/>
      </c>
      <c r="S226" s="46">
        <f>H226/SUMIFS(Counties!$H$2:$H$1583,Counties!$A$2:$A$1583,$A226)</f>
        <v/>
      </c>
      <c r="T226" s="44">
        <f>O226+INDEX(Dashboard!$F$6:$F$22,MATCH($A226,Dashboard!$A$6:$A$22,0))</f>
        <v/>
      </c>
      <c r="U226" s="43">
        <f>AQ226*INDEX(Dashboard!$G$6:$G$22,MATCH($A226,Dashboard!$A$6:$A$22,0))</f>
        <v/>
      </c>
      <c r="V226" s="47" t="n"/>
      <c r="W226" s="47" t="n"/>
      <c r="X226" s="47" t="n"/>
      <c r="Y226" s="48" t="n"/>
      <c r="Z226" s="49" t="n"/>
      <c r="AA226" s="49" t="n"/>
      <c r="AB226" s="49" t="n"/>
      <c r="AC226" s="50" t="n"/>
      <c r="AD226" s="43">
        <f>IF(Z226&lt;&gt;"",Z226,N(V226))</f>
        <v/>
      </c>
      <c r="AE226" s="43">
        <f>IF(AA226&lt;&gt;"",AA226,N(W226))</f>
        <v/>
      </c>
      <c r="AF226" s="43">
        <f>AD226+AE226</f>
        <v/>
      </c>
      <c r="AG226" s="42">
        <f>IF(UPPER(AC226)="Y",1,IF(AF226=0,0,IF(AND(Z226="",Y226&lt;&gt;""),IF(Y226&gt;=0.999,1,0),IF(AF226&gt;=U226,1,0))))</f>
        <v/>
      </c>
      <c r="AH226" s="44">
        <f>IF(AF226&gt;0,(AD226-AE226)/AF226,"")</f>
        <v/>
      </c>
      <c r="AI226" s="45">
        <f>IF(AG226=1,AH226-O226,"")</f>
        <v/>
      </c>
      <c r="AJ226" s="44">
        <f>IF(AG226=1,AH226,MAX(-1,MIN(1,O226+INDEX(Types!$H:$H,MATCH($A226&amp;"|"&amp;$D226,Types!$A:$A,0)))))</f>
        <v/>
      </c>
      <c r="AK226" s="43">
        <f>IF(AG226=1,AF226,MAX(AQ226*AS226,AF226))</f>
        <v/>
      </c>
      <c r="AL226" s="43">
        <f>IF(AG226=1,AD226,AK226*(1+AJ226)/2)</f>
        <v/>
      </c>
      <c r="AM226" s="43">
        <f>IF(AG226=1,AE226,AK226*(1-AJ226)/2)</f>
        <v/>
      </c>
      <c r="AN226" s="45">
        <f>IF(AH226="","",AH226-T226)</f>
        <v/>
      </c>
      <c r="AO226" s="51">
        <f>IF(AG226=1,1,IF(U226&gt;0,MIN(AF226/U226,0.99),0))</f>
        <v/>
      </c>
      <c r="AP226" s="43">
        <f>IF(AG226=1,AI226*AF226,0)</f>
        <v/>
      </c>
      <c r="AQ226" s="43">
        <f>N226*(F226+G226)/H226</f>
        <v/>
      </c>
      <c r="AR226" s="43">
        <f>O226*AQ226</f>
        <v/>
      </c>
      <c r="AS226" s="52">
        <f>IF(AG226=1,IF(AQ226&gt;0,AF226/AQ226,1),IFERROR(INDEX(Types!$K:$K,MATCH($A226&amp;"|"&amp;$D226,Types!$A:$A,0)),INDEX(Dashboard!$X$6:$X$22,MATCH($A226,Dashboard!$A$6:$A$22,0))))</f>
        <v/>
      </c>
      <c r="AT226" s="43">
        <f>AQ226*INDEX(Dashboard!$Y$6:$Y$22,MATCH($A226,Dashboard!$A$6:$A$22,0))</f>
        <v/>
      </c>
      <c r="AU226" s="53">
        <f>IF(AND(AG226=1,AT226&gt;0,AF226&gt;0),100*AF226/AT226,"")</f>
        <v/>
      </c>
      <c r="AV226" s="44">
        <f>IF(AU226="","",T226/(AU226/100))</f>
        <v/>
      </c>
      <c r="AW226" s="53">
        <f>IF(AU226="","",IF(AND(ABS(AH226)&gt;=0.1,ABS(T226)&gt;=0.05,SIGN(AH226)=SIGN(T226)),100*T226/AH226,""))</f>
        <v/>
      </c>
      <c r="AX226" s="45">
        <f>IF(AU226="","",T226-AV226)</f>
        <v/>
      </c>
      <c r="AY226" s="45">
        <f>IF(AU226="","",AH226-AV226)</f>
        <v/>
      </c>
      <c r="AZ226" s="54">
        <f>(AL226-AM226)-T226*AT226</f>
        <v/>
      </c>
      <c r="BA226" s="43">
        <f>IF(AU226="",0,(AH226-T226)*AF226)</f>
        <v/>
      </c>
      <c r="BB226" s="43">
        <f>IF(AU226="",0,T226*(AF226-AT226))</f>
        <v/>
      </c>
      <c r="BC226" s="51" t="n">
        <v>0.001963136656123896</v>
      </c>
      <c r="BD226" s="51" t="n">
        <v>0.02573890282473552</v>
      </c>
      <c r="BE226" s="51" t="n">
        <v>0.1762438682550806</v>
      </c>
      <c r="BF226" s="43" t="n">
        <v>9169</v>
      </c>
    </row>
    <row r="227">
      <c r="A227" s="42" t="inlineStr">
        <is>
          <t>IA</t>
        </is>
      </c>
      <c r="B227" s="42" t="inlineStr">
        <is>
          <t>19053</t>
        </is>
      </c>
      <c r="C227" s="42" t="inlineStr">
        <is>
          <t>Decatur</t>
        </is>
      </c>
      <c r="D227" s="42" t="inlineStr">
        <is>
          <t>Small town &amp; rural</t>
        </is>
      </c>
      <c r="E227" s="42" t="inlineStr"/>
      <c r="F227" s="43" t="n">
        <v>957</v>
      </c>
      <c r="G227" s="43" t="n">
        <v>2711</v>
      </c>
      <c r="H227" s="43" t="n">
        <v>3727</v>
      </c>
      <c r="I227" s="43" t="n">
        <v>1120</v>
      </c>
      <c r="J227" s="43" t="n">
        <v>2615</v>
      </c>
      <c r="K227" s="42" t="inlineStr">
        <is>
          <t>US Senate</t>
        </is>
      </c>
      <c r="L227" s="43" t="n">
        <v>794</v>
      </c>
      <c r="M227" s="43" t="n">
        <v>1944</v>
      </c>
      <c r="N227" s="43" t="n">
        <v>2745</v>
      </c>
      <c r="O227" s="44">
        <f>IFERROR((F227-G227)/(F227+G227),"")</f>
        <v/>
      </c>
      <c r="P227" s="44">
        <f>IFERROR((I227-J227)/(I227+J227),"")</f>
        <v/>
      </c>
      <c r="Q227" s="45">
        <f>IFERROR(O227-P227,"")</f>
        <v/>
      </c>
      <c r="R227" s="44">
        <f>IFERROR((L227-M227)/(L227+M227),"")</f>
        <v/>
      </c>
      <c r="S227" s="46">
        <f>H227/SUMIFS(Counties!$H$2:$H$1583,Counties!$A$2:$A$1583,$A227)</f>
        <v/>
      </c>
      <c r="T227" s="44">
        <f>O227+INDEX(Dashboard!$F$6:$F$22,MATCH($A227,Dashboard!$A$6:$A$22,0))</f>
        <v/>
      </c>
      <c r="U227" s="43">
        <f>AQ227*INDEX(Dashboard!$G$6:$G$22,MATCH($A227,Dashboard!$A$6:$A$22,0))</f>
        <v/>
      </c>
      <c r="V227" s="47" t="n"/>
      <c r="W227" s="47" t="n"/>
      <c r="X227" s="47" t="n"/>
      <c r="Y227" s="48" t="n"/>
      <c r="Z227" s="49" t="n"/>
      <c r="AA227" s="49" t="n"/>
      <c r="AB227" s="49" t="n"/>
      <c r="AC227" s="50" t="n"/>
      <c r="AD227" s="43">
        <f>IF(Z227&lt;&gt;"",Z227,N(V227))</f>
        <v/>
      </c>
      <c r="AE227" s="43">
        <f>IF(AA227&lt;&gt;"",AA227,N(W227))</f>
        <v/>
      </c>
      <c r="AF227" s="43">
        <f>AD227+AE227</f>
        <v/>
      </c>
      <c r="AG227" s="42">
        <f>IF(UPPER(AC227)="Y",1,IF(AF227=0,0,IF(AND(Z227="",Y227&lt;&gt;""),IF(Y227&gt;=0.999,1,0),IF(AF227&gt;=U227,1,0))))</f>
        <v/>
      </c>
      <c r="AH227" s="44">
        <f>IF(AF227&gt;0,(AD227-AE227)/AF227,"")</f>
        <v/>
      </c>
      <c r="AI227" s="45">
        <f>IF(AG227=1,AH227-O227,"")</f>
        <v/>
      </c>
      <c r="AJ227" s="44">
        <f>IF(AG227=1,AH227,MAX(-1,MIN(1,O227+INDEX(Types!$H:$H,MATCH($A227&amp;"|"&amp;$D227,Types!$A:$A,0)))))</f>
        <v/>
      </c>
      <c r="AK227" s="43">
        <f>IF(AG227=1,AF227,MAX(AQ227*AS227,AF227))</f>
        <v/>
      </c>
      <c r="AL227" s="43">
        <f>IF(AG227=1,AD227,AK227*(1+AJ227)/2)</f>
        <v/>
      </c>
      <c r="AM227" s="43">
        <f>IF(AG227=1,AE227,AK227*(1-AJ227)/2)</f>
        <v/>
      </c>
      <c r="AN227" s="45">
        <f>IF(AH227="","",AH227-T227)</f>
        <v/>
      </c>
      <c r="AO227" s="51">
        <f>IF(AG227=1,1,IF(U227&gt;0,MIN(AF227/U227,0.99),0))</f>
        <v/>
      </c>
      <c r="AP227" s="43">
        <f>IF(AG227=1,AI227*AF227,0)</f>
        <v/>
      </c>
      <c r="AQ227" s="43">
        <f>N227*(F227+G227)/H227</f>
        <v/>
      </c>
      <c r="AR227" s="43">
        <f>O227*AQ227</f>
        <v/>
      </c>
      <c r="AS227" s="52">
        <f>IF(AG227=1,IF(AQ227&gt;0,AF227/AQ227,1),IFERROR(INDEX(Types!$K:$K,MATCH($A227&amp;"|"&amp;$D227,Types!$A:$A,0)),INDEX(Dashboard!$X$6:$X$22,MATCH($A227,Dashboard!$A$6:$A$22,0))))</f>
        <v/>
      </c>
      <c r="AT227" s="43">
        <f>AQ227*INDEX(Dashboard!$Y$6:$Y$22,MATCH($A227,Dashboard!$A$6:$A$22,0))</f>
        <v/>
      </c>
      <c r="AU227" s="53">
        <f>IF(AND(AG227=1,AT227&gt;0,AF227&gt;0),100*AF227/AT227,"")</f>
        <v/>
      </c>
      <c r="AV227" s="44">
        <f>IF(AU227="","",T227/(AU227/100))</f>
        <v/>
      </c>
      <c r="AW227" s="53">
        <f>IF(AU227="","",IF(AND(ABS(AH227)&gt;=0.1,ABS(T227)&gt;=0.05,SIGN(AH227)=SIGN(T227)),100*T227/AH227,""))</f>
        <v/>
      </c>
      <c r="AX227" s="45">
        <f>IF(AU227="","",T227-AV227)</f>
        <v/>
      </c>
      <c r="AY227" s="45">
        <f>IF(AU227="","",AH227-AV227)</f>
        <v/>
      </c>
      <c r="AZ227" s="54">
        <f>(AL227-AM227)-T227*AT227</f>
        <v/>
      </c>
      <c r="BA227" s="43">
        <f>IF(AU227="",0,(AH227-T227)*AF227)</f>
        <v/>
      </c>
      <c r="BB227" s="43">
        <f>IF(AU227="",0,T227*(AF227-AT227))</f>
        <v/>
      </c>
      <c r="BC227" s="51" t="n">
        <v>0.01813437703848663</v>
      </c>
      <c r="BD227" s="51" t="n">
        <v>0.03835616438356165</v>
      </c>
      <c r="BE227" s="51" t="n">
        <v>0.2426085133151604</v>
      </c>
      <c r="BF227" s="43" t="n">
        <v>7665</v>
      </c>
    </row>
    <row r="228">
      <c r="A228" s="42" t="inlineStr">
        <is>
          <t>IA</t>
        </is>
      </c>
      <c r="B228" s="42" t="inlineStr">
        <is>
          <t>19055</t>
        </is>
      </c>
      <c r="C228" s="42" t="inlineStr">
        <is>
          <t>Delaware</t>
        </is>
      </c>
      <c r="D228" s="42" t="inlineStr">
        <is>
          <t>Small town &amp; rural</t>
        </is>
      </c>
      <c r="E228" s="42" t="inlineStr"/>
      <c r="F228" s="43" t="n">
        <v>2978</v>
      </c>
      <c r="G228" s="43" t="n">
        <v>6984</v>
      </c>
      <c r="H228" s="43" t="n">
        <v>10112</v>
      </c>
      <c r="I228" s="43" t="n">
        <v>3157</v>
      </c>
      <c r="J228" s="43" t="n">
        <v>6666</v>
      </c>
      <c r="K228" s="42" t="inlineStr">
        <is>
          <t>US Senate</t>
        </is>
      </c>
      <c r="L228" s="43" t="n">
        <v>2210</v>
      </c>
      <c r="M228" s="43" t="n">
        <v>5423</v>
      </c>
      <c r="N228" s="43" t="n">
        <v>7639</v>
      </c>
      <c r="O228" s="44">
        <f>IFERROR((F228-G228)/(F228+G228),"")</f>
        <v/>
      </c>
      <c r="P228" s="44">
        <f>IFERROR((I228-J228)/(I228+J228),"")</f>
        <v/>
      </c>
      <c r="Q228" s="45">
        <f>IFERROR(O228-P228,"")</f>
        <v/>
      </c>
      <c r="R228" s="44">
        <f>IFERROR((L228-M228)/(L228+M228),"")</f>
        <v/>
      </c>
      <c r="S228" s="46">
        <f>H228/SUMIFS(Counties!$H$2:$H$1583,Counties!$A$2:$A$1583,$A228)</f>
        <v/>
      </c>
      <c r="T228" s="44">
        <f>O228+INDEX(Dashboard!$F$6:$F$22,MATCH($A228,Dashboard!$A$6:$A$22,0))</f>
        <v/>
      </c>
      <c r="U228" s="43">
        <f>AQ228*INDEX(Dashboard!$G$6:$G$22,MATCH($A228,Dashboard!$A$6:$A$22,0))</f>
        <v/>
      </c>
      <c r="V228" s="47" t="n"/>
      <c r="W228" s="47" t="n"/>
      <c r="X228" s="47" t="n"/>
      <c r="Y228" s="48" t="n"/>
      <c r="Z228" s="49" t="n"/>
      <c r="AA228" s="49" t="n"/>
      <c r="AB228" s="49" t="n"/>
      <c r="AC228" s="50" t="n"/>
      <c r="AD228" s="43">
        <f>IF(Z228&lt;&gt;"",Z228,N(V228))</f>
        <v/>
      </c>
      <c r="AE228" s="43">
        <f>IF(AA228&lt;&gt;"",AA228,N(W228))</f>
        <v/>
      </c>
      <c r="AF228" s="43">
        <f>AD228+AE228</f>
        <v/>
      </c>
      <c r="AG228" s="42">
        <f>IF(UPPER(AC228)="Y",1,IF(AF228=0,0,IF(AND(Z228="",Y228&lt;&gt;""),IF(Y228&gt;=0.999,1,0),IF(AF228&gt;=U228,1,0))))</f>
        <v/>
      </c>
      <c r="AH228" s="44">
        <f>IF(AF228&gt;0,(AD228-AE228)/AF228,"")</f>
        <v/>
      </c>
      <c r="AI228" s="45">
        <f>IF(AG228=1,AH228-O228,"")</f>
        <v/>
      </c>
      <c r="AJ228" s="44">
        <f>IF(AG228=1,AH228,MAX(-1,MIN(1,O228+INDEX(Types!$H:$H,MATCH($A228&amp;"|"&amp;$D228,Types!$A:$A,0)))))</f>
        <v/>
      </c>
      <c r="AK228" s="43">
        <f>IF(AG228=1,AF228,MAX(AQ228*AS228,AF228))</f>
        <v/>
      </c>
      <c r="AL228" s="43">
        <f>IF(AG228=1,AD228,AK228*(1+AJ228)/2)</f>
        <v/>
      </c>
      <c r="AM228" s="43">
        <f>IF(AG228=1,AE228,AK228*(1-AJ228)/2)</f>
        <v/>
      </c>
      <c r="AN228" s="45">
        <f>IF(AH228="","",AH228-T228)</f>
        <v/>
      </c>
      <c r="AO228" s="51">
        <f>IF(AG228=1,1,IF(U228&gt;0,MIN(AF228/U228,0.99),0))</f>
        <v/>
      </c>
      <c r="AP228" s="43">
        <f>IF(AG228=1,AI228*AF228,0)</f>
        <v/>
      </c>
      <c r="AQ228" s="43">
        <f>N228*(F228+G228)/H228</f>
        <v/>
      </c>
      <c r="AR228" s="43">
        <f>O228*AQ228</f>
        <v/>
      </c>
      <c r="AS228" s="52">
        <f>IF(AG228=1,IF(AQ228&gt;0,AF228/AQ228,1),IFERROR(INDEX(Types!$K:$K,MATCH($A228&amp;"|"&amp;$D228,Types!$A:$A,0)),INDEX(Dashboard!$X$6:$X$22,MATCH($A228,Dashboard!$A$6:$A$22,0))))</f>
        <v/>
      </c>
      <c r="AT228" s="43">
        <f>AQ228*INDEX(Dashboard!$Y$6:$Y$22,MATCH($A228,Dashboard!$A$6:$A$22,0))</f>
        <v/>
      </c>
      <c r="AU228" s="53">
        <f>IF(AND(AG228=1,AT228&gt;0,AF228&gt;0),100*AF228/AT228,"")</f>
        <v/>
      </c>
      <c r="AV228" s="44">
        <f>IF(AU228="","",T228/(AU228/100))</f>
        <v/>
      </c>
      <c r="AW228" s="53">
        <f>IF(AU228="","",IF(AND(ABS(AH228)&gt;=0.1,ABS(T228)&gt;=0.05,SIGN(AH228)=SIGN(T228)),100*T228/AH228,""))</f>
        <v/>
      </c>
      <c r="AX228" s="45">
        <f>IF(AU228="","",T228-AV228)</f>
        <v/>
      </c>
      <c r="AY228" s="45">
        <f>IF(AU228="","",AH228-AV228)</f>
        <v/>
      </c>
      <c r="AZ228" s="54">
        <f>(AL228-AM228)-T228*AT228</f>
        <v/>
      </c>
      <c r="BA228" s="43">
        <f>IF(AU228="",0,(AH228-T228)*AF228)</f>
        <v/>
      </c>
      <c r="BB228" s="43">
        <f>IF(AU228="",0,T228*(AF228-AT228))</f>
        <v/>
      </c>
      <c r="BC228" s="51" t="n">
        <v>0.01005681818181818</v>
      </c>
      <c r="BD228" s="51" t="n">
        <v>0.01772727272727273</v>
      </c>
      <c r="BE228" s="51" t="n">
        <v>0.1973889481895065</v>
      </c>
      <c r="BF228" s="43" t="n">
        <v>17600</v>
      </c>
    </row>
    <row r="229">
      <c r="A229" s="42" t="inlineStr">
        <is>
          <t>IA</t>
        </is>
      </c>
      <c r="B229" s="42" t="inlineStr">
        <is>
          <t>19057</t>
        </is>
      </c>
      <c r="C229" s="42" t="inlineStr">
        <is>
          <t>Des Moines</t>
        </is>
      </c>
      <c r="D229" s="42" t="inlineStr">
        <is>
          <t>Small town &amp; rural</t>
        </is>
      </c>
      <c r="E229" s="42" t="inlineStr"/>
      <c r="F229" s="43" t="n">
        <v>7935</v>
      </c>
      <c r="G229" s="43" t="n">
        <v>10794</v>
      </c>
      <c r="H229" s="43" t="n">
        <v>18998</v>
      </c>
      <c r="I229" s="43" t="n">
        <v>8893</v>
      </c>
      <c r="J229" s="43" t="n">
        <v>10592</v>
      </c>
      <c r="K229" s="42" t="inlineStr">
        <is>
          <t>US Senate</t>
        </is>
      </c>
      <c r="L229" s="43" t="n">
        <v>5836</v>
      </c>
      <c r="M229" s="43" t="n">
        <v>7353</v>
      </c>
      <c r="N229" s="43" t="n">
        <v>13206</v>
      </c>
      <c r="O229" s="44">
        <f>IFERROR((F229-G229)/(F229+G229),"")</f>
        <v/>
      </c>
      <c r="P229" s="44">
        <f>IFERROR((I229-J229)/(I229+J229),"")</f>
        <v/>
      </c>
      <c r="Q229" s="45">
        <f>IFERROR(O229-P229,"")</f>
        <v/>
      </c>
      <c r="R229" s="44">
        <f>IFERROR((L229-M229)/(L229+M229),"")</f>
        <v/>
      </c>
      <c r="S229" s="46">
        <f>H229/SUMIFS(Counties!$H$2:$H$1583,Counties!$A$2:$A$1583,$A229)</f>
        <v/>
      </c>
      <c r="T229" s="44">
        <f>O229+INDEX(Dashboard!$F$6:$F$22,MATCH($A229,Dashboard!$A$6:$A$22,0))</f>
        <v/>
      </c>
      <c r="U229" s="43">
        <f>AQ229*INDEX(Dashboard!$G$6:$G$22,MATCH($A229,Dashboard!$A$6:$A$22,0))</f>
        <v/>
      </c>
      <c r="V229" s="47" t="n"/>
      <c r="W229" s="47" t="n"/>
      <c r="X229" s="47" t="n"/>
      <c r="Y229" s="48" t="n"/>
      <c r="Z229" s="49" t="n"/>
      <c r="AA229" s="49" t="n"/>
      <c r="AB229" s="49" t="n"/>
      <c r="AC229" s="50" t="n"/>
      <c r="AD229" s="43">
        <f>IF(Z229&lt;&gt;"",Z229,N(V229))</f>
        <v/>
      </c>
      <c r="AE229" s="43">
        <f>IF(AA229&lt;&gt;"",AA229,N(W229))</f>
        <v/>
      </c>
      <c r="AF229" s="43">
        <f>AD229+AE229</f>
        <v/>
      </c>
      <c r="AG229" s="42">
        <f>IF(UPPER(AC229)="Y",1,IF(AF229=0,0,IF(AND(Z229="",Y229&lt;&gt;""),IF(Y229&gt;=0.999,1,0),IF(AF229&gt;=U229,1,0))))</f>
        <v/>
      </c>
      <c r="AH229" s="44">
        <f>IF(AF229&gt;0,(AD229-AE229)/AF229,"")</f>
        <v/>
      </c>
      <c r="AI229" s="45">
        <f>IF(AG229=1,AH229-O229,"")</f>
        <v/>
      </c>
      <c r="AJ229" s="44">
        <f>IF(AG229=1,AH229,MAX(-1,MIN(1,O229+INDEX(Types!$H:$H,MATCH($A229&amp;"|"&amp;$D229,Types!$A:$A,0)))))</f>
        <v/>
      </c>
      <c r="AK229" s="43">
        <f>IF(AG229=1,AF229,MAX(AQ229*AS229,AF229))</f>
        <v/>
      </c>
      <c r="AL229" s="43">
        <f>IF(AG229=1,AD229,AK229*(1+AJ229)/2)</f>
        <v/>
      </c>
      <c r="AM229" s="43">
        <f>IF(AG229=1,AE229,AK229*(1-AJ229)/2)</f>
        <v/>
      </c>
      <c r="AN229" s="45">
        <f>IF(AH229="","",AH229-T229)</f>
        <v/>
      </c>
      <c r="AO229" s="51">
        <f>IF(AG229=1,1,IF(U229&gt;0,MIN(AF229/U229,0.99),0))</f>
        <v/>
      </c>
      <c r="AP229" s="43">
        <f>IF(AG229=1,AI229*AF229,0)</f>
        <v/>
      </c>
      <c r="AQ229" s="43">
        <f>N229*(F229+G229)/H229</f>
        <v/>
      </c>
      <c r="AR229" s="43">
        <f>O229*AQ229</f>
        <v/>
      </c>
      <c r="AS229" s="52">
        <f>IF(AG229=1,IF(AQ229&gt;0,AF229/AQ229,1),IFERROR(INDEX(Types!$K:$K,MATCH($A229&amp;"|"&amp;$D229,Types!$A:$A,0)),INDEX(Dashboard!$X$6:$X$22,MATCH($A229,Dashboard!$A$6:$A$22,0))))</f>
        <v/>
      </c>
      <c r="AT229" s="43">
        <f>AQ229*INDEX(Dashboard!$Y$6:$Y$22,MATCH($A229,Dashboard!$A$6:$A$22,0))</f>
        <v/>
      </c>
      <c r="AU229" s="53">
        <f>IF(AND(AG229=1,AT229&gt;0,AF229&gt;0),100*AF229/AT229,"")</f>
        <v/>
      </c>
      <c r="AV229" s="44">
        <f>IF(AU229="","",T229/(AU229/100))</f>
        <v/>
      </c>
      <c r="AW229" s="53">
        <f>IF(AU229="","",IF(AND(ABS(AH229)&gt;=0.1,ABS(T229)&gt;=0.05,SIGN(AH229)=SIGN(T229)),100*T229/AH229,""))</f>
        <v/>
      </c>
      <c r="AX229" s="45">
        <f>IF(AU229="","",T229-AV229)</f>
        <v/>
      </c>
      <c r="AY229" s="45">
        <f>IF(AU229="","",AH229-AV229)</f>
        <v/>
      </c>
      <c r="AZ229" s="54">
        <f>(AL229-AM229)-T229*AT229</f>
        <v/>
      </c>
      <c r="BA229" s="43">
        <f>IF(AU229="",0,(AH229-T229)*AF229)</f>
        <v/>
      </c>
      <c r="BB229" s="43">
        <f>IF(AU229="",0,T229*(AF229-AT229))</f>
        <v/>
      </c>
      <c r="BC229" s="51" t="n">
        <v>0.06357671293754738</v>
      </c>
      <c r="BD229" s="51" t="n">
        <v>0.0384806420411471</v>
      </c>
      <c r="BE229" s="51" t="n">
        <v>0.2383602300129846</v>
      </c>
      <c r="BF229" s="43" t="n">
        <v>38253</v>
      </c>
    </row>
    <row r="230">
      <c r="A230" s="42" t="inlineStr">
        <is>
          <t>IA</t>
        </is>
      </c>
      <c r="B230" s="42" t="inlineStr">
        <is>
          <t>19059</t>
        </is>
      </c>
      <c r="C230" s="42" t="inlineStr">
        <is>
          <t>Dickinson</t>
        </is>
      </c>
      <c r="D230" s="42" t="inlineStr">
        <is>
          <t>Small town &amp; rural</t>
        </is>
      </c>
      <c r="E230" s="42" t="inlineStr"/>
      <c r="F230" s="43" t="n">
        <v>3297</v>
      </c>
      <c r="G230" s="43" t="n">
        <v>7775</v>
      </c>
      <c r="H230" s="43" t="n">
        <v>11192</v>
      </c>
      <c r="I230" s="43" t="n">
        <v>3661</v>
      </c>
      <c r="J230" s="43" t="n">
        <v>7438</v>
      </c>
      <c r="K230" s="42" t="inlineStr">
        <is>
          <t>US Senate</t>
        </is>
      </c>
      <c r="L230" s="43" t="n">
        <v>2459</v>
      </c>
      <c r="M230" s="43" t="n">
        <v>5821</v>
      </c>
      <c r="N230" s="43" t="n">
        <v>8286</v>
      </c>
      <c r="O230" s="44">
        <f>IFERROR((F230-G230)/(F230+G230),"")</f>
        <v/>
      </c>
      <c r="P230" s="44">
        <f>IFERROR((I230-J230)/(I230+J230),"")</f>
        <v/>
      </c>
      <c r="Q230" s="45">
        <f>IFERROR(O230-P230,"")</f>
        <v/>
      </c>
      <c r="R230" s="44">
        <f>IFERROR((L230-M230)/(L230+M230),"")</f>
        <v/>
      </c>
      <c r="S230" s="46">
        <f>H230/SUMIFS(Counties!$H$2:$H$1583,Counties!$A$2:$A$1583,$A230)</f>
        <v/>
      </c>
      <c r="T230" s="44">
        <f>O230+INDEX(Dashboard!$F$6:$F$22,MATCH($A230,Dashboard!$A$6:$A$22,0))</f>
        <v/>
      </c>
      <c r="U230" s="43">
        <f>AQ230*INDEX(Dashboard!$G$6:$G$22,MATCH($A230,Dashboard!$A$6:$A$22,0))</f>
        <v/>
      </c>
      <c r="V230" s="47" t="n"/>
      <c r="W230" s="47" t="n"/>
      <c r="X230" s="47" t="n"/>
      <c r="Y230" s="48" t="n"/>
      <c r="Z230" s="49" t="n"/>
      <c r="AA230" s="49" t="n"/>
      <c r="AB230" s="49" t="n"/>
      <c r="AC230" s="50" t="n"/>
      <c r="AD230" s="43">
        <f>IF(Z230&lt;&gt;"",Z230,N(V230))</f>
        <v/>
      </c>
      <c r="AE230" s="43">
        <f>IF(AA230&lt;&gt;"",AA230,N(W230))</f>
        <v/>
      </c>
      <c r="AF230" s="43">
        <f>AD230+AE230</f>
        <v/>
      </c>
      <c r="AG230" s="42">
        <f>IF(UPPER(AC230)="Y",1,IF(AF230=0,0,IF(AND(Z230="",Y230&lt;&gt;""),IF(Y230&gt;=0.999,1,0),IF(AF230&gt;=U230,1,0))))</f>
        <v/>
      </c>
      <c r="AH230" s="44">
        <f>IF(AF230&gt;0,(AD230-AE230)/AF230,"")</f>
        <v/>
      </c>
      <c r="AI230" s="45">
        <f>IF(AG230=1,AH230-O230,"")</f>
        <v/>
      </c>
      <c r="AJ230" s="44">
        <f>IF(AG230=1,AH230,MAX(-1,MIN(1,O230+INDEX(Types!$H:$H,MATCH($A230&amp;"|"&amp;$D230,Types!$A:$A,0)))))</f>
        <v/>
      </c>
      <c r="AK230" s="43">
        <f>IF(AG230=1,AF230,MAX(AQ230*AS230,AF230))</f>
        <v/>
      </c>
      <c r="AL230" s="43">
        <f>IF(AG230=1,AD230,AK230*(1+AJ230)/2)</f>
        <v/>
      </c>
      <c r="AM230" s="43">
        <f>IF(AG230=1,AE230,AK230*(1-AJ230)/2)</f>
        <v/>
      </c>
      <c r="AN230" s="45">
        <f>IF(AH230="","",AH230-T230)</f>
        <v/>
      </c>
      <c r="AO230" s="51">
        <f>IF(AG230=1,1,IF(U230&gt;0,MIN(AF230/U230,0.99),0))</f>
        <v/>
      </c>
      <c r="AP230" s="43">
        <f>IF(AG230=1,AI230*AF230,0)</f>
        <v/>
      </c>
      <c r="AQ230" s="43">
        <f>N230*(F230+G230)/H230</f>
        <v/>
      </c>
      <c r="AR230" s="43">
        <f>O230*AQ230</f>
        <v/>
      </c>
      <c r="AS230" s="52">
        <f>IF(AG230=1,IF(AQ230&gt;0,AF230/AQ230,1),IFERROR(INDEX(Types!$K:$K,MATCH($A230&amp;"|"&amp;$D230,Types!$A:$A,0)),INDEX(Dashboard!$X$6:$X$22,MATCH($A230,Dashboard!$A$6:$A$22,0))))</f>
        <v/>
      </c>
      <c r="AT230" s="43">
        <f>AQ230*INDEX(Dashboard!$Y$6:$Y$22,MATCH($A230,Dashboard!$A$6:$A$22,0))</f>
        <v/>
      </c>
      <c r="AU230" s="53">
        <f>IF(AND(AG230=1,AT230&gt;0,AF230&gt;0),100*AF230/AT230,"")</f>
        <v/>
      </c>
      <c r="AV230" s="44">
        <f>IF(AU230="","",T230/(AU230/100))</f>
        <v/>
      </c>
      <c r="AW230" s="53">
        <f>IF(AU230="","",IF(AND(ABS(AH230)&gt;=0.1,ABS(T230)&gt;=0.05,SIGN(AH230)=SIGN(T230)),100*T230/AH230,""))</f>
        <v/>
      </c>
      <c r="AX230" s="45">
        <f>IF(AU230="","",T230-AV230)</f>
        <v/>
      </c>
      <c r="AY230" s="45">
        <f>IF(AU230="","",AH230-AV230)</f>
        <v/>
      </c>
      <c r="AZ230" s="54">
        <f>(AL230-AM230)-T230*AT230</f>
        <v/>
      </c>
      <c r="BA230" s="43">
        <f>IF(AU230="",0,(AH230-T230)*AF230)</f>
        <v/>
      </c>
      <c r="BB230" s="43">
        <f>IF(AU230="",0,T230*(AF230-AT230))</f>
        <v/>
      </c>
      <c r="BC230" s="51" t="n">
        <v>0.008695170580416483</v>
      </c>
      <c r="BD230" s="51" t="n">
        <v>0.02879929109437306</v>
      </c>
      <c r="BE230" s="51" t="n">
        <v>0.3231011708195737</v>
      </c>
      <c r="BF230" s="43" t="n">
        <v>18056</v>
      </c>
    </row>
    <row r="231">
      <c r="A231" s="42" t="inlineStr">
        <is>
          <t>IA</t>
        </is>
      </c>
      <c r="B231" s="42" t="inlineStr">
        <is>
          <t>19061</t>
        </is>
      </c>
      <c r="C231" s="42" t="inlineStr">
        <is>
          <t>Dubuque</t>
        </is>
      </c>
      <c r="D231" s="42" t="inlineStr">
        <is>
          <t>Small town &amp; rural</t>
        </is>
      </c>
      <c r="E231" s="42" t="inlineStr">
        <is>
          <t>★</t>
        </is>
      </c>
      <c r="F231" s="43" t="n">
        <v>23705</v>
      </c>
      <c r="G231" s="43" t="n">
        <v>28224</v>
      </c>
      <c r="H231" s="43" t="n">
        <v>52566</v>
      </c>
      <c r="I231" s="43" t="n">
        <v>25657</v>
      </c>
      <c r="J231" s="43" t="n">
        <v>27214</v>
      </c>
      <c r="K231" s="42" t="inlineStr">
        <is>
          <t>US Senate</t>
        </is>
      </c>
      <c r="L231" s="43" t="n">
        <v>18020</v>
      </c>
      <c r="M231" s="43" t="n">
        <v>20762</v>
      </c>
      <c r="N231" s="43" t="n">
        <v>38823</v>
      </c>
      <c r="O231" s="44">
        <f>IFERROR((F231-G231)/(F231+G231),"")</f>
        <v/>
      </c>
      <c r="P231" s="44">
        <f>IFERROR((I231-J231)/(I231+J231),"")</f>
        <v/>
      </c>
      <c r="Q231" s="45">
        <f>IFERROR(O231-P231,"")</f>
        <v/>
      </c>
      <c r="R231" s="44">
        <f>IFERROR((L231-M231)/(L231+M231),"")</f>
        <v/>
      </c>
      <c r="S231" s="46">
        <f>H231/SUMIFS(Counties!$H$2:$H$1583,Counties!$A$2:$A$1583,$A231)</f>
        <v/>
      </c>
      <c r="T231" s="44">
        <f>O231+INDEX(Dashboard!$F$6:$F$22,MATCH($A231,Dashboard!$A$6:$A$22,0))</f>
        <v/>
      </c>
      <c r="U231" s="43">
        <f>AQ231*INDEX(Dashboard!$G$6:$G$22,MATCH($A231,Dashboard!$A$6:$A$22,0))</f>
        <v/>
      </c>
      <c r="V231" s="47" t="n"/>
      <c r="W231" s="47" t="n"/>
      <c r="X231" s="47" t="n"/>
      <c r="Y231" s="48" t="n"/>
      <c r="Z231" s="49" t="n"/>
      <c r="AA231" s="49" t="n"/>
      <c r="AB231" s="49" t="n"/>
      <c r="AC231" s="50" t="n"/>
      <c r="AD231" s="43">
        <f>IF(Z231&lt;&gt;"",Z231,N(V231))</f>
        <v/>
      </c>
      <c r="AE231" s="43">
        <f>IF(AA231&lt;&gt;"",AA231,N(W231))</f>
        <v/>
      </c>
      <c r="AF231" s="43">
        <f>AD231+AE231</f>
        <v/>
      </c>
      <c r="AG231" s="42">
        <f>IF(UPPER(AC231)="Y",1,IF(AF231=0,0,IF(AND(Z231="",Y231&lt;&gt;""),IF(Y231&gt;=0.999,1,0),IF(AF231&gt;=U231,1,0))))</f>
        <v/>
      </c>
      <c r="AH231" s="44">
        <f>IF(AF231&gt;0,(AD231-AE231)/AF231,"")</f>
        <v/>
      </c>
      <c r="AI231" s="45">
        <f>IF(AG231=1,AH231-O231,"")</f>
        <v/>
      </c>
      <c r="AJ231" s="44">
        <f>IF(AG231=1,AH231,MAX(-1,MIN(1,O231+INDEX(Types!$H:$H,MATCH($A231&amp;"|"&amp;$D231,Types!$A:$A,0)))))</f>
        <v/>
      </c>
      <c r="AK231" s="43">
        <f>IF(AG231=1,AF231,MAX(AQ231*AS231,AF231))</f>
        <v/>
      </c>
      <c r="AL231" s="43">
        <f>IF(AG231=1,AD231,AK231*(1+AJ231)/2)</f>
        <v/>
      </c>
      <c r="AM231" s="43">
        <f>IF(AG231=1,AE231,AK231*(1-AJ231)/2)</f>
        <v/>
      </c>
      <c r="AN231" s="45">
        <f>IF(AH231="","",AH231-T231)</f>
        <v/>
      </c>
      <c r="AO231" s="51">
        <f>IF(AG231=1,1,IF(U231&gt;0,MIN(AF231/U231,0.99),0))</f>
        <v/>
      </c>
      <c r="AP231" s="43">
        <f>IF(AG231=1,AI231*AF231,0)</f>
        <v/>
      </c>
      <c r="AQ231" s="43">
        <f>N231*(F231+G231)/H231</f>
        <v/>
      </c>
      <c r="AR231" s="43">
        <f>O231*AQ231</f>
        <v/>
      </c>
      <c r="AS231" s="52">
        <f>IF(AG231=1,IF(AQ231&gt;0,AF231/AQ231,1),IFERROR(INDEX(Types!$K:$K,MATCH($A231&amp;"|"&amp;$D231,Types!$A:$A,0)),INDEX(Dashboard!$X$6:$X$22,MATCH($A231,Dashboard!$A$6:$A$22,0))))</f>
        <v/>
      </c>
      <c r="AT231" s="43">
        <f>AQ231*INDEX(Dashboard!$Y$6:$Y$22,MATCH($A231,Dashboard!$A$6:$A$22,0))</f>
        <v/>
      </c>
      <c r="AU231" s="53">
        <f>IF(AND(AG231=1,AT231&gt;0,AF231&gt;0),100*AF231/AT231,"")</f>
        <v/>
      </c>
      <c r="AV231" s="44">
        <f>IF(AU231="","",T231/(AU231/100))</f>
        <v/>
      </c>
      <c r="AW231" s="53">
        <f>IF(AU231="","",IF(AND(ABS(AH231)&gt;=0.1,ABS(T231)&gt;=0.05,SIGN(AH231)=SIGN(T231)),100*T231/AH231,""))</f>
        <v/>
      </c>
      <c r="AX231" s="45">
        <f>IF(AU231="","",T231-AV231)</f>
        <v/>
      </c>
      <c r="AY231" s="45">
        <f>IF(AU231="","",AH231-AV231)</f>
        <v/>
      </c>
      <c r="AZ231" s="54">
        <f>(AL231-AM231)-T231*AT231</f>
        <v/>
      </c>
      <c r="BA231" s="43">
        <f>IF(AU231="",0,(AH231-T231)*AF231)</f>
        <v/>
      </c>
      <c r="BB231" s="43">
        <f>IF(AU231="",0,T231*(AF231-AT231))</f>
        <v/>
      </c>
      <c r="BC231" s="51" t="n">
        <v>0.03673890400153711</v>
      </c>
      <c r="BD231" s="51" t="n">
        <v>0.03363435031905104</v>
      </c>
      <c r="BE231" s="51" t="n">
        <v>0.3286459037574556</v>
      </c>
      <c r="BF231" s="43" t="n">
        <v>98887</v>
      </c>
    </row>
    <row r="232">
      <c r="A232" s="42" t="inlineStr">
        <is>
          <t>IA</t>
        </is>
      </c>
      <c r="B232" s="42" t="inlineStr">
        <is>
          <t>19063</t>
        </is>
      </c>
      <c r="C232" s="42" t="inlineStr">
        <is>
          <t>Emmet</t>
        </is>
      </c>
      <c r="D232" s="42" t="inlineStr">
        <is>
          <t>Small town &amp; rural</t>
        </is>
      </c>
      <c r="E232" s="42" t="inlineStr"/>
      <c r="F232" s="43" t="n">
        <v>1315</v>
      </c>
      <c r="G232" s="43" t="n">
        <v>3422</v>
      </c>
      <c r="H232" s="43" t="n">
        <v>4786</v>
      </c>
      <c r="I232" s="43" t="n">
        <v>1520</v>
      </c>
      <c r="J232" s="43" t="n">
        <v>3265</v>
      </c>
      <c r="K232" s="42" t="inlineStr">
        <is>
          <t>US Senate</t>
        </is>
      </c>
      <c r="L232" s="43" t="n">
        <v>935</v>
      </c>
      <c r="M232" s="43" t="n">
        <v>2391</v>
      </c>
      <c r="N232" s="43" t="n">
        <v>3328</v>
      </c>
      <c r="O232" s="44">
        <f>IFERROR((F232-G232)/(F232+G232),"")</f>
        <v/>
      </c>
      <c r="P232" s="44">
        <f>IFERROR((I232-J232)/(I232+J232),"")</f>
        <v/>
      </c>
      <c r="Q232" s="45">
        <f>IFERROR(O232-P232,"")</f>
        <v/>
      </c>
      <c r="R232" s="44">
        <f>IFERROR((L232-M232)/(L232+M232),"")</f>
        <v/>
      </c>
      <c r="S232" s="46">
        <f>H232/SUMIFS(Counties!$H$2:$H$1583,Counties!$A$2:$A$1583,$A232)</f>
        <v/>
      </c>
      <c r="T232" s="44">
        <f>O232+INDEX(Dashboard!$F$6:$F$22,MATCH($A232,Dashboard!$A$6:$A$22,0))</f>
        <v/>
      </c>
      <c r="U232" s="43">
        <f>AQ232*INDEX(Dashboard!$G$6:$G$22,MATCH($A232,Dashboard!$A$6:$A$22,0))</f>
        <v/>
      </c>
      <c r="V232" s="47" t="n"/>
      <c r="W232" s="47" t="n"/>
      <c r="X232" s="47" t="n"/>
      <c r="Y232" s="48" t="n"/>
      <c r="Z232" s="49" t="n"/>
      <c r="AA232" s="49" t="n"/>
      <c r="AB232" s="49" t="n"/>
      <c r="AC232" s="50" t="n"/>
      <c r="AD232" s="43">
        <f>IF(Z232&lt;&gt;"",Z232,N(V232))</f>
        <v/>
      </c>
      <c r="AE232" s="43">
        <f>IF(AA232&lt;&gt;"",AA232,N(W232))</f>
        <v/>
      </c>
      <c r="AF232" s="43">
        <f>AD232+AE232</f>
        <v/>
      </c>
      <c r="AG232" s="42">
        <f>IF(UPPER(AC232)="Y",1,IF(AF232=0,0,IF(AND(Z232="",Y232&lt;&gt;""),IF(Y232&gt;=0.999,1,0),IF(AF232&gt;=U232,1,0))))</f>
        <v/>
      </c>
      <c r="AH232" s="44">
        <f>IF(AF232&gt;0,(AD232-AE232)/AF232,"")</f>
        <v/>
      </c>
      <c r="AI232" s="45">
        <f>IF(AG232=1,AH232-O232,"")</f>
        <v/>
      </c>
      <c r="AJ232" s="44">
        <f>IF(AG232=1,AH232,MAX(-1,MIN(1,O232+INDEX(Types!$H:$H,MATCH($A232&amp;"|"&amp;$D232,Types!$A:$A,0)))))</f>
        <v/>
      </c>
      <c r="AK232" s="43">
        <f>IF(AG232=1,AF232,MAX(AQ232*AS232,AF232))</f>
        <v/>
      </c>
      <c r="AL232" s="43">
        <f>IF(AG232=1,AD232,AK232*(1+AJ232)/2)</f>
        <v/>
      </c>
      <c r="AM232" s="43">
        <f>IF(AG232=1,AE232,AK232*(1-AJ232)/2)</f>
        <v/>
      </c>
      <c r="AN232" s="45">
        <f>IF(AH232="","",AH232-T232)</f>
        <v/>
      </c>
      <c r="AO232" s="51">
        <f>IF(AG232=1,1,IF(U232&gt;0,MIN(AF232/U232,0.99),0))</f>
        <v/>
      </c>
      <c r="AP232" s="43">
        <f>IF(AG232=1,AI232*AF232,0)</f>
        <v/>
      </c>
      <c r="AQ232" s="43">
        <f>N232*(F232+G232)/H232</f>
        <v/>
      </c>
      <c r="AR232" s="43">
        <f>O232*AQ232</f>
        <v/>
      </c>
      <c r="AS232" s="52">
        <f>IF(AG232=1,IF(AQ232&gt;0,AF232/AQ232,1),IFERROR(INDEX(Types!$K:$K,MATCH($A232&amp;"|"&amp;$D232,Types!$A:$A,0)),INDEX(Dashboard!$X$6:$X$22,MATCH($A232,Dashboard!$A$6:$A$22,0))))</f>
        <v/>
      </c>
      <c r="AT232" s="43">
        <f>AQ232*INDEX(Dashboard!$Y$6:$Y$22,MATCH($A232,Dashboard!$A$6:$A$22,0))</f>
        <v/>
      </c>
      <c r="AU232" s="53">
        <f>IF(AND(AG232=1,AT232&gt;0,AF232&gt;0),100*AF232/AT232,"")</f>
        <v/>
      </c>
      <c r="AV232" s="44">
        <f>IF(AU232="","",T232/(AU232/100))</f>
        <v/>
      </c>
      <c r="AW232" s="53">
        <f>IF(AU232="","",IF(AND(ABS(AH232)&gt;=0.1,ABS(T232)&gt;=0.05,SIGN(AH232)=SIGN(T232)),100*T232/AH232,""))</f>
        <v/>
      </c>
      <c r="AX232" s="45">
        <f>IF(AU232="","",T232-AV232)</f>
        <v/>
      </c>
      <c r="AY232" s="45">
        <f>IF(AU232="","",AH232-AV232)</f>
        <v/>
      </c>
      <c r="AZ232" s="54">
        <f>(AL232-AM232)-T232*AT232</f>
        <v/>
      </c>
      <c r="BA232" s="43">
        <f>IF(AU232="",0,(AH232-T232)*AF232)</f>
        <v/>
      </c>
      <c r="BB232" s="43">
        <f>IF(AU232="",0,T232*(AF232-AT232))</f>
        <v/>
      </c>
      <c r="BC232" s="51" t="n">
        <v>0.01235236753711128</v>
      </c>
      <c r="BD232" s="51" t="n">
        <v>0.1028280420413913</v>
      </c>
      <c r="BE232" s="51" t="n">
        <v>0.1565296526619142</v>
      </c>
      <c r="BF232" s="43" t="n">
        <v>9229</v>
      </c>
    </row>
    <row r="233">
      <c r="A233" s="42" t="inlineStr">
        <is>
          <t>IA</t>
        </is>
      </c>
      <c r="B233" s="42" t="inlineStr">
        <is>
          <t>19065</t>
        </is>
      </c>
      <c r="C233" s="42" t="inlineStr">
        <is>
          <t>Fayette</t>
        </is>
      </c>
      <c r="D233" s="42" t="inlineStr">
        <is>
          <t>Small town &amp; rural</t>
        </is>
      </c>
      <c r="E233" s="42" t="inlineStr"/>
      <c r="F233" s="43" t="n">
        <v>3334</v>
      </c>
      <c r="G233" s="43" t="n">
        <v>6325</v>
      </c>
      <c r="H233" s="43" t="n">
        <v>9817</v>
      </c>
      <c r="I233" s="43" t="n">
        <v>3835</v>
      </c>
      <c r="J233" s="43" t="n">
        <v>6145</v>
      </c>
      <c r="K233" s="42" t="inlineStr">
        <is>
          <t>US Senate</t>
        </is>
      </c>
      <c r="L233" s="43" t="n">
        <v>2744</v>
      </c>
      <c r="M233" s="43" t="n">
        <v>4784</v>
      </c>
      <c r="N233" s="43" t="n">
        <v>7536</v>
      </c>
      <c r="O233" s="44">
        <f>IFERROR((F233-G233)/(F233+G233),"")</f>
        <v/>
      </c>
      <c r="P233" s="44">
        <f>IFERROR((I233-J233)/(I233+J233),"")</f>
        <v/>
      </c>
      <c r="Q233" s="45">
        <f>IFERROR(O233-P233,"")</f>
        <v/>
      </c>
      <c r="R233" s="44">
        <f>IFERROR((L233-M233)/(L233+M233),"")</f>
        <v/>
      </c>
      <c r="S233" s="46">
        <f>H233/SUMIFS(Counties!$H$2:$H$1583,Counties!$A$2:$A$1583,$A233)</f>
        <v/>
      </c>
      <c r="T233" s="44">
        <f>O233+INDEX(Dashboard!$F$6:$F$22,MATCH($A233,Dashboard!$A$6:$A$22,0))</f>
        <v/>
      </c>
      <c r="U233" s="43">
        <f>AQ233*INDEX(Dashboard!$G$6:$G$22,MATCH($A233,Dashboard!$A$6:$A$22,0))</f>
        <v/>
      </c>
      <c r="V233" s="47" t="n"/>
      <c r="W233" s="47" t="n"/>
      <c r="X233" s="47" t="n"/>
      <c r="Y233" s="48" t="n"/>
      <c r="Z233" s="49" t="n"/>
      <c r="AA233" s="49" t="n"/>
      <c r="AB233" s="49" t="n"/>
      <c r="AC233" s="50" t="n"/>
      <c r="AD233" s="43">
        <f>IF(Z233&lt;&gt;"",Z233,N(V233))</f>
        <v/>
      </c>
      <c r="AE233" s="43">
        <f>IF(AA233&lt;&gt;"",AA233,N(W233))</f>
        <v/>
      </c>
      <c r="AF233" s="43">
        <f>AD233+AE233</f>
        <v/>
      </c>
      <c r="AG233" s="42">
        <f>IF(UPPER(AC233)="Y",1,IF(AF233=0,0,IF(AND(Z233="",Y233&lt;&gt;""),IF(Y233&gt;=0.999,1,0),IF(AF233&gt;=U233,1,0))))</f>
        <v/>
      </c>
      <c r="AH233" s="44">
        <f>IF(AF233&gt;0,(AD233-AE233)/AF233,"")</f>
        <v/>
      </c>
      <c r="AI233" s="45">
        <f>IF(AG233=1,AH233-O233,"")</f>
        <v/>
      </c>
      <c r="AJ233" s="44">
        <f>IF(AG233=1,AH233,MAX(-1,MIN(1,O233+INDEX(Types!$H:$H,MATCH($A233&amp;"|"&amp;$D233,Types!$A:$A,0)))))</f>
        <v/>
      </c>
      <c r="AK233" s="43">
        <f>IF(AG233=1,AF233,MAX(AQ233*AS233,AF233))</f>
        <v/>
      </c>
      <c r="AL233" s="43">
        <f>IF(AG233=1,AD233,AK233*(1+AJ233)/2)</f>
        <v/>
      </c>
      <c r="AM233" s="43">
        <f>IF(AG233=1,AE233,AK233*(1-AJ233)/2)</f>
        <v/>
      </c>
      <c r="AN233" s="45">
        <f>IF(AH233="","",AH233-T233)</f>
        <v/>
      </c>
      <c r="AO233" s="51">
        <f>IF(AG233=1,1,IF(U233&gt;0,MIN(AF233/U233,0.99),0))</f>
        <v/>
      </c>
      <c r="AP233" s="43">
        <f>IF(AG233=1,AI233*AF233,0)</f>
        <v/>
      </c>
      <c r="AQ233" s="43">
        <f>N233*(F233+G233)/H233</f>
        <v/>
      </c>
      <c r="AR233" s="43">
        <f>O233*AQ233</f>
        <v/>
      </c>
      <c r="AS233" s="52">
        <f>IF(AG233=1,IF(AQ233&gt;0,AF233/AQ233,1),IFERROR(INDEX(Types!$K:$K,MATCH($A233&amp;"|"&amp;$D233,Types!$A:$A,0)),INDEX(Dashboard!$X$6:$X$22,MATCH($A233,Dashboard!$A$6:$A$22,0))))</f>
        <v/>
      </c>
      <c r="AT233" s="43">
        <f>AQ233*INDEX(Dashboard!$Y$6:$Y$22,MATCH($A233,Dashboard!$A$6:$A$22,0))</f>
        <v/>
      </c>
      <c r="AU233" s="53">
        <f>IF(AND(AG233=1,AT233&gt;0,AF233&gt;0),100*AF233/AT233,"")</f>
        <v/>
      </c>
      <c r="AV233" s="44">
        <f>IF(AU233="","",T233/(AU233/100))</f>
        <v/>
      </c>
      <c r="AW233" s="53">
        <f>IF(AU233="","",IF(AND(ABS(AH233)&gt;=0.1,ABS(T233)&gt;=0.05,SIGN(AH233)=SIGN(T233)),100*T233/AH233,""))</f>
        <v/>
      </c>
      <c r="AX233" s="45">
        <f>IF(AU233="","",T233-AV233)</f>
        <v/>
      </c>
      <c r="AY233" s="45">
        <f>IF(AU233="","",AH233-AV233)</f>
        <v/>
      </c>
      <c r="AZ233" s="54">
        <f>(AL233-AM233)-T233*AT233</f>
        <v/>
      </c>
      <c r="BA233" s="43">
        <f>IF(AU233="",0,(AH233-T233)*AF233)</f>
        <v/>
      </c>
      <c r="BB233" s="43">
        <f>IF(AU233="",0,T233*(AF233-AT233))</f>
        <v/>
      </c>
      <c r="BC233" s="51" t="n">
        <v>0.01478396668401874</v>
      </c>
      <c r="BD233" s="51" t="n">
        <v>0.0321186881832379</v>
      </c>
      <c r="BE233" s="51" t="n">
        <v>0.1818919118189191</v>
      </c>
      <c r="BF233" s="43" t="n">
        <v>19210</v>
      </c>
    </row>
    <row r="234">
      <c r="A234" s="42" t="inlineStr">
        <is>
          <t>IA</t>
        </is>
      </c>
      <c r="B234" s="42" t="inlineStr">
        <is>
          <t>19067</t>
        </is>
      </c>
      <c r="C234" s="42" t="inlineStr">
        <is>
          <t>Floyd</t>
        </is>
      </c>
      <c r="D234" s="42" t="inlineStr">
        <is>
          <t>Small town &amp; rural</t>
        </is>
      </c>
      <c r="E234" s="42" t="inlineStr"/>
      <c r="F234" s="43" t="n">
        <v>2782</v>
      </c>
      <c r="G234" s="43" t="n">
        <v>4744</v>
      </c>
      <c r="H234" s="43" t="n">
        <v>7625</v>
      </c>
      <c r="I234" s="43" t="n">
        <v>3172</v>
      </c>
      <c r="J234" s="43" t="n">
        <v>4732</v>
      </c>
      <c r="K234" s="42" t="inlineStr">
        <is>
          <t>US Senate</t>
        </is>
      </c>
      <c r="L234" s="43" t="n">
        <v>2247</v>
      </c>
      <c r="M234" s="43" t="n">
        <v>3465</v>
      </c>
      <c r="N234" s="43" t="n">
        <v>5717</v>
      </c>
      <c r="O234" s="44">
        <f>IFERROR((F234-G234)/(F234+G234),"")</f>
        <v/>
      </c>
      <c r="P234" s="44">
        <f>IFERROR((I234-J234)/(I234+J234),"")</f>
        <v/>
      </c>
      <c r="Q234" s="45">
        <f>IFERROR(O234-P234,"")</f>
        <v/>
      </c>
      <c r="R234" s="44">
        <f>IFERROR((L234-M234)/(L234+M234),"")</f>
        <v/>
      </c>
      <c r="S234" s="46">
        <f>H234/SUMIFS(Counties!$H$2:$H$1583,Counties!$A$2:$A$1583,$A234)</f>
        <v/>
      </c>
      <c r="T234" s="44">
        <f>O234+INDEX(Dashboard!$F$6:$F$22,MATCH($A234,Dashboard!$A$6:$A$22,0))</f>
        <v/>
      </c>
      <c r="U234" s="43">
        <f>AQ234*INDEX(Dashboard!$G$6:$G$22,MATCH($A234,Dashboard!$A$6:$A$22,0))</f>
        <v/>
      </c>
      <c r="V234" s="47" t="n"/>
      <c r="W234" s="47" t="n"/>
      <c r="X234" s="47" t="n"/>
      <c r="Y234" s="48" t="n"/>
      <c r="Z234" s="49" t="n"/>
      <c r="AA234" s="49" t="n"/>
      <c r="AB234" s="49" t="n"/>
      <c r="AC234" s="50" t="n"/>
      <c r="AD234" s="43">
        <f>IF(Z234&lt;&gt;"",Z234,N(V234))</f>
        <v/>
      </c>
      <c r="AE234" s="43">
        <f>IF(AA234&lt;&gt;"",AA234,N(W234))</f>
        <v/>
      </c>
      <c r="AF234" s="43">
        <f>AD234+AE234</f>
        <v/>
      </c>
      <c r="AG234" s="42">
        <f>IF(UPPER(AC234)="Y",1,IF(AF234=0,0,IF(AND(Z234="",Y234&lt;&gt;""),IF(Y234&gt;=0.999,1,0),IF(AF234&gt;=U234,1,0))))</f>
        <v/>
      </c>
      <c r="AH234" s="44">
        <f>IF(AF234&gt;0,(AD234-AE234)/AF234,"")</f>
        <v/>
      </c>
      <c r="AI234" s="45">
        <f>IF(AG234=1,AH234-O234,"")</f>
        <v/>
      </c>
      <c r="AJ234" s="44">
        <f>IF(AG234=1,AH234,MAX(-1,MIN(1,O234+INDEX(Types!$H:$H,MATCH($A234&amp;"|"&amp;$D234,Types!$A:$A,0)))))</f>
        <v/>
      </c>
      <c r="AK234" s="43">
        <f>IF(AG234=1,AF234,MAX(AQ234*AS234,AF234))</f>
        <v/>
      </c>
      <c r="AL234" s="43">
        <f>IF(AG234=1,AD234,AK234*(1+AJ234)/2)</f>
        <v/>
      </c>
      <c r="AM234" s="43">
        <f>IF(AG234=1,AE234,AK234*(1-AJ234)/2)</f>
        <v/>
      </c>
      <c r="AN234" s="45">
        <f>IF(AH234="","",AH234-T234)</f>
        <v/>
      </c>
      <c r="AO234" s="51">
        <f>IF(AG234=1,1,IF(U234&gt;0,MIN(AF234/U234,0.99),0))</f>
        <v/>
      </c>
      <c r="AP234" s="43">
        <f>IF(AG234=1,AI234*AF234,0)</f>
        <v/>
      </c>
      <c r="AQ234" s="43">
        <f>N234*(F234+G234)/H234</f>
        <v/>
      </c>
      <c r="AR234" s="43">
        <f>O234*AQ234</f>
        <v/>
      </c>
      <c r="AS234" s="52">
        <f>IF(AG234=1,IF(AQ234&gt;0,AF234/AQ234,1),IFERROR(INDEX(Types!$K:$K,MATCH($A234&amp;"|"&amp;$D234,Types!$A:$A,0)),INDEX(Dashboard!$X$6:$X$22,MATCH($A234,Dashboard!$A$6:$A$22,0))))</f>
        <v/>
      </c>
      <c r="AT234" s="43">
        <f>AQ234*INDEX(Dashboard!$Y$6:$Y$22,MATCH($A234,Dashboard!$A$6:$A$22,0))</f>
        <v/>
      </c>
      <c r="AU234" s="53">
        <f>IF(AND(AG234=1,AT234&gt;0,AF234&gt;0),100*AF234/AT234,"")</f>
        <v/>
      </c>
      <c r="AV234" s="44">
        <f>IF(AU234="","",T234/(AU234/100))</f>
        <v/>
      </c>
      <c r="AW234" s="53">
        <f>IF(AU234="","",IF(AND(ABS(AH234)&gt;=0.1,ABS(T234)&gt;=0.05,SIGN(AH234)=SIGN(T234)),100*T234/AH234,""))</f>
        <v/>
      </c>
      <c r="AX234" s="45">
        <f>IF(AU234="","",T234-AV234)</f>
        <v/>
      </c>
      <c r="AY234" s="45">
        <f>IF(AU234="","",AH234-AV234)</f>
        <v/>
      </c>
      <c r="AZ234" s="54">
        <f>(AL234-AM234)-T234*AT234</f>
        <v/>
      </c>
      <c r="BA234" s="43">
        <f>IF(AU234="",0,(AH234-T234)*AF234)</f>
        <v/>
      </c>
      <c r="BB234" s="43">
        <f>IF(AU234="",0,T234*(AF234-AT234))</f>
        <v/>
      </c>
      <c r="BC234" s="51" t="n">
        <v>0.02557745008482318</v>
      </c>
      <c r="BD234" s="51" t="n">
        <v>0.03973639566749315</v>
      </c>
      <c r="BE234" s="51" t="n">
        <v>0.1849801642217917</v>
      </c>
      <c r="BF234" s="43" t="n">
        <v>15326</v>
      </c>
    </row>
    <row r="235">
      <c r="A235" s="42" t="inlineStr">
        <is>
          <t>IA</t>
        </is>
      </c>
      <c r="B235" s="42" t="inlineStr">
        <is>
          <t>19069</t>
        </is>
      </c>
      <c r="C235" s="42" t="inlineStr">
        <is>
          <t>Franklin</t>
        </is>
      </c>
      <c r="D235" s="42" t="inlineStr">
        <is>
          <t>Small town &amp; rural</t>
        </is>
      </c>
      <c r="E235" s="42" t="inlineStr"/>
      <c r="F235" s="43" t="n">
        <v>1393</v>
      </c>
      <c r="G235" s="43" t="n">
        <v>3431</v>
      </c>
      <c r="H235" s="43" t="n">
        <v>4885</v>
      </c>
      <c r="I235" s="43" t="n">
        <v>1626</v>
      </c>
      <c r="J235" s="43" t="n">
        <v>3422</v>
      </c>
      <c r="K235" s="42" t="inlineStr">
        <is>
          <t>US Senate</t>
        </is>
      </c>
      <c r="L235" s="43" t="n">
        <v>1025</v>
      </c>
      <c r="M235" s="43" t="n">
        <v>2558</v>
      </c>
      <c r="N235" s="43" t="n">
        <v>3588</v>
      </c>
      <c r="O235" s="44">
        <f>IFERROR((F235-G235)/(F235+G235),"")</f>
        <v/>
      </c>
      <c r="P235" s="44">
        <f>IFERROR((I235-J235)/(I235+J235),"")</f>
        <v/>
      </c>
      <c r="Q235" s="45">
        <f>IFERROR(O235-P235,"")</f>
        <v/>
      </c>
      <c r="R235" s="44">
        <f>IFERROR((L235-M235)/(L235+M235),"")</f>
        <v/>
      </c>
      <c r="S235" s="46">
        <f>H235/SUMIFS(Counties!$H$2:$H$1583,Counties!$A$2:$A$1583,$A235)</f>
        <v/>
      </c>
      <c r="T235" s="44">
        <f>O235+INDEX(Dashboard!$F$6:$F$22,MATCH($A235,Dashboard!$A$6:$A$22,0))</f>
        <v/>
      </c>
      <c r="U235" s="43">
        <f>AQ235*INDEX(Dashboard!$G$6:$G$22,MATCH($A235,Dashboard!$A$6:$A$22,0))</f>
        <v/>
      </c>
      <c r="V235" s="47" t="n"/>
      <c r="W235" s="47" t="n"/>
      <c r="X235" s="47" t="n"/>
      <c r="Y235" s="48" t="n"/>
      <c r="Z235" s="49" t="n"/>
      <c r="AA235" s="49" t="n"/>
      <c r="AB235" s="49" t="n"/>
      <c r="AC235" s="50" t="n"/>
      <c r="AD235" s="43">
        <f>IF(Z235&lt;&gt;"",Z235,N(V235))</f>
        <v/>
      </c>
      <c r="AE235" s="43">
        <f>IF(AA235&lt;&gt;"",AA235,N(W235))</f>
        <v/>
      </c>
      <c r="AF235" s="43">
        <f>AD235+AE235</f>
        <v/>
      </c>
      <c r="AG235" s="42">
        <f>IF(UPPER(AC235)="Y",1,IF(AF235=0,0,IF(AND(Z235="",Y235&lt;&gt;""),IF(Y235&gt;=0.999,1,0),IF(AF235&gt;=U235,1,0))))</f>
        <v/>
      </c>
      <c r="AH235" s="44">
        <f>IF(AF235&gt;0,(AD235-AE235)/AF235,"")</f>
        <v/>
      </c>
      <c r="AI235" s="45">
        <f>IF(AG235=1,AH235-O235,"")</f>
        <v/>
      </c>
      <c r="AJ235" s="44">
        <f>IF(AG235=1,AH235,MAX(-1,MIN(1,O235+INDEX(Types!$H:$H,MATCH($A235&amp;"|"&amp;$D235,Types!$A:$A,0)))))</f>
        <v/>
      </c>
      <c r="AK235" s="43">
        <f>IF(AG235=1,AF235,MAX(AQ235*AS235,AF235))</f>
        <v/>
      </c>
      <c r="AL235" s="43">
        <f>IF(AG235=1,AD235,AK235*(1+AJ235)/2)</f>
        <v/>
      </c>
      <c r="AM235" s="43">
        <f>IF(AG235=1,AE235,AK235*(1-AJ235)/2)</f>
        <v/>
      </c>
      <c r="AN235" s="45">
        <f>IF(AH235="","",AH235-T235)</f>
        <v/>
      </c>
      <c r="AO235" s="51">
        <f>IF(AG235=1,1,IF(U235&gt;0,MIN(AF235/U235,0.99),0))</f>
        <v/>
      </c>
      <c r="AP235" s="43">
        <f>IF(AG235=1,AI235*AF235,0)</f>
        <v/>
      </c>
      <c r="AQ235" s="43">
        <f>N235*(F235+G235)/H235</f>
        <v/>
      </c>
      <c r="AR235" s="43">
        <f>O235*AQ235</f>
        <v/>
      </c>
      <c r="AS235" s="52">
        <f>IF(AG235=1,IF(AQ235&gt;0,AF235/AQ235,1),IFERROR(INDEX(Types!$K:$K,MATCH($A235&amp;"|"&amp;$D235,Types!$A:$A,0)),INDEX(Dashboard!$X$6:$X$22,MATCH($A235,Dashboard!$A$6:$A$22,0))))</f>
        <v/>
      </c>
      <c r="AT235" s="43">
        <f>AQ235*INDEX(Dashboard!$Y$6:$Y$22,MATCH($A235,Dashboard!$A$6:$A$22,0))</f>
        <v/>
      </c>
      <c r="AU235" s="53">
        <f>IF(AND(AG235=1,AT235&gt;0,AF235&gt;0),100*AF235/AT235,"")</f>
        <v/>
      </c>
      <c r="AV235" s="44">
        <f>IF(AU235="","",T235/(AU235/100))</f>
        <v/>
      </c>
      <c r="AW235" s="53">
        <f>IF(AU235="","",IF(AND(ABS(AH235)&gt;=0.1,ABS(T235)&gt;=0.05,SIGN(AH235)=SIGN(T235)),100*T235/AH235,""))</f>
        <v/>
      </c>
      <c r="AX235" s="45">
        <f>IF(AU235="","",T235-AV235)</f>
        <v/>
      </c>
      <c r="AY235" s="45">
        <f>IF(AU235="","",AH235-AV235)</f>
        <v/>
      </c>
      <c r="AZ235" s="54">
        <f>(AL235-AM235)-T235*AT235</f>
        <v/>
      </c>
      <c r="BA235" s="43">
        <f>IF(AU235="",0,(AH235-T235)*AF235)</f>
        <v/>
      </c>
      <c r="BB235" s="43">
        <f>IF(AU235="",0,T235*(AF235-AT235))</f>
        <v/>
      </c>
      <c r="BC235" s="51" t="n">
        <v>0.00830379746835443</v>
      </c>
      <c r="BD235" s="51" t="n">
        <v>0.1629367088607595</v>
      </c>
      <c r="BE235" s="51" t="n">
        <v>0.1823253082795067</v>
      </c>
      <c r="BF235" s="43" t="n">
        <v>9875</v>
      </c>
    </row>
    <row r="236">
      <c r="A236" s="42" t="inlineStr">
        <is>
          <t>IA</t>
        </is>
      </c>
      <c r="B236" s="42" t="inlineStr">
        <is>
          <t>19071</t>
        </is>
      </c>
      <c r="C236" s="42" t="inlineStr">
        <is>
          <t>Fremont</t>
        </is>
      </c>
      <c r="D236" s="42" t="inlineStr">
        <is>
          <t>Small town &amp; rural</t>
        </is>
      </c>
      <c r="E236" s="42" t="inlineStr"/>
      <c r="F236" s="43" t="n">
        <v>1023</v>
      </c>
      <c r="G236" s="43" t="n">
        <v>2711</v>
      </c>
      <c r="H236" s="43" t="n">
        <v>3785</v>
      </c>
      <c r="I236" s="43" t="n">
        <v>1080</v>
      </c>
      <c r="J236" s="43" t="n">
        <v>2711</v>
      </c>
      <c r="K236" s="42" t="inlineStr">
        <is>
          <t>US Senate</t>
        </is>
      </c>
      <c r="L236" s="43" t="n">
        <v>735</v>
      </c>
      <c r="M236" s="43" t="n">
        <v>1861</v>
      </c>
      <c r="N236" s="43" t="n">
        <v>2600</v>
      </c>
      <c r="O236" s="44">
        <f>IFERROR((F236-G236)/(F236+G236),"")</f>
        <v/>
      </c>
      <c r="P236" s="44">
        <f>IFERROR((I236-J236)/(I236+J236),"")</f>
        <v/>
      </c>
      <c r="Q236" s="45">
        <f>IFERROR(O236-P236,"")</f>
        <v/>
      </c>
      <c r="R236" s="44">
        <f>IFERROR((L236-M236)/(L236+M236),"")</f>
        <v/>
      </c>
      <c r="S236" s="46">
        <f>H236/SUMIFS(Counties!$H$2:$H$1583,Counties!$A$2:$A$1583,$A236)</f>
        <v/>
      </c>
      <c r="T236" s="44">
        <f>O236+INDEX(Dashboard!$F$6:$F$22,MATCH($A236,Dashboard!$A$6:$A$22,0))</f>
        <v/>
      </c>
      <c r="U236" s="43">
        <f>AQ236*INDEX(Dashboard!$G$6:$G$22,MATCH($A236,Dashboard!$A$6:$A$22,0))</f>
        <v/>
      </c>
      <c r="V236" s="47" t="n"/>
      <c r="W236" s="47" t="n"/>
      <c r="X236" s="47" t="n"/>
      <c r="Y236" s="48" t="n"/>
      <c r="Z236" s="49" t="n"/>
      <c r="AA236" s="49" t="n"/>
      <c r="AB236" s="49" t="n"/>
      <c r="AC236" s="50" t="n"/>
      <c r="AD236" s="43">
        <f>IF(Z236&lt;&gt;"",Z236,N(V236))</f>
        <v/>
      </c>
      <c r="AE236" s="43">
        <f>IF(AA236&lt;&gt;"",AA236,N(W236))</f>
        <v/>
      </c>
      <c r="AF236" s="43">
        <f>AD236+AE236</f>
        <v/>
      </c>
      <c r="AG236" s="42">
        <f>IF(UPPER(AC236)="Y",1,IF(AF236=0,0,IF(AND(Z236="",Y236&lt;&gt;""),IF(Y236&gt;=0.999,1,0),IF(AF236&gt;=U236,1,0))))</f>
        <v/>
      </c>
      <c r="AH236" s="44">
        <f>IF(AF236&gt;0,(AD236-AE236)/AF236,"")</f>
        <v/>
      </c>
      <c r="AI236" s="45">
        <f>IF(AG236=1,AH236-O236,"")</f>
        <v/>
      </c>
      <c r="AJ236" s="44">
        <f>IF(AG236=1,AH236,MAX(-1,MIN(1,O236+INDEX(Types!$H:$H,MATCH($A236&amp;"|"&amp;$D236,Types!$A:$A,0)))))</f>
        <v/>
      </c>
      <c r="AK236" s="43">
        <f>IF(AG236=1,AF236,MAX(AQ236*AS236,AF236))</f>
        <v/>
      </c>
      <c r="AL236" s="43">
        <f>IF(AG236=1,AD236,AK236*(1+AJ236)/2)</f>
        <v/>
      </c>
      <c r="AM236" s="43">
        <f>IF(AG236=1,AE236,AK236*(1-AJ236)/2)</f>
        <v/>
      </c>
      <c r="AN236" s="45">
        <f>IF(AH236="","",AH236-T236)</f>
        <v/>
      </c>
      <c r="AO236" s="51">
        <f>IF(AG236=1,1,IF(U236&gt;0,MIN(AF236/U236,0.99),0))</f>
        <v/>
      </c>
      <c r="AP236" s="43">
        <f>IF(AG236=1,AI236*AF236,0)</f>
        <v/>
      </c>
      <c r="AQ236" s="43">
        <f>N236*(F236+G236)/H236</f>
        <v/>
      </c>
      <c r="AR236" s="43">
        <f>O236*AQ236</f>
        <v/>
      </c>
      <c r="AS236" s="52">
        <f>IF(AG236=1,IF(AQ236&gt;0,AF236/AQ236,1),IFERROR(INDEX(Types!$K:$K,MATCH($A236&amp;"|"&amp;$D236,Types!$A:$A,0)),INDEX(Dashboard!$X$6:$X$22,MATCH($A236,Dashboard!$A$6:$A$22,0))))</f>
        <v/>
      </c>
      <c r="AT236" s="43">
        <f>AQ236*INDEX(Dashboard!$Y$6:$Y$22,MATCH($A236,Dashboard!$A$6:$A$22,0))</f>
        <v/>
      </c>
      <c r="AU236" s="53">
        <f>IF(AND(AG236=1,AT236&gt;0,AF236&gt;0),100*AF236/AT236,"")</f>
        <v/>
      </c>
      <c r="AV236" s="44">
        <f>IF(AU236="","",T236/(AU236/100))</f>
        <v/>
      </c>
      <c r="AW236" s="53">
        <f>IF(AU236="","",IF(AND(ABS(AH236)&gt;=0.1,ABS(T236)&gt;=0.05,SIGN(AH236)=SIGN(T236)),100*T236/AH236,""))</f>
        <v/>
      </c>
      <c r="AX236" s="45">
        <f>IF(AU236="","",T236-AV236)</f>
        <v/>
      </c>
      <c r="AY236" s="45">
        <f>IF(AU236="","",AH236-AV236)</f>
        <v/>
      </c>
      <c r="AZ236" s="54">
        <f>(AL236-AM236)-T236*AT236</f>
        <v/>
      </c>
      <c r="BA236" s="43">
        <f>IF(AU236="",0,(AH236-T236)*AF236)</f>
        <v/>
      </c>
      <c r="BB236" s="43">
        <f>IF(AU236="",0,T236*(AF236-AT236))</f>
        <v/>
      </c>
      <c r="BC236" s="51" t="n">
        <v>0.00898110870238464</v>
      </c>
      <c r="BD236" s="51" t="n">
        <v>0.03515020130071229</v>
      </c>
      <c r="BE236" s="51" t="n">
        <v>0.2114771519659936</v>
      </c>
      <c r="BF236" s="43" t="n">
        <v>6458</v>
      </c>
    </row>
    <row r="237">
      <c r="A237" s="42" t="inlineStr">
        <is>
          <t>IA</t>
        </is>
      </c>
      <c r="B237" s="42" t="inlineStr">
        <is>
          <t>19073</t>
        </is>
      </c>
      <c r="C237" s="42" t="inlineStr">
        <is>
          <t>Greene</t>
        </is>
      </c>
      <c r="D237" s="42" t="inlineStr">
        <is>
          <t>Small town &amp; rural</t>
        </is>
      </c>
      <c r="E237" s="42" t="inlineStr"/>
      <c r="F237" s="43" t="n">
        <v>1603</v>
      </c>
      <c r="G237" s="43" t="n">
        <v>3211</v>
      </c>
      <c r="H237" s="43" t="n">
        <v>4874</v>
      </c>
      <c r="I237" s="43" t="n">
        <v>1769</v>
      </c>
      <c r="J237" s="43" t="n">
        <v>3223</v>
      </c>
      <c r="K237" s="42" t="inlineStr">
        <is>
          <t>US Senate</t>
        </is>
      </c>
      <c r="L237" s="43" t="n">
        <v>1218</v>
      </c>
      <c r="M237" s="43" t="n">
        <v>2340</v>
      </c>
      <c r="N237" s="43" t="n">
        <v>3569</v>
      </c>
      <c r="O237" s="44">
        <f>IFERROR((F237-G237)/(F237+G237),"")</f>
        <v/>
      </c>
      <c r="P237" s="44">
        <f>IFERROR((I237-J237)/(I237+J237),"")</f>
        <v/>
      </c>
      <c r="Q237" s="45">
        <f>IFERROR(O237-P237,"")</f>
        <v/>
      </c>
      <c r="R237" s="44">
        <f>IFERROR((L237-M237)/(L237+M237),"")</f>
        <v/>
      </c>
      <c r="S237" s="46">
        <f>H237/SUMIFS(Counties!$H$2:$H$1583,Counties!$A$2:$A$1583,$A237)</f>
        <v/>
      </c>
      <c r="T237" s="44">
        <f>O237+INDEX(Dashboard!$F$6:$F$22,MATCH($A237,Dashboard!$A$6:$A$22,0))</f>
        <v/>
      </c>
      <c r="U237" s="43">
        <f>AQ237*INDEX(Dashboard!$G$6:$G$22,MATCH($A237,Dashboard!$A$6:$A$22,0))</f>
        <v/>
      </c>
      <c r="V237" s="47" t="n"/>
      <c r="W237" s="47" t="n"/>
      <c r="X237" s="47" t="n"/>
      <c r="Y237" s="48" t="n"/>
      <c r="Z237" s="49" t="n"/>
      <c r="AA237" s="49" t="n"/>
      <c r="AB237" s="49" t="n"/>
      <c r="AC237" s="50" t="n"/>
      <c r="AD237" s="43">
        <f>IF(Z237&lt;&gt;"",Z237,N(V237))</f>
        <v/>
      </c>
      <c r="AE237" s="43">
        <f>IF(AA237&lt;&gt;"",AA237,N(W237))</f>
        <v/>
      </c>
      <c r="AF237" s="43">
        <f>AD237+AE237</f>
        <v/>
      </c>
      <c r="AG237" s="42">
        <f>IF(UPPER(AC237)="Y",1,IF(AF237=0,0,IF(AND(Z237="",Y237&lt;&gt;""),IF(Y237&gt;=0.999,1,0),IF(AF237&gt;=U237,1,0))))</f>
        <v/>
      </c>
      <c r="AH237" s="44">
        <f>IF(AF237&gt;0,(AD237-AE237)/AF237,"")</f>
        <v/>
      </c>
      <c r="AI237" s="45">
        <f>IF(AG237=1,AH237-O237,"")</f>
        <v/>
      </c>
      <c r="AJ237" s="44">
        <f>IF(AG237=1,AH237,MAX(-1,MIN(1,O237+INDEX(Types!$H:$H,MATCH($A237&amp;"|"&amp;$D237,Types!$A:$A,0)))))</f>
        <v/>
      </c>
      <c r="AK237" s="43">
        <f>IF(AG237=1,AF237,MAX(AQ237*AS237,AF237))</f>
        <v/>
      </c>
      <c r="AL237" s="43">
        <f>IF(AG237=1,AD237,AK237*(1+AJ237)/2)</f>
        <v/>
      </c>
      <c r="AM237" s="43">
        <f>IF(AG237=1,AE237,AK237*(1-AJ237)/2)</f>
        <v/>
      </c>
      <c r="AN237" s="45">
        <f>IF(AH237="","",AH237-T237)</f>
        <v/>
      </c>
      <c r="AO237" s="51">
        <f>IF(AG237=1,1,IF(U237&gt;0,MIN(AF237/U237,0.99),0))</f>
        <v/>
      </c>
      <c r="AP237" s="43">
        <f>IF(AG237=1,AI237*AF237,0)</f>
        <v/>
      </c>
      <c r="AQ237" s="43">
        <f>N237*(F237+G237)/H237</f>
        <v/>
      </c>
      <c r="AR237" s="43">
        <f>O237*AQ237</f>
        <v/>
      </c>
      <c r="AS237" s="52">
        <f>IF(AG237=1,IF(AQ237&gt;0,AF237/AQ237,1),IFERROR(INDEX(Types!$K:$K,MATCH($A237&amp;"|"&amp;$D237,Types!$A:$A,0)),INDEX(Dashboard!$X$6:$X$22,MATCH($A237,Dashboard!$A$6:$A$22,0))))</f>
        <v/>
      </c>
      <c r="AT237" s="43">
        <f>AQ237*INDEX(Dashboard!$Y$6:$Y$22,MATCH($A237,Dashboard!$A$6:$A$22,0))</f>
        <v/>
      </c>
      <c r="AU237" s="53">
        <f>IF(AND(AG237=1,AT237&gt;0,AF237&gt;0),100*AF237/AT237,"")</f>
        <v/>
      </c>
      <c r="AV237" s="44">
        <f>IF(AU237="","",T237/(AU237/100))</f>
        <v/>
      </c>
      <c r="AW237" s="53">
        <f>IF(AU237="","",IF(AND(ABS(AH237)&gt;=0.1,ABS(T237)&gt;=0.05,SIGN(AH237)=SIGN(T237)),100*T237/AH237,""))</f>
        <v/>
      </c>
      <c r="AX237" s="45">
        <f>IF(AU237="","",T237-AV237)</f>
        <v/>
      </c>
      <c r="AY237" s="45">
        <f>IF(AU237="","",AH237-AV237)</f>
        <v/>
      </c>
      <c r="AZ237" s="54">
        <f>(AL237-AM237)-T237*AT237</f>
        <v/>
      </c>
      <c r="BA237" s="43">
        <f>IF(AU237="",0,(AH237-T237)*AF237)</f>
        <v/>
      </c>
      <c r="BB237" s="43">
        <f>IF(AU237="",0,T237*(AF237-AT237))</f>
        <v/>
      </c>
      <c r="BC237" s="51" t="n">
        <v>0.006873252562907735</v>
      </c>
      <c r="BD237" s="51" t="n">
        <v>0.03494874184529357</v>
      </c>
      <c r="BE237" s="51" t="n">
        <v>0.19801026957638</v>
      </c>
      <c r="BF237" s="43" t="n">
        <v>8584</v>
      </c>
    </row>
    <row r="238">
      <c r="A238" s="42" t="inlineStr">
        <is>
          <t>IA</t>
        </is>
      </c>
      <c r="B238" s="42" t="inlineStr">
        <is>
          <t>19075</t>
        </is>
      </c>
      <c r="C238" s="42" t="inlineStr">
        <is>
          <t>Grundy</t>
        </is>
      </c>
      <c r="D238" s="42" t="inlineStr">
        <is>
          <t>Small town &amp; rural</t>
        </is>
      </c>
      <c r="E238" s="42" t="inlineStr"/>
      <c r="F238" s="43" t="n">
        <v>2019</v>
      </c>
      <c r="G238" s="43" t="n">
        <v>4998</v>
      </c>
      <c r="H238" s="43" t="n">
        <v>7131</v>
      </c>
      <c r="I238" s="43" t="n">
        <v>2206</v>
      </c>
      <c r="J238" s="43" t="n">
        <v>4929</v>
      </c>
      <c r="K238" s="42" t="inlineStr">
        <is>
          <t>US Senate</t>
        </is>
      </c>
      <c r="L238" s="43" t="n">
        <v>1462</v>
      </c>
      <c r="M238" s="43" t="n">
        <v>3909</v>
      </c>
      <c r="N238" s="43" t="n">
        <v>5378</v>
      </c>
      <c r="O238" s="44">
        <f>IFERROR((F238-G238)/(F238+G238),"")</f>
        <v/>
      </c>
      <c r="P238" s="44">
        <f>IFERROR((I238-J238)/(I238+J238),"")</f>
        <v/>
      </c>
      <c r="Q238" s="45">
        <f>IFERROR(O238-P238,"")</f>
        <v/>
      </c>
      <c r="R238" s="44">
        <f>IFERROR((L238-M238)/(L238+M238),"")</f>
        <v/>
      </c>
      <c r="S238" s="46">
        <f>H238/SUMIFS(Counties!$H$2:$H$1583,Counties!$A$2:$A$1583,$A238)</f>
        <v/>
      </c>
      <c r="T238" s="44">
        <f>O238+INDEX(Dashboard!$F$6:$F$22,MATCH($A238,Dashboard!$A$6:$A$22,0))</f>
        <v/>
      </c>
      <c r="U238" s="43">
        <f>AQ238*INDEX(Dashboard!$G$6:$G$22,MATCH($A238,Dashboard!$A$6:$A$22,0))</f>
        <v/>
      </c>
      <c r="V238" s="47" t="n"/>
      <c r="W238" s="47" t="n"/>
      <c r="X238" s="47" t="n"/>
      <c r="Y238" s="48" t="n"/>
      <c r="Z238" s="49" t="n"/>
      <c r="AA238" s="49" t="n"/>
      <c r="AB238" s="49" t="n"/>
      <c r="AC238" s="50" t="n"/>
      <c r="AD238" s="43">
        <f>IF(Z238&lt;&gt;"",Z238,N(V238))</f>
        <v/>
      </c>
      <c r="AE238" s="43">
        <f>IF(AA238&lt;&gt;"",AA238,N(W238))</f>
        <v/>
      </c>
      <c r="AF238" s="43">
        <f>AD238+AE238</f>
        <v/>
      </c>
      <c r="AG238" s="42">
        <f>IF(UPPER(AC238)="Y",1,IF(AF238=0,0,IF(AND(Z238="",Y238&lt;&gt;""),IF(Y238&gt;=0.999,1,0),IF(AF238&gt;=U238,1,0))))</f>
        <v/>
      </c>
      <c r="AH238" s="44">
        <f>IF(AF238&gt;0,(AD238-AE238)/AF238,"")</f>
        <v/>
      </c>
      <c r="AI238" s="45">
        <f>IF(AG238=1,AH238-O238,"")</f>
        <v/>
      </c>
      <c r="AJ238" s="44">
        <f>IF(AG238=1,AH238,MAX(-1,MIN(1,O238+INDEX(Types!$H:$H,MATCH($A238&amp;"|"&amp;$D238,Types!$A:$A,0)))))</f>
        <v/>
      </c>
      <c r="AK238" s="43">
        <f>IF(AG238=1,AF238,MAX(AQ238*AS238,AF238))</f>
        <v/>
      </c>
      <c r="AL238" s="43">
        <f>IF(AG238=1,AD238,AK238*(1+AJ238)/2)</f>
        <v/>
      </c>
      <c r="AM238" s="43">
        <f>IF(AG238=1,AE238,AK238*(1-AJ238)/2)</f>
        <v/>
      </c>
      <c r="AN238" s="45">
        <f>IF(AH238="","",AH238-T238)</f>
        <v/>
      </c>
      <c r="AO238" s="51">
        <f>IF(AG238=1,1,IF(U238&gt;0,MIN(AF238/U238,0.99),0))</f>
        <v/>
      </c>
      <c r="AP238" s="43">
        <f>IF(AG238=1,AI238*AF238,0)</f>
        <v/>
      </c>
      <c r="AQ238" s="43">
        <f>N238*(F238+G238)/H238</f>
        <v/>
      </c>
      <c r="AR238" s="43">
        <f>O238*AQ238</f>
        <v/>
      </c>
      <c r="AS238" s="52">
        <f>IF(AG238=1,IF(AQ238&gt;0,AF238/AQ238,1),IFERROR(INDEX(Types!$K:$K,MATCH($A238&amp;"|"&amp;$D238,Types!$A:$A,0)),INDEX(Dashboard!$X$6:$X$22,MATCH($A238,Dashboard!$A$6:$A$22,0))))</f>
        <v/>
      </c>
      <c r="AT238" s="43">
        <f>AQ238*INDEX(Dashboard!$Y$6:$Y$22,MATCH($A238,Dashboard!$A$6:$A$22,0))</f>
        <v/>
      </c>
      <c r="AU238" s="53">
        <f>IF(AND(AG238=1,AT238&gt;0,AF238&gt;0),100*AF238/AT238,"")</f>
        <v/>
      </c>
      <c r="AV238" s="44">
        <f>IF(AU238="","",T238/(AU238/100))</f>
        <v/>
      </c>
      <c r="AW238" s="53">
        <f>IF(AU238="","",IF(AND(ABS(AH238)&gt;=0.1,ABS(T238)&gt;=0.05,SIGN(AH238)=SIGN(T238)),100*T238/AH238,""))</f>
        <v/>
      </c>
      <c r="AX238" s="45">
        <f>IF(AU238="","",T238-AV238)</f>
        <v/>
      </c>
      <c r="AY238" s="45">
        <f>IF(AU238="","",AH238-AV238)</f>
        <v/>
      </c>
      <c r="AZ238" s="54">
        <f>(AL238-AM238)-T238*AT238</f>
        <v/>
      </c>
      <c r="BA238" s="43">
        <f>IF(AU238="",0,(AH238-T238)*AF238)</f>
        <v/>
      </c>
      <c r="BB238" s="43">
        <f>IF(AU238="",0,T238*(AF238-AT238))</f>
        <v/>
      </c>
      <c r="BC238" s="51" t="n">
        <v>0.006217700258397933</v>
      </c>
      <c r="BD238" s="51" t="n">
        <v>0.01986434108527132</v>
      </c>
      <c r="BE238" s="51" t="n">
        <v>0.2469437652811736</v>
      </c>
      <c r="BF238" s="43" t="n">
        <v>12384</v>
      </c>
    </row>
    <row r="239">
      <c r="A239" s="42" t="inlineStr">
        <is>
          <t>IA</t>
        </is>
      </c>
      <c r="B239" s="42" t="inlineStr">
        <is>
          <t>19077</t>
        </is>
      </c>
      <c r="C239" s="42" t="inlineStr">
        <is>
          <t>Guthrie</t>
        </is>
      </c>
      <c r="D239" s="42" t="inlineStr">
        <is>
          <t>Small town &amp; rural</t>
        </is>
      </c>
      <c r="E239" s="42" t="inlineStr"/>
      <c r="F239" s="43" t="n">
        <v>1974</v>
      </c>
      <c r="G239" s="43" t="n">
        <v>4446</v>
      </c>
      <c r="H239" s="43" t="n">
        <v>6514</v>
      </c>
      <c r="I239" s="43" t="n">
        <v>1985</v>
      </c>
      <c r="J239" s="43" t="n">
        <v>4272</v>
      </c>
      <c r="K239" s="42" t="inlineStr">
        <is>
          <t>US Senate</t>
        </is>
      </c>
      <c r="L239" s="43" t="n">
        <v>1549</v>
      </c>
      <c r="M239" s="43" t="n">
        <v>3448</v>
      </c>
      <c r="N239" s="43" t="n">
        <v>5013</v>
      </c>
      <c r="O239" s="44">
        <f>IFERROR((F239-G239)/(F239+G239),"")</f>
        <v/>
      </c>
      <c r="P239" s="44">
        <f>IFERROR((I239-J239)/(I239+J239),"")</f>
        <v/>
      </c>
      <c r="Q239" s="45">
        <f>IFERROR(O239-P239,"")</f>
        <v/>
      </c>
      <c r="R239" s="44">
        <f>IFERROR((L239-M239)/(L239+M239),"")</f>
        <v/>
      </c>
      <c r="S239" s="46">
        <f>H239/SUMIFS(Counties!$H$2:$H$1583,Counties!$A$2:$A$1583,$A239)</f>
        <v/>
      </c>
      <c r="T239" s="44">
        <f>O239+INDEX(Dashboard!$F$6:$F$22,MATCH($A239,Dashboard!$A$6:$A$22,0))</f>
        <v/>
      </c>
      <c r="U239" s="43">
        <f>AQ239*INDEX(Dashboard!$G$6:$G$22,MATCH($A239,Dashboard!$A$6:$A$22,0))</f>
        <v/>
      </c>
      <c r="V239" s="47" t="n"/>
      <c r="W239" s="47" t="n"/>
      <c r="X239" s="47" t="n"/>
      <c r="Y239" s="48" t="n"/>
      <c r="Z239" s="49" t="n"/>
      <c r="AA239" s="49" t="n"/>
      <c r="AB239" s="49" t="n"/>
      <c r="AC239" s="50" t="n"/>
      <c r="AD239" s="43">
        <f>IF(Z239&lt;&gt;"",Z239,N(V239))</f>
        <v/>
      </c>
      <c r="AE239" s="43">
        <f>IF(AA239&lt;&gt;"",AA239,N(W239))</f>
        <v/>
      </c>
      <c r="AF239" s="43">
        <f>AD239+AE239</f>
        <v/>
      </c>
      <c r="AG239" s="42">
        <f>IF(UPPER(AC239)="Y",1,IF(AF239=0,0,IF(AND(Z239="",Y239&lt;&gt;""),IF(Y239&gt;=0.999,1,0),IF(AF239&gt;=U239,1,0))))</f>
        <v/>
      </c>
      <c r="AH239" s="44">
        <f>IF(AF239&gt;0,(AD239-AE239)/AF239,"")</f>
        <v/>
      </c>
      <c r="AI239" s="45">
        <f>IF(AG239=1,AH239-O239,"")</f>
        <v/>
      </c>
      <c r="AJ239" s="44">
        <f>IF(AG239=1,AH239,MAX(-1,MIN(1,O239+INDEX(Types!$H:$H,MATCH($A239&amp;"|"&amp;$D239,Types!$A:$A,0)))))</f>
        <v/>
      </c>
      <c r="AK239" s="43">
        <f>IF(AG239=1,AF239,MAX(AQ239*AS239,AF239))</f>
        <v/>
      </c>
      <c r="AL239" s="43">
        <f>IF(AG239=1,AD239,AK239*(1+AJ239)/2)</f>
        <v/>
      </c>
      <c r="AM239" s="43">
        <f>IF(AG239=1,AE239,AK239*(1-AJ239)/2)</f>
        <v/>
      </c>
      <c r="AN239" s="45">
        <f>IF(AH239="","",AH239-T239)</f>
        <v/>
      </c>
      <c r="AO239" s="51">
        <f>IF(AG239=1,1,IF(U239&gt;0,MIN(AF239/U239,0.99),0))</f>
        <v/>
      </c>
      <c r="AP239" s="43">
        <f>IF(AG239=1,AI239*AF239,0)</f>
        <v/>
      </c>
      <c r="AQ239" s="43">
        <f>N239*(F239+G239)/H239</f>
        <v/>
      </c>
      <c r="AR239" s="43">
        <f>O239*AQ239</f>
        <v/>
      </c>
      <c r="AS239" s="52">
        <f>IF(AG239=1,IF(AQ239&gt;0,AF239/AQ239,1),IFERROR(INDEX(Types!$K:$K,MATCH($A239&amp;"|"&amp;$D239,Types!$A:$A,0)),INDEX(Dashboard!$X$6:$X$22,MATCH($A239,Dashboard!$A$6:$A$22,0))))</f>
        <v/>
      </c>
      <c r="AT239" s="43">
        <f>AQ239*INDEX(Dashboard!$Y$6:$Y$22,MATCH($A239,Dashboard!$A$6:$A$22,0))</f>
        <v/>
      </c>
      <c r="AU239" s="53">
        <f>IF(AND(AG239=1,AT239&gt;0,AF239&gt;0),100*AF239/AT239,"")</f>
        <v/>
      </c>
      <c r="AV239" s="44">
        <f>IF(AU239="","",T239/(AU239/100))</f>
        <v/>
      </c>
      <c r="AW239" s="53">
        <f>IF(AU239="","",IF(AND(ABS(AH239)&gt;=0.1,ABS(T239)&gt;=0.05,SIGN(AH239)=SIGN(T239)),100*T239/AH239,""))</f>
        <v/>
      </c>
      <c r="AX239" s="45">
        <f>IF(AU239="","",T239-AV239)</f>
        <v/>
      </c>
      <c r="AY239" s="45">
        <f>IF(AU239="","",AH239-AV239)</f>
        <v/>
      </c>
      <c r="AZ239" s="54">
        <f>(AL239-AM239)-T239*AT239</f>
        <v/>
      </c>
      <c r="BA239" s="43">
        <f>IF(AU239="",0,(AH239-T239)*AF239)</f>
        <v/>
      </c>
      <c r="BB239" s="43">
        <f>IF(AU239="",0,T239*(AF239-AT239))</f>
        <v/>
      </c>
      <c r="BC239" s="51" t="n">
        <v>0.008673754896474537</v>
      </c>
      <c r="BD239" s="51" t="n">
        <v>0.03161723559037493</v>
      </c>
      <c r="BE239" s="51" t="n">
        <v>0.2426767348001562</v>
      </c>
      <c r="BF239" s="43" t="n">
        <v>10722</v>
      </c>
    </row>
    <row r="240">
      <c r="A240" s="42" t="inlineStr">
        <is>
          <t>IA</t>
        </is>
      </c>
      <c r="B240" s="42" t="inlineStr">
        <is>
          <t>19079</t>
        </is>
      </c>
      <c r="C240" s="42" t="inlineStr">
        <is>
          <t>Hamilton</t>
        </is>
      </c>
      <c r="D240" s="42" t="inlineStr">
        <is>
          <t>Small town &amp; rural</t>
        </is>
      </c>
      <c r="E240" s="42" t="inlineStr"/>
      <c r="F240" s="43" t="n">
        <v>2482</v>
      </c>
      <c r="G240" s="43" t="n">
        <v>5004</v>
      </c>
      <c r="H240" s="43" t="n">
        <v>7573</v>
      </c>
      <c r="I240" s="43" t="n">
        <v>2843</v>
      </c>
      <c r="J240" s="43" t="n">
        <v>4956</v>
      </c>
      <c r="K240" s="42" t="inlineStr">
        <is>
          <t>US Senate</t>
        </is>
      </c>
      <c r="L240" s="43" t="n">
        <v>1945</v>
      </c>
      <c r="M240" s="43" t="n">
        <v>3757</v>
      </c>
      <c r="N240" s="43" t="n">
        <v>5707</v>
      </c>
      <c r="O240" s="44">
        <f>IFERROR((F240-G240)/(F240+G240),"")</f>
        <v/>
      </c>
      <c r="P240" s="44">
        <f>IFERROR((I240-J240)/(I240+J240),"")</f>
        <v/>
      </c>
      <c r="Q240" s="45">
        <f>IFERROR(O240-P240,"")</f>
        <v/>
      </c>
      <c r="R240" s="44">
        <f>IFERROR((L240-M240)/(L240+M240),"")</f>
        <v/>
      </c>
      <c r="S240" s="46">
        <f>H240/SUMIFS(Counties!$H$2:$H$1583,Counties!$A$2:$A$1583,$A240)</f>
        <v/>
      </c>
      <c r="T240" s="44">
        <f>O240+INDEX(Dashboard!$F$6:$F$22,MATCH($A240,Dashboard!$A$6:$A$22,0))</f>
        <v/>
      </c>
      <c r="U240" s="43">
        <f>AQ240*INDEX(Dashboard!$G$6:$G$22,MATCH($A240,Dashboard!$A$6:$A$22,0))</f>
        <v/>
      </c>
      <c r="V240" s="47" t="n"/>
      <c r="W240" s="47" t="n"/>
      <c r="X240" s="47" t="n"/>
      <c r="Y240" s="48" t="n"/>
      <c r="Z240" s="49" t="n"/>
      <c r="AA240" s="49" t="n"/>
      <c r="AB240" s="49" t="n"/>
      <c r="AC240" s="50" t="n"/>
      <c r="AD240" s="43">
        <f>IF(Z240&lt;&gt;"",Z240,N(V240))</f>
        <v/>
      </c>
      <c r="AE240" s="43">
        <f>IF(AA240&lt;&gt;"",AA240,N(W240))</f>
        <v/>
      </c>
      <c r="AF240" s="43">
        <f>AD240+AE240</f>
        <v/>
      </c>
      <c r="AG240" s="42">
        <f>IF(UPPER(AC240)="Y",1,IF(AF240=0,0,IF(AND(Z240="",Y240&lt;&gt;""),IF(Y240&gt;=0.999,1,0),IF(AF240&gt;=U240,1,0))))</f>
        <v/>
      </c>
      <c r="AH240" s="44">
        <f>IF(AF240&gt;0,(AD240-AE240)/AF240,"")</f>
        <v/>
      </c>
      <c r="AI240" s="45">
        <f>IF(AG240=1,AH240-O240,"")</f>
        <v/>
      </c>
      <c r="AJ240" s="44">
        <f>IF(AG240=1,AH240,MAX(-1,MIN(1,O240+INDEX(Types!$H:$H,MATCH($A240&amp;"|"&amp;$D240,Types!$A:$A,0)))))</f>
        <v/>
      </c>
      <c r="AK240" s="43">
        <f>IF(AG240=1,AF240,MAX(AQ240*AS240,AF240))</f>
        <v/>
      </c>
      <c r="AL240" s="43">
        <f>IF(AG240=1,AD240,AK240*(1+AJ240)/2)</f>
        <v/>
      </c>
      <c r="AM240" s="43">
        <f>IF(AG240=1,AE240,AK240*(1-AJ240)/2)</f>
        <v/>
      </c>
      <c r="AN240" s="45">
        <f>IF(AH240="","",AH240-T240)</f>
        <v/>
      </c>
      <c r="AO240" s="51">
        <f>IF(AG240=1,1,IF(U240&gt;0,MIN(AF240/U240,0.99),0))</f>
        <v/>
      </c>
      <c r="AP240" s="43">
        <f>IF(AG240=1,AI240*AF240,0)</f>
        <v/>
      </c>
      <c r="AQ240" s="43">
        <f>N240*(F240+G240)/H240</f>
        <v/>
      </c>
      <c r="AR240" s="43">
        <f>O240*AQ240</f>
        <v/>
      </c>
      <c r="AS240" s="52">
        <f>IF(AG240=1,IF(AQ240&gt;0,AF240/AQ240,1),IFERROR(INDEX(Types!$K:$K,MATCH($A240&amp;"|"&amp;$D240,Types!$A:$A,0)),INDEX(Dashboard!$X$6:$X$22,MATCH($A240,Dashboard!$A$6:$A$22,0))))</f>
        <v/>
      </c>
      <c r="AT240" s="43">
        <f>AQ240*INDEX(Dashboard!$Y$6:$Y$22,MATCH($A240,Dashboard!$A$6:$A$22,0))</f>
        <v/>
      </c>
      <c r="AU240" s="53">
        <f>IF(AND(AG240=1,AT240&gt;0,AF240&gt;0),100*AF240/AT240,"")</f>
        <v/>
      </c>
      <c r="AV240" s="44">
        <f>IF(AU240="","",T240/(AU240/100))</f>
        <v/>
      </c>
      <c r="AW240" s="53">
        <f>IF(AU240="","",IF(AND(ABS(AH240)&gt;=0.1,ABS(T240)&gt;=0.05,SIGN(AH240)=SIGN(T240)),100*T240/AH240,""))</f>
        <v/>
      </c>
      <c r="AX240" s="45">
        <f>IF(AU240="","",T240-AV240)</f>
        <v/>
      </c>
      <c r="AY240" s="45">
        <f>IF(AU240="","",AH240-AV240)</f>
        <v/>
      </c>
      <c r="AZ240" s="54">
        <f>(AL240-AM240)-T240*AT240</f>
        <v/>
      </c>
      <c r="BA240" s="43">
        <f>IF(AU240="",0,(AH240-T240)*AF240)</f>
        <v/>
      </c>
      <c r="BB240" s="43">
        <f>IF(AU240="",0,T240*(AF240-AT240))</f>
        <v/>
      </c>
      <c r="BC240" s="51" t="n">
        <v>0.0102518840382918</v>
      </c>
      <c r="BD240" s="51" t="n">
        <v>0.09912417679407971</v>
      </c>
      <c r="BE240" s="51" t="n">
        <v>0.2196940726577438</v>
      </c>
      <c r="BF240" s="43" t="n">
        <v>14729</v>
      </c>
    </row>
    <row r="241">
      <c r="A241" s="42" t="inlineStr">
        <is>
          <t>IA</t>
        </is>
      </c>
      <c r="B241" s="42" t="inlineStr">
        <is>
          <t>19081</t>
        </is>
      </c>
      <c r="C241" s="42" t="inlineStr">
        <is>
          <t>Hancock</t>
        </is>
      </c>
      <c r="D241" s="42" t="inlineStr">
        <is>
          <t>Small town &amp; rural</t>
        </is>
      </c>
      <c r="E241" s="42" t="inlineStr"/>
      <c r="F241" s="43" t="n">
        <v>1523</v>
      </c>
      <c r="G241" s="43" t="n">
        <v>4336</v>
      </c>
      <c r="H241" s="43" t="n">
        <v>5933</v>
      </c>
      <c r="I241" s="43" t="n">
        <v>1683</v>
      </c>
      <c r="J241" s="43" t="n">
        <v>4390</v>
      </c>
      <c r="K241" s="42" t="inlineStr">
        <is>
          <t>US Senate</t>
        </is>
      </c>
      <c r="L241" s="43" t="n">
        <v>1194</v>
      </c>
      <c r="M241" s="43" t="n">
        <v>3148</v>
      </c>
      <c r="N241" s="43" t="n">
        <v>4350</v>
      </c>
      <c r="O241" s="44">
        <f>IFERROR((F241-G241)/(F241+G241),"")</f>
        <v/>
      </c>
      <c r="P241" s="44">
        <f>IFERROR((I241-J241)/(I241+J241),"")</f>
        <v/>
      </c>
      <c r="Q241" s="45">
        <f>IFERROR(O241-P241,"")</f>
        <v/>
      </c>
      <c r="R241" s="44">
        <f>IFERROR((L241-M241)/(L241+M241),"")</f>
        <v/>
      </c>
      <c r="S241" s="46">
        <f>H241/SUMIFS(Counties!$H$2:$H$1583,Counties!$A$2:$A$1583,$A241)</f>
        <v/>
      </c>
      <c r="T241" s="44">
        <f>O241+INDEX(Dashboard!$F$6:$F$22,MATCH($A241,Dashboard!$A$6:$A$22,0))</f>
        <v/>
      </c>
      <c r="U241" s="43">
        <f>AQ241*INDEX(Dashboard!$G$6:$G$22,MATCH($A241,Dashboard!$A$6:$A$22,0))</f>
        <v/>
      </c>
      <c r="V241" s="47" t="n"/>
      <c r="W241" s="47" t="n"/>
      <c r="X241" s="47" t="n"/>
      <c r="Y241" s="48" t="n"/>
      <c r="Z241" s="49" t="n"/>
      <c r="AA241" s="49" t="n"/>
      <c r="AB241" s="49" t="n"/>
      <c r="AC241" s="50" t="n"/>
      <c r="AD241" s="43">
        <f>IF(Z241&lt;&gt;"",Z241,N(V241))</f>
        <v/>
      </c>
      <c r="AE241" s="43">
        <f>IF(AA241&lt;&gt;"",AA241,N(W241))</f>
        <v/>
      </c>
      <c r="AF241" s="43">
        <f>AD241+AE241</f>
        <v/>
      </c>
      <c r="AG241" s="42">
        <f>IF(UPPER(AC241)="Y",1,IF(AF241=0,0,IF(AND(Z241="",Y241&lt;&gt;""),IF(Y241&gt;=0.999,1,0),IF(AF241&gt;=U241,1,0))))</f>
        <v/>
      </c>
      <c r="AH241" s="44">
        <f>IF(AF241&gt;0,(AD241-AE241)/AF241,"")</f>
        <v/>
      </c>
      <c r="AI241" s="45">
        <f>IF(AG241=1,AH241-O241,"")</f>
        <v/>
      </c>
      <c r="AJ241" s="44">
        <f>IF(AG241=1,AH241,MAX(-1,MIN(1,O241+INDEX(Types!$H:$H,MATCH($A241&amp;"|"&amp;$D241,Types!$A:$A,0)))))</f>
        <v/>
      </c>
      <c r="AK241" s="43">
        <f>IF(AG241=1,AF241,MAX(AQ241*AS241,AF241))</f>
        <v/>
      </c>
      <c r="AL241" s="43">
        <f>IF(AG241=1,AD241,AK241*(1+AJ241)/2)</f>
        <v/>
      </c>
      <c r="AM241" s="43">
        <f>IF(AG241=1,AE241,AK241*(1-AJ241)/2)</f>
        <v/>
      </c>
      <c r="AN241" s="45">
        <f>IF(AH241="","",AH241-T241)</f>
        <v/>
      </c>
      <c r="AO241" s="51">
        <f>IF(AG241=1,1,IF(U241&gt;0,MIN(AF241/U241,0.99),0))</f>
        <v/>
      </c>
      <c r="AP241" s="43">
        <f>IF(AG241=1,AI241*AF241,0)</f>
        <v/>
      </c>
      <c r="AQ241" s="43">
        <f>N241*(F241+G241)/H241</f>
        <v/>
      </c>
      <c r="AR241" s="43">
        <f>O241*AQ241</f>
        <v/>
      </c>
      <c r="AS241" s="52">
        <f>IF(AG241=1,IF(AQ241&gt;0,AF241/AQ241,1),IFERROR(INDEX(Types!$K:$K,MATCH($A241&amp;"|"&amp;$D241,Types!$A:$A,0)),INDEX(Dashboard!$X$6:$X$22,MATCH($A241,Dashboard!$A$6:$A$22,0))))</f>
        <v/>
      </c>
      <c r="AT241" s="43">
        <f>AQ241*INDEX(Dashboard!$Y$6:$Y$22,MATCH($A241,Dashboard!$A$6:$A$22,0))</f>
        <v/>
      </c>
      <c r="AU241" s="53">
        <f>IF(AND(AG241=1,AT241&gt;0,AF241&gt;0),100*AF241/AT241,"")</f>
        <v/>
      </c>
      <c r="AV241" s="44">
        <f>IF(AU241="","",T241/(AU241/100))</f>
        <v/>
      </c>
      <c r="AW241" s="53">
        <f>IF(AU241="","",IF(AND(ABS(AH241)&gt;=0.1,ABS(T241)&gt;=0.05,SIGN(AH241)=SIGN(T241)),100*T241/AH241,""))</f>
        <v/>
      </c>
      <c r="AX241" s="45">
        <f>IF(AU241="","",T241-AV241)</f>
        <v/>
      </c>
      <c r="AY241" s="45">
        <f>IF(AU241="","",AH241-AV241)</f>
        <v/>
      </c>
      <c r="AZ241" s="54">
        <f>(AL241-AM241)-T241*AT241</f>
        <v/>
      </c>
      <c r="BA241" s="43">
        <f>IF(AU241="",0,(AH241-T241)*AF241)</f>
        <v/>
      </c>
      <c r="BB241" s="43">
        <f>IF(AU241="",0,T241*(AF241-AT241))</f>
        <v/>
      </c>
      <c r="BC241" s="51" t="n">
        <v>0.008290155440414507</v>
      </c>
      <c r="BD241" s="51" t="n">
        <v>0.05878473857748469</v>
      </c>
      <c r="BE241" s="51" t="n">
        <v>0.2137841352405722</v>
      </c>
      <c r="BF241" s="43" t="n">
        <v>10615</v>
      </c>
    </row>
    <row r="242">
      <c r="A242" s="42" t="inlineStr">
        <is>
          <t>IA</t>
        </is>
      </c>
      <c r="B242" s="42" t="inlineStr">
        <is>
          <t>19083</t>
        </is>
      </c>
      <c r="C242" s="42" t="inlineStr">
        <is>
          <t>Hardin</t>
        </is>
      </c>
      <c r="D242" s="42" t="inlineStr">
        <is>
          <t>Small town &amp; rural</t>
        </is>
      </c>
      <c r="E242" s="42" t="inlineStr"/>
      <c r="F242" s="43" t="n">
        <v>2553</v>
      </c>
      <c r="G242" s="43" t="n">
        <v>5790</v>
      </c>
      <c r="H242" s="43" t="n">
        <v>8434</v>
      </c>
      <c r="I242" s="43" t="n">
        <v>2976</v>
      </c>
      <c r="J242" s="43" t="n">
        <v>5850</v>
      </c>
      <c r="K242" s="42" t="inlineStr">
        <is>
          <t>US Senate</t>
        </is>
      </c>
      <c r="L242" s="43" t="n">
        <v>2044</v>
      </c>
      <c r="M242" s="43" t="n">
        <v>4539</v>
      </c>
      <c r="N242" s="43" t="n">
        <v>6591</v>
      </c>
      <c r="O242" s="44">
        <f>IFERROR((F242-G242)/(F242+G242),"")</f>
        <v/>
      </c>
      <c r="P242" s="44">
        <f>IFERROR((I242-J242)/(I242+J242),"")</f>
        <v/>
      </c>
      <c r="Q242" s="45">
        <f>IFERROR(O242-P242,"")</f>
        <v/>
      </c>
      <c r="R242" s="44">
        <f>IFERROR((L242-M242)/(L242+M242),"")</f>
        <v/>
      </c>
      <c r="S242" s="46">
        <f>H242/SUMIFS(Counties!$H$2:$H$1583,Counties!$A$2:$A$1583,$A242)</f>
        <v/>
      </c>
      <c r="T242" s="44">
        <f>O242+INDEX(Dashboard!$F$6:$F$22,MATCH($A242,Dashboard!$A$6:$A$22,0))</f>
        <v/>
      </c>
      <c r="U242" s="43">
        <f>AQ242*INDEX(Dashboard!$G$6:$G$22,MATCH($A242,Dashboard!$A$6:$A$22,0))</f>
        <v/>
      </c>
      <c r="V242" s="47" t="n"/>
      <c r="W242" s="47" t="n"/>
      <c r="X242" s="47" t="n"/>
      <c r="Y242" s="48" t="n"/>
      <c r="Z242" s="49" t="n"/>
      <c r="AA242" s="49" t="n"/>
      <c r="AB242" s="49" t="n"/>
      <c r="AC242" s="50" t="n"/>
      <c r="AD242" s="43">
        <f>IF(Z242&lt;&gt;"",Z242,N(V242))</f>
        <v/>
      </c>
      <c r="AE242" s="43">
        <f>IF(AA242&lt;&gt;"",AA242,N(W242))</f>
        <v/>
      </c>
      <c r="AF242" s="43">
        <f>AD242+AE242</f>
        <v/>
      </c>
      <c r="AG242" s="42">
        <f>IF(UPPER(AC242)="Y",1,IF(AF242=0,0,IF(AND(Z242="",Y242&lt;&gt;""),IF(Y242&gt;=0.999,1,0),IF(AF242&gt;=U242,1,0))))</f>
        <v/>
      </c>
      <c r="AH242" s="44">
        <f>IF(AF242&gt;0,(AD242-AE242)/AF242,"")</f>
        <v/>
      </c>
      <c r="AI242" s="45">
        <f>IF(AG242=1,AH242-O242,"")</f>
        <v/>
      </c>
      <c r="AJ242" s="44">
        <f>IF(AG242=1,AH242,MAX(-1,MIN(1,O242+INDEX(Types!$H:$H,MATCH($A242&amp;"|"&amp;$D242,Types!$A:$A,0)))))</f>
        <v/>
      </c>
      <c r="AK242" s="43">
        <f>IF(AG242=1,AF242,MAX(AQ242*AS242,AF242))</f>
        <v/>
      </c>
      <c r="AL242" s="43">
        <f>IF(AG242=1,AD242,AK242*(1+AJ242)/2)</f>
        <v/>
      </c>
      <c r="AM242" s="43">
        <f>IF(AG242=1,AE242,AK242*(1-AJ242)/2)</f>
        <v/>
      </c>
      <c r="AN242" s="45">
        <f>IF(AH242="","",AH242-T242)</f>
        <v/>
      </c>
      <c r="AO242" s="51">
        <f>IF(AG242=1,1,IF(U242&gt;0,MIN(AF242/U242,0.99),0))</f>
        <v/>
      </c>
      <c r="AP242" s="43">
        <f>IF(AG242=1,AI242*AF242,0)</f>
        <v/>
      </c>
      <c r="AQ242" s="43">
        <f>N242*(F242+G242)/H242</f>
        <v/>
      </c>
      <c r="AR242" s="43">
        <f>O242*AQ242</f>
        <v/>
      </c>
      <c r="AS242" s="52">
        <f>IF(AG242=1,IF(AQ242&gt;0,AF242/AQ242,1),IFERROR(INDEX(Types!$K:$K,MATCH($A242&amp;"|"&amp;$D242,Types!$A:$A,0)),INDEX(Dashboard!$X$6:$X$22,MATCH($A242,Dashboard!$A$6:$A$22,0))))</f>
        <v/>
      </c>
      <c r="AT242" s="43">
        <f>AQ242*INDEX(Dashboard!$Y$6:$Y$22,MATCH($A242,Dashboard!$A$6:$A$22,0))</f>
        <v/>
      </c>
      <c r="AU242" s="53">
        <f>IF(AND(AG242=1,AT242&gt;0,AF242&gt;0),100*AF242/AT242,"")</f>
        <v/>
      </c>
      <c r="AV242" s="44">
        <f>IF(AU242="","",T242/(AU242/100))</f>
        <v/>
      </c>
      <c r="AW242" s="53">
        <f>IF(AU242="","",IF(AND(ABS(AH242)&gt;=0.1,ABS(T242)&gt;=0.05,SIGN(AH242)=SIGN(T242)),100*T242/AH242,""))</f>
        <v/>
      </c>
      <c r="AX242" s="45">
        <f>IF(AU242="","",T242-AV242)</f>
        <v/>
      </c>
      <c r="AY242" s="45">
        <f>IF(AU242="","",AH242-AV242)</f>
        <v/>
      </c>
      <c r="AZ242" s="54">
        <f>(AL242-AM242)-T242*AT242</f>
        <v/>
      </c>
      <c r="BA242" s="43">
        <f>IF(AU242="",0,(AH242-T242)*AF242)</f>
        <v/>
      </c>
      <c r="BB242" s="43">
        <f>IF(AU242="",0,T242*(AF242-AT242))</f>
        <v/>
      </c>
      <c r="BC242" s="51" t="n">
        <v>0.01555002125979469</v>
      </c>
      <c r="BD242" s="51" t="n">
        <v>0.05989187875842799</v>
      </c>
      <c r="BE242" s="51" t="n">
        <v>0.2119226989846053</v>
      </c>
      <c r="BF242" s="43" t="n">
        <v>16463</v>
      </c>
    </row>
    <row r="243">
      <c r="A243" s="42" t="inlineStr">
        <is>
          <t>IA</t>
        </is>
      </c>
      <c r="B243" s="42" t="inlineStr">
        <is>
          <t>19085</t>
        </is>
      </c>
      <c r="C243" s="42" t="inlineStr">
        <is>
          <t>Harrison</t>
        </is>
      </c>
      <c r="D243" s="42" t="inlineStr">
        <is>
          <t>Small town &amp; rural</t>
        </is>
      </c>
      <c r="E243" s="42" t="inlineStr"/>
      <c r="F243" s="43" t="n">
        <v>2245</v>
      </c>
      <c r="G243" s="43" t="n">
        <v>5566</v>
      </c>
      <c r="H243" s="43" t="n">
        <v>7938</v>
      </c>
      <c r="I243" s="43" t="n">
        <v>2440</v>
      </c>
      <c r="J243" s="43" t="n">
        <v>5569</v>
      </c>
      <c r="K243" s="42" t="inlineStr">
        <is>
          <t>US Senate</t>
        </is>
      </c>
      <c r="L243" s="43" t="n">
        <v>1548</v>
      </c>
      <c r="M243" s="43" t="n">
        <v>3889</v>
      </c>
      <c r="N243" s="43" t="n">
        <v>5463</v>
      </c>
      <c r="O243" s="44">
        <f>IFERROR((F243-G243)/(F243+G243),"")</f>
        <v/>
      </c>
      <c r="P243" s="44">
        <f>IFERROR((I243-J243)/(I243+J243),"")</f>
        <v/>
      </c>
      <c r="Q243" s="45">
        <f>IFERROR(O243-P243,"")</f>
        <v/>
      </c>
      <c r="R243" s="44">
        <f>IFERROR((L243-M243)/(L243+M243),"")</f>
        <v/>
      </c>
      <c r="S243" s="46">
        <f>H243/SUMIFS(Counties!$H$2:$H$1583,Counties!$A$2:$A$1583,$A243)</f>
        <v/>
      </c>
      <c r="T243" s="44">
        <f>O243+INDEX(Dashboard!$F$6:$F$22,MATCH($A243,Dashboard!$A$6:$A$22,0))</f>
        <v/>
      </c>
      <c r="U243" s="43">
        <f>AQ243*INDEX(Dashboard!$G$6:$G$22,MATCH($A243,Dashboard!$A$6:$A$22,0))</f>
        <v/>
      </c>
      <c r="V243" s="47" t="n"/>
      <c r="W243" s="47" t="n"/>
      <c r="X243" s="47" t="n"/>
      <c r="Y243" s="48" t="n"/>
      <c r="Z243" s="49" t="n"/>
      <c r="AA243" s="49" t="n"/>
      <c r="AB243" s="49" t="n"/>
      <c r="AC243" s="50" t="n"/>
      <c r="AD243" s="43">
        <f>IF(Z243&lt;&gt;"",Z243,N(V243))</f>
        <v/>
      </c>
      <c r="AE243" s="43">
        <f>IF(AA243&lt;&gt;"",AA243,N(W243))</f>
        <v/>
      </c>
      <c r="AF243" s="43">
        <f>AD243+AE243</f>
        <v/>
      </c>
      <c r="AG243" s="42">
        <f>IF(UPPER(AC243)="Y",1,IF(AF243=0,0,IF(AND(Z243="",Y243&lt;&gt;""),IF(Y243&gt;=0.999,1,0),IF(AF243&gt;=U243,1,0))))</f>
        <v/>
      </c>
      <c r="AH243" s="44">
        <f>IF(AF243&gt;0,(AD243-AE243)/AF243,"")</f>
        <v/>
      </c>
      <c r="AI243" s="45">
        <f>IF(AG243=1,AH243-O243,"")</f>
        <v/>
      </c>
      <c r="AJ243" s="44">
        <f>IF(AG243=1,AH243,MAX(-1,MIN(1,O243+INDEX(Types!$H:$H,MATCH($A243&amp;"|"&amp;$D243,Types!$A:$A,0)))))</f>
        <v/>
      </c>
      <c r="AK243" s="43">
        <f>IF(AG243=1,AF243,MAX(AQ243*AS243,AF243))</f>
        <v/>
      </c>
      <c r="AL243" s="43">
        <f>IF(AG243=1,AD243,AK243*(1+AJ243)/2)</f>
        <v/>
      </c>
      <c r="AM243" s="43">
        <f>IF(AG243=1,AE243,AK243*(1-AJ243)/2)</f>
        <v/>
      </c>
      <c r="AN243" s="45">
        <f>IF(AH243="","",AH243-T243)</f>
        <v/>
      </c>
      <c r="AO243" s="51">
        <f>IF(AG243=1,1,IF(U243&gt;0,MIN(AF243/U243,0.99),0))</f>
        <v/>
      </c>
      <c r="AP243" s="43">
        <f>IF(AG243=1,AI243*AF243,0)</f>
        <v/>
      </c>
      <c r="AQ243" s="43">
        <f>N243*(F243+G243)/H243</f>
        <v/>
      </c>
      <c r="AR243" s="43">
        <f>O243*AQ243</f>
        <v/>
      </c>
      <c r="AS243" s="52">
        <f>IF(AG243=1,IF(AQ243&gt;0,AF243/AQ243,1),IFERROR(INDEX(Types!$K:$K,MATCH($A243&amp;"|"&amp;$D243,Types!$A:$A,0)),INDEX(Dashboard!$X$6:$X$22,MATCH($A243,Dashboard!$A$6:$A$22,0))))</f>
        <v/>
      </c>
      <c r="AT243" s="43">
        <f>AQ243*INDEX(Dashboard!$Y$6:$Y$22,MATCH($A243,Dashboard!$A$6:$A$22,0))</f>
        <v/>
      </c>
      <c r="AU243" s="53">
        <f>IF(AND(AG243=1,AT243&gt;0,AF243&gt;0),100*AF243/AT243,"")</f>
        <v/>
      </c>
      <c r="AV243" s="44">
        <f>IF(AU243="","",T243/(AU243/100))</f>
        <v/>
      </c>
      <c r="AW243" s="53">
        <f>IF(AU243="","",IF(AND(ABS(AH243)&gt;=0.1,ABS(T243)&gt;=0.05,SIGN(AH243)=SIGN(T243)),100*T243/AH243,""))</f>
        <v/>
      </c>
      <c r="AX243" s="45">
        <f>IF(AU243="","",T243-AV243)</f>
        <v/>
      </c>
      <c r="AY243" s="45">
        <f>IF(AU243="","",AH243-AV243)</f>
        <v/>
      </c>
      <c r="AZ243" s="54">
        <f>(AL243-AM243)-T243*AT243</f>
        <v/>
      </c>
      <c r="BA243" s="43">
        <f>IF(AU243="",0,(AH243-T243)*AF243)</f>
        <v/>
      </c>
      <c r="BB243" s="43">
        <f>IF(AU243="",0,T243*(AF243-AT243))</f>
        <v/>
      </c>
      <c r="BC243" s="51" t="n">
        <v>0.005794137695978187</v>
      </c>
      <c r="BD243" s="51" t="n">
        <v>0.02194955691888207</v>
      </c>
      <c r="BE243" s="51" t="n">
        <v>0.2122905027932961</v>
      </c>
      <c r="BF243" s="43" t="n">
        <v>14670</v>
      </c>
    </row>
    <row r="244">
      <c r="A244" s="42" t="inlineStr">
        <is>
          <t>IA</t>
        </is>
      </c>
      <c r="B244" s="42" t="inlineStr">
        <is>
          <t>19087</t>
        </is>
      </c>
      <c r="C244" s="42" t="inlineStr">
        <is>
          <t>Henry</t>
        </is>
      </c>
      <c r="D244" s="42" t="inlineStr">
        <is>
          <t>Small town &amp; rural</t>
        </is>
      </c>
      <c r="E244" s="42" t="inlineStr"/>
      <c r="F244" s="43" t="n">
        <v>2995</v>
      </c>
      <c r="G244" s="43" t="n">
        <v>6439</v>
      </c>
      <c r="H244" s="43" t="n">
        <v>9574</v>
      </c>
      <c r="I244" s="43" t="n">
        <v>3275</v>
      </c>
      <c r="J244" s="43" t="n">
        <v>6507</v>
      </c>
      <c r="K244" s="42" t="inlineStr">
        <is>
          <t>US Senate</t>
        </is>
      </c>
      <c r="L244" s="43" t="n">
        <v>2261</v>
      </c>
      <c r="M244" s="43" t="n">
        <v>4602</v>
      </c>
      <c r="N244" s="43" t="n">
        <v>6870</v>
      </c>
      <c r="O244" s="44">
        <f>IFERROR((F244-G244)/(F244+G244),"")</f>
        <v/>
      </c>
      <c r="P244" s="44">
        <f>IFERROR((I244-J244)/(I244+J244),"")</f>
        <v/>
      </c>
      <c r="Q244" s="45">
        <f>IFERROR(O244-P244,"")</f>
        <v/>
      </c>
      <c r="R244" s="44">
        <f>IFERROR((L244-M244)/(L244+M244),"")</f>
        <v/>
      </c>
      <c r="S244" s="46">
        <f>H244/SUMIFS(Counties!$H$2:$H$1583,Counties!$A$2:$A$1583,$A244)</f>
        <v/>
      </c>
      <c r="T244" s="44">
        <f>O244+INDEX(Dashboard!$F$6:$F$22,MATCH($A244,Dashboard!$A$6:$A$22,0))</f>
        <v/>
      </c>
      <c r="U244" s="43">
        <f>AQ244*INDEX(Dashboard!$G$6:$G$22,MATCH($A244,Dashboard!$A$6:$A$22,0))</f>
        <v/>
      </c>
      <c r="V244" s="47" t="n"/>
      <c r="W244" s="47" t="n"/>
      <c r="X244" s="47" t="n"/>
      <c r="Y244" s="48" t="n"/>
      <c r="Z244" s="49" t="n"/>
      <c r="AA244" s="49" t="n"/>
      <c r="AB244" s="49" t="n"/>
      <c r="AC244" s="50" t="n"/>
      <c r="AD244" s="43">
        <f>IF(Z244&lt;&gt;"",Z244,N(V244))</f>
        <v/>
      </c>
      <c r="AE244" s="43">
        <f>IF(AA244&lt;&gt;"",AA244,N(W244))</f>
        <v/>
      </c>
      <c r="AF244" s="43">
        <f>AD244+AE244</f>
        <v/>
      </c>
      <c r="AG244" s="42">
        <f>IF(UPPER(AC244)="Y",1,IF(AF244=0,0,IF(AND(Z244="",Y244&lt;&gt;""),IF(Y244&gt;=0.999,1,0),IF(AF244&gt;=U244,1,0))))</f>
        <v/>
      </c>
      <c r="AH244" s="44">
        <f>IF(AF244&gt;0,(AD244-AE244)/AF244,"")</f>
        <v/>
      </c>
      <c r="AI244" s="45">
        <f>IF(AG244=1,AH244-O244,"")</f>
        <v/>
      </c>
      <c r="AJ244" s="44">
        <f>IF(AG244=1,AH244,MAX(-1,MIN(1,O244+INDEX(Types!$H:$H,MATCH($A244&amp;"|"&amp;$D244,Types!$A:$A,0)))))</f>
        <v/>
      </c>
      <c r="AK244" s="43">
        <f>IF(AG244=1,AF244,MAX(AQ244*AS244,AF244))</f>
        <v/>
      </c>
      <c r="AL244" s="43">
        <f>IF(AG244=1,AD244,AK244*(1+AJ244)/2)</f>
        <v/>
      </c>
      <c r="AM244" s="43">
        <f>IF(AG244=1,AE244,AK244*(1-AJ244)/2)</f>
        <v/>
      </c>
      <c r="AN244" s="45">
        <f>IF(AH244="","",AH244-T244)</f>
        <v/>
      </c>
      <c r="AO244" s="51">
        <f>IF(AG244=1,1,IF(U244&gt;0,MIN(AF244/U244,0.99),0))</f>
        <v/>
      </c>
      <c r="AP244" s="43">
        <f>IF(AG244=1,AI244*AF244,0)</f>
        <v/>
      </c>
      <c r="AQ244" s="43">
        <f>N244*(F244+G244)/H244</f>
        <v/>
      </c>
      <c r="AR244" s="43">
        <f>O244*AQ244</f>
        <v/>
      </c>
      <c r="AS244" s="52">
        <f>IF(AG244=1,IF(AQ244&gt;0,AF244/AQ244,1),IFERROR(INDEX(Types!$K:$K,MATCH($A244&amp;"|"&amp;$D244,Types!$A:$A,0)),INDEX(Dashboard!$X$6:$X$22,MATCH($A244,Dashboard!$A$6:$A$22,0))))</f>
        <v/>
      </c>
      <c r="AT244" s="43">
        <f>AQ244*INDEX(Dashboard!$Y$6:$Y$22,MATCH($A244,Dashboard!$A$6:$A$22,0))</f>
        <v/>
      </c>
      <c r="AU244" s="53">
        <f>IF(AND(AG244=1,AT244&gt;0,AF244&gt;0),100*AF244/AT244,"")</f>
        <v/>
      </c>
      <c r="AV244" s="44">
        <f>IF(AU244="","",T244/(AU244/100))</f>
        <v/>
      </c>
      <c r="AW244" s="53">
        <f>IF(AU244="","",IF(AND(ABS(AH244)&gt;=0.1,ABS(T244)&gt;=0.05,SIGN(AH244)=SIGN(T244)),100*T244/AH244,""))</f>
        <v/>
      </c>
      <c r="AX244" s="45">
        <f>IF(AU244="","",T244-AV244)</f>
        <v/>
      </c>
      <c r="AY244" s="45">
        <f>IF(AU244="","",AH244-AV244)</f>
        <v/>
      </c>
      <c r="AZ244" s="54">
        <f>(AL244-AM244)-T244*AT244</f>
        <v/>
      </c>
      <c r="BA244" s="43">
        <f>IF(AU244="",0,(AH244-T244)*AF244)</f>
        <v/>
      </c>
      <c r="BB244" s="43">
        <f>IF(AU244="",0,T244*(AF244-AT244))</f>
        <v/>
      </c>
      <c r="BC244" s="51" t="n">
        <v>0.02445388039085282</v>
      </c>
      <c r="BD244" s="51" t="n">
        <v>0.05509796899780017</v>
      </c>
      <c r="BE244" s="51" t="n">
        <v>0.2253073029645698</v>
      </c>
      <c r="BF244" s="43" t="n">
        <v>19547</v>
      </c>
    </row>
    <row r="245">
      <c r="A245" s="42" t="inlineStr">
        <is>
          <t>IA</t>
        </is>
      </c>
      <c r="B245" s="42" t="inlineStr">
        <is>
          <t>19089</t>
        </is>
      </c>
      <c r="C245" s="42" t="inlineStr">
        <is>
          <t>Howard</t>
        </is>
      </c>
      <c r="D245" s="42" t="inlineStr">
        <is>
          <t>Small town &amp; rural</t>
        </is>
      </c>
      <c r="E245" s="42" t="inlineStr"/>
      <c r="F245" s="43" t="n">
        <v>1619</v>
      </c>
      <c r="G245" s="43" t="n">
        <v>3157</v>
      </c>
      <c r="H245" s="43" t="n">
        <v>4837</v>
      </c>
      <c r="I245" s="43" t="n">
        <v>1772</v>
      </c>
      <c r="J245" s="43" t="n">
        <v>3127</v>
      </c>
      <c r="K245" s="42" t="inlineStr">
        <is>
          <t>US Senate</t>
        </is>
      </c>
      <c r="L245" s="43" t="n">
        <v>1221</v>
      </c>
      <c r="M245" s="43" t="n">
        <v>2126</v>
      </c>
      <c r="N245" s="43" t="n">
        <v>3353</v>
      </c>
      <c r="O245" s="44">
        <f>IFERROR((F245-G245)/(F245+G245),"")</f>
        <v/>
      </c>
      <c r="P245" s="44">
        <f>IFERROR((I245-J245)/(I245+J245),"")</f>
        <v/>
      </c>
      <c r="Q245" s="45">
        <f>IFERROR(O245-P245,"")</f>
        <v/>
      </c>
      <c r="R245" s="44">
        <f>IFERROR((L245-M245)/(L245+M245),"")</f>
        <v/>
      </c>
      <c r="S245" s="46">
        <f>H245/SUMIFS(Counties!$H$2:$H$1583,Counties!$A$2:$A$1583,$A245)</f>
        <v/>
      </c>
      <c r="T245" s="44">
        <f>O245+INDEX(Dashboard!$F$6:$F$22,MATCH($A245,Dashboard!$A$6:$A$22,0))</f>
        <v/>
      </c>
      <c r="U245" s="43">
        <f>AQ245*INDEX(Dashboard!$G$6:$G$22,MATCH($A245,Dashboard!$A$6:$A$22,0))</f>
        <v/>
      </c>
      <c r="V245" s="47" t="n"/>
      <c r="W245" s="47" t="n"/>
      <c r="X245" s="47" t="n"/>
      <c r="Y245" s="48" t="n"/>
      <c r="Z245" s="49" t="n"/>
      <c r="AA245" s="49" t="n"/>
      <c r="AB245" s="49" t="n"/>
      <c r="AC245" s="50" t="n"/>
      <c r="AD245" s="43">
        <f>IF(Z245&lt;&gt;"",Z245,N(V245))</f>
        <v/>
      </c>
      <c r="AE245" s="43">
        <f>IF(AA245&lt;&gt;"",AA245,N(W245))</f>
        <v/>
      </c>
      <c r="AF245" s="43">
        <f>AD245+AE245</f>
        <v/>
      </c>
      <c r="AG245" s="42">
        <f>IF(UPPER(AC245)="Y",1,IF(AF245=0,0,IF(AND(Z245="",Y245&lt;&gt;""),IF(Y245&gt;=0.999,1,0),IF(AF245&gt;=U245,1,0))))</f>
        <v/>
      </c>
      <c r="AH245" s="44">
        <f>IF(AF245&gt;0,(AD245-AE245)/AF245,"")</f>
        <v/>
      </c>
      <c r="AI245" s="45">
        <f>IF(AG245=1,AH245-O245,"")</f>
        <v/>
      </c>
      <c r="AJ245" s="44">
        <f>IF(AG245=1,AH245,MAX(-1,MIN(1,O245+INDEX(Types!$H:$H,MATCH($A245&amp;"|"&amp;$D245,Types!$A:$A,0)))))</f>
        <v/>
      </c>
      <c r="AK245" s="43">
        <f>IF(AG245=1,AF245,MAX(AQ245*AS245,AF245))</f>
        <v/>
      </c>
      <c r="AL245" s="43">
        <f>IF(AG245=1,AD245,AK245*(1+AJ245)/2)</f>
        <v/>
      </c>
      <c r="AM245" s="43">
        <f>IF(AG245=1,AE245,AK245*(1-AJ245)/2)</f>
        <v/>
      </c>
      <c r="AN245" s="45">
        <f>IF(AH245="","",AH245-T245)</f>
        <v/>
      </c>
      <c r="AO245" s="51">
        <f>IF(AG245=1,1,IF(U245&gt;0,MIN(AF245/U245,0.99),0))</f>
        <v/>
      </c>
      <c r="AP245" s="43">
        <f>IF(AG245=1,AI245*AF245,0)</f>
        <v/>
      </c>
      <c r="AQ245" s="43">
        <f>N245*(F245+G245)/H245</f>
        <v/>
      </c>
      <c r="AR245" s="43">
        <f>O245*AQ245</f>
        <v/>
      </c>
      <c r="AS245" s="52">
        <f>IF(AG245=1,IF(AQ245&gt;0,AF245/AQ245,1),IFERROR(INDEX(Types!$K:$K,MATCH($A245&amp;"|"&amp;$D245,Types!$A:$A,0)),INDEX(Dashboard!$X$6:$X$22,MATCH($A245,Dashboard!$A$6:$A$22,0))))</f>
        <v/>
      </c>
      <c r="AT245" s="43">
        <f>AQ245*INDEX(Dashboard!$Y$6:$Y$22,MATCH($A245,Dashboard!$A$6:$A$22,0))</f>
        <v/>
      </c>
      <c r="AU245" s="53">
        <f>IF(AND(AG245=1,AT245&gt;0,AF245&gt;0),100*AF245/AT245,"")</f>
        <v/>
      </c>
      <c r="AV245" s="44">
        <f>IF(AU245="","",T245/(AU245/100))</f>
        <v/>
      </c>
      <c r="AW245" s="53">
        <f>IF(AU245="","",IF(AND(ABS(AH245)&gt;=0.1,ABS(T245)&gt;=0.05,SIGN(AH245)=SIGN(T245)),100*T245/AH245,""))</f>
        <v/>
      </c>
      <c r="AX245" s="45">
        <f>IF(AU245="","",T245-AV245)</f>
        <v/>
      </c>
      <c r="AY245" s="45">
        <f>IF(AU245="","",AH245-AV245)</f>
        <v/>
      </c>
      <c r="AZ245" s="54">
        <f>(AL245-AM245)-T245*AT245</f>
        <v/>
      </c>
      <c r="BA245" s="43">
        <f>IF(AU245="",0,(AH245-T245)*AF245)</f>
        <v/>
      </c>
      <c r="BB245" s="43">
        <f>IF(AU245="",0,T245*(AF245-AT245))</f>
        <v/>
      </c>
      <c r="BC245" s="51" t="n">
        <v>0.007679180887372013</v>
      </c>
      <c r="BD245" s="51" t="n">
        <v>0.03412969283276451</v>
      </c>
      <c r="BE245" s="51" t="n">
        <v>0.1871262197041234</v>
      </c>
      <c r="BF245" s="43" t="n">
        <v>9376</v>
      </c>
    </row>
    <row r="246">
      <c r="A246" s="42" t="inlineStr">
        <is>
          <t>IA</t>
        </is>
      </c>
      <c r="B246" s="42" t="inlineStr">
        <is>
          <t>19091</t>
        </is>
      </c>
      <c r="C246" s="42" t="inlineStr">
        <is>
          <t>Humboldt</t>
        </is>
      </c>
      <c r="D246" s="42" t="inlineStr">
        <is>
          <t>Small town &amp; rural</t>
        </is>
      </c>
      <c r="E246" s="42" t="inlineStr"/>
      <c r="F246" s="43" t="n">
        <v>1236</v>
      </c>
      <c r="G246" s="43" t="n">
        <v>3770</v>
      </c>
      <c r="H246" s="43" t="n">
        <v>5067</v>
      </c>
      <c r="I246" s="43" t="n">
        <v>1442</v>
      </c>
      <c r="J246" s="43" t="n">
        <v>3819</v>
      </c>
      <c r="K246" s="42" t="inlineStr">
        <is>
          <t>US Senate</t>
        </is>
      </c>
      <c r="L246" s="43" t="n">
        <v>931</v>
      </c>
      <c r="M246" s="43" t="n">
        <v>2896</v>
      </c>
      <c r="N246" s="43" t="n">
        <v>3830</v>
      </c>
      <c r="O246" s="44">
        <f>IFERROR((F246-G246)/(F246+G246),"")</f>
        <v/>
      </c>
      <c r="P246" s="44">
        <f>IFERROR((I246-J246)/(I246+J246),"")</f>
        <v/>
      </c>
      <c r="Q246" s="45">
        <f>IFERROR(O246-P246,"")</f>
        <v/>
      </c>
      <c r="R246" s="44">
        <f>IFERROR((L246-M246)/(L246+M246),"")</f>
        <v/>
      </c>
      <c r="S246" s="46">
        <f>H246/SUMIFS(Counties!$H$2:$H$1583,Counties!$A$2:$A$1583,$A246)</f>
        <v/>
      </c>
      <c r="T246" s="44">
        <f>O246+INDEX(Dashboard!$F$6:$F$22,MATCH($A246,Dashboard!$A$6:$A$22,0))</f>
        <v/>
      </c>
      <c r="U246" s="43">
        <f>AQ246*INDEX(Dashboard!$G$6:$G$22,MATCH($A246,Dashboard!$A$6:$A$22,0))</f>
        <v/>
      </c>
      <c r="V246" s="47" t="n"/>
      <c r="W246" s="47" t="n"/>
      <c r="X246" s="47" t="n"/>
      <c r="Y246" s="48" t="n"/>
      <c r="Z246" s="49" t="n"/>
      <c r="AA246" s="49" t="n"/>
      <c r="AB246" s="49" t="n"/>
      <c r="AC246" s="50" t="n"/>
      <c r="AD246" s="43">
        <f>IF(Z246&lt;&gt;"",Z246,N(V246))</f>
        <v/>
      </c>
      <c r="AE246" s="43">
        <f>IF(AA246&lt;&gt;"",AA246,N(W246))</f>
        <v/>
      </c>
      <c r="AF246" s="43">
        <f>AD246+AE246</f>
        <v/>
      </c>
      <c r="AG246" s="42">
        <f>IF(UPPER(AC246)="Y",1,IF(AF246=0,0,IF(AND(Z246="",Y246&lt;&gt;""),IF(Y246&gt;=0.999,1,0),IF(AF246&gt;=U246,1,0))))</f>
        <v/>
      </c>
      <c r="AH246" s="44">
        <f>IF(AF246&gt;0,(AD246-AE246)/AF246,"")</f>
        <v/>
      </c>
      <c r="AI246" s="45">
        <f>IF(AG246=1,AH246-O246,"")</f>
        <v/>
      </c>
      <c r="AJ246" s="44">
        <f>IF(AG246=1,AH246,MAX(-1,MIN(1,O246+INDEX(Types!$H:$H,MATCH($A246&amp;"|"&amp;$D246,Types!$A:$A,0)))))</f>
        <v/>
      </c>
      <c r="AK246" s="43">
        <f>IF(AG246=1,AF246,MAX(AQ246*AS246,AF246))</f>
        <v/>
      </c>
      <c r="AL246" s="43">
        <f>IF(AG246=1,AD246,AK246*(1+AJ246)/2)</f>
        <v/>
      </c>
      <c r="AM246" s="43">
        <f>IF(AG246=1,AE246,AK246*(1-AJ246)/2)</f>
        <v/>
      </c>
      <c r="AN246" s="45">
        <f>IF(AH246="","",AH246-T246)</f>
        <v/>
      </c>
      <c r="AO246" s="51">
        <f>IF(AG246=1,1,IF(U246&gt;0,MIN(AF246/U246,0.99),0))</f>
        <v/>
      </c>
      <c r="AP246" s="43">
        <f>IF(AG246=1,AI246*AF246,0)</f>
        <v/>
      </c>
      <c r="AQ246" s="43">
        <f>N246*(F246+G246)/H246</f>
        <v/>
      </c>
      <c r="AR246" s="43">
        <f>O246*AQ246</f>
        <v/>
      </c>
      <c r="AS246" s="52">
        <f>IF(AG246=1,IF(AQ246&gt;0,AF246/AQ246,1),IFERROR(INDEX(Types!$K:$K,MATCH($A246&amp;"|"&amp;$D246,Types!$A:$A,0)),INDEX(Dashboard!$X$6:$X$22,MATCH($A246,Dashboard!$A$6:$A$22,0))))</f>
        <v/>
      </c>
      <c r="AT246" s="43">
        <f>AQ246*INDEX(Dashboard!$Y$6:$Y$22,MATCH($A246,Dashboard!$A$6:$A$22,0))</f>
        <v/>
      </c>
      <c r="AU246" s="53">
        <f>IF(AND(AG246=1,AT246&gt;0,AF246&gt;0),100*AF246/AT246,"")</f>
        <v/>
      </c>
      <c r="AV246" s="44">
        <f>IF(AU246="","",T246/(AU246/100))</f>
        <v/>
      </c>
      <c r="AW246" s="53">
        <f>IF(AU246="","",IF(AND(ABS(AH246)&gt;=0.1,ABS(T246)&gt;=0.05,SIGN(AH246)=SIGN(T246)),100*T246/AH246,""))</f>
        <v/>
      </c>
      <c r="AX246" s="45">
        <f>IF(AU246="","",T246-AV246)</f>
        <v/>
      </c>
      <c r="AY246" s="45">
        <f>IF(AU246="","",AH246-AV246)</f>
        <v/>
      </c>
      <c r="AZ246" s="54">
        <f>(AL246-AM246)-T246*AT246</f>
        <v/>
      </c>
      <c r="BA246" s="43">
        <f>IF(AU246="",0,(AH246-T246)*AF246)</f>
        <v/>
      </c>
      <c r="BB246" s="43">
        <f>IF(AU246="",0,T246*(AF246-AT246))</f>
        <v/>
      </c>
      <c r="BC246" s="51" t="n">
        <v>0.009157894736842104</v>
      </c>
      <c r="BD246" s="51" t="n">
        <v>0.05947368421052632</v>
      </c>
      <c r="BE246" s="51" t="n">
        <v>0.1926605504587156</v>
      </c>
      <c r="BF246" s="43" t="n">
        <v>9500</v>
      </c>
    </row>
    <row r="247">
      <c r="A247" s="42" t="inlineStr">
        <is>
          <t>IA</t>
        </is>
      </c>
      <c r="B247" s="42" t="inlineStr">
        <is>
          <t>19093</t>
        </is>
      </c>
      <c r="C247" s="42" t="inlineStr">
        <is>
          <t>Ida</t>
        </is>
      </c>
      <c r="D247" s="42" t="inlineStr">
        <is>
          <t>Small town &amp; rural</t>
        </is>
      </c>
      <c r="E247" s="42" t="inlineStr"/>
      <c r="F247" s="43" t="n">
        <v>826</v>
      </c>
      <c r="G247" s="43" t="n">
        <v>2771</v>
      </c>
      <c r="H247" s="43" t="n">
        <v>3642</v>
      </c>
      <c r="I247" s="43" t="n">
        <v>917</v>
      </c>
      <c r="J247" s="43" t="n">
        <v>2880</v>
      </c>
      <c r="K247" s="42" t="inlineStr">
        <is>
          <t>US Senate</t>
        </is>
      </c>
      <c r="L247" s="43" t="n">
        <v>588</v>
      </c>
      <c r="M247" s="43" t="n">
        <v>2130</v>
      </c>
      <c r="N247" s="43" t="n">
        <v>2726</v>
      </c>
      <c r="O247" s="44">
        <f>IFERROR((F247-G247)/(F247+G247),"")</f>
        <v/>
      </c>
      <c r="P247" s="44">
        <f>IFERROR((I247-J247)/(I247+J247),"")</f>
        <v/>
      </c>
      <c r="Q247" s="45">
        <f>IFERROR(O247-P247,"")</f>
        <v/>
      </c>
      <c r="R247" s="44">
        <f>IFERROR((L247-M247)/(L247+M247),"")</f>
        <v/>
      </c>
      <c r="S247" s="46">
        <f>H247/SUMIFS(Counties!$H$2:$H$1583,Counties!$A$2:$A$1583,$A247)</f>
        <v/>
      </c>
      <c r="T247" s="44">
        <f>O247+INDEX(Dashboard!$F$6:$F$22,MATCH($A247,Dashboard!$A$6:$A$22,0))</f>
        <v/>
      </c>
      <c r="U247" s="43">
        <f>AQ247*INDEX(Dashboard!$G$6:$G$22,MATCH($A247,Dashboard!$A$6:$A$22,0))</f>
        <v/>
      </c>
      <c r="V247" s="47" t="n"/>
      <c r="W247" s="47" t="n"/>
      <c r="X247" s="47" t="n"/>
      <c r="Y247" s="48" t="n"/>
      <c r="Z247" s="49" t="n"/>
      <c r="AA247" s="49" t="n"/>
      <c r="AB247" s="49" t="n"/>
      <c r="AC247" s="50" t="n"/>
      <c r="AD247" s="43">
        <f>IF(Z247&lt;&gt;"",Z247,N(V247))</f>
        <v/>
      </c>
      <c r="AE247" s="43">
        <f>IF(AA247&lt;&gt;"",AA247,N(W247))</f>
        <v/>
      </c>
      <c r="AF247" s="43">
        <f>AD247+AE247</f>
        <v/>
      </c>
      <c r="AG247" s="42">
        <f>IF(UPPER(AC247)="Y",1,IF(AF247=0,0,IF(AND(Z247="",Y247&lt;&gt;""),IF(Y247&gt;=0.999,1,0),IF(AF247&gt;=U247,1,0))))</f>
        <v/>
      </c>
      <c r="AH247" s="44">
        <f>IF(AF247&gt;0,(AD247-AE247)/AF247,"")</f>
        <v/>
      </c>
      <c r="AI247" s="45">
        <f>IF(AG247=1,AH247-O247,"")</f>
        <v/>
      </c>
      <c r="AJ247" s="44">
        <f>IF(AG247=1,AH247,MAX(-1,MIN(1,O247+INDEX(Types!$H:$H,MATCH($A247&amp;"|"&amp;$D247,Types!$A:$A,0)))))</f>
        <v/>
      </c>
      <c r="AK247" s="43">
        <f>IF(AG247=1,AF247,MAX(AQ247*AS247,AF247))</f>
        <v/>
      </c>
      <c r="AL247" s="43">
        <f>IF(AG247=1,AD247,AK247*(1+AJ247)/2)</f>
        <v/>
      </c>
      <c r="AM247" s="43">
        <f>IF(AG247=1,AE247,AK247*(1-AJ247)/2)</f>
        <v/>
      </c>
      <c r="AN247" s="45">
        <f>IF(AH247="","",AH247-T247)</f>
        <v/>
      </c>
      <c r="AO247" s="51">
        <f>IF(AG247=1,1,IF(U247&gt;0,MIN(AF247/U247,0.99),0))</f>
        <v/>
      </c>
      <c r="AP247" s="43">
        <f>IF(AG247=1,AI247*AF247,0)</f>
        <v/>
      </c>
      <c r="AQ247" s="43">
        <f>N247*(F247+G247)/H247</f>
        <v/>
      </c>
      <c r="AR247" s="43">
        <f>O247*AQ247</f>
        <v/>
      </c>
      <c r="AS247" s="52">
        <f>IF(AG247=1,IF(AQ247&gt;0,AF247/AQ247,1),IFERROR(INDEX(Types!$K:$K,MATCH($A247&amp;"|"&amp;$D247,Types!$A:$A,0)),INDEX(Dashboard!$X$6:$X$22,MATCH($A247,Dashboard!$A$6:$A$22,0))))</f>
        <v/>
      </c>
      <c r="AT247" s="43">
        <f>AQ247*INDEX(Dashboard!$Y$6:$Y$22,MATCH($A247,Dashboard!$A$6:$A$22,0))</f>
        <v/>
      </c>
      <c r="AU247" s="53">
        <f>IF(AND(AG247=1,AT247&gt;0,AF247&gt;0),100*AF247/AT247,"")</f>
        <v/>
      </c>
      <c r="AV247" s="44">
        <f>IF(AU247="","",T247/(AU247/100))</f>
        <v/>
      </c>
      <c r="AW247" s="53">
        <f>IF(AU247="","",IF(AND(ABS(AH247)&gt;=0.1,ABS(T247)&gt;=0.05,SIGN(AH247)=SIGN(T247)),100*T247/AH247,""))</f>
        <v/>
      </c>
      <c r="AX247" s="45">
        <f>IF(AU247="","",T247-AV247)</f>
        <v/>
      </c>
      <c r="AY247" s="45">
        <f>IF(AU247="","",AH247-AV247)</f>
        <v/>
      </c>
      <c r="AZ247" s="54">
        <f>(AL247-AM247)-T247*AT247</f>
        <v/>
      </c>
      <c r="BA247" s="43">
        <f>IF(AU247="",0,(AH247-T247)*AF247)</f>
        <v/>
      </c>
      <c r="BB247" s="43">
        <f>IF(AU247="",0,T247*(AF247-AT247))</f>
        <v/>
      </c>
      <c r="BC247" s="51" t="n">
        <v>0.006000292697204742</v>
      </c>
      <c r="BD247" s="51" t="n">
        <v>0.04361188350651251</v>
      </c>
      <c r="BE247" s="51" t="n">
        <v>0.2069550466497031</v>
      </c>
      <c r="BF247" s="43" t="n">
        <v>6833</v>
      </c>
    </row>
    <row r="248">
      <c r="A248" s="42" t="inlineStr">
        <is>
          <t>IA</t>
        </is>
      </c>
      <c r="B248" s="42" t="inlineStr">
        <is>
          <t>19095</t>
        </is>
      </c>
      <c r="C248" s="42" t="inlineStr">
        <is>
          <t>Iowa</t>
        </is>
      </c>
      <c r="D248" s="42" t="inlineStr">
        <is>
          <t>Small town &amp; rural</t>
        </is>
      </c>
      <c r="E248" s="42" t="inlineStr"/>
      <c r="F248" s="43" t="n">
        <v>3400</v>
      </c>
      <c r="G248" s="43" t="n">
        <v>6068</v>
      </c>
      <c r="H248" s="43" t="n">
        <v>9617</v>
      </c>
      <c r="I248" s="43" t="n">
        <v>3547</v>
      </c>
      <c r="J248" s="43" t="n">
        <v>6009</v>
      </c>
      <c r="K248" s="42" t="inlineStr">
        <is>
          <t>US Senate</t>
        </is>
      </c>
      <c r="L248" s="43" t="n">
        <v>2539</v>
      </c>
      <c r="M248" s="43" t="n">
        <v>4803</v>
      </c>
      <c r="N248" s="43" t="n">
        <v>7357</v>
      </c>
      <c r="O248" s="44">
        <f>IFERROR((F248-G248)/(F248+G248),"")</f>
        <v/>
      </c>
      <c r="P248" s="44">
        <f>IFERROR((I248-J248)/(I248+J248),"")</f>
        <v/>
      </c>
      <c r="Q248" s="45">
        <f>IFERROR(O248-P248,"")</f>
        <v/>
      </c>
      <c r="R248" s="44">
        <f>IFERROR((L248-M248)/(L248+M248),"")</f>
        <v/>
      </c>
      <c r="S248" s="46">
        <f>H248/SUMIFS(Counties!$H$2:$H$1583,Counties!$A$2:$A$1583,$A248)</f>
        <v/>
      </c>
      <c r="T248" s="44">
        <f>O248+INDEX(Dashboard!$F$6:$F$22,MATCH($A248,Dashboard!$A$6:$A$22,0))</f>
        <v/>
      </c>
      <c r="U248" s="43">
        <f>AQ248*INDEX(Dashboard!$G$6:$G$22,MATCH($A248,Dashboard!$A$6:$A$22,0))</f>
        <v/>
      </c>
      <c r="V248" s="47" t="n"/>
      <c r="W248" s="47" t="n"/>
      <c r="X248" s="47" t="n"/>
      <c r="Y248" s="48" t="n"/>
      <c r="Z248" s="49" t="n"/>
      <c r="AA248" s="49" t="n"/>
      <c r="AB248" s="49" t="n"/>
      <c r="AC248" s="50" t="n"/>
      <c r="AD248" s="43">
        <f>IF(Z248&lt;&gt;"",Z248,N(V248))</f>
        <v/>
      </c>
      <c r="AE248" s="43">
        <f>IF(AA248&lt;&gt;"",AA248,N(W248))</f>
        <v/>
      </c>
      <c r="AF248" s="43">
        <f>AD248+AE248</f>
        <v/>
      </c>
      <c r="AG248" s="42">
        <f>IF(UPPER(AC248)="Y",1,IF(AF248=0,0,IF(AND(Z248="",Y248&lt;&gt;""),IF(Y248&gt;=0.999,1,0),IF(AF248&gt;=U248,1,0))))</f>
        <v/>
      </c>
      <c r="AH248" s="44">
        <f>IF(AF248&gt;0,(AD248-AE248)/AF248,"")</f>
        <v/>
      </c>
      <c r="AI248" s="45">
        <f>IF(AG248=1,AH248-O248,"")</f>
        <v/>
      </c>
      <c r="AJ248" s="44">
        <f>IF(AG248=1,AH248,MAX(-1,MIN(1,O248+INDEX(Types!$H:$H,MATCH($A248&amp;"|"&amp;$D248,Types!$A:$A,0)))))</f>
        <v/>
      </c>
      <c r="AK248" s="43">
        <f>IF(AG248=1,AF248,MAX(AQ248*AS248,AF248))</f>
        <v/>
      </c>
      <c r="AL248" s="43">
        <f>IF(AG248=1,AD248,AK248*(1+AJ248)/2)</f>
        <v/>
      </c>
      <c r="AM248" s="43">
        <f>IF(AG248=1,AE248,AK248*(1-AJ248)/2)</f>
        <v/>
      </c>
      <c r="AN248" s="45">
        <f>IF(AH248="","",AH248-T248)</f>
        <v/>
      </c>
      <c r="AO248" s="51">
        <f>IF(AG248=1,1,IF(U248&gt;0,MIN(AF248/U248,0.99),0))</f>
        <v/>
      </c>
      <c r="AP248" s="43">
        <f>IF(AG248=1,AI248*AF248,0)</f>
        <v/>
      </c>
      <c r="AQ248" s="43">
        <f>N248*(F248+G248)/H248</f>
        <v/>
      </c>
      <c r="AR248" s="43">
        <f>O248*AQ248</f>
        <v/>
      </c>
      <c r="AS248" s="52">
        <f>IF(AG248=1,IF(AQ248&gt;0,AF248/AQ248,1),IFERROR(INDEX(Types!$K:$K,MATCH($A248&amp;"|"&amp;$D248,Types!$A:$A,0)),INDEX(Dashboard!$X$6:$X$22,MATCH($A248,Dashboard!$A$6:$A$22,0))))</f>
        <v/>
      </c>
      <c r="AT248" s="43">
        <f>AQ248*INDEX(Dashboard!$Y$6:$Y$22,MATCH($A248,Dashboard!$A$6:$A$22,0))</f>
        <v/>
      </c>
      <c r="AU248" s="53">
        <f>IF(AND(AG248=1,AT248&gt;0,AF248&gt;0),100*AF248/AT248,"")</f>
        <v/>
      </c>
      <c r="AV248" s="44">
        <f>IF(AU248="","",T248/(AU248/100))</f>
        <v/>
      </c>
      <c r="AW248" s="53">
        <f>IF(AU248="","",IF(AND(ABS(AH248)&gt;=0.1,ABS(T248)&gt;=0.05,SIGN(AH248)=SIGN(T248)),100*T248/AH248,""))</f>
        <v/>
      </c>
      <c r="AX248" s="45">
        <f>IF(AU248="","",T248-AV248)</f>
        <v/>
      </c>
      <c r="AY248" s="45">
        <f>IF(AU248="","",AH248-AV248)</f>
        <v/>
      </c>
      <c r="AZ248" s="54">
        <f>(AL248-AM248)-T248*AT248</f>
        <v/>
      </c>
      <c r="BA248" s="43">
        <f>IF(AU248="",0,(AH248-T248)*AF248)</f>
        <v/>
      </c>
      <c r="BB248" s="43">
        <f>IF(AU248="",0,T248*(AF248-AT248))</f>
        <v/>
      </c>
      <c r="BC248" s="51" t="n">
        <v>0.007081374763445455</v>
      </c>
      <c r="BD248" s="51" t="n">
        <v>0.03674989316891521</v>
      </c>
      <c r="BE248" s="51" t="n">
        <v>0.2424816889271866</v>
      </c>
      <c r="BF248" s="43" t="n">
        <v>16381</v>
      </c>
    </row>
    <row r="249">
      <c r="A249" s="42" t="inlineStr">
        <is>
          <t>IA</t>
        </is>
      </c>
      <c r="B249" s="42" t="inlineStr">
        <is>
          <t>19097</t>
        </is>
      </c>
      <c r="C249" s="42" t="inlineStr">
        <is>
          <t>Jackson</t>
        </is>
      </c>
      <c r="D249" s="42" t="inlineStr">
        <is>
          <t>Small town &amp; rural</t>
        </is>
      </c>
      <c r="E249" s="42" t="inlineStr"/>
      <c r="F249" s="43" t="n">
        <v>3567</v>
      </c>
      <c r="G249" s="43" t="n">
        <v>7074</v>
      </c>
      <c r="H249" s="43" t="n">
        <v>10782</v>
      </c>
      <c r="I249" s="43" t="n">
        <v>4029</v>
      </c>
      <c r="J249" s="43" t="n">
        <v>6940</v>
      </c>
      <c r="K249" s="42" t="inlineStr">
        <is>
          <t>US Senate</t>
        </is>
      </c>
      <c r="L249" s="43" t="n">
        <v>2816</v>
      </c>
      <c r="M249" s="43" t="n">
        <v>4816</v>
      </c>
      <c r="N249" s="43" t="n">
        <v>7639</v>
      </c>
      <c r="O249" s="44">
        <f>IFERROR((F249-G249)/(F249+G249),"")</f>
        <v/>
      </c>
      <c r="P249" s="44">
        <f>IFERROR((I249-J249)/(I249+J249),"")</f>
        <v/>
      </c>
      <c r="Q249" s="45">
        <f>IFERROR(O249-P249,"")</f>
        <v/>
      </c>
      <c r="R249" s="44">
        <f>IFERROR((L249-M249)/(L249+M249),"")</f>
        <v/>
      </c>
      <c r="S249" s="46">
        <f>H249/SUMIFS(Counties!$H$2:$H$1583,Counties!$A$2:$A$1583,$A249)</f>
        <v/>
      </c>
      <c r="T249" s="44">
        <f>O249+INDEX(Dashboard!$F$6:$F$22,MATCH($A249,Dashboard!$A$6:$A$22,0))</f>
        <v/>
      </c>
      <c r="U249" s="43">
        <f>AQ249*INDEX(Dashboard!$G$6:$G$22,MATCH($A249,Dashboard!$A$6:$A$22,0))</f>
        <v/>
      </c>
      <c r="V249" s="47" t="n"/>
      <c r="W249" s="47" t="n"/>
      <c r="X249" s="47" t="n"/>
      <c r="Y249" s="48" t="n"/>
      <c r="Z249" s="49" t="n"/>
      <c r="AA249" s="49" t="n"/>
      <c r="AB249" s="49" t="n"/>
      <c r="AC249" s="50" t="n"/>
      <c r="AD249" s="43">
        <f>IF(Z249&lt;&gt;"",Z249,N(V249))</f>
        <v/>
      </c>
      <c r="AE249" s="43">
        <f>IF(AA249&lt;&gt;"",AA249,N(W249))</f>
        <v/>
      </c>
      <c r="AF249" s="43">
        <f>AD249+AE249</f>
        <v/>
      </c>
      <c r="AG249" s="42">
        <f>IF(UPPER(AC249)="Y",1,IF(AF249=0,0,IF(AND(Z249="",Y249&lt;&gt;""),IF(Y249&gt;=0.999,1,0),IF(AF249&gt;=U249,1,0))))</f>
        <v/>
      </c>
      <c r="AH249" s="44">
        <f>IF(AF249&gt;0,(AD249-AE249)/AF249,"")</f>
        <v/>
      </c>
      <c r="AI249" s="45">
        <f>IF(AG249=1,AH249-O249,"")</f>
        <v/>
      </c>
      <c r="AJ249" s="44">
        <f>IF(AG249=1,AH249,MAX(-1,MIN(1,O249+INDEX(Types!$H:$H,MATCH($A249&amp;"|"&amp;$D249,Types!$A:$A,0)))))</f>
        <v/>
      </c>
      <c r="AK249" s="43">
        <f>IF(AG249=1,AF249,MAX(AQ249*AS249,AF249))</f>
        <v/>
      </c>
      <c r="AL249" s="43">
        <f>IF(AG249=1,AD249,AK249*(1+AJ249)/2)</f>
        <v/>
      </c>
      <c r="AM249" s="43">
        <f>IF(AG249=1,AE249,AK249*(1-AJ249)/2)</f>
        <v/>
      </c>
      <c r="AN249" s="45">
        <f>IF(AH249="","",AH249-T249)</f>
        <v/>
      </c>
      <c r="AO249" s="51">
        <f>IF(AG249=1,1,IF(U249&gt;0,MIN(AF249/U249,0.99),0))</f>
        <v/>
      </c>
      <c r="AP249" s="43">
        <f>IF(AG249=1,AI249*AF249,0)</f>
        <v/>
      </c>
      <c r="AQ249" s="43">
        <f>N249*(F249+G249)/H249</f>
        <v/>
      </c>
      <c r="AR249" s="43">
        <f>O249*AQ249</f>
        <v/>
      </c>
      <c r="AS249" s="52">
        <f>IF(AG249=1,IF(AQ249&gt;0,AF249/AQ249,1),IFERROR(INDEX(Types!$K:$K,MATCH($A249&amp;"|"&amp;$D249,Types!$A:$A,0)),INDEX(Dashboard!$X$6:$X$22,MATCH($A249,Dashboard!$A$6:$A$22,0))))</f>
        <v/>
      </c>
      <c r="AT249" s="43">
        <f>AQ249*INDEX(Dashboard!$Y$6:$Y$22,MATCH($A249,Dashboard!$A$6:$A$22,0))</f>
        <v/>
      </c>
      <c r="AU249" s="53">
        <f>IF(AND(AG249=1,AT249&gt;0,AF249&gt;0),100*AF249/AT249,"")</f>
        <v/>
      </c>
      <c r="AV249" s="44">
        <f>IF(AU249="","",T249/(AU249/100))</f>
        <v/>
      </c>
      <c r="AW249" s="53">
        <f>IF(AU249="","",IF(AND(ABS(AH249)&gt;=0.1,ABS(T249)&gt;=0.05,SIGN(AH249)=SIGN(T249)),100*T249/AH249,""))</f>
        <v/>
      </c>
      <c r="AX249" s="45">
        <f>IF(AU249="","",T249-AV249)</f>
        <v/>
      </c>
      <c r="AY249" s="45">
        <f>IF(AU249="","",AH249-AV249)</f>
        <v/>
      </c>
      <c r="AZ249" s="54">
        <f>(AL249-AM249)-T249*AT249</f>
        <v/>
      </c>
      <c r="BA249" s="43">
        <f>IF(AU249="",0,(AH249-T249)*AF249)</f>
        <v/>
      </c>
      <c r="BB249" s="43">
        <f>IF(AU249="",0,T249*(AF249-AT249))</f>
        <v/>
      </c>
      <c r="BC249" s="51" t="n">
        <v>0.009047668286630131</v>
      </c>
      <c r="BD249" s="51" t="n">
        <v>0.01695791541722676</v>
      </c>
      <c r="BE249" s="51" t="n">
        <v>0.1835727760847482</v>
      </c>
      <c r="BF249" s="43" t="n">
        <v>19342</v>
      </c>
    </row>
    <row r="250">
      <c r="A250" s="42" t="inlineStr">
        <is>
          <t>IA</t>
        </is>
      </c>
      <c r="B250" s="42" t="inlineStr">
        <is>
          <t>19099</t>
        </is>
      </c>
      <c r="C250" s="42" t="inlineStr">
        <is>
          <t>Jasper</t>
        </is>
      </c>
      <c r="D250" s="42" t="inlineStr">
        <is>
          <t>Small town &amp; rural</t>
        </is>
      </c>
      <c r="E250" s="42" t="inlineStr"/>
      <c r="F250" s="43" t="n">
        <v>7141</v>
      </c>
      <c r="G250" s="43" t="n">
        <v>12701</v>
      </c>
      <c r="H250" s="43" t="n">
        <v>20149</v>
      </c>
      <c r="I250" s="43" t="n">
        <v>7737</v>
      </c>
      <c r="J250" s="43" t="n">
        <v>12084</v>
      </c>
      <c r="K250" s="42" t="inlineStr">
        <is>
          <t>US Senate</t>
        </is>
      </c>
      <c r="L250" s="43" t="n">
        <v>5658</v>
      </c>
      <c r="M250" s="43" t="n">
        <v>9298</v>
      </c>
      <c r="N250" s="43" t="n">
        <v>14979</v>
      </c>
      <c r="O250" s="44">
        <f>IFERROR((F250-G250)/(F250+G250),"")</f>
        <v/>
      </c>
      <c r="P250" s="44">
        <f>IFERROR((I250-J250)/(I250+J250),"")</f>
        <v/>
      </c>
      <c r="Q250" s="45">
        <f>IFERROR(O250-P250,"")</f>
        <v/>
      </c>
      <c r="R250" s="44">
        <f>IFERROR((L250-M250)/(L250+M250),"")</f>
        <v/>
      </c>
      <c r="S250" s="46">
        <f>H250/SUMIFS(Counties!$H$2:$H$1583,Counties!$A$2:$A$1583,$A250)</f>
        <v/>
      </c>
      <c r="T250" s="44">
        <f>O250+INDEX(Dashboard!$F$6:$F$22,MATCH($A250,Dashboard!$A$6:$A$22,0))</f>
        <v/>
      </c>
      <c r="U250" s="43">
        <f>AQ250*INDEX(Dashboard!$G$6:$G$22,MATCH($A250,Dashboard!$A$6:$A$22,0))</f>
        <v/>
      </c>
      <c r="V250" s="47" t="n"/>
      <c r="W250" s="47" t="n"/>
      <c r="X250" s="47" t="n"/>
      <c r="Y250" s="48" t="n"/>
      <c r="Z250" s="49" t="n"/>
      <c r="AA250" s="49" t="n"/>
      <c r="AB250" s="49" t="n"/>
      <c r="AC250" s="50" t="n"/>
      <c r="AD250" s="43">
        <f>IF(Z250&lt;&gt;"",Z250,N(V250))</f>
        <v/>
      </c>
      <c r="AE250" s="43">
        <f>IF(AA250&lt;&gt;"",AA250,N(W250))</f>
        <v/>
      </c>
      <c r="AF250" s="43">
        <f>AD250+AE250</f>
        <v/>
      </c>
      <c r="AG250" s="42">
        <f>IF(UPPER(AC250)="Y",1,IF(AF250=0,0,IF(AND(Z250="",Y250&lt;&gt;""),IF(Y250&gt;=0.999,1,0),IF(AF250&gt;=U250,1,0))))</f>
        <v/>
      </c>
      <c r="AH250" s="44">
        <f>IF(AF250&gt;0,(AD250-AE250)/AF250,"")</f>
        <v/>
      </c>
      <c r="AI250" s="45">
        <f>IF(AG250=1,AH250-O250,"")</f>
        <v/>
      </c>
      <c r="AJ250" s="44">
        <f>IF(AG250=1,AH250,MAX(-1,MIN(1,O250+INDEX(Types!$H:$H,MATCH($A250&amp;"|"&amp;$D250,Types!$A:$A,0)))))</f>
        <v/>
      </c>
      <c r="AK250" s="43">
        <f>IF(AG250=1,AF250,MAX(AQ250*AS250,AF250))</f>
        <v/>
      </c>
      <c r="AL250" s="43">
        <f>IF(AG250=1,AD250,AK250*(1+AJ250)/2)</f>
        <v/>
      </c>
      <c r="AM250" s="43">
        <f>IF(AG250=1,AE250,AK250*(1-AJ250)/2)</f>
        <v/>
      </c>
      <c r="AN250" s="45">
        <f>IF(AH250="","",AH250-T250)</f>
        <v/>
      </c>
      <c r="AO250" s="51">
        <f>IF(AG250=1,1,IF(U250&gt;0,MIN(AF250/U250,0.99),0))</f>
        <v/>
      </c>
      <c r="AP250" s="43">
        <f>IF(AG250=1,AI250*AF250,0)</f>
        <v/>
      </c>
      <c r="AQ250" s="43">
        <f>N250*(F250+G250)/H250</f>
        <v/>
      </c>
      <c r="AR250" s="43">
        <f>O250*AQ250</f>
        <v/>
      </c>
      <c r="AS250" s="52">
        <f>IF(AG250=1,IF(AQ250&gt;0,AF250/AQ250,1),IFERROR(INDEX(Types!$K:$K,MATCH($A250&amp;"|"&amp;$D250,Types!$A:$A,0)),INDEX(Dashboard!$X$6:$X$22,MATCH($A250,Dashboard!$A$6:$A$22,0))))</f>
        <v/>
      </c>
      <c r="AT250" s="43">
        <f>AQ250*INDEX(Dashboard!$Y$6:$Y$22,MATCH($A250,Dashboard!$A$6:$A$22,0))</f>
        <v/>
      </c>
      <c r="AU250" s="53">
        <f>IF(AND(AG250=1,AT250&gt;0,AF250&gt;0),100*AF250/AT250,"")</f>
        <v/>
      </c>
      <c r="AV250" s="44">
        <f>IF(AU250="","",T250/(AU250/100))</f>
        <v/>
      </c>
      <c r="AW250" s="53">
        <f>IF(AU250="","",IF(AND(ABS(AH250)&gt;=0.1,ABS(T250)&gt;=0.05,SIGN(AH250)=SIGN(T250)),100*T250/AH250,""))</f>
        <v/>
      </c>
      <c r="AX250" s="45">
        <f>IF(AU250="","",T250-AV250)</f>
        <v/>
      </c>
      <c r="AY250" s="45">
        <f>IF(AU250="","",AH250-AV250)</f>
        <v/>
      </c>
      <c r="AZ250" s="54">
        <f>(AL250-AM250)-T250*AT250</f>
        <v/>
      </c>
      <c r="BA250" s="43">
        <f>IF(AU250="",0,(AH250-T250)*AF250)</f>
        <v/>
      </c>
      <c r="BB250" s="43">
        <f>IF(AU250="",0,T250*(AF250-AT250))</f>
        <v/>
      </c>
      <c r="BC250" s="51" t="n">
        <v>0.02162504285450566</v>
      </c>
      <c r="BD250" s="51" t="n">
        <v>0.03148817215643872</v>
      </c>
      <c r="BE250" s="51" t="n">
        <v>0.1991364745635442</v>
      </c>
      <c r="BF250" s="43" t="n">
        <v>37919</v>
      </c>
    </row>
    <row r="251">
      <c r="A251" s="42" t="inlineStr">
        <is>
          <t>IA</t>
        </is>
      </c>
      <c r="B251" s="42" t="inlineStr">
        <is>
          <t>19101</t>
        </is>
      </c>
      <c r="C251" s="42" t="inlineStr">
        <is>
          <t>Jefferson</t>
        </is>
      </c>
      <c r="D251" s="42" t="inlineStr">
        <is>
          <t>Small town &amp; rural</t>
        </is>
      </c>
      <c r="E251" s="42" t="inlineStr"/>
      <c r="F251" s="43" t="n">
        <v>3788</v>
      </c>
      <c r="G251" s="43" t="n">
        <v>4353</v>
      </c>
      <c r="H251" s="43" t="n">
        <v>8317</v>
      </c>
      <c r="I251" s="43" t="n">
        <v>4319</v>
      </c>
      <c r="J251" s="43" t="n">
        <v>4443</v>
      </c>
      <c r="K251" s="42" t="inlineStr">
        <is>
          <t>US Senate</t>
        </is>
      </c>
      <c r="L251" s="43" t="n">
        <v>3214</v>
      </c>
      <c r="M251" s="43" t="n">
        <v>3263</v>
      </c>
      <c r="N251" s="43" t="n">
        <v>6489</v>
      </c>
      <c r="O251" s="44">
        <f>IFERROR((F251-G251)/(F251+G251),"")</f>
        <v/>
      </c>
      <c r="P251" s="44">
        <f>IFERROR((I251-J251)/(I251+J251),"")</f>
        <v/>
      </c>
      <c r="Q251" s="45">
        <f>IFERROR(O251-P251,"")</f>
        <v/>
      </c>
      <c r="R251" s="44">
        <f>IFERROR((L251-M251)/(L251+M251),"")</f>
        <v/>
      </c>
      <c r="S251" s="46">
        <f>H251/SUMIFS(Counties!$H$2:$H$1583,Counties!$A$2:$A$1583,$A251)</f>
        <v/>
      </c>
      <c r="T251" s="44">
        <f>O251+INDEX(Dashboard!$F$6:$F$22,MATCH($A251,Dashboard!$A$6:$A$22,0))</f>
        <v/>
      </c>
      <c r="U251" s="43">
        <f>AQ251*INDEX(Dashboard!$G$6:$G$22,MATCH($A251,Dashboard!$A$6:$A$22,0))</f>
        <v/>
      </c>
      <c r="V251" s="47" t="n"/>
      <c r="W251" s="47" t="n"/>
      <c r="X251" s="47" t="n"/>
      <c r="Y251" s="48" t="n"/>
      <c r="Z251" s="49" t="n"/>
      <c r="AA251" s="49" t="n"/>
      <c r="AB251" s="49" t="n"/>
      <c r="AC251" s="50" t="n"/>
      <c r="AD251" s="43">
        <f>IF(Z251&lt;&gt;"",Z251,N(V251))</f>
        <v/>
      </c>
      <c r="AE251" s="43">
        <f>IF(AA251&lt;&gt;"",AA251,N(W251))</f>
        <v/>
      </c>
      <c r="AF251" s="43">
        <f>AD251+AE251</f>
        <v/>
      </c>
      <c r="AG251" s="42">
        <f>IF(UPPER(AC251)="Y",1,IF(AF251=0,0,IF(AND(Z251="",Y251&lt;&gt;""),IF(Y251&gt;=0.999,1,0),IF(AF251&gt;=U251,1,0))))</f>
        <v/>
      </c>
      <c r="AH251" s="44">
        <f>IF(AF251&gt;0,(AD251-AE251)/AF251,"")</f>
        <v/>
      </c>
      <c r="AI251" s="45">
        <f>IF(AG251=1,AH251-O251,"")</f>
        <v/>
      </c>
      <c r="AJ251" s="44">
        <f>IF(AG251=1,AH251,MAX(-1,MIN(1,O251+INDEX(Types!$H:$H,MATCH($A251&amp;"|"&amp;$D251,Types!$A:$A,0)))))</f>
        <v/>
      </c>
      <c r="AK251" s="43">
        <f>IF(AG251=1,AF251,MAX(AQ251*AS251,AF251))</f>
        <v/>
      </c>
      <c r="AL251" s="43">
        <f>IF(AG251=1,AD251,AK251*(1+AJ251)/2)</f>
        <v/>
      </c>
      <c r="AM251" s="43">
        <f>IF(AG251=1,AE251,AK251*(1-AJ251)/2)</f>
        <v/>
      </c>
      <c r="AN251" s="45">
        <f>IF(AH251="","",AH251-T251)</f>
        <v/>
      </c>
      <c r="AO251" s="51">
        <f>IF(AG251=1,1,IF(U251&gt;0,MIN(AF251/U251,0.99),0))</f>
        <v/>
      </c>
      <c r="AP251" s="43">
        <f>IF(AG251=1,AI251*AF251,0)</f>
        <v/>
      </c>
      <c r="AQ251" s="43">
        <f>N251*(F251+G251)/H251</f>
        <v/>
      </c>
      <c r="AR251" s="43">
        <f>O251*AQ251</f>
        <v/>
      </c>
      <c r="AS251" s="52">
        <f>IF(AG251=1,IF(AQ251&gt;0,AF251/AQ251,1),IFERROR(INDEX(Types!$K:$K,MATCH($A251&amp;"|"&amp;$D251,Types!$A:$A,0)),INDEX(Dashboard!$X$6:$X$22,MATCH($A251,Dashboard!$A$6:$A$22,0))))</f>
        <v/>
      </c>
      <c r="AT251" s="43">
        <f>AQ251*INDEX(Dashboard!$Y$6:$Y$22,MATCH($A251,Dashboard!$A$6:$A$22,0))</f>
        <v/>
      </c>
      <c r="AU251" s="53">
        <f>IF(AND(AG251=1,AT251&gt;0,AF251&gt;0),100*AF251/AT251,"")</f>
        <v/>
      </c>
      <c r="AV251" s="44">
        <f>IF(AU251="","",T251/(AU251/100))</f>
        <v/>
      </c>
      <c r="AW251" s="53">
        <f>IF(AU251="","",IF(AND(ABS(AH251)&gt;=0.1,ABS(T251)&gt;=0.05,SIGN(AH251)=SIGN(T251)),100*T251/AH251,""))</f>
        <v/>
      </c>
      <c r="AX251" s="45">
        <f>IF(AU251="","",T251-AV251)</f>
        <v/>
      </c>
      <c r="AY251" s="45">
        <f>IF(AU251="","",AH251-AV251)</f>
        <v/>
      </c>
      <c r="AZ251" s="54">
        <f>(AL251-AM251)-T251*AT251</f>
        <v/>
      </c>
      <c r="BA251" s="43">
        <f>IF(AU251="",0,(AH251-T251)*AF251)</f>
        <v/>
      </c>
      <c r="BB251" s="43">
        <f>IF(AU251="",0,T251*(AF251-AT251))</f>
        <v/>
      </c>
      <c r="BC251" s="51" t="n">
        <v>0.0202720207253886</v>
      </c>
      <c r="BD251" s="51" t="n">
        <v>0.04132124352331606</v>
      </c>
      <c r="BE251" s="51" t="n">
        <v>0.4163053642778203</v>
      </c>
      <c r="BF251" s="43" t="n">
        <v>15440</v>
      </c>
    </row>
    <row r="252">
      <c r="A252" s="42" t="inlineStr">
        <is>
          <t>IA</t>
        </is>
      </c>
      <c r="B252" s="42" t="inlineStr">
        <is>
          <t>19103</t>
        </is>
      </c>
      <c r="C252" s="42" t="inlineStr">
        <is>
          <t>Johnson</t>
        </is>
      </c>
      <c r="D252" s="42" t="inlineStr">
        <is>
          <t>College suburb/metro</t>
        </is>
      </c>
      <c r="E252" s="42" t="inlineStr">
        <is>
          <t>★</t>
        </is>
      </c>
      <c r="F252" s="43" t="n">
        <v>58846</v>
      </c>
      <c r="G252" s="43" t="n">
        <v>26087</v>
      </c>
      <c r="H252" s="43" t="n">
        <v>86068</v>
      </c>
      <c r="I252" s="43" t="n">
        <v>59177</v>
      </c>
      <c r="J252" s="43" t="n">
        <v>22925</v>
      </c>
      <c r="K252" s="42" t="inlineStr">
        <is>
          <t>US Senate</t>
        </is>
      </c>
      <c r="L252" s="43" t="n">
        <v>45416</v>
      </c>
      <c r="M252" s="43" t="n">
        <v>18245</v>
      </c>
      <c r="N252" s="43" t="n">
        <v>63723</v>
      </c>
      <c r="O252" s="44">
        <f>IFERROR((F252-G252)/(F252+G252),"")</f>
        <v/>
      </c>
      <c r="P252" s="44">
        <f>IFERROR((I252-J252)/(I252+J252),"")</f>
        <v/>
      </c>
      <c r="Q252" s="45">
        <f>IFERROR(O252-P252,"")</f>
        <v/>
      </c>
      <c r="R252" s="44">
        <f>IFERROR((L252-M252)/(L252+M252),"")</f>
        <v/>
      </c>
      <c r="S252" s="46">
        <f>H252/SUMIFS(Counties!$H$2:$H$1583,Counties!$A$2:$A$1583,$A252)</f>
        <v/>
      </c>
      <c r="T252" s="44">
        <f>O252+INDEX(Dashboard!$F$6:$F$22,MATCH($A252,Dashboard!$A$6:$A$22,0))</f>
        <v/>
      </c>
      <c r="U252" s="43">
        <f>AQ252*INDEX(Dashboard!$G$6:$G$22,MATCH($A252,Dashboard!$A$6:$A$22,0))</f>
        <v/>
      </c>
      <c r="V252" s="47" t="n"/>
      <c r="W252" s="47" t="n"/>
      <c r="X252" s="47" t="n"/>
      <c r="Y252" s="48" t="n"/>
      <c r="Z252" s="49" t="n"/>
      <c r="AA252" s="49" t="n"/>
      <c r="AB252" s="49" t="n"/>
      <c r="AC252" s="50" t="n"/>
      <c r="AD252" s="43">
        <f>IF(Z252&lt;&gt;"",Z252,N(V252))</f>
        <v/>
      </c>
      <c r="AE252" s="43">
        <f>IF(AA252&lt;&gt;"",AA252,N(W252))</f>
        <v/>
      </c>
      <c r="AF252" s="43">
        <f>AD252+AE252</f>
        <v/>
      </c>
      <c r="AG252" s="42">
        <f>IF(UPPER(AC252)="Y",1,IF(AF252=0,0,IF(AND(Z252="",Y252&lt;&gt;""),IF(Y252&gt;=0.999,1,0),IF(AF252&gt;=U252,1,0))))</f>
        <v/>
      </c>
      <c r="AH252" s="44">
        <f>IF(AF252&gt;0,(AD252-AE252)/AF252,"")</f>
        <v/>
      </c>
      <c r="AI252" s="45">
        <f>IF(AG252=1,AH252-O252,"")</f>
        <v/>
      </c>
      <c r="AJ252" s="44">
        <f>IF(AG252=1,AH252,MAX(-1,MIN(1,O252+INDEX(Types!$H:$H,MATCH($A252&amp;"|"&amp;$D252,Types!$A:$A,0)))))</f>
        <v/>
      </c>
      <c r="AK252" s="43">
        <f>IF(AG252=1,AF252,MAX(AQ252*AS252,AF252))</f>
        <v/>
      </c>
      <c r="AL252" s="43">
        <f>IF(AG252=1,AD252,AK252*(1+AJ252)/2)</f>
        <v/>
      </c>
      <c r="AM252" s="43">
        <f>IF(AG252=1,AE252,AK252*(1-AJ252)/2)</f>
        <v/>
      </c>
      <c r="AN252" s="45">
        <f>IF(AH252="","",AH252-T252)</f>
        <v/>
      </c>
      <c r="AO252" s="51">
        <f>IF(AG252=1,1,IF(U252&gt;0,MIN(AF252/U252,0.99),0))</f>
        <v/>
      </c>
      <c r="AP252" s="43">
        <f>IF(AG252=1,AI252*AF252,0)</f>
        <v/>
      </c>
      <c r="AQ252" s="43">
        <f>N252*(F252+G252)/H252</f>
        <v/>
      </c>
      <c r="AR252" s="43">
        <f>O252*AQ252</f>
        <v/>
      </c>
      <c r="AS252" s="52">
        <f>IF(AG252=1,IF(AQ252&gt;0,AF252/AQ252,1),IFERROR(INDEX(Types!$K:$K,MATCH($A252&amp;"|"&amp;$D252,Types!$A:$A,0)),INDEX(Dashboard!$X$6:$X$22,MATCH($A252,Dashboard!$A$6:$A$22,0))))</f>
        <v/>
      </c>
      <c r="AT252" s="43">
        <f>AQ252*INDEX(Dashboard!$Y$6:$Y$22,MATCH($A252,Dashboard!$A$6:$A$22,0))</f>
        <v/>
      </c>
      <c r="AU252" s="53">
        <f>IF(AND(AG252=1,AT252&gt;0,AF252&gt;0),100*AF252/AT252,"")</f>
        <v/>
      </c>
      <c r="AV252" s="44">
        <f>IF(AU252="","",T252/(AU252/100))</f>
        <v/>
      </c>
      <c r="AW252" s="53">
        <f>IF(AU252="","",IF(AND(ABS(AH252)&gt;=0.1,ABS(T252)&gt;=0.05,SIGN(AH252)=SIGN(T252)),100*T252/AH252,""))</f>
        <v/>
      </c>
      <c r="AX252" s="45">
        <f>IF(AU252="","",T252-AV252)</f>
        <v/>
      </c>
      <c r="AY252" s="45">
        <f>IF(AU252="","",AH252-AV252)</f>
        <v/>
      </c>
      <c r="AZ252" s="54">
        <f>(AL252-AM252)-T252*AT252</f>
        <v/>
      </c>
      <c r="BA252" s="43">
        <f>IF(AU252="",0,(AH252-T252)*AF252)</f>
        <v/>
      </c>
      <c r="BB252" s="43">
        <f>IF(AU252="",0,T252*(AF252-AT252))</f>
        <v/>
      </c>
      <c r="BC252" s="51" t="n">
        <v>0.08458813671220354</v>
      </c>
      <c r="BD252" s="51" t="n">
        <v>0.06789904017063633</v>
      </c>
      <c r="BE252" s="51" t="n">
        <v>0.5456850316918577</v>
      </c>
      <c r="BF252" s="43" t="n">
        <v>157528</v>
      </c>
    </row>
    <row r="253">
      <c r="A253" s="42" t="inlineStr">
        <is>
          <t>IA</t>
        </is>
      </c>
      <c r="B253" s="42" t="inlineStr">
        <is>
          <t>19105</t>
        </is>
      </c>
      <c r="C253" s="42" t="inlineStr">
        <is>
          <t>Jones</t>
        </is>
      </c>
      <c r="D253" s="42" t="inlineStr">
        <is>
          <t>Small town &amp; rural</t>
        </is>
      </c>
      <c r="E253" s="42" t="inlineStr"/>
      <c r="F253" s="43" t="n">
        <v>3942</v>
      </c>
      <c r="G253" s="43" t="n">
        <v>6820</v>
      </c>
      <c r="H253" s="43" t="n">
        <v>10949</v>
      </c>
      <c r="I253" s="43" t="n">
        <v>4213</v>
      </c>
      <c r="J253" s="43" t="n">
        <v>6572</v>
      </c>
      <c r="K253" s="42" t="inlineStr">
        <is>
          <t>US Senate</t>
        </is>
      </c>
      <c r="L253" s="43" t="n">
        <v>3041</v>
      </c>
      <c r="M253" s="43" t="n">
        <v>5118</v>
      </c>
      <c r="N253" s="43" t="n">
        <v>8173</v>
      </c>
      <c r="O253" s="44">
        <f>IFERROR((F253-G253)/(F253+G253),"")</f>
        <v/>
      </c>
      <c r="P253" s="44">
        <f>IFERROR((I253-J253)/(I253+J253),"")</f>
        <v/>
      </c>
      <c r="Q253" s="45">
        <f>IFERROR(O253-P253,"")</f>
        <v/>
      </c>
      <c r="R253" s="44">
        <f>IFERROR((L253-M253)/(L253+M253),"")</f>
        <v/>
      </c>
      <c r="S253" s="46">
        <f>H253/SUMIFS(Counties!$H$2:$H$1583,Counties!$A$2:$A$1583,$A253)</f>
        <v/>
      </c>
      <c r="T253" s="44">
        <f>O253+INDEX(Dashboard!$F$6:$F$22,MATCH($A253,Dashboard!$A$6:$A$22,0))</f>
        <v/>
      </c>
      <c r="U253" s="43">
        <f>AQ253*INDEX(Dashboard!$G$6:$G$22,MATCH($A253,Dashboard!$A$6:$A$22,0))</f>
        <v/>
      </c>
      <c r="V253" s="47" t="n"/>
      <c r="W253" s="47" t="n"/>
      <c r="X253" s="47" t="n"/>
      <c r="Y253" s="48" t="n"/>
      <c r="Z253" s="49" t="n"/>
      <c r="AA253" s="49" t="n"/>
      <c r="AB253" s="49" t="n"/>
      <c r="AC253" s="50" t="n"/>
      <c r="AD253" s="43">
        <f>IF(Z253&lt;&gt;"",Z253,N(V253))</f>
        <v/>
      </c>
      <c r="AE253" s="43">
        <f>IF(AA253&lt;&gt;"",AA253,N(W253))</f>
        <v/>
      </c>
      <c r="AF253" s="43">
        <f>AD253+AE253</f>
        <v/>
      </c>
      <c r="AG253" s="42">
        <f>IF(UPPER(AC253)="Y",1,IF(AF253=0,0,IF(AND(Z253="",Y253&lt;&gt;""),IF(Y253&gt;=0.999,1,0),IF(AF253&gt;=U253,1,0))))</f>
        <v/>
      </c>
      <c r="AH253" s="44">
        <f>IF(AF253&gt;0,(AD253-AE253)/AF253,"")</f>
        <v/>
      </c>
      <c r="AI253" s="45">
        <f>IF(AG253=1,AH253-O253,"")</f>
        <v/>
      </c>
      <c r="AJ253" s="44">
        <f>IF(AG253=1,AH253,MAX(-1,MIN(1,O253+INDEX(Types!$H:$H,MATCH($A253&amp;"|"&amp;$D253,Types!$A:$A,0)))))</f>
        <v/>
      </c>
      <c r="AK253" s="43">
        <f>IF(AG253=1,AF253,MAX(AQ253*AS253,AF253))</f>
        <v/>
      </c>
      <c r="AL253" s="43">
        <f>IF(AG253=1,AD253,AK253*(1+AJ253)/2)</f>
        <v/>
      </c>
      <c r="AM253" s="43">
        <f>IF(AG253=1,AE253,AK253*(1-AJ253)/2)</f>
        <v/>
      </c>
      <c r="AN253" s="45">
        <f>IF(AH253="","",AH253-T253)</f>
        <v/>
      </c>
      <c r="AO253" s="51">
        <f>IF(AG253=1,1,IF(U253&gt;0,MIN(AF253/U253,0.99),0))</f>
        <v/>
      </c>
      <c r="AP253" s="43">
        <f>IF(AG253=1,AI253*AF253,0)</f>
        <v/>
      </c>
      <c r="AQ253" s="43">
        <f>N253*(F253+G253)/H253</f>
        <v/>
      </c>
      <c r="AR253" s="43">
        <f>O253*AQ253</f>
        <v/>
      </c>
      <c r="AS253" s="52">
        <f>IF(AG253=1,IF(AQ253&gt;0,AF253/AQ253,1),IFERROR(INDEX(Types!$K:$K,MATCH($A253&amp;"|"&amp;$D253,Types!$A:$A,0)),INDEX(Dashboard!$X$6:$X$22,MATCH($A253,Dashboard!$A$6:$A$22,0))))</f>
        <v/>
      </c>
      <c r="AT253" s="43">
        <f>AQ253*INDEX(Dashboard!$Y$6:$Y$22,MATCH($A253,Dashboard!$A$6:$A$22,0))</f>
        <v/>
      </c>
      <c r="AU253" s="53">
        <f>IF(AND(AG253=1,AT253&gt;0,AF253&gt;0),100*AF253/AT253,"")</f>
        <v/>
      </c>
      <c r="AV253" s="44">
        <f>IF(AU253="","",T253/(AU253/100))</f>
        <v/>
      </c>
      <c r="AW253" s="53">
        <f>IF(AU253="","",IF(AND(ABS(AH253)&gt;=0.1,ABS(T253)&gt;=0.05,SIGN(AH253)=SIGN(T253)),100*T253/AH253,""))</f>
        <v/>
      </c>
      <c r="AX253" s="45">
        <f>IF(AU253="","",T253-AV253)</f>
        <v/>
      </c>
      <c r="AY253" s="45">
        <f>IF(AU253="","",AH253-AV253)</f>
        <v/>
      </c>
      <c r="AZ253" s="54">
        <f>(AL253-AM253)-T253*AT253</f>
        <v/>
      </c>
      <c r="BA253" s="43">
        <f>IF(AU253="",0,(AH253-T253)*AF253)</f>
        <v/>
      </c>
      <c r="BB253" s="43">
        <f>IF(AU253="",0,T253*(AF253-AT253))</f>
        <v/>
      </c>
      <c r="BC253" s="51" t="n">
        <v>0.02913875598086125</v>
      </c>
      <c r="BD253" s="51" t="n">
        <v>0.02674641148325359</v>
      </c>
      <c r="BE253" s="51" t="n">
        <v>0.2074793718392334</v>
      </c>
      <c r="BF253" s="43" t="n">
        <v>20900</v>
      </c>
    </row>
    <row r="254">
      <c r="A254" s="42" t="inlineStr">
        <is>
          <t>IA</t>
        </is>
      </c>
      <c r="B254" s="42" t="inlineStr">
        <is>
          <t>19107</t>
        </is>
      </c>
      <c r="C254" s="42" t="inlineStr">
        <is>
          <t>Keokuk</t>
        </is>
      </c>
      <c r="D254" s="42" t="inlineStr">
        <is>
          <t>Small town &amp; rural</t>
        </is>
      </c>
      <c r="E254" s="42" t="inlineStr"/>
      <c r="F254" s="43" t="n">
        <v>1219</v>
      </c>
      <c r="G254" s="43" t="n">
        <v>3869</v>
      </c>
      <c r="H254" s="43" t="n">
        <v>5142</v>
      </c>
      <c r="I254" s="43" t="n">
        <v>1414</v>
      </c>
      <c r="J254" s="43" t="n">
        <v>3797</v>
      </c>
      <c r="K254" s="42" t="inlineStr">
        <is>
          <t>US Senate</t>
        </is>
      </c>
      <c r="L254" s="43" t="n">
        <v>949</v>
      </c>
      <c r="M254" s="43" t="n">
        <v>2811</v>
      </c>
      <c r="N254" s="43" t="n">
        <v>3766</v>
      </c>
      <c r="O254" s="44">
        <f>IFERROR((F254-G254)/(F254+G254),"")</f>
        <v/>
      </c>
      <c r="P254" s="44">
        <f>IFERROR((I254-J254)/(I254+J254),"")</f>
        <v/>
      </c>
      <c r="Q254" s="45">
        <f>IFERROR(O254-P254,"")</f>
        <v/>
      </c>
      <c r="R254" s="44">
        <f>IFERROR((L254-M254)/(L254+M254),"")</f>
        <v/>
      </c>
      <c r="S254" s="46">
        <f>H254/SUMIFS(Counties!$H$2:$H$1583,Counties!$A$2:$A$1583,$A254)</f>
        <v/>
      </c>
      <c r="T254" s="44">
        <f>O254+INDEX(Dashboard!$F$6:$F$22,MATCH($A254,Dashboard!$A$6:$A$22,0))</f>
        <v/>
      </c>
      <c r="U254" s="43">
        <f>AQ254*INDEX(Dashboard!$G$6:$G$22,MATCH($A254,Dashboard!$A$6:$A$22,0))</f>
        <v/>
      </c>
      <c r="V254" s="47" t="n"/>
      <c r="W254" s="47" t="n"/>
      <c r="X254" s="47" t="n"/>
      <c r="Y254" s="48" t="n"/>
      <c r="Z254" s="49" t="n"/>
      <c r="AA254" s="49" t="n"/>
      <c r="AB254" s="49" t="n"/>
      <c r="AC254" s="50" t="n"/>
      <c r="AD254" s="43">
        <f>IF(Z254&lt;&gt;"",Z254,N(V254))</f>
        <v/>
      </c>
      <c r="AE254" s="43">
        <f>IF(AA254&lt;&gt;"",AA254,N(W254))</f>
        <v/>
      </c>
      <c r="AF254" s="43">
        <f>AD254+AE254</f>
        <v/>
      </c>
      <c r="AG254" s="42">
        <f>IF(UPPER(AC254)="Y",1,IF(AF254=0,0,IF(AND(Z254="",Y254&lt;&gt;""),IF(Y254&gt;=0.999,1,0),IF(AF254&gt;=U254,1,0))))</f>
        <v/>
      </c>
      <c r="AH254" s="44">
        <f>IF(AF254&gt;0,(AD254-AE254)/AF254,"")</f>
        <v/>
      </c>
      <c r="AI254" s="45">
        <f>IF(AG254=1,AH254-O254,"")</f>
        <v/>
      </c>
      <c r="AJ254" s="44">
        <f>IF(AG254=1,AH254,MAX(-1,MIN(1,O254+INDEX(Types!$H:$H,MATCH($A254&amp;"|"&amp;$D254,Types!$A:$A,0)))))</f>
        <v/>
      </c>
      <c r="AK254" s="43">
        <f>IF(AG254=1,AF254,MAX(AQ254*AS254,AF254))</f>
        <v/>
      </c>
      <c r="AL254" s="43">
        <f>IF(AG254=1,AD254,AK254*(1+AJ254)/2)</f>
        <v/>
      </c>
      <c r="AM254" s="43">
        <f>IF(AG254=1,AE254,AK254*(1-AJ254)/2)</f>
        <v/>
      </c>
      <c r="AN254" s="45">
        <f>IF(AH254="","",AH254-T254)</f>
        <v/>
      </c>
      <c r="AO254" s="51">
        <f>IF(AG254=1,1,IF(U254&gt;0,MIN(AF254/U254,0.99),0))</f>
        <v/>
      </c>
      <c r="AP254" s="43">
        <f>IF(AG254=1,AI254*AF254,0)</f>
        <v/>
      </c>
      <c r="AQ254" s="43">
        <f>N254*(F254+G254)/H254</f>
        <v/>
      </c>
      <c r="AR254" s="43">
        <f>O254*AQ254</f>
        <v/>
      </c>
      <c r="AS254" s="52">
        <f>IF(AG254=1,IF(AQ254&gt;0,AF254/AQ254,1),IFERROR(INDEX(Types!$K:$K,MATCH($A254&amp;"|"&amp;$D254,Types!$A:$A,0)),INDEX(Dashboard!$X$6:$X$22,MATCH($A254,Dashboard!$A$6:$A$22,0))))</f>
        <v/>
      </c>
      <c r="AT254" s="43">
        <f>AQ254*INDEX(Dashboard!$Y$6:$Y$22,MATCH($A254,Dashboard!$A$6:$A$22,0))</f>
        <v/>
      </c>
      <c r="AU254" s="53">
        <f>IF(AND(AG254=1,AT254&gt;0,AF254&gt;0),100*AF254/AT254,"")</f>
        <v/>
      </c>
      <c r="AV254" s="44">
        <f>IF(AU254="","",T254/(AU254/100))</f>
        <v/>
      </c>
      <c r="AW254" s="53">
        <f>IF(AU254="","",IF(AND(ABS(AH254)&gt;=0.1,ABS(T254)&gt;=0.05,SIGN(AH254)=SIGN(T254)),100*T254/AH254,""))</f>
        <v/>
      </c>
      <c r="AX254" s="45">
        <f>IF(AU254="","",T254-AV254)</f>
        <v/>
      </c>
      <c r="AY254" s="45">
        <f>IF(AU254="","",AH254-AV254)</f>
        <v/>
      </c>
      <c r="AZ254" s="54">
        <f>(AL254-AM254)-T254*AT254</f>
        <v/>
      </c>
      <c r="BA254" s="43">
        <f>IF(AU254="",0,(AH254-T254)*AF254)</f>
        <v/>
      </c>
      <c r="BB254" s="43">
        <f>IF(AU254="",0,T254*(AF254-AT254))</f>
        <v/>
      </c>
      <c r="BC254" s="51" t="n">
        <v>0.008271131732902965</v>
      </c>
      <c r="BD254" s="51" t="n">
        <v>0.02269517853540448</v>
      </c>
      <c r="BE254" s="51" t="n">
        <v>0.1588530465949821</v>
      </c>
      <c r="BF254" s="43" t="n">
        <v>9914</v>
      </c>
    </row>
    <row r="255">
      <c r="A255" s="42" t="inlineStr">
        <is>
          <t>IA</t>
        </is>
      </c>
      <c r="B255" s="42" t="inlineStr">
        <is>
          <t>19109</t>
        </is>
      </c>
      <c r="C255" s="42" t="inlineStr">
        <is>
          <t>Kossuth</t>
        </is>
      </c>
      <c r="D255" s="42" t="inlineStr">
        <is>
          <t>Small town &amp; rural</t>
        </is>
      </c>
      <c r="E255" s="42" t="inlineStr"/>
      <c r="F255" s="43" t="n">
        <v>2284</v>
      </c>
      <c r="G255" s="43" t="n">
        <v>5983</v>
      </c>
      <c r="H255" s="43" t="n">
        <v>8376</v>
      </c>
      <c r="I255" s="43" t="n">
        <v>2696</v>
      </c>
      <c r="J255" s="43" t="n">
        <v>6275</v>
      </c>
      <c r="K255" s="42" t="inlineStr">
        <is>
          <t>US Senate</t>
        </is>
      </c>
      <c r="L255" s="43" t="n">
        <v>1925</v>
      </c>
      <c r="M255" s="43" t="n">
        <v>4781</v>
      </c>
      <c r="N255" s="43" t="n">
        <v>6715</v>
      </c>
      <c r="O255" s="44">
        <f>IFERROR((F255-G255)/(F255+G255),"")</f>
        <v/>
      </c>
      <c r="P255" s="44">
        <f>IFERROR((I255-J255)/(I255+J255),"")</f>
        <v/>
      </c>
      <c r="Q255" s="45">
        <f>IFERROR(O255-P255,"")</f>
        <v/>
      </c>
      <c r="R255" s="44">
        <f>IFERROR((L255-M255)/(L255+M255),"")</f>
        <v/>
      </c>
      <c r="S255" s="46">
        <f>H255/SUMIFS(Counties!$H$2:$H$1583,Counties!$A$2:$A$1583,$A255)</f>
        <v/>
      </c>
      <c r="T255" s="44">
        <f>O255+INDEX(Dashboard!$F$6:$F$22,MATCH($A255,Dashboard!$A$6:$A$22,0))</f>
        <v/>
      </c>
      <c r="U255" s="43">
        <f>AQ255*INDEX(Dashboard!$G$6:$G$22,MATCH($A255,Dashboard!$A$6:$A$22,0))</f>
        <v/>
      </c>
      <c r="V255" s="47" t="n"/>
      <c r="W255" s="47" t="n"/>
      <c r="X255" s="47" t="n"/>
      <c r="Y255" s="48" t="n"/>
      <c r="Z255" s="49" t="n"/>
      <c r="AA255" s="49" t="n"/>
      <c r="AB255" s="49" t="n"/>
      <c r="AC255" s="50" t="n"/>
      <c r="AD255" s="43">
        <f>IF(Z255&lt;&gt;"",Z255,N(V255))</f>
        <v/>
      </c>
      <c r="AE255" s="43">
        <f>IF(AA255&lt;&gt;"",AA255,N(W255))</f>
        <v/>
      </c>
      <c r="AF255" s="43">
        <f>AD255+AE255</f>
        <v/>
      </c>
      <c r="AG255" s="42">
        <f>IF(UPPER(AC255)="Y",1,IF(AF255=0,0,IF(AND(Z255="",Y255&lt;&gt;""),IF(Y255&gt;=0.999,1,0),IF(AF255&gt;=U255,1,0))))</f>
        <v/>
      </c>
      <c r="AH255" s="44">
        <f>IF(AF255&gt;0,(AD255-AE255)/AF255,"")</f>
        <v/>
      </c>
      <c r="AI255" s="45">
        <f>IF(AG255=1,AH255-O255,"")</f>
        <v/>
      </c>
      <c r="AJ255" s="44">
        <f>IF(AG255=1,AH255,MAX(-1,MIN(1,O255+INDEX(Types!$H:$H,MATCH($A255&amp;"|"&amp;$D255,Types!$A:$A,0)))))</f>
        <v/>
      </c>
      <c r="AK255" s="43">
        <f>IF(AG255=1,AF255,MAX(AQ255*AS255,AF255))</f>
        <v/>
      </c>
      <c r="AL255" s="43">
        <f>IF(AG255=1,AD255,AK255*(1+AJ255)/2)</f>
        <v/>
      </c>
      <c r="AM255" s="43">
        <f>IF(AG255=1,AE255,AK255*(1-AJ255)/2)</f>
        <v/>
      </c>
      <c r="AN255" s="45">
        <f>IF(AH255="","",AH255-T255)</f>
        <v/>
      </c>
      <c r="AO255" s="51">
        <f>IF(AG255=1,1,IF(U255&gt;0,MIN(AF255/U255,0.99),0))</f>
        <v/>
      </c>
      <c r="AP255" s="43">
        <f>IF(AG255=1,AI255*AF255,0)</f>
        <v/>
      </c>
      <c r="AQ255" s="43">
        <f>N255*(F255+G255)/H255</f>
        <v/>
      </c>
      <c r="AR255" s="43">
        <f>O255*AQ255</f>
        <v/>
      </c>
      <c r="AS255" s="52">
        <f>IF(AG255=1,IF(AQ255&gt;0,AF255/AQ255,1),IFERROR(INDEX(Types!$K:$K,MATCH($A255&amp;"|"&amp;$D255,Types!$A:$A,0)),INDEX(Dashboard!$X$6:$X$22,MATCH($A255,Dashboard!$A$6:$A$22,0))))</f>
        <v/>
      </c>
      <c r="AT255" s="43">
        <f>AQ255*INDEX(Dashboard!$Y$6:$Y$22,MATCH($A255,Dashboard!$A$6:$A$22,0))</f>
        <v/>
      </c>
      <c r="AU255" s="53">
        <f>IF(AND(AG255=1,AT255&gt;0,AF255&gt;0),100*AF255/AT255,"")</f>
        <v/>
      </c>
      <c r="AV255" s="44">
        <f>IF(AU255="","",T255/(AU255/100))</f>
        <v/>
      </c>
      <c r="AW255" s="53">
        <f>IF(AU255="","",IF(AND(ABS(AH255)&gt;=0.1,ABS(T255)&gt;=0.05,SIGN(AH255)=SIGN(T255)),100*T255/AH255,""))</f>
        <v/>
      </c>
      <c r="AX255" s="45">
        <f>IF(AU255="","",T255-AV255)</f>
        <v/>
      </c>
      <c r="AY255" s="45">
        <f>IF(AU255="","",AH255-AV255)</f>
        <v/>
      </c>
      <c r="AZ255" s="54">
        <f>(AL255-AM255)-T255*AT255</f>
        <v/>
      </c>
      <c r="BA255" s="43">
        <f>IF(AU255="",0,(AH255-T255)*AF255)</f>
        <v/>
      </c>
      <c r="BB255" s="43">
        <f>IF(AU255="",0,T255*(AF255-AT255))</f>
        <v/>
      </c>
      <c r="BC255" s="51" t="n">
        <v>0.00909974993053626</v>
      </c>
      <c r="BD255" s="51" t="n">
        <v>0.04640177827174215</v>
      </c>
      <c r="BE255" s="51" t="n">
        <v>0.2215586167035931</v>
      </c>
      <c r="BF255" s="43" t="n">
        <v>14396</v>
      </c>
    </row>
    <row r="256">
      <c r="A256" s="42" t="inlineStr">
        <is>
          <t>IA</t>
        </is>
      </c>
      <c r="B256" s="42" t="inlineStr">
        <is>
          <t>19111</t>
        </is>
      </c>
      <c r="C256" s="42" t="inlineStr">
        <is>
          <t>Lee</t>
        </is>
      </c>
      <c r="D256" s="42" t="inlineStr">
        <is>
          <t>Small town &amp; rural</t>
        </is>
      </c>
      <c r="E256" s="42" t="inlineStr"/>
      <c r="F256" s="43" t="n">
        <v>5659</v>
      </c>
      <c r="G256" s="43" t="n">
        <v>10152</v>
      </c>
      <c r="H256" s="43" t="n">
        <v>16154</v>
      </c>
      <c r="I256" s="43" t="n">
        <v>6541</v>
      </c>
      <c r="J256" s="43" t="n">
        <v>9773</v>
      </c>
      <c r="K256" s="42" t="inlineStr">
        <is>
          <t>US Senate</t>
        </is>
      </c>
      <c r="L256" s="43" t="n">
        <v>4476</v>
      </c>
      <c r="M256" s="43" t="n">
        <v>6964</v>
      </c>
      <c r="N256" s="43" t="n">
        <v>11453</v>
      </c>
      <c r="O256" s="44">
        <f>IFERROR((F256-G256)/(F256+G256),"")</f>
        <v/>
      </c>
      <c r="P256" s="44">
        <f>IFERROR((I256-J256)/(I256+J256),"")</f>
        <v/>
      </c>
      <c r="Q256" s="45">
        <f>IFERROR(O256-P256,"")</f>
        <v/>
      </c>
      <c r="R256" s="44">
        <f>IFERROR((L256-M256)/(L256+M256),"")</f>
        <v/>
      </c>
      <c r="S256" s="46">
        <f>H256/SUMIFS(Counties!$H$2:$H$1583,Counties!$A$2:$A$1583,$A256)</f>
        <v/>
      </c>
      <c r="T256" s="44">
        <f>O256+INDEX(Dashboard!$F$6:$F$22,MATCH($A256,Dashboard!$A$6:$A$22,0))</f>
        <v/>
      </c>
      <c r="U256" s="43">
        <f>AQ256*INDEX(Dashboard!$G$6:$G$22,MATCH($A256,Dashboard!$A$6:$A$22,0))</f>
        <v/>
      </c>
      <c r="V256" s="47" t="n"/>
      <c r="W256" s="47" t="n"/>
      <c r="X256" s="47" t="n"/>
      <c r="Y256" s="48" t="n"/>
      <c r="Z256" s="49" t="n"/>
      <c r="AA256" s="49" t="n"/>
      <c r="AB256" s="49" t="n"/>
      <c r="AC256" s="50" t="n"/>
      <c r="AD256" s="43">
        <f>IF(Z256&lt;&gt;"",Z256,N(V256))</f>
        <v/>
      </c>
      <c r="AE256" s="43">
        <f>IF(AA256&lt;&gt;"",AA256,N(W256))</f>
        <v/>
      </c>
      <c r="AF256" s="43">
        <f>AD256+AE256</f>
        <v/>
      </c>
      <c r="AG256" s="42">
        <f>IF(UPPER(AC256)="Y",1,IF(AF256=0,0,IF(AND(Z256="",Y256&lt;&gt;""),IF(Y256&gt;=0.999,1,0),IF(AF256&gt;=U256,1,0))))</f>
        <v/>
      </c>
      <c r="AH256" s="44">
        <f>IF(AF256&gt;0,(AD256-AE256)/AF256,"")</f>
        <v/>
      </c>
      <c r="AI256" s="45">
        <f>IF(AG256=1,AH256-O256,"")</f>
        <v/>
      </c>
      <c r="AJ256" s="44">
        <f>IF(AG256=1,AH256,MAX(-1,MIN(1,O256+INDEX(Types!$H:$H,MATCH($A256&amp;"|"&amp;$D256,Types!$A:$A,0)))))</f>
        <v/>
      </c>
      <c r="AK256" s="43">
        <f>IF(AG256=1,AF256,MAX(AQ256*AS256,AF256))</f>
        <v/>
      </c>
      <c r="AL256" s="43">
        <f>IF(AG256=1,AD256,AK256*(1+AJ256)/2)</f>
        <v/>
      </c>
      <c r="AM256" s="43">
        <f>IF(AG256=1,AE256,AK256*(1-AJ256)/2)</f>
        <v/>
      </c>
      <c r="AN256" s="45">
        <f>IF(AH256="","",AH256-T256)</f>
        <v/>
      </c>
      <c r="AO256" s="51">
        <f>IF(AG256=1,1,IF(U256&gt;0,MIN(AF256/U256,0.99),0))</f>
        <v/>
      </c>
      <c r="AP256" s="43">
        <f>IF(AG256=1,AI256*AF256,0)</f>
        <v/>
      </c>
      <c r="AQ256" s="43">
        <f>N256*(F256+G256)/H256</f>
        <v/>
      </c>
      <c r="AR256" s="43">
        <f>O256*AQ256</f>
        <v/>
      </c>
      <c r="AS256" s="52">
        <f>IF(AG256=1,IF(AQ256&gt;0,AF256/AQ256,1),IFERROR(INDEX(Types!$K:$K,MATCH($A256&amp;"|"&amp;$D256,Types!$A:$A,0)),INDEX(Dashboard!$X$6:$X$22,MATCH($A256,Dashboard!$A$6:$A$22,0))))</f>
        <v/>
      </c>
      <c r="AT256" s="43">
        <f>AQ256*INDEX(Dashboard!$Y$6:$Y$22,MATCH($A256,Dashboard!$A$6:$A$22,0))</f>
        <v/>
      </c>
      <c r="AU256" s="53">
        <f>IF(AND(AG256=1,AT256&gt;0,AF256&gt;0),100*AF256/AT256,"")</f>
        <v/>
      </c>
      <c r="AV256" s="44">
        <f>IF(AU256="","",T256/(AU256/100))</f>
        <v/>
      </c>
      <c r="AW256" s="53">
        <f>IF(AU256="","",IF(AND(ABS(AH256)&gt;=0.1,ABS(T256)&gt;=0.05,SIGN(AH256)=SIGN(T256)),100*T256/AH256,""))</f>
        <v/>
      </c>
      <c r="AX256" s="45">
        <f>IF(AU256="","",T256-AV256)</f>
        <v/>
      </c>
      <c r="AY256" s="45">
        <f>IF(AU256="","",AH256-AV256)</f>
        <v/>
      </c>
      <c r="AZ256" s="54">
        <f>(AL256-AM256)-T256*AT256</f>
        <v/>
      </c>
      <c r="BA256" s="43">
        <f>IF(AU256="",0,(AH256-T256)*AF256)</f>
        <v/>
      </c>
      <c r="BB256" s="43">
        <f>IF(AU256="",0,T256*(AF256-AT256))</f>
        <v/>
      </c>
      <c r="BC256" s="51" t="n">
        <v>0.02686933824658376</v>
      </c>
      <c r="BD256" s="51" t="n">
        <v>0.03512974051896207</v>
      </c>
      <c r="BE256" s="51" t="n">
        <v>0.2103933294028468</v>
      </c>
      <c r="BF256" s="43" t="n">
        <v>32565</v>
      </c>
    </row>
    <row r="257">
      <c r="A257" s="42" t="inlineStr">
        <is>
          <t>IA</t>
        </is>
      </c>
      <c r="B257" s="42" t="inlineStr">
        <is>
          <t>19113</t>
        </is>
      </c>
      <c r="C257" s="42" t="inlineStr">
        <is>
          <t>Linn</t>
        </is>
      </c>
      <c r="D257" s="42" t="inlineStr">
        <is>
          <t>Mid-size/working metro</t>
        </is>
      </c>
      <c r="E257" s="42" t="inlineStr">
        <is>
          <t>★</t>
        </is>
      </c>
      <c r="F257" s="43" t="n">
        <v>66358</v>
      </c>
      <c r="G257" s="43" t="n">
        <v>54237</v>
      </c>
      <c r="H257" s="43" t="n">
        <v>122369</v>
      </c>
      <c r="I257" s="43" t="n">
        <v>70874</v>
      </c>
      <c r="J257" s="43" t="n">
        <v>53364</v>
      </c>
      <c r="K257" s="42" t="inlineStr">
        <is>
          <t>US Senate</t>
        </is>
      </c>
      <c r="L257" s="43" t="n">
        <v>51008</v>
      </c>
      <c r="M257" s="43" t="n">
        <v>42551</v>
      </c>
      <c r="N257" s="43" t="n">
        <v>93682</v>
      </c>
      <c r="O257" s="44">
        <f>IFERROR((F257-G257)/(F257+G257),"")</f>
        <v/>
      </c>
      <c r="P257" s="44">
        <f>IFERROR((I257-J257)/(I257+J257),"")</f>
        <v/>
      </c>
      <c r="Q257" s="45">
        <f>IFERROR(O257-P257,"")</f>
        <v/>
      </c>
      <c r="R257" s="44">
        <f>IFERROR((L257-M257)/(L257+M257),"")</f>
        <v/>
      </c>
      <c r="S257" s="46">
        <f>H257/SUMIFS(Counties!$H$2:$H$1583,Counties!$A$2:$A$1583,$A257)</f>
        <v/>
      </c>
      <c r="T257" s="44">
        <f>O257+INDEX(Dashboard!$F$6:$F$22,MATCH($A257,Dashboard!$A$6:$A$22,0))</f>
        <v/>
      </c>
      <c r="U257" s="43">
        <f>AQ257*INDEX(Dashboard!$G$6:$G$22,MATCH($A257,Dashboard!$A$6:$A$22,0))</f>
        <v/>
      </c>
      <c r="V257" s="47" t="n"/>
      <c r="W257" s="47" t="n"/>
      <c r="X257" s="47" t="n"/>
      <c r="Y257" s="48" t="n"/>
      <c r="Z257" s="49" t="n"/>
      <c r="AA257" s="49" t="n"/>
      <c r="AB257" s="49" t="n"/>
      <c r="AC257" s="50" t="n"/>
      <c r="AD257" s="43">
        <f>IF(Z257&lt;&gt;"",Z257,N(V257))</f>
        <v/>
      </c>
      <c r="AE257" s="43">
        <f>IF(AA257&lt;&gt;"",AA257,N(W257))</f>
        <v/>
      </c>
      <c r="AF257" s="43">
        <f>AD257+AE257</f>
        <v/>
      </c>
      <c r="AG257" s="42">
        <f>IF(UPPER(AC257)="Y",1,IF(AF257=0,0,IF(AND(Z257="",Y257&lt;&gt;""),IF(Y257&gt;=0.999,1,0),IF(AF257&gt;=U257,1,0))))</f>
        <v/>
      </c>
      <c r="AH257" s="44">
        <f>IF(AF257&gt;0,(AD257-AE257)/AF257,"")</f>
        <v/>
      </c>
      <c r="AI257" s="45">
        <f>IF(AG257=1,AH257-O257,"")</f>
        <v/>
      </c>
      <c r="AJ257" s="44">
        <f>IF(AG257=1,AH257,MAX(-1,MIN(1,O257+INDEX(Types!$H:$H,MATCH($A257&amp;"|"&amp;$D257,Types!$A:$A,0)))))</f>
        <v/>
      </c>
      <c r="AK257" s="43">
        <f>IF(AG257=1,AF257,MAX(AQ257*AS257,AF257))</f>
        <v/>
      </c>
      <c r="AL257" s="43">
        <f>IF(AG257=1,AD257,AK257*(1+AJ257)/2)</f>
        <v/>
      </c>
      <c r="AM257" s="43">
        <f>IF(AG257=1,AE257,AK257*(1-AJ257)/2)</f>
        <v/>
      </c>
      <c r="AN257" s="45">
        <f>IF(AH257="","",AH257-T257)</f>
        <v/>
      </c>
      <c r="AO257" s="51">
        <f>IF(AG257=1,1,IF(U257&gt;0,MIN(AF257/U257,0.99),0))</f>
        <v/>
      </c>
      <c r="AP257" s="43">
        <f>IF(AG257=1,AI257*AF257,0)</f>
        <v/>
      </c>
      <c r="AQ257" s="43">
        <f>N257*(F257+G257)/H257</f>
        <v/>
      </c>
      <c r="AR257" s="43">
        <f>O257*AQ257</f>
        <v/>
      </c>
      <c r="AS257" s="52">
        <f>IF(AG257=1,IF(AQ257&gt;0,AF257/AQ257,1),IFERROR(INDEX(Types!$K:$K,MATCH($A257&amp;"|"&amp;$D257,Types!$A:$A,0)),INDEX(Dashboard!$X$6:$X$22,MATCH($A257,Dashboard!$A$6:$A$22,0))))</f>
        <v/>
      </c>
      <c r="AT257" s="43">
        <f>AQ257*INDEX(Dashboard!$Y$6:$Y$22,MATCH($A257,Dashboard!$A$6:$A$22,0))</f>
        <v/>
      </c>
      <c r="AU257" s="53">
        <f>IF(AND(AG257=1,AT257&gt;0,AF257&gt;0),100*AF257/AT257,"")</f>
        <v/>
      </c>
      <c r="AV257" s="44">
        <f>IF(AU257="","",T257/(AU257/100))</f>
        <v/>
      </c>
      <c r="AW257" s="53">
        <f>IF(AU257="","",IF(AND(ABS(AH257)&gt;=0.1,ABS(T257)&gt;=0.05,SIGN(AH257)=SIGN(T257)),100*T257/AH257,""))</f>
        <v/>
      </c>
      <c r="AX257" s="45">
        <f>IF(AU257="","",T257-AV257)</f>
        <v/>
      </c>
      <c r="AY257" s="45">
        <f>IF(AU257="","",AH257-AV257)</f>
        <v/>
      </c>
      <c r="AZ257" s="54">
        <f>(AL257-AM257)-T257*AT257</f>
        <v/>
      </c>
      <c r="BA257" s="43">
        <f>IF(AU257="",0,(AH257-T257)*AF257)</f>
        <v/>
      </c>
      <c r="BB257" s="43">
        <f>IF(AU257="",0,T257*(AF257-AT257))</f>
        <v/>
      </c>
      <c r="BC257" s="51" t="n">
        <v>0.06798647869608511</v>
      </c>
      <c r="BD257" s="51" t="n">
        <v>0.04192215642087242</v>
      </c>
      <c r="BE257" s="51" t="n">
        <v>0.348329959837306</v>
      </c>
      <c r="BF257" s="43" t="n">
        <v>228972</v>
      </c>
    </row>
    <row r="258">
      <c r="A258" s="42" t="inlineStr">
        <is>
          <t>IA</t>
        </is>
      </c>
      <c r="B258" s="42" t="inlineStr">
        <is>
          <t>19115</t>
        </is>
      </c>
      <c r="C258" s="42" t="inlineStr">
        <is>
          <t>Louisa</t>
        </is>
      </c>
      <c r="D258" s="42" t="inlineStr">
        <is>
          <t>Small town &amp; rural</t>
        </is>
      </c>
      <c r="E258" s="42" t="inlineStr"/>
      <c r="F258" s="43" t="n">
        <v>1480</v>
      </c>
      <c r="G258" s="43" t="n">
        <v>3584</v>
      </c>
      <c r="H258" s="43" t="n">
        <v>5136</v>
      </c>
      <c r="I258" s="43" t="n">
        <v>1726</v>
      </c>
      <c r="J258" s="43" t="n">
        <v>3500</v>
      </c>
      <c r="K258" s="42" t="inlineStr">
        <is>
          <t>US Senate</t>
        </is>
      </c>
      <c r="L258" s="43" t="n">
        <v>1038</v>
      </c>
      <c r="M258" s="43" t="n">
        <v>2441</v>
      </c>
      <c r="N258" s="43" t="n">
        <v>3482</v>
      </c>
      <c r="O258" s="44">
        <f>IFERROR((F258-G258)/(F258+G258),"")</f>
        <v/>
      </c>
      <c r="P258" s="44">
        <f>IFERROR((I258-J258)/(I258+J258),"")</f>
        <v/>
      </c>
      <c r="Q258" s="45">
        <f>IFERROR(O258-P258,"")</f>
        <v/>
      </c>
      <c r="R258" s="44">
        <f>IFERROR((L258-M258)/(L258+M258),"")</f>
        <v/>
      </c>
      <c r="S258" s="46">
        <f>H258/SUMIFS(Counties!$H$2:$H$1583,Counties!$A$2:$A$1583,$A258)</f>
        <v/>
      </c>
      <c r="T258" s="44">
        <f>O258+INDEX(Dashboard!$F$6:$F$22,MATCH($A258,Dashboard!$A$6:$A$22,0))</f>
        <v/>
      </c>
      <c r="U258" s="43">
        <f>AQ258*INDEX(Dashboard!$G$6:$G$22,MATCH($A258,Dashboard!$A$6:$A$22,0))</f>
        <v/>
      </c>
      <c r="V258" s="47" t="n"/>
      <c r="W258" s="47" t="n"/>
      <c r="X258" s="47" t="n"/>
      <c r="Y258" s="48" t="n"/>
      <c r="Z258" s="49" t="n"/>
      <c r="AA258" s="49" t="n"/>
      <c r="AB258" s="49" t="n"/>
      <c r="AC258" s="50" t="n"/>
      <c r="AD258" s="43">
        <f>IF(Z258&lt;&gt;"",Z258,N(V258))</f>
        <v/>
      </c>
      <c r="AE258" s="43">
        <f>IF(AA258&lt;&gt;"",AA258,N(W258))</f>
        <v/>
      </c>
      <c r="AF258" s="43">
        <f>AD258+AE258</f>
        <v/>
      </c>
      <c r="AG258" s="42">
        <f>IF(UPPER(AC258)="Y",1,IF(AF258=0,0,IF(AND(Z258="",Y258&lt;&gt;""),IF(Y258&gt;=0.999,1,0),IF(AF258&gt;=U258,1,0))))</f>
        <v/>
      </c>
      <c r="AH258" s="44">
        <f>IF(AF258&gt;0,(AD258-AE258)/AF258,"")</f>
        <v/>
      </c>
      <c r="AI258" s="45">
        <f>IF(AG258=1,AH258-O258,"")</f>
        <v/>
      </c>
      <c r="AJ258" s="44">
        <f>IF(AG258=1,AH258,MAX(-1,MIN(1,O258+INDEX(Types!$H:$H,MATCH($A258&amp;"|"&amp;$D258,Types!$A:$A,0)))))</f>
        <v/>
      </c>
      <c r="AK258" s="43">
        <f>IF(AG258=1,AF258,MAX(AQ258*AS258,AF258))</f>
        <v/>
      </c>
      <c r="AL258" s="43">
        <f>IF(AG258=1,AD258,AK258*(1+AJ258)/2)</f>
        <v/>
      </c>
      <c r="AM258" s="43">
        <f>IF(AG258=1,AE258,AK258*(1-AJ258)/2)</f>
        <v/>
      </c>
      <c r="AN258" s="45">
        <f>IF(AH258="","",AH258-T258)</f>
        <v/>
      </c>
      <c r="AO258" s="51">
        <f>IF(AG258=1,1,IF(U258&gt;0,MIN(AF258/U258,0.99),0))</f>
        <v/>
      </c>
      <c r="AP258" s="43">
        <f>IF(AG258=1,AI258*AF258,0)</f>
        <v/>
      </c>
      <c r="AQ258" s="43">
        <f>N258*(F258+G258)/H258</f>
        <v/>
      </c>
      <c r="AR258" s="43">
        <f>O258*AQ258</f>
        <v/>
      </c>
      <c r="AS258" s="52">
        <f>IF(AG258=1,IF(AQ258&gt;0,AF258/AQ258,1),IFERROR(INDEX(Types!$K:$K,MATCH($A258&amp;"|"&amp;$D258,Types!$A:$A,0)),INDEX(Dashboard!$X$6:$X$22,MATCH($A258,Dashboard!$A$6:$A$22,0))))</f>
        <v/>
      </c>
      <c r="AT258" s="43">
        <f>AQ258*INDEX(Dashboard!$Y$6:$Y$22,MATCH($A258,Dashboard!$A$6:$A$22,0))</f>
        <v/>
      </c>
      <c r="AU258" s="53">
        <f>IF(AND(AG258=1,AT258&gt;0,AF258&gt;0),100*AF258/AT258,"")</f>
        <v/>
      </c>
      <c r="AV258" s="44">
        <f>IF(AU258="","",T258/(AU258/100))</f>
        <v/>
      </c>
      <c r="AW258" s="53">
        <f>IF(AU258="","",IF(AND(ABS(AH258)&gt;=0.1,ABS(T258)&gt;=0.05,SIGN(AH258)=SIGN(T258)),100*T258/AH258,""))</f>
        <v/>
      </c>
      <c r="AX258" s="45">
        <f>IF(AU258="","",T258-AV258)</f>
        <v/>
      </c>
      <c r="AY258" s="45">
        <f>IF(AU258="","",AH258-AV258)</f>
        <v/>
      </c>
      <c r="AZ258" s="54">
        <f>(AL258-AM258)-T258*AT258</f>
        <v/>
      </c>
      <c r="BA258" s="43">
        <f>IF(AU258="",0,(AH258-T258)*AF258)</f>
        <v/>
      </c>
      <c r="BB258" s="43">
        <f>IF(AU258="",0,T258*(AF258-AT258))</f>
        <v/>
      </c>
      <c r="BC258" s="51" t="n">
        <v>0.01645581660800913</v>
      </c>
      <c r="BD258" s="51" t="n">
        <v>0.1646532864073053</v>
      </c>
      <c r="BE258" s="51" t="n">
        <v>0.1646008263361322</v>
      </c>
      <c r="BF258" s="43" t="n">
        <v>10513</v>
      </c>
    </row>
    <row r="259">
      <c r="A259" s="42" t="inlineStr">
        <is>
          <t>IA</t>
        </is>
      </c>
      <c r="B259" s="42" t="inlineStr">
        <is>
          <t>19117</t>
        </is>
      </c>
      <c r="C259" s="42" t="inlineStr">
        <is>
          <t>Lucas</t>
        </is>
      </c>
      <c r="D259" s="42" t="inlineStr">
        <is>
          <t>Small town &amp; rural</t>
        </is>
      </c>
      <c r="E259" s="42" t="inlineStr"/>
      <c r="F259" s="43" t="n">
        <v>1169</v>
      </c>
      <c r="G259" s="43" t="n">
        <v>3400</v>
      </c>
      <c r="H259" s="43" t="n">
        <v>4639</v>
      </c>
      <c r="I259" s="43" t="n">
        <v>1284</v>
      </c>
      <c r="J259" s="43" t="n">
        <v>3287</v>
      </c>
      <c r="K259" s="42" t="inlineStr">
        <is>
          <t>US Senate</t>
        </is>
      </c>
      <c r="L259" s="43" t="n">
        <v>937</v>
      </c>
      <c r="M259" s="43" t="n">
        <v>2513</v>
      </c>
      <c r="N259" s="43" t="n">
        <v>3460</v>
      </c>
      <c r="O259" s="44">
        <f>IFERROR((F259-G259)/(F259+G259),"")</f>
        <v/>
      </c>
      <c r="P259" s="44">
        <f>IFERROR((I259-J259)/(I259+J259),"")</f>
        <v/>
      </c>
      <c r="Q259" s="45">
        <f>IFERROR(O259-P259,"")</f>
        <v/>
      </c>
      <c r="R259" s="44">
        <f>IFERROR((L259-M259)/(L259+M259),"")</f>
        <v/>
      </c>
      <c r="S259" s="46">
        <f>H259/SUMIFS(Counties!$H$2:$H$1583,Counties!$A$2:$A$1583,$A259)</f>
        <v/>
      </c>
      <c r="T259" s="44">
        <f>O259+INDEX(Dashboard!$F$6:$F$22,MATCH($A259,Dashboard!$A$6:$A$22,0))</f>
        <v/>
      </c>
      <c r="U259" s="43">
        <f>AQ259*INDEX(Dashboard!$G$6:$G$22,MATCH($A259,Dashboard!$A$6:$A$22,0))</f>
        <v/>
      </c>
      <c r="V259" s="47" t="n"/>
      <c r="W259" s="47" t="n"/>
      <c r="X259" s="47" t="n"/>
      <c r="Y259" s="48" t="n"/>
      <c r="Z259" s="49" t="n"/>
      <c r="AA259" s="49" t="n"/>
      <c r="AB259" s="49" t="n"/>
      <c r="AC259" s="50" t="n"/>
      <c r="AD259" s="43">
        <f>IF(Z259&lt;&gt;"",Z259,N(V259))</f>
        <v/>
      </c>
      <c r="AE259" s="43">
        <f>IF(AA259&lt;&gt;"",AA259,N(W259))</f>
        <v/>
      </c>
      <c r="AF259" s="43">
        <f>AD259+AE259</f>
        <v/>
      </c>
      <c r="AG259" s="42">
        <f>IF(UPPER(AC259)="Y",1,IF(AF259=0,0,IF(AND(Z259="",Y259&lt;&gt;""),IF(Y259&gt;=0.999,1,0),IF(AF259&gt;=U259,1,0))))</f>
        <v/>
      </c>
      <c r="AH259" s="44">
        <f>IF(AF259&gt;0,(AD259-AE259)/AF259,"")</f>
        <v/>
      </c>
      <c r="AI259" s="45">
        <f>IF(AG259=1,AH259-O259,"")</f>
        <v/>
      </c>
      <c r="AJ259" s="44">
        <f>IF(AG259=1,AH259,MAX(-1,MIN(1,O259+INDEX(Types!$H:$H,MATCH($A259&amp;"|"&amp;$D259,Types!$A:$A,0)))))</f>
        <v/>
      </c>
      <c r="AK259" s="43">
        <f>IF(AG259=1,AF259,MAX(AQ259*AS259,AF259))</f>
        <v/>
      </c>
      <c r="AL259" s="43">
        <f>IF(AG259=1,AD259,AK259*(1+AJ259)/2)</f>
        <v/>
      </c>
      <c r="AM259" s="43">
        <f>IF(AG259=1,AE259,AK259*(1-AJ259)/2)</f>
        <v/>
      </c>
      <c r="AN259" s="45">
        <f>IF(AH259="","",AH259-T259)</f>
        <v/>
      </c>
      <c r="AO259" s="51">
        <f>IF(AG259=1,1,IF(U259&gt;0,MIN(AF259/U259,0.99),0))</f>
        <v/>
      </c>
      <c r="AP259" s="43">
        <f>IF(AG259=1,AI259*AF259,0)</f>
        <v/>
      </c>
      <c r="AQ259" s="43">
        <f>N259*(F259+G259)/H259</f>
        <v/>
      </c>
      <c r="AR259" s="43">
        <f>O259*AQ259</f>
        <v/>
      </c>
      <c r="AS259" s="52">
        <f>IF(AG259=1,IF(AQ259&gt;0,AF259/AQ259,1),IFERROR(INDEX(Types!$K:$K,MATCH($A259&amp;"|"&amp;$D259,Types!$A:$A,0)),INDEX(Dashboard!$X$6:$X$22,MATCH($A259,Dashboard!$A$6:$A$22,0))))</f>
        <v/>
      </c>
      <c r="AT259" s="43">
        <f>AQ259*INDEX(Dashboard!$Y$6:$Y$22,MATCH($A259,Dashboard!$A$6:$A$22,0))</f>
        <v/>
      </c>
      <c r="AU259" s="53">
        <f>IF(AND(AG259=1,AT259&gt;0,AF259&gt;0),100*AF259/AT259,"")</f>
        <v/>
      </c>
      <c r="AV259" s="44">
        <f>IF(AU259="","",T259/(AU259/100))</f>
        <v/>
      </c>
      <c r="AW259" s="53">
        <f>IF(AU259="","",IF(AND(ABS(AH259)&gt;=0.1,ABS(T259)&gt;=0.05,SIGN(AH259)=SIGN(T259)),100*T259/AH259,""))</f>
        <v/>
      </c>
      <c r="AX259" s="45">
        <f>IF(AU259="","",T259-AV259)</f>
        <v/>
      </c>
      <c r="AY259" s="45">
        <f>IF(AU259="","",AH259-AV259)</f>
        <v/>
      </c>
      <c r="AZ259" s="54">
        <f>(AL259-AM259)-T259*AT259</f>
        <v/>
      </c>
      <c r="BA259" s="43">
        <f>IF(AU259="",0,(AH259-T259)*AF259)</f>
        <v/>
      </c>
      <c r="BB259" s="43">
        <f>IF(AU259="",0,T259*(AF259-AT259))</f>
        <v/>
      </c>
      <c r="BC259" s="51" t="n">
        <v>0.005373270835715102</v>
      </c>
      <c r="BD259" s="51" t="n">
        <v>0.03258259974848519</v>
      </c>
      <c r="BE259" s="51" t="n">
        <v>0.1447778324315462</v>
      </c>
      <c r="BF259" s="43" t="n">
        <v>8747</v>
      </c>
    </row>
    <row r="260">
      <c r="A260" s="42" t="inlineStr">
        <is>
          <t>IA</t>
        </is>
      </c>
      <c r="B260" s="42" t="inlineStr">
        <is>
          <t>19119</t>
        </is>
      </c>
      <c r="C260" s="42" t="inlineStr">
        <is>
          <t>Lyon</t>
        </is>
      </c>
      <c r="D260" s="42" t="inlineStr">
        <is>
          <t>Small town &amp; rural</t>
        </is>
      </c>
      <c r="E260" s="42" t="inlineStr"/>
      <c r="F260" s="43" t="n">
        <v>1023</v>
      </c>
      <c r="G260" s="43" t="n">
        <v>5899</v>
      </c>
      <c r="H260" s="43" t="n">
        <v>6984</v>
      </c>
      <c r="I260" s="43" t="n">
        <v>1067</v>
      </c>
      <c r="J260" s="43" t="n">
        <v>5707</v>
      </c>
      <c r="K260" s="42" t="inlineStr">
        <is>
          <t>US Senate</t>
        </is>
      </c>
      <c r="L260" s="43" t="n">
        <v>662</v>
      </c>
      <c r="M260" s="43" t="n">
        <v>4277</v>
      </c>
      <c r="N260" s="43" t="n">
        <v>4940</v>
      </c>
      <c r="O260" s="44">
        <f>IFERROR((F260-G260)/(F260+G260),"")</f>
        <v/>
      </c>
      <c r="P260" s="44">
        <f>IFERROR((I260-J260)/(I260+J260),"")</f>
        <v/>
      </c>
      <c r="Q260" s="45">
        <f>IFERROR(O260-P260,"")</f>
        <v/>
      </c>
      <c r="R260" s="44">
        <f>IFERROR((L260-M260)/(L260+M260),"")</f>
        <v/>
      </c>
      <c r="S260" s="46">
        <f>H260/SUMIFS(Counties!$H$2:$H$1583,Counties!$A$2:$A$1583,$A260)</f>
        <v/>
      </c>
      <c r="T260" s="44">
        <f>O260+INDEX(Dashboard!$F$6:$F$22,MATCH($A260,Dashboard!$A$6:$A$22,0))</f>
        <v/>
      </c>
      <c r="U260" s="43">
        <f>AQ260*INDEX(Dashboard!$G$6:$G$22,MATCH($A260,Dashboard!$A$6:$A$22,0))</f>
        <v/>
      </c>
      <c r="V260" s="47" t="n"/>
      <c r="W260" s="47" t="n"/>
      <c r="X260" s="47" t="n"/>
      <c r="Y260" s="48" t="n"/>
      <c r="Z260" s="49" t="n"/>
      <c r="AA260" s="49" t="n"/>
      <c r="AB260" s="49" t="n"/>
      <c r="AC260" s="50" t="n"/>
      <c r="AD260" s="43">
        <f>IF(Z260&lt;&gt;"",Z260,N(V260))</f>
        <v/>
      </c>
      <c r="AE260" s="43">
        <f>IF(AA260&lt;&gt;"",AA260,N(W260))</f>
        <v/>
      </c>
      <c r="AF260" s="43">
        <f>AD260+AE260</f>
        <v/>
      </c>
      <c r="AG260" s="42">
        <f>IF(UPPER(AC260)="Y",1,IF(AF260=0,0,IF(AND(Z260="",Y260&lt;&gt;""),IF(Y260&gt;=0.999,1,0),IF(AF260&gt;=U260,1,0))))</f>
        <v/>
      </c>
      <c r="AH260" s="44">
        <f>IF(AF260&gt;0,(AD260-AE260)/AF260,"")</f>
        <v/>
      </c>
      <c r="AI260" s="45">
        <f>IF(AG260=1,AH260-O260,"")</f>
        <v/>
      </c>
      <c r="AJ260" s="44">
        <f>IF(AG260=1,AH260,MAX(-1,MIN(1,O260+INDEX(Types!$H:$H,MATCH($A260&amp;"|"&amp;$D260,Types!$A:$A,0)))))</f>
        <v/>
      </c>
      <c r="AK260" s="43">
        <f>IF(AG260=1,AF260,MAX(AQ260*AS260,AF260))</f>
        <v/>
      </c>
      <c r="AL260" s="43">
        <f>IF(AG260=1,AD260,AK260*(1+AJ260)/2)</f>
        <v/>
      </c>
      <c r="AM260" s="43">
        <f>IF(AG260=1,AE260,AK260*(1-AJ260)/2)</f>
        <v/>
      </c>
      <c r="AN260" s="45">
        <f>IF(AH260="","",AH260-T260)</f>
        <v/>
      </c>
      <c r="AO260" s="51">
        <f>IF(AG260=1,1,IF(U260&gt;0,MIN(AF260/U260,0.99),0))</f>
        <v/>
      </c>
      <c r="AP260" s="43">
        <f>IF(AG260=1,AI260*AF260,0)</f>
        <v/>
      </c>
      <c r="AQ260" s="43">
        <f>N260*(F260+G260)/H260</f>
        <v/>
      </c>
      <c r="AR260" s="43">
        <f>O260*AQ260</f>
        <v/>
      </c>
      <c r="AS260" s="52">
        <f>IF(AG260=1,IF(AQ260&gt;0,AF260/AQ260,1),IFERROR(INDEX(Types!$K:$K,MATCH($A260&amp;"|"&amp;$D260,Types!$A:$A,0)),INDEX(Dashboard!$X$6:$X$22,MATCH($A260,Dashboard!$A$6:$A$22,0))))</f>
        <v/>
      </c>
      <c r="AT260" s="43">
        <f>AQ260*INDEX(Dashboard!$Y$6:$Y$22,MATCH($A260,Dashboard!$A$6:$A$22,0))</f>
        <v/>
      </c>
      <c r="AU260" s="53">
        <f>IF(AND(AG260=1,AT260&gt;0,AF260&gt;0),100*AF260/AT260,"")</f>
        <v/>
      </c>
      <c r="AV260" s="44">
        <f>IF(AU260="","",T260/(AU260/100))</f>
        <v/>
      </c>
      <c r="AW260" s="53">
        <f>IF(AU260="","",IF(AND(ABS(AH260)&gt;=0.1,ABS(T260)&gt;=0.05,SIGN(AH260)=SIGN(T260)),100*T260/AH260,""))</f>
        <v/>
      </c>
      <c r="AX260" s="45">
        <f>IF(AU260="","",T260-AV260)</f>
        <v/>
      </c>
      <c r="AY260" s="45">
        <f>IF(AU260="","",AH260-AV260)</f>
        <v/>
      </c>
      <c r="AZ260" s="54">
        <f>(AL260-AM260)-T260*AT260</f>
        <v/>
      </c>
      <c r="BA260" s="43">
        <f>IF(AU260="",0,(AH260-T260)*AF260)</f>
        <v/>
      </c>
      <c r="BB260" s="43">
        <f>IF(AU260="",0,T260*(AF260-AT260))</f>
        <v/>
      </c>
      <c r="BC260" s="51" t="n">
        <v>0.003732554365465758</v>
      </c>
      <c r="BD260" s="51" t="n">
        <v>0.04065238558909445</v>
      </c>
      <c r="BE260" s="51" t="n">
        <v>0.2076813655761024</v>
      </c>
      <c r="BF260" s="43" t="n">
        <v>12324</v>
      </c>
    </row>
    <row r="261">
      <c r="A261" s="42" t="inlineStr">
        <is>
          <t>IA</t>
        </is>
      </c>
      <c r="B261" s="42" t="inlineStr">
        <is>
          <t>19121</t>
        </is>
      </c>
      <c r="C261" s="42" t="inlineStr">
        <is>
          <t>Madison</t>
        </is>
      </c>
      <c r="D261" s="42" t="inlineStr">
        <is>
          <t>Small town &amp; rural</t>
        </is>
      </c>
      <c r="E261" s="42" t="inlineStr"/>
      <c r="F261" s="43" t="n">
        <v>3008</v>
      </c>
      <c r="G261" s="43" t="n">
        <v>6864</v>
      </c>
      <c r="H261" s="43" t="n">
        <v>9995</v>
      </c>
      <c r="I261" s="43" t="n">
        <v>3134</v>
      </c>
      <c r="J261" s="43" t="n">
        <v>6507</v>
      </c>
      <c r="K261" s="42" t="inlineStr">
        <is>
          <t>US Senate</t>
        </is>
      </c>
      <c r="L261" s="43" t="n">
        <v>2405</v>
      </c>
      <c r="M261" s="43" t="n">
        <v>5064</v>
      </c>
      <c r="N261" s="43" t="n">
        <v>7485</v>
      </c>
      <c r="O261" s="44">
        <f>IFERROR((F261-G261)/(F261+G261),"")</f>
        <v/>
      </c>
      <c r="P261" s="44">
        <f>IFERROR((I261-J261)/(I261+J261),"")</f>
        <v/>
      </c>
      <c r="Q261" s="45">
        <f>IFERROR(O261-P261,"")</f>
        <v/>
      </c>
      <c r="R261" s="44">
        <f>IFERROR((L261-M261)/(L261+M261),"")</f>
        <v/>
      </c>
      <c r="S261" s="46">
        <f>H261/SUMIFS(Counties!$H$2:$H$1583,Counties!$A$2:$A$1583,$A261)</f>
        <v/>
      </c>
      <c r="T261" s="44">
        <f>O261+INDEX(Dashboard!$F$6:$F$22,MATCH($A261,Dashboard!$A$6:$A$22,0))</f>
        <v/>
      </c>
      <c r="U261" s="43">
        <f>AQ261*INDEX(Dashboard!$G$6:$G$22,MATCH($A261,Dashboard!$A$6:$A$22,0))</f>
        <v/>
      </c>
      <c r="V261" s="47" t="n"/>
      <c r="W261" s="47" t="n"/>
      <c r="X261" s="47" t="n"/>
      <c r="Y261" s="48" t="n"/>
      <c r="Z261" s="49" t="n"/>
      <c r="AA261" s="49" t="n"/>
      <c r="AB261" s="49" t="n"/>
      <c r="AC261" s="50" t="n"/>
      <c r="AD261" s="43">
        <f>IF(Z261&lt;&gt;"",Z261,N(V261))</f>
        <v/>
      </c>
      <c r="AE261" s="43">
        <f>IF(AA261&lt;&gt;"",AA261,N(W261))</f>
        <v/>
      </c>
      <c r="AF261" s="43">
        <f>AD261+AE261</f>
        <v/>
      </c>
      <c r="AG261" s="42">
        <f>IF(UPPER(AC261)="Y",1,IF(AF261=0,0,IF(AND(Z261="",Y261&lt;&gt;""),IF(Y261&gt;=0.999,1,0),IF(AF261&gt;=U261,1,0))))</f>
        <v/>
      </c>
      <c r="AH261" s="44">
        <f>IF(AF261&gt;0,(AD261-AE261)/AF261,"")</f>
        <v/>
      </c>
      <c r="AI261" s="45">
        <f>IF(AG261=1,AH261-O261,"")</f>
        <v/>
      </c>
      <c r="AJ261" s="44">
        <f>IF(AG261=1,AH261,MAX(-1,MIN(1,O261+INDEX(Types!$H:$H,MATCH($A261&amp;"|"&amp;$D261,Types!$A:$A,0)))))</f>
        <v/>
      </c>
      <c r="AK261" s="43">
        <f>IF(AG261=1,AF261,MAX(AQ261*AS261,AF261))</f>
        <v/>
      </c>
      <c r="AL261" s="43">
        <f>IF(AG261=1,AD261,AK261*(1+AJ261)/2)</f>
        <v/>
      </c>
      <c r="AM261" s="43">
        <f>IF(AG261=1,AE261,AK261*(1-AJ261)/2)</f>
        <v/>
      </c>
      <c r="AN261" s="45">
        <f>IF(AH261="","",AH261-T261)</f>
        <v/>
      </c>
      <c r="AO261" s="51">
        <f>IF(AG261=1,1,IF(U261&gt;0,MIN(AF261/U261,0.99),0))</f>
        <v/>
      </c>
      <c r="AP261" s="43">
        <f>IF(AG261=1,AI261*AF261,0)</f>
        <v/>
      </c>
      <c r="AQ261" s="43">
        <f>N261*(F261+G261)/H261</f>
        <v/>
      </c>
      <c r="AR261" s="43">
        <f>O261*AQ261</f>
        <v/>
      </c>
      <c r="AS261" s="52">
        <f>IF(AG261=1,IF(AQ261&gt;0,AF261/AQ261,1),IFERROR(INDEX(Types!$K:$K,MATCH($A261&amp;"|"&amp;$D261,Types!$A:$A,0)),INDEX(Dashboard!$X$6:$X$22,MATCH($A261,Dashboard!$A$6:$A$22,0))))</f>
        <v/>
      </c>
      <c r="AT261" s="43">
        <f>AQ261*INDEX(Dashboard!$Y$6:$Y$22,MATCH($A261,Dashboard!$A$6:$A$22,0))</f>
        <v/>
      </c>
      <c r="AU261" s="53">
        <f>IF(AND(AG261=1,AT261&gt;0,AF261&gt;0),100*AF261/AT261,"")</f>
        <v/>
      </c>
      <c r="AV261" s="44">
        <f>IF(AU261="","",T261/(AU261/100))</f>
        <v/>
      </c>
      <c r="AW261" s="53">
        <f>IF(AU261="","",IF(AND(ABS(AH261)&gt;=0.1,ABS(T261)&gt;=0.05,SIGN(AH261)=SIGN(T261)),100*T261/AH261,""))</f>
        <v/>
      </c>
      <c r="AX261" s="45">
        <f>IF(AU261="","",T261-AV261)</f>
        <v/>
      </c>
      <c r="AY261" s="45">
        <f>IF(AU261="","",AH261-AV261)</f>
        <v/>
      </c>
      <c r="AZ261" s="54">
        <f>(AL261-AM261)-T261*AT261</f>
        <v/>
      </c>
      <c r="BA261" s="43">
        <f>IF(AU261="",0,(AH261-T261)*AF261)</f>
        <v/>
      </c>
      <c r="BB261" s="43">
        <f>IF(AU261="",0,T261*(AF261-AT261))</f>
        <v/>
      </c>
      <c r="BC261" s="51" t="n">
        <v>0.004890695892993931</v>
      </c>
      <c r="BD261" s="51" t="n">
        <v>0.02439455541806611</v>
      </c>
      <c r="BE261" s="51" t="n">
        <v>0.2549500613281934</v>
      </c>
      <c r="BF261" s="43" t="n">
        <v>16971</v>
      </c>
    </row>
    <row r="262">
      <c r="A262" s="42" t="inlineStr">
        <is>
          <t>IA</t>
        </is>
      </c>
      <c r="B262" s="42" t="inlineStr">
        <is>
          <t>19123</t>
        </is>
      </c>
      <c r="C262" s="42" t="inlineStr">
        <is>
          <t>Mahaska</t>
        </is>
      </c>
      <c r="D262" s="42" t="inlineStr">
        <is>
          <t>Small town &amp; rural</t>
        </is>
      </c>
      <c r="E262" s="42" t="inlineStr"/>
      <c r="F262" s="43" t="n">
        <v>2577</v>
      </c>
      <c r="G262" s="43" t="n">
        <v>8207</v>
      </c>
      <c r="H262" s="43" t="n">
        <v>10910</v>
      </c>
      <c r="I262" s="43" t="n">
        <v>2894</v>
      </c>
      <c r="J262" s="43" t="n">
        <v>8297</v>
      </c>
      <c r="K262" s="42" t="inlineStr">
        <is>
          <t>US Senate</t>
        </is>
      </c>
      <c r="L262" s="43" t="n">
        <v>1936</v>
      </c>
      <c r="M262" s="43" t="n">
        <v>6049</v>
      </c>
      <c r="N262" s="43" t="n">
        <v>7993</v>
      </c>
      <c r="O262" s="44">
        <f>IFERROR((F262-G262)/(F262+G262),"")</f>
        <v/>
      </c>
      <c r="P262" s="44">
        <f>IFERROR((I262-J262)/(I262+J262),"")</f>
        <v/>
      </c>
      <c r="Q262" s="45">
        <f>IFERROR(O262-P262,"")</f>
        <v/>
      </c>
      <c r="R262" s="44">
        <f>IFERROR((L262-M262)/(L262+M262),"")</f>
        <v/>
      </c>
      <c r="S262" s="46">
        <f>H262/SUMIFS(Counties!$H$2:$H$1583,Counties!$A$2:$A$1583,$A262)</f>
        <v/>
      </c>
      <c r="T262" s="44">
        <f>O262+INDEX(Dashboard!$F$6:$F$22,MATCH($A262,Dashboard!$A$6:$A$22,0))</f>
        <v/>
      </c>
      <c r="U262" s="43">
        <f>AQ262*INDEX(Dashboard!$G$6:$G$22,MATCH($A262,Dashboard!$A$6:$A$22,0))</f>
        <v/>
      </c>
      <c r="V262" s="47" t="n"/>
      <c r="W262" s="47" t="n"/>
      <c r="X262" s="47" t="n"/>
      <c r="Y262" s="48" t="n"/>
      <c r="Z262" s="49" t="n"/>
      <c r="AA262" s="49" t="n"/>
      <c r="AB262" s="49" t="n"/>
      <c r="AC262" s="50" t="n"/>
      <c r="AD262" s="43">
        <f>IF(Z262&lt;&gt;"",Z262,N(V262))</f>
        <v/>
      </c>
      <c r="AE262" s="43">
        <f>IF(AA262&lt;&gt;"",AA262,N(W262))</f>
        <v/>
      </c>
      <c r="AF262" s="43">
        <f>AD262+AE262</f>
        <v/>
      </c>
      <c r="AG262" s="42">
        <f>IF(UPPER(AC262)="Y",1,IF(AF262=0,0,IF(AND(Z262="",Y262&lt;&gt;""),IF(Y262&gt;=0.999,1,0),IF(AF262&gt;=U262,1,0))))</f>
        <v/>
      </c>
      <c r="AH262" s="44">
        <f>IF(AF262&gt;0,(AD262-AE262)/AF262,"")</f>
        <v/>
      </c>
      <c r="AI262" s="45">
        <f>IF(AG262=1,AH262-O262,"")</f>
        <v/>
      </c>
      <c r="AJ262" s="44">
        <f>IF(AG262=1,AH262,MAX(-1,MIN(1,O262+INDEX(Types!$H:$H,MATCH($A262&amp;"|"&amp;$D262,Types!$A:$A,0)))))</f>
        <v/>
      </c>
      <c r="AK262" s="43">
        <f>IF(AG262=1,AF262,MAX(AQ262*AS262,AF262))</f>
        <v/>
      </c>
      <c r="AL262" s="43">
        <f>IF(AG262=1,AD262,AK262*(1+AJ262)/2)</f>
        <v/>
      </c>
      <c r="AM262" s="43">
        <f>IF(AG262=1,AE262,AK262*(1-AJ262)/2)</f>
        <v/>
      </c>
      <c r="AN262" s="45">
        <f>IF(AH262="","",AH262-T262)</f>
        <v/>
      </c>
      <c r="AO262" s="51">
        <f>IF(AG262=1,1,IF(U262&gt;0,MIN(AF262/U262,0.99),0))</f>
        <v/>
      </c>
      <c r="AP262" s="43">
        <f>IF(AG262=1,AI262*AF262,0)</f>
        <v/>
      </c>
      <c r="AQ262" s="43">
        <f>N262*(F262+G262)/H262</f>
        <v/>
      </c>
      <c r="AR262" s="43">
        <f>O262*AQ262</f>
        <v/>
      </c>
      <c r="AS262" s="52">
        <f>IF(AG262=1,IF(AQ262&gt;0,AF262/AQ262,1),IFERROR(INDEX(Types!$K:$K,MATCH($A262&amp;"|"&amp;$D262,Types!$A:$A,0)),INDEX(Dashboard!$X$6:$X$22,MATCH($A262,Dashboard!$A$6:$A$22,0))))</f>
        <v/>
      </c>
      <c r="AT262" s="43">
        <f>AQ262*INDEX(Dashboard!$Y$6:$Y$22,MATCH($A262,Dashboard!$A$6:$A$22,0))</f>
        <v/>
      </c>
      <c r="AU262" s="53">
        <f>IF(AND(AG262=1,AT262&gt;0,AF262&gt;0),100*AF262/AT262,"")</f>
        <v/>
      </c>
      <c r="AV262" s="44">
        <f>IF(AU262="","",T262/(AU262/100))</f>
        <v/>
      </c>
      <c r="AW262" s="53">
        <f>IF(AU262="","",IF(AND(ABS(AH262)&gt;=0.1,ABS(T262)&gt;=0.05,SIGN(AH262)=SIGN(T262)),100*T262/AH262,""))</f>
        <v/>
      </c>
      <c r="AX262" s="45">
        <f>IF(AU262="","",T262-AV262)</f>
        <v/>
      </c>
      <c r="AY262" s="45">
        <f>IF(AU262="","",AH262-AV262)</f>
        <v/>
      </c>
      <c r="AZ262" s="54">
        <f>(AL262-AM262)-T262*AT262</f>
        <v/>
      </c>
      <c r="BA262" s="43">
        <f>IF(AU262="",0,(AH262-T262)*AF262)</f>
        <v/>
      </c>
      <c r="BB262" s="43">
        <f>IF(AU262="",0,T262*(AF262-AT262))</f>
        <v/>
      </c>
      <c r="BC262" s="51" t="n">
        <v>0.01860656487153698</v>
      </c>
      <c r="BD262" s="51" t="n">
        <v>0.02660693060254183</v>
      </c>
      <c r="BE262" s="51" t="n">
        <v>0.2299958965941732</v>
      </c>
      <c r="BF262" s="43" t="n">
        <v>21874</v>
      </c>
    </row>
    <row r="263">
      <c r="A263" s="42" t="inlineStr">
        <is>
          <t>IA</t>
        </is>
      </c>
      <c r="B263" s="42" t="inlineStr">
        <is>
          <t>19125</t>
        </is>
      </c>
      <c r="C263" s="42" t="inlineStr">
        <is>
          <t>Marion</t>
        </is>
      </c>
      <c r="D263" s="42" t="inlineStr">
        <is>
          <t>Small town &amp; rural</t>
        </is>
      </c>
      <c r="E263" s="42" t="inlineStr"/>
      <c r="F263" s="43" t="n">
        <v>5928</v>
      </c>
      <c r="G263" s="43" t="n">
        <v>13289</v>
      </c>
      <c r="H263" s="43" t="n">
        <v>19490</v>
      </c>
      <c r="I263" s="43" t="n">
        <v>6178</v>
      </c>
      <c r="J263" s="43" t="n">
        <v>12663</v>
      </c>
      <c r="K263" s="42" t="inlineStr">
        <is>
          <t>US Senate</t>
        </is>
      </c>
      <c r="L263" s="43" t="n">
        <v>4341</v>
      </c>
      <c r="M263" s="43" t="n">
        <v>9799</v>
      </c>
      <c r="N263" s="43" t="n">
        <v>14160</v>
      </c>
      <c r="O263" s="44">
        <f>IFERROR((F263-G263)/(F263+G263),"")</f>
        <v/>
      </c>
      <c r="P263" s="44">
        <f>IFERROR((I263-J263)/(I263+J263),"")</f>
        <v/>
      </c>
      <c r="Q263" s="45">
        <f>IFERROR(O263-P263,"")</f>
        <v/>
      </c>
      <c r="R263" s="44">
        <f>IFERROR((L263-M263)/(L263+M263),"")</f>
        <v/>
      </c>
      <c r="S263" s="46">
        <f>H263/SUMIFS(Counties!$H$2:$H$1583,Counties!$A$2:$A$1583,$A263)</f>
        <v/>
      </c>
      <c r="T263" s="44">
        <f>O263+INDEX(Dashboard!$F$6:$F$22,MATCH($A263,Dashboard!$A$6:$A$22,0))</f>
        <v/>
      </c>
      <c r="U263" s="43">
        <f>AQ263*INDEX(Dashboard!$G$6:$G$22,MATCH($A263,Dashboard!$A$6:$A$22,0))</f>
        <v/>
      </c>
      <c r="V263" s="47" t="n"/>
      <c r="W263" s="47" t="n"/>
      <c r="X263" s="47" t="n"/>
      <c r="Y263" s="48" t="n"/>
      <c r="Z263" s="49" t="n"/>
      <c r="AA263" s="49" t="n"/>
      <c r="AB263" s="49" t="n"/>
      <c r="AC263" s="50" t="n"/>
      <c r="AD263" s="43">
        <f>IF(Z263&lt;&gt;"",Z263,N(V263))</f>
        <v/>
      </c>
      <c r="AE263" s="43">
        <f>IF(AA263&lt;&gt;"",AA263,N(W263))</f>
        <v/>
      </c>
      <c r="AF263" s="43">
        <f>AD263+AE263</f>
        <v/>
      </c>
      <c r="AG263" s="42">
        <f>IF(UPPER(AC263)="Y",1,IF(AF263=0,0,IF(AND(Z263="",Y263&lt;&gt;""),IF(Y263&gt;=0.999,1,0),IF(AF263&gt;=U263,1,0))))</f>
        <v/>
      </c>
      <c r="AH263" s="44">
        <f>IF(AF263&gt;0,(AD263-AE263)/AF263,"")</f>
        <v/>
      </c>
      <c r="AI263" s="45">
        <f>IF(AG263=1,AH263-O263,"")</f>
        <v/>
      </c>
      <c r="AJ263" s="44">
        <f>IF(AG263=1,AH263,MAX(-1,MIN(1,O263+INDEX(Types!$H:$H,MATCH($A263&amp;"|"&amp;$D263,Types!$A:$A,0)))))</f>
        <v/>
      </c>
      <c r="AK263" s="43">
        <f>IF(AG263=1,AF263,MAX(AQ263*AS263,AF263))</f>
        <v/>
      </c>
      <c r="AL263" s="43">
        <f>IF(AG263=1,AD263,AK263*(1+AJ263)/2)</f>
        <v/>
      </c>
      <c r="AM263" s="43">
        <f>IF(AG263=1,AE263,AK263*(1-AJ263)/2)</f>
        <v/>
      </c>
      <c r="AN263" s="45">
        <f>IF(AH263="","",AH263-T263)</f>
        <v/>
      </c>
      <c r="AO263" s="51">
        <f>IF(AG263=1,1,IF(U263&gt;0,MIN(AF263/U263,0.99),0))</f>
        <v/>
      </c>
      <c r="AP263" s="43">
        <f>IF(AG263=1,AI263*AF263,0)</f>
        <v/>
      </c>
      <c r="AQ263" s="43">
        <f>N263*(F263+G263)/H263</f>
        <v/>
      </c>
      <c r="AR263" s="43">
        <f>O263*AQ263</f>
        <v/>
      </c>
      <c r="AS263" s="52">
        <f>IF(AG263=1,IF(AQ263&gt;0,AF263/AQ263,1),IFERROR(INDEX(Types!$K:$K,MATCH($A263&amp;"|"&amp;$D263,Types!$A:$A,0)),INDEX(Dashboard!$X$6:$X$22,MATCH($A263,Dashboard!$A$6:$A$22,0))))</f>
        <v/>
      </c>
      <c r="AT263" s="43">
        <f>AQ263*INDEX(Dashboard!$Y$6:$Y$22,MATCH($A263,Dashboard!$A$6:$A$22,0))</f>
        <v/>
      </c>
      <c r="AU263" s="53">
        <f>IF(AND(AG263=1,AT263&gt;0,AF263&gt;0),100*AF263/AT263,"")</f>
        <v/>
      </c>
      <c r="AV263" s="44">
        <f>IF(AU263="","",T263/(AU263/100))</f>
        <v/>
      </c>
      <c r="AW263" s="53">
        <f>IF(AU263="","",IF(AND(ABS(AH263)&gt;=0.1,ABS(T263)&gt;=0.05,SIGN(AH263)=SIGN(T263)),100*T263/AH263,""))</f>
        <v/>
      </c>
      <c r="AX263" s="45">
        <f>IF(AU263="","",T263-AV263)</f>
        <v/>
      </c>
      <c r="AY263" s="45">
        <f>IF(AU263="","",AH263-AV263)</f>
        <v/>
      </c>
      <c r="AZ263" s="54">
        <f>(AL263-AM263)-T263*AT263</f>
        <v/>
      </c>
      <c r="BA263" s="43">
        <f>IF(AU263="",0,(AH263-T263)*AF263)</f>
        <v/>
      </c>
      <c r="BB263" s="43">
        <f>IF(AU263="",0,T263*(AF263-AT263))</f>
        <v/>
      </c>
      <c r="BC263" s="51" t="n">
        <v>0.009594314480307965</v>
      </c>
      <c r="BD263" s="51" t="n">
        <v>0.02294936334024282</v>
      </c>
      <c r="BE263" s="51" t="n">
        <v>0.3306632059428981</v>
      </c>
      <c r="BF263" s="43" t="n">
        <v>33770</v>
      </c>
    </row>
    <row r="264">
      <c r="A264" s="42" t="inlineStr">
        <is>
          <t>IA</t>
        </is>
      </c>
      <c r="B264" s="42" t="inlineStr">
        <is>
          <t>19127</t>
        </is>
      </c>
      <c r="C264" s="42" t="inlineStr">
        <is>
          <t>Marshall</t>
        </is>
      </c>
      <c r="D264" s="42" t="inlineStr">
        <is>
          <t>Small town &amp; rural</t>
        </is>
      </c>
      <c r="E264" s="42" t="inlineStr"/>
      <c r="F264" s="43" t="n">
        <v>7134</v>
      </c>
      <c r="G264" s="43" t="n">
        <v>9815</v>
      </c>
      <c r="H264" s="43" t="n">
        <v>17217</v>
      </c>
      <c r="I264" s="43" t="n">
        <v>8176</v>
      </c>
      <c r="J264" s="43" t="n">
        <v>9571</v>
      </c>
      <c r="K264" s="42" t="inlineStr">
        <is>
          <t>US Senate</t>
        </is>
      </c>
      <c r="L264" s="43" t="n">
        <v>5060</v>
      </c>
      <c r="M264" s="43" t="n">
        <v>7307</v>
      </c>
      <c r="N264" s="43" t="n">
        <v>12383</v>
      </c>
      <c r="O264" s="44">
        <f>IFERROR((F264-G264)/(F264+G264),"")</f>
        <v/>
      </c>
      <c r="P264" s="44">
        <f>IFERROR((I264-J264)/(I264+J264),"")</f>
        <v/>
      </c>
      <c r="Q264" s="45">
        <f>IFERROR(O264-P264,"")</f>
        <v/>
      </c>
      <c r="R264" s="44">
        <f>IFERROR((L264-M264)/(L264+M264),"")</f>
        <v/>
      </c>
      <c r="S264" s="46">
        <f>H264/SUMIFS(Counties!$H$2:$H$1583,Counties!$A$2:$A$1583,$A264)</f>
        <v/>
      </c>
      <c r="T264" s="44">
        <f>O264+INDEX(Dashboard!$F$6:$F$22,MATCH($A264,Dashboard!$A$6:$A$22,0))</f>
        <v/>
      </c>
      <c r="U264" s="43">
        <f>AQ264*INDEX(Dashboard!$G$6:$G$22,MATCH($A264,Dashboard!$A$6:$A$22,0))</f>
        <v/>
      </c>
      <c r="V264" s="47" t="n"/>
      <c r="W264" s="47" t="n"/>
      <c r="X264" s="47" t="n"/>
      <c r="Y264" s="48" t="n"/>
      <c r="Z264" s="49" t="n"/>
      <c r="AA264" s="49" t="n"/>
      <c r="AB264" s="49" t="n"/>
      <c r="AC264" s="50" t="n"/>
      <c r="AD264" s="43">
        <f>IF(Z264&lt;&gt;"",Z264,N(V264))</f>
        <v/>
      </c>
      <c r="AE264" s="43">
        <f>IF(AA264&lt;&gt;"",AA264,N(W264))</f>
        <v/>
      </c>
      <c r="AF264" s="43">
        <f>AD264+AE264</f>
        <v/>
      </c>
      <c r="AG264" s="42">
        <f>IF(UPPER(AC264)="Y",1,IF(AF264=0,0,IF(AND(Z264="",Y264&lt;&gt;""),IF(Y264&gt;=0.999,1,0),IF(AF264&gt;=U264,1,0))))</f>
        <v/>
      </c>
      <c r="AH264" s="44">
        <f>IF(AF264&gt;0,(AD264-AE264)/AF264,"")</f>
        <v/>
      </c>
      <c r="AI264" s="45">
        <f>IF(AG264=1,AH264-O264,"")</f>
        <v/>
      </c>
      <c r="AJ264" s="44">
        <f>IF(AG264=1,AH264,MAX(-1,MIN(1,O264+INDEX(Types!$H:$H,MATCH($A264&amp;"|"&amp;$D264,Types!$A:$A,0)))))</f>
        <v/>
      </c>
      <c r="AK264" s="43">
        <f>IF(AG264=1,AF264,MAX(AQ264*AS264,AF264))</f>
        <v/>
      </c>
      <c r="AL264" s="43">
        <f>IF(AG264=1,AD264,AK264*(1+AJ264)/2)</f>
        <v/>
      </c>
      <c r="AM264" s="43">
        <f>IF(AG264=1,AE264,AK264*(1-AJ264)/2)</f>
        <v/>
      </c>
      <c r="AN264" s="45">
        <f>IF(AH264="","",AH264-T264)</f>
        <v/>
      </c>
      <c r="AO264" s="51">
        <f>IF(AG264=1,1,IF(U264&gt;0,MIN(AF264/U264,0.99),0))</f>
        <v/>
      </c>
      <c r="AP264" s="43">
        <f>IF(AG264=1,AI264*AF264,0)</f>
        <v/>
      </c>
      <c r="AQ264" s="43">
        <f>N264*(F264+G264)/H264</f>
        <v/>
      </c>
      <c r="AR264" s="43">
        <f>O264*AQ264</f>
        <v/>
      </c>
      <c r="AS264" s="52">
        <f>IF(AG264=1,IF(AQ264&gt;0,AF264/AQ264,1),IFERROR(INDEX(Types!$K:$K,MATCH($A264&amp;"|"&amp;$D264,Types!$A:$A,0)),INDEX(Dashboard!$X$6:$X$22,MATCH($A264,Dashboard!$A$6:$A$22,0))))</f>
        <v/>
      </c>
      <c r="AT264" s="43">
        <f>AQ264*INDEX(Dashboard!$Y$6:$Y$22,MATCH($A264,Dashboard!$A$6:$A$22,0))</f>
        <v/>
      </c>
      <c r="AU264" s="53">
        <f>IF(AND(AG264=1,AT264&gt;0,AF264&gt;0),100*AF264/AT264,"")</f>
        <v/>
      </c>
      <c r="AV264" s="44">
        <f>IF(AU264="","",T264/(AU264/100))</f>
        <v/>
      </c>
      <c r="AW264" s="53">
        <f>IF(AU264="","",IF(AND(ABS(AH264)&gt;=0.1,ABS(T264)&gt;=0.05,SIGN(AH264)=SIGN(T264)),100*T264/AH264,""))</f>
        <v/>
      </c>
      <c r="AX264" s="45">
        <f>IF(AU264="","",T264-AV264)</f>
        <v/>
      </c>
      <c r="AY264" s="45">
        <f>IF(AU264="","",AH264-AV264)</f>
        <v/>
      </c>
      <c r="AZ264" s="54">
        <f>(AL264-AM264)-T264*AT264</f>
        <v/>
      </c>
      <c r="BA264" s="43">
        <f>IF(AU264="",0,(AH264-T264)*AF264)</f>
        <v/>
      </c>
      <c r="BB264" s="43">
        <f>IF(AU264="",0,T264*(AF264-AT264))</f>
        <v/>
      </c>
      <c r="BC264" s="51" t="n">
        <v>0.0210426350777228</v>
      </c>
      <c r="BD264" s="51" t="n">
        <v>0.254635877442895</v>
      </c>
      <c r="BE264" s="51" t="n">
        <v>0.214471550846499</v>
      </c>
      <c r="BF264" s="43" t="n">
        <v>40014</v>
      </c>
    </row>
    <row r="265">
      <c r="A265" s="42" t="inlineStr">
        <is>
          <t>IA</t>
        </is>
      </c>
      <c r="B265" s="42" t="inlineStr">
        <is>
          <t>19129</t>
        </is>
      </c>
      <c r="C265" s="42" t="inlineStr">
        <is>
          <t>Mills</t>
        </is>
      </c>
      <c r="D265" s="42" t="inlineStr">
        <is>
          <t>Small town &amp; rural</t>
        </is>
      </c>
      <c r="E265" s="42" t="inlineStr"/>
      <c r="F265" s="43" t="n">
        <v>2456</v>
      </c>
      <c r="G265" s="43" t="n">
        <v>5671</v>
      </c>
      <c r="H265" s="43" t="n">
        <v>8223</v>
      </c>
      <c r="I265" s="43" t="n">
        <v>2508</v>
      </c>
      <c r="J265" s="43" t="n">
        <v>5585</v>
      </c>
      <c r="K265" s="42" t="inlineStr">
        <is>
          <t>US Senate</t>
        </is>
      </c>
      <c r="L265" s="43" t="n">
        <v>1654</v>
      </c>
      <c r="M265" s="43" t="n">
        <v>3937</v>
      </c>
      <c r="N265" s="43" t="n">
        <v>5602</v>
      </c>
      <c r="O265" s="44">
        <f>IFERROR((F265-G265)/(F265+G265),"")</f>
        <v/>
      </c>
      <c r="P265" s="44">
        <f>IFERROR((I265-J265)/(I265+J265),"")</f>
        <v/>
      </c>
      <c r="Q265" s="45">
        <f>IFERROR(O265-P265,"")</f>
        <v/>
      </c>
      <c r="R265" s="44">
        <f>IFERROR((L265-M265)/(L265+M265),"")</f>
        <v/>
      </c>
      <c r="S265" s="46">
        <f>H265/SUMIFS(Counties!$H$2:$H$1583,Counties!$A$2:$A$1583,$A265)</f>
        <v/>
      </c>
      <c r="T265" s="44">
        <f>O265+INDEX(Dashboard!$F$6:$F$22,MATCH($A265,Dashboard!$A$6:$A$22,0))</f>
        <v/>
      </c>
      <c r="U265" s="43">
        <f>AQ265*INDEX(Dashboard!$G$6:$G$22,MATCH($A265,Dashboard!$A$6:$A$22,0))</f>
        <v/>
      </c>
      <c r="V265" s="47" t="n"/>
      <c r="W265" s="47" t="n"/>
      <c r="X265" s="47" t="n"/>
      <c r="Y265" s="48" t="n"/>
      <c r="Z265" s="49" t="n"/>
      <c r="AA265" s="49" t="n"/>
      <c r="AB265" s="49" t="n"/>
      <c r="AC265" s="50" t="n"/>
      <c r="AD265" s="43">
        <f>IF(Z265&lt;&gt;"",Z265,N(V265))</f>
        <v/>
      </c>
      <c r="AE265" s="43">
        <f>IF(AA265&lt;&gt;"",AA265,N(W265))</f>
        <v/>
      </c>
      <c r="AF265" s="43">
        <f>AD265+AE265</f>
        <v/>
      </c>
      <c r="AG265" s="42">
        <f>IF(UPPER(AC265)="Y",1,IF(AF265=0,0,IF(AND(Z265="",Y265&lt;&gt;""),IF(Y265&gt;=0.999,1,0),IF(AF265&gt;=U265,1,0))))</f>
        <v/>
      </c>
      <c r="AH265" s="44">
        <f>IF(AF265&gt;0,(AD265-AE265)/AF265,"")</f>
        <v/>
      </c>
      <c r="AI265" s="45">
        <f>IF(AG265=1,AH265-O265,"")</f>
        <v/>
      </c>
      <c r="AJ265" s="44">
        <f>IF(AG265=1,AH265,MAX(-1,MIN(1,O265+INDEX(Types!$H:$H,MATCH($A265&amp;"|"&amp;$D265,Types!$A:$A,0)))))</f>
        <v/>
      </c>
      <c r="AK265" s="43">
        <f>IF(AG265=1,AF265,MAX(AQ265*AS265,AF265))</f>
        <v/>
      </c>
      <c r="AL265" s="43">
        <f>IF(AG265=1,AD265,AK265*(1+AJ265)/2)</f>
        <v/>
      </c>
      <c r="AM265" s="43">
        <f>IF(AG265=1,AE265,AK265*(1-AJ265)/2)</f>
        <v/>
      </c>
      <c r="AN265" s="45">
        <f>IF(AH265="","",AH265-T265)</f>
        <v/>
      </c>
      <c r="AO265" s="51">
        <f>IF(AG265=1,1,IF(U265&gt;0,MIN(AF265/U265,0.99),0))</f>
        <v/>
      </c>
      <c r="AP265" s="43">
        <f>IF(AG265=1,AI265*AF265,0)</f>
        <v/>
      </c>
      <c r="AQ265" s="43">
        <f>N265*(F265+G265)/H265</f>
        <v/>
      </c>
      <c r="AR265" s="43">
        <f>O265*AQ265</f>
        <v/>
      </c>
      <c r="AS265" s="52">
        <f>IF(AG265=1,IF(AQ265&gt;0,AF265/AQ265,1),IFERROR(INDEX(Types!$K:$K,MATCH($A265&amp;"|"&amp;$D265,Types!$A:$A,0)),INDEX(Dashboard!$X$6:$X$22,MATCH($A265,Dashboard!$A$6:$A$22,0))))</f>
        <v/>
      </c>
      <c r="AT265" s="43">
        <f>AQ265*INDEX(Dashboard!$Y$6:$Y$22,MATCH($A265,Dashboard!$A$6:$A$22,0))</f>
        <v/>
      </c>
      <c r="AU265" s="53">
        <f>IF(AND(AG265=1,AT265&gt;0,AF265&gt;0),100*AF265/AT265,"")</f>
        <v/>
      </c>
      <c r="AV265" s="44">
        <f>IF(AU265="","",T265/(AU265/100))</f>
        <v/>
      </c>
      <c r="AW265" s="53">
        <f>IF(AU265="","",IF(AND(ABS(AH265)&gt;=0.1,ABS(T265)&gt;=0.05,SIGN(AH265)=SIGN(T265)),100*T265/AH265,""))</f>
        <v/>
      </c>
      <c r="AX265" s="45">
        <f>IF(AU265="","",T265-AV265)</f>
        <v/>
      </c>
      <c r="AY265" s="45">
        <f>IF(AU265="","",AH265-AV265)</f>
        <v/>
      </c>
      <c r="AZ265" s="54">
        <f>(AL265-AM265)-T265*AT265</f>
        <v/>
      </c>
      <c r="BA265" s="43">
        <f>IF(AU265="",0,(AH265-T265)*AF265)</f>
        <v/>
      </c>
      <c r="BB265" s="43">
        <f>IF(AU265="",0,T265*(AF265-AT265))</f>
        <v/>
      </c>
      <c r="BC265" s="51" t="n">
        <v>0.006560513906922709</v>
      </c>
      <c r="BD265" s="51" t="n">
        <v>0.04025148636643204</v>
      </c>
      <c r="BE265" s="51" t="n">
        <v>0.3204776820673453</v>
      </c>
      <c r="BF265" s="43" t="n">
        <v>14633</v>
      </c>
    </row>
    <row r="266">
      <c r="A266" s="42" t="inlineStr">
        <is>
          <t>IA</t>
        </is>
      </c>
      <c r="B266" s="42" t="inlineStr">
        <is>
          <t>19131</t>
        </is>
      </c>
      <c r="C266" s="42" t="inlineStr">
        <is>
          <t>Mitchell</t>
        </is>
      </c>
      <c r="D266" s="42" t="inlineStr">
        <is>
          <t>Small town &amp; rural</t>
        </is>
      </c>
      <c r="E266" s="42" t="inlineStr"/>
      <c r="F266" s="43" t="n">
        <v>1943</v>
      </c>
      <c r="G266" s="43" t="n">
        <v>3736</v>
      </c>
      <c r="H266" s="43" t="n">
        <v>5757</v>
      </c>
      <c r="I266" s="43" t="n">
        <v>2053</v>
      </c>
      <c r="J266" s="43" t="n">
        <v>3677</v>
      </c>
      <c r="K266" s="42" t="inlineStr">
        <is>
          <t>US Senate</t>
        </is>
      </c>
      <c r="L266" s="43" t="n">
        <v>1479</v>
      </c>
      <c r="M266" s="43" t="n">
        <v>2761</v>
      </c>
      <c r="N266" s="43" t="n">
        <v>4246</v>
      </c>
      <c r="O266" s="44">
        <f>IFERROR((F266-G266)/(F266+G266),"")</f>
        <v/>
      </c>
      <c r="P266" s="44">
        <f>IFERROR((I266-J266)/(I266+J266),"")</f>
        <v/>
      </c>
      <c r="Q266" s="45">
        <f>IFERROR(O266-P266,"")</f>
        <v/>
      </c>
      <c r="R266" s="44">
        <f>IFERROR((L266-M266)/(L266+M266),"")</f>
        <v/>
      </c>
      <c r="S266" s="46">
        <f>H266/SUMIFS(Counties!$H$2:$H$1583,Counties!$A$2:$A$1583,$A266)</f>
        <v/>
      </c>
      <c r="T266" s="44">
        <f>O266+INDEX(Dashboard!$F$6:$F$22,MATCH($A266,Dashboard!$A$6:$A$22,0))</f>
        <v/>
      </c>
      <c r="U266" s="43">
        <f>AQ266*INDEX(Dashboard!$G$6:$G$22,MATCH($A266,Dashboard!$A$6:$A$22,0))</f>
        <v/>
      </c>
      <c r="V266" s="47" t="n"/>
      <c r="W266" s="47" t="n"/>
      <c r="X266" s="47" t="n"/>
      <c r="Y266" s="48" t="n"/>
      <c r="Z266" s="49" t="n"/>
      <c r="AA266" s="49" t="n"/>
      <c r="AB266" s="49" t="n"/>
      <c r="AC266" s="50" t="n"/>
      <c r="AD266" s="43">
        <f>IF(Z266&lt;&gt;"",Z266,N(V266))</f>
        <v/>
      </c>
      <c r="AE266" s="43">
        <f>IF(AA266&lt;&gt;"",AA266,N(W266))</f>
        <v/>
      </c>
      <c r="AF266" s="43">
        <f>AD266+AE266</f>
        <v/>
      </c>
      <c r="AG266" s="42">
        <f>IF(UPPER(AC266)="Y",1,IF(AF266=0,0,IF(AND(Z266="",Y266&lt;&gt;""),IF(Y266&gt;=0.999,1,0),IF(AF266&gt;=U266,1,0))))</f>
        <v/>
      </c>
      <c r="AH266" s="44">
        <f>IF(AF266&gt;0,(AD266-AE266)/AF266,"")</f>
        <v/>
      </c>
      <c r="AI266" s="45">
        <f>IF(AG266=1,AH266-O266,"")</f>
        <v/>
      </c>
      <c r="AJ266" s="44">
        <f>IF(AG266=1,AH266,MAX(-1,MIN(1,O266+INDEX(Types!$H:$H,MATCH($A266&amp;"|"&amp;$D266,Types!$A:$A,0)))))</f>
        <v/>
      </c>
      <c r="AK266" s="43">
        <f>IF(AG266=1,AF266,MAX(AQ266*AS266,AF266))</f>
        <v/>
      </c>
      <c r="AL266" s="43">
        <f>IF(AG266=1,AD266,AK266*(1+AJ266)/2)</f>
        <v/>
      </c>
      <c r="AM266" s="43">
        <f>IF(AG266=1,AE266,AK266*(1-AJ266)/2)</f>
        <v/>
      </c>
      <c r="AN266" s="45">
        <f>IF(AH266="","",AH266-T266)</f>
        <v/>
      </c>
      <c r="AO266" s="51">
        <f>IF(AG266=1,1,IF(U266&gt;0,MIN(AF266/U266,0.99),0))</f>
        <v/>
      </c>
      <c r="AP266" s="43">
        <f>IF(AG266=1,AI266*AF266,0)</f>
        <v/>
      </c>
      <c r="AQ266" s="43">
        <f>N266*(F266+G266)/H266</f>
        <v/>
      </c>
      <c r="AR266" s="43">
        <f>O266*AQ266</f>
        <v/>
      </c>
      <c r="AS266" s="52">
        <f>IF(AG266=1,IF(AQ266&gt;0,AF266/AQ266,1),IFERROR(INDEX(Types!$K:$K,MATCH($A266&amp;"|"&amp;$D266,Types!$A:$A,0)),INDEX(Dashboard!$X$6:$X$22,MATCH($A266,Dashboard!$A$6:$A$22,0))))</f>
        <v/>
      </c>
      <c r="AT266" s="43">
        <f>AQ266*INDEX(Dashboard!$Y$6:$Y$22,MATCH($A266,Dashboard!$A$6:$A$22,0))</f>
        <v/>
      </c>
      <c r="AU266" s="53">
        <f>IF(AND(AG266=1,AT266&gt;0,AF266&gt;0),100*AF266/AT266,"")</f>
        <v/>
      </c>
      <c r="AV266" s="44">
        <f>IF(AU266="","",T266/(AU266/100))</f>
        <v/>
      </c>
      <c r="AW266" s="53">
        <f>IF(AU266="","",IF(AND(ABS(AH266)&gt;=0.1,ABS(T266)&gt;=0.05,SIGN(AH266)=SIGN(T266)),100*T266/AH266,""))</f>
        <v/>
      </c>
      <c r="AX266" s="45">
        <f>IF(AU266="","",T266-AV266)</f>
        <v/>
      </c>
      <c r="AY266" s="45">
        <f>IF(AU266="","",AH266-AV266)</f>
        <v/>
      </c>
      <c r="AZ266" s="54">
        <f>(AL266-AM266)-T266*AT266</f>
        <v/>
      </c>
      <c r="BA266" s="43">
        <f>IF(AU266="",0,(AH266-T266)*AF266)</f>
        <v/>
      </c>
      <c r="BB266" s="43">
        <f>IF(AU266="",0,T266*(AF266-AT266))</f>
        <v/>
      </c>
      <c r="BC266" s="51" t="n">
        <v>0.006084806997528047</v>
      </c>
      <c r="BD266" s="51" t="n">
        <v>0.02595550484883058</v>
      </c>
      <c r="BE266" s="51" t="n">
        <v>0.2271219242466132</v>
      </c>
      <c r="BF266" s="43" t="n">
        <v>10518</v>
      </c>
    </row>
    <row r="267">
      <c r="A267" s="42" t="inlineStr">
        <is>
          <t>IA</t>
        </is>
      </c>
      <c r="B267" s="42" t="inlineStr">
        <is>
          <t>19133</t>
        </is>
      </c>
      <c r="C267" s="42" t="inlineStr">
        <is>
          <t>Monona</t>
        </is>
      </c>
      <c r="D267" s="42" t="inlineStr">
        <is>
          <t>Small town &amp; rural</t>
        </is>
      </c>
      <c r="E267" s="42" t="inlineStr"/>
      <c r="F267" s="43" t="n">
        <v>1236</v>
      </c>
      <c r="G267" s="43" t="n">
        <v>3331</v>
      </c>
      <c r="H267" s="43" t="n">
        <v>4616</v>
      </c>
      <c r="I267" s="43" t="n">
        <v>1407</v>
      </c>
      <c r="J267" s="43" t="n">
        <v>3248</v>
      </c>
      <c r="K267" s="42" t="inlineStr">
        <is>
          <t>US Senate</t>
        </is>
      </c>
      <c r="L267" s="43" t="n">
        <v>879</v>
      </c>
      <c r="M267" s="43" t="n">
        <v>2376</v>
      </c>
      <c r="N267" s="43" t="n">
        <v>3264</v>
      </c>
      <c r="O267" s="44">
        <f>IFERROR((F267-G267)/(F267+G267),"")</f>
        <v/>
      </c>
      <c r="P267" s="44">
        <f>IFERROR((I267-J267)/(I267+J267),"")</f>
        <v/>
      </c>
      <c r="Q267" s="45">
        <f>IFERROR(O267-P267,"")</f>
        <v/>
      </c>
      <c r="R267" s="44">
        <f>IFERROR((L267-M267)/(L267+M267),"")</f>
        <v/>
      </c>
      <c r="S267" s="46">
        <f>H267/SUMIFS(Counties!$H$2:$H$1583,Counties!$A$2:$A$1583,$A267)</f>
        <v/>
      </c>
      <c r="T267" s="44">
        <f>O267+INDEX(Dashboard!$F$6:$F$22,MATCH($A267,Dashboard!$A$6:$A$22,0))</f>
        <v/>
      </c>
      <c r="U267" s="43">
        <f>AQ267*INDEX(Dashboard!$G$6:$G$22,MATCH($A267,Dashboard!$A$6:$A$22,0))</f>
        <v/>
      </c>
      <c r="V267" s="47" t="n"/>
      <c r="W267" s="47" t="n"/>
      <c r="X267" s="47" t="n"/>
      <c r="Y267" s="48" t="n"/>
      <c r="Z267" s="49" t="n"/>
      <c r="AA267" s="49" t="n"/>
      <c r="AB267" s="49" t="n"/>
      <c r="AC267" s="50" t="n"/>
      <c r="AD267" s="43">
        <f>IF(Z267&lt;&gt;"",Z267,N(V267))</f>
        <v/>
      </c>
      <c r="AE267" s="43">
        <f>IF(AA267&lt;&gt;"",AA267,N(W267))</f>
        <v/>
      </c>
      <c r="AF267" s="43">
        <f>AD267+AE267</f>
        <v/>
      </c>
      <c r="AG267" s="42">
        <f>IF(UPPER(AC267)="Y",1,IF(AF267=0,0,IF(AND(Z267="",Y267&lt;&gt;""),IF(Y267&gt;=0.999,1,0),IF(AF267&gt;=U267,1,0))))</f>
        <v/>
      </c>
      <c r="AH267" s="44">
        <f>IF(AF267&gt;0,(AD267-AE267)/AF267,"")</f>
        <v/>
      </c>
      <c r="AI267" s="45">
        <f>IF(AG267=1,AH267-O267,"")</f>
        <v/>
      </c>
      <c r="AJ267" s="44">
        <f>IF(AG267=1,AH267,MAX(-1,MIN(1,O267+INDEX(Types!$H:$H,MATCH($A267&amp;"|"&amp;$D267,Types!$A:$A,0)))))</f>
        <v/>
      </c>
      <c r="AK267" s="43">
        <f>IF(AG267=1,AF267,MAX(AQ267*AS267,AF267))</f>
        <v/>
      </c>
      <c r="AL267" s="43">
        <f>IF(AG267=1,AD267,AK267*(1+AJ267)/2)</f>
        <v/>
      </c>
      <c r="AM267" s="43">
        <f>IF(AG267=1,AE267,AK267*(1-AJ267)/2)</f>
        <v/>
      </c>
      <c r="AN267" s="45">
        <f>IF(AH267="","",AH267-T267)</f>
        <v/>
      </c>
      <c r="AO267" s="51">
        <f>IF(AG267=1,1,IF(U267&gt;0,MIN(AF267/U267,0.99),0))</f>
        <v/>
      </c>
      <c r="AP267" s="43">
        <f>IF(AG267=1,AI267*AF267,0)</f>
        <v/>
      </c>
      <c r="AQ267" s="43">
        <f>N267*(F267+G267)/H267</f>
        <v/>
      </c>
      <c r="AR267" s="43">
        <f>O267*AQ267</f>
        <v/>
      </c>
      <c r="AS267" s="52">
        <f>IF(AG267=1,IF(AQ267&gt;0,AF267/AQ267,1),IFERROR(INDEX(Types!$K:$K,MATCH($A267&amp;"|"&amp;$D267,Types!$A:$A,0)),INDEX(Dashboard!$X$6:$X$22,MATCH($A267,Dashboard!$A$6:$A$22,0))))</f>
        <v/>
      </c>
      <c r="AT267" s="43">
        <f>AQ267*INDEX(Dashboard!$Y$6:$Y$22,MATCH($A267,Dashboard!$A$6:$A$22,0))</f>
        <v/>
      </c>
      <c r="AU267" s="53">
        <f>IF(AND(AG267=1,AT267&gt;0,AF267&gt;0),100*AF267/AT267,"")</f>
        <v/>
      </c>
      <c r="AV267" s="44">
        <f>IF(AU267="","",T267/(AU267/100))</f>
        <v/>
      </c>
      <c r="AW267" s="53">
        <f>IF(AU267="","",IF(AND(ABS(AH267)&gt;=0.1,ABS(T267)&gt;=0.05,SIGN(AH267)=SIGN(T267)),100*T267/AH267,""))</f>
        <v/>
      </c>
      <c r="AX267" s="45">
        <f>IF(AU267="","",T267-AV267)</f>
        <v/>
      </c>
      <c r="AY267" s="45">
        <f>IF(AU267="","",AH267-AV267)</f>
        <v/>
      </c>
      <c r="AZ267" s="54">
        <f>(AL267-AM267)-T267*AT267</f>
        <v/>
      </c>
      <c r="BA267" s="43">
        <f>IF(AU267="",0,(AH267-T267)*AF267)</f>
        <v/>
      </c>
      <c r="BB267" s="43">
        <f>IF(AU267="",0,T267*(AF267-AT267))</f>
        <v/>
      </c>
      <c r="BC267" s="51" t="n">
        <v>0.006946897444954668</v>
      </c>
      <c r="BD267" s="51" t="n">
        <v>0.02802307782880019</v>
      </c>
      <c r="BE267" s="51" t="n">
        <v>0.1874491952528044</v>
      </c>
      <c r="BF267" s="43" t="n">
        <v>8493</v>
      </c>
    </row>
    <row r="268">
      <c r="A268" s="42" t="inlineStr">
        <is>
          <t>IA</t>
        </is>
      </c>
      <c r="B268" s="42" t="inlineStr">
        <is>
          <t>19135</t>
        </is>
      </c>
      <c r="C268" s="42" t="inlineStr">
        <is>
          <t>Monroe</t>
        </is>
      </c>
      <c r="D268" s="42" t="inlineStr">
        <is>
          <t>Small town &amp; rural</t>
        </is>
      </c>
      <c r="E268" s="42" t="inlineStr"/>
      <c r="F268" s="43" t="n">
        <v>1002</v>
      </c>
      <c r="G268" s="43" t="n">
        <v>3104</v>
      </c>
      <c r="H268" s="43" t="n">
        <v>4146</v>
      </c>
      <c r="I268" s="43" t="n">
        <v>1078</v>
      </c>
      <c r="J268" s="43" t="n">
        <v>2975</v>
      </c>
      <c r="K268" s="42" t="inlineStr">
        <is>
          <t>US Senate</t>
        </is>
      </c>
      <c r="L268" s="43" t="n">
        <v>762</v>
      </c>
      <c r="M268" s="43" t="n">
        <v>2135</v>
      </c>
      <c r="N268" s="43" t="n">
        <v>2903</v>
      </c>
      <c r="O268" s="44">
        <f>IFERROR((F268-G268)/(F268+G268),"")</f>
        <v/>
      </c>
      <c r="P268" s="44">
        <f>IFERROR((I268-J268)/(I268+J268),"")</f>
        <v/>
      </c>
      <c r="Q268" s="45">
        <f>IFERROR(O268-P268,"")</f>
        <v/>
      </c>
      <c r="R268" s="44">
        <f>IFERROR((L268-M268)/(L268+M268),"")</f>
        <v/>
      </c>
      <c r="S268" s="46">
        <f>H268/SUMIFS(Counties!$H$2:$H$1583,Counties!$A$2:$A$1583,$A268)</f>
        <v/>
      </c>
      <c r="T268" s="44">
        <f>O268+INDEX(Dashboard!$F$6:$F$22,MATCH($A268,Dashboard!$A$6:$A$22,0))</f>
        <v/>
      </c>
      <c r="U268" s="43">
        <f>AQ268*INDEX(Dashboard!$G$6:$G$22,MATCH($A268,Dashboard!$A$6:$A$22,0))</f>
        <v/>
      </c>
      <c r="V268" s="47" t="n"/>
      <c r="W268" s="47" t="n"/>
      <c r="X268" s="47" t="n"/>
      <c r="Y268" s="48" t="n"/>
      <c r="Z268" s="49" t="n"/>
      <c r="AA268" s="49" t="n"/>
      <c r="AB268" s="49" t="n"/>
      <c r="AC268" s="50" t="n"/>
      <c r="AD268" s="43">
        <f>IF(Z268&lt;&gt;"",Z268,N(V268))</f>
        <v/>
      </c>
      <c r="AE268" s="43">
        <f>IF(AA268&lt;&gt;"",AA268,N(W268))</f>
        <v/>
      </c>
      <c r="AF268" s="43">
        <f>AD268+AE268</f>
        <v/>
      </c>
      <c r="AG268" s="42">
        <f>IF(UPPER(AC268)="Y",1,IF(AF268=0,0,IF(AND(Z268="",Y268&lt;&gt;""),IF(Y268&gt;=0.999,1,0),IF(AF268&gt;=U268,1,0))))</f>
        <v/>
      </c>
      <c r="AH268" s="44">
        <f>IF(AF268&gt;0,(AD268-AE268)/AF268,"")</f>
        <v/>
      </c>
      <c r="AI268" s="45">
        <f>IF(AG268=1,AH268-O268,"")</f>
        <v/>
      </c>
      <c r="AJ268" s="44">
        <f>IF(AG268=1,AH268,MAX(-1,MIN(1,O268+INDEX(Types!$H:$H,MATCH($A268&amp;"|"&amp;$D268,Types!$A:$A,0)))))</f>
        <v/>
      </c>
      <c r="AK268" s="43">
        <f>IF(AG268=1,AF268,MAX(AQ268*AS268,AF268))</f>
        <v/>
      </c>
      <c r="AL268" s="43">
        <f>IF(AG268=1,AD268,AK268*(1+AJ268)/2)</f>
        <v/>
      </c>
      <c r="AM268" s="43">
        <f>IF(AG268=1,AE268,AK268*(1-AJ268)/2)</f>
        <v/>
      </c>
      <c r="AN268" s="45">
        <f>IF(AH268="","",AH268-T268)</f>
        <v/>
      </c>
      <c r="AO268" s="51">
        <f>IF(AG268=1,1,IF(U268&gt;0,MIN(AF268/U268,0.99),0))</f>
        <v/>
      </c>
      <c r="AP268" s="43">
        <f>IF(AG268=1,AI268*AF268,0)</f>
        <v/>
      </c>
      <c r="AQ268" s="43">
        <f>N268*(F268+G268)/H268</f>
        <v/>
      </c>
      <c r="AR268" s="43">
        <f>O268*AQ268</f>
        <v/>
      </c>
      <c r="AS268" s="52">
        <f>IF(AG268=1,IF(AQ268&gt;0,AF268/AQ268,1),IFERROR(INDEX(Types!$K:$K,MATCH($A268&amp;"|"&amp;$D268,Types!$A:$A,0)),INDEX(Dashboard!$X$6:$X$22,MATCH($A268,Dashboard!$A$6:$A$22,0))))</f>
        <v/>
      </c>
      <c r="AT268" s="43">
        <f>AQ268*INDEX(Dashboard!$Y$6:$Y$22,MATCH($A268,Dashboard!$A$6:$A$22,0))</f>
        <v/>
      </c>
      <c r="AU268" s="53">
        <f>IF(AND(AG268=1,AT268&gt;0,AF268&gt;0),100*AF268/AT268,"")</f>
        <v/>
      </c>
      <c r="AV268" s="44">
        <f>IF(AU268="","",T268/(AU268/100))</f>
        <v/>
      </c>
      <c r="AW268" s="53">
        <f>IF(AU268="","",IF(AND(ABS(AH268)&gt;=0.1,ABS(T268)&gt;=0.05,SIGN(AH268)=SIGN(T268)),100*T268/AH268,""))</f>
        <v/>
      </c>
      <c r="AX268" s="45">
        <f>IF(AU268="","",T268-AV268)</f>
        <v/>
      </c>
      <c r="AY268" s="45">
        <f>IF(AU268="","",AH268-AV268)</f>
        <v/>
      </c>
      <c r="AZ268" s="54">
        <f>(AL268-AM268)-T268*AT268</f>
        <v/>
      </c>
      <c r="BA268" s="43">
        <f>IF(AU268="",0,(AH268-T268)*AF268)</f>
        <v/>
      </c>
      <c r="BB268" s="43">
        <f>IF(AU268="",0,T268*(AF268-AT268))</f>
        <v/>
      </c>
      <c r="BC268" s="51" t="n">
        <v>0.008928571428571428</v>
      </c>
      <c r="BD268" s="51" t="n">
        <v>0.02185501066098081</v>
      </c>
      <c r="BE268" s="51" t="n">
        <v>0.1998464196582837</v>
      </c>
      <c r="BF268" s="43" t="n">
        <v>7504</v>
      </c>
    </row>
    <row r="269">
      <c r="A269" s="42" t="inlineStr">
        <is>
          <t>IA</t>
        </is>
      </c>
      <c r="B269" s="42" t="inlineStr">
        <is>
          <t>19137</t>
        </is>
      </c>
      <c r="C269" s="42" t="inlineStr">
        <is>
          <t>Montgomery</t>
        </is>
      </c>
      <c r="D269" s="42" t="inlineStr">
        <is>
          <t>Small town &amp; rural</t>
        </is>
      </c>
      <c r="E269" s="42" t="inlineStr"/>
      <c r="F269" s="43" t="n">
        <v>1508</v>
      </c>
      <c r="G269" s="43" t="n">
        <v>3486</v>
      </c>
      <c r="H269" s="43" t="n">
        <v>5061</v>
      </c>
      <c r="I269" s="43" t="n">
        <v>1583</v>
      </c>
      <c r="J269" s="43" t="n">
        <v>3659</v>
      </c>
      <c r="K269" s="42" t="inlineStr">
        <is>
          <t>US Senate</t>
        </is>
      </c>
      <c r="L269" s="43" t="n">
        <v>1004</v>
      </c>
      <c r="M269" s="43" t="n">
        <v>2509</v>
      </c>
      <c r="N269" s="43" t="n">
        <v>3518</v>
      </c>
      <c r="O269" s="44">
        <f>IFERROR((F269-G269)/(F269+G269),"")</f>
        <v/>
      </c>
      <c r="P269" s="44">
        <f>IFERROR((I269-J269)/(I269+J269),"")</f>
        <v/>
      </c>
      <c r="Q269" s="45">
        <f>IFERROR(O269-P269,"")</f>
        <v/>
      </c>
      <c r="R269" s="44">
        <f>IFERROR((L269-M269)/(L269+M269),"")</f>
        <v/>
      </c>
      <c r="S269" s="46">
        <f>H269/SUMIFS(Counties!$H$2:$H$1583,Counties!$A$2:$A$1583,$A269)</f>
        <v/>
      </c>
      <c r="T269" s="44">
        <f>O269+INDEX(Dashboard!$F$6:$F$22,MATCH($A269,Dashboard!$A$6:$A$22,0))</f>
        <v/>
      </c>
      <c r="U269" s="43">
        <f>AQ269*INDEX(Dashboard!$G$6:$G$22,MATCH($A269,Dashboard!$A$6:$A$22,0))</f>
        <v/>
      </c>
      <c r="V269" s="47" t="n"/>
      <c r="W269" s="47" t="n"/>
      <c r="X269" s="47" t="n"/>
      <c r="Y269" s="48" t="n"/>
      <c r="Z269" s="49" t="n"/>
      <c r="AA269" s="49" t="n"/>
      <c r="AB269" s="49" t="n"/>
      <c r="AC269" s="50" t="n"/>
      <c r="AD269" s="43">
        <f>IF(Z269&lt;&gt;"",Z269,N(V269))</f>
        <v/>
      </c>
      <c r="AE269" s="43">
        <f>IF(AA269&lt;&gt;"",AA269,N(W269))</f>
        <v/>
      </c>
      <c r="AF269" s="43">
        <f>AD269+AE269</f>
        <v/>
      </c>
      <c r="AG269" s="42">
        <f>IF(UPPER(AC269)="Y",1,IF(AF269=0,0,IF(AND(Z269="",Y269&lt;&gt;""),IF(Y269&gt;=0.999,1,0),IF(AF269&gt;=U269,1,0))))</f>
        <v/>
      </c>
      <c r="AH269" s="44">
        <f>IF(AF269&gt;0,(AD269-AE269)/AF269,"")</f>
        <v/>
      </c>
      <c r="AI269" s="45">
        <f>IF(AG269=1,AH269-O269,"")</f>
        <v/>
      </c>
      <c r="AJ269" s="44">
        <f>IF(AG269=1,AH269,MAX(-1,MIN(1,O269+INDEX(Types!$H:$H,MATCH($A269&amp;"|"&amp;$D269,Types!$A:$A,0)))))</f>
        <v/>
      </c>
      <c r="AK269" s="43">
        <f>IF(AG269=1,AF269,MAX(AQ269*AS269,AF269))</f>
        <v/>
      </c>
      <c r="AL269" s="43">
        <f>IF(AG269=1,AD269,AK269*(1+AJ269)/2)</f>
        <v/>
      </c>
      <c r="AM269" s="43">
        <f>IF(AG269=1,AE269,AK269*(1-AJ269)/2)</f>
        <v/>
      </c>
      <c r="AN269" s="45">
        <f>IF(AH269="","",AH269-T269)</f>
        <v/>
      </c>
      <c r="AO269" s="51">
        <f>IF(AG269=1,1,IF(U269&gt;0,MIN(AF269/U269,0.99),0))</f>
        <v/>
      </c>
      <c r="AP269" s="43">
        <f>IF(AG269=1,AI269*AF269,0)</f>
        <v/>
      </c>
      <c r="AQ269" s="43">
        <f>N269*(F269+G269)/H269</f>
        <v/>
      </c>
      <c r="AR269" s="43">
        <f>O269*AQ269</f>
        <v/>
      </c>
      <c r="AS269" s="52">
        <f>IF(AG269=1,IF(AQ269&gt;0,AF269/AQ269,1),IFERROR(INDEX(Types!$K:$K,MATCH($A269&amp;"|"&amp;$D269,Types!$A:$A,0)),INDEX(Dashboard!$X$6:$X$22,MATCH($A269,Dashboard!$A$6:$A$22,0))))</f>
        <v/>
      </c>
      <c r="AT269" s="43">
        <f>AQ269*INDEX(Dashboard!$Y$6:$Y$22,MATCH($A269,Dashboard!$A$6:$A$22,0))</f>
        <v/>
      </c>
      <c r="AU269" s="53">
        <f>IF(AND(AG269=1,AT269&gt;0,AF269&gt;0),100*AF269/AT269,"")</f>
        <v/>
      </c>
      <c r="AV269" s="44">
        <f>IF(AU269="","",T269/(AU269/100))</f>
        <v/>
      </c>
      <c r="AW269" s="53">
        <f>IF(AU269="","",IF(AND(ABS(AH269)&gt;=0.1,ABS(T269)&gt;=0.05,SIGN(AH269)=SIGN(T269)),100*T269/AH269,""))</f>
        <v/>
      </c>
      <c r="AX269" s="45">
        <f>IF(AU269="","",T269-AV269)</f>
        <v/>
      </c>
      <c r="AY269" s="45">
        <f>IF(AU269="","",AH269-AV269)</f>
        <v/>
      </c>
      <c r="AZ269" s="54">
        <f>(AL269-AM269)-T269*AT269</f>
        <v/>
      </c>
      <c r="BA269" s="43">
        <f>IF(AU269="",0,(AH269-T269)*AF269)</f>
        <v/>
      </c>
      <c r="BB269" s="43">
        <f>IF(AU269="",0,T269*(AF269-AT269))</f>
        <v/>
      </c>
      <c r="BC269" s="51" t="n">
        <v>0.008482098826314233</v>
      </c>
      <c r="BD269" s="51" t="n">
        <v>0.03974750961633297</v>
      </c>
      <c r="BE269" s="51" t="n">
        <v>0.1872493431060711</v>
      </c>
      <c r="BF269" s="43" t="n">
        <v>10139</v>
      </c>
    </row>
    <row r="270">
      <c r="A270" s="42" t="inlineStr">
        <is>
          <t>IA</t>
        </is>
      </c>
      <c r="B270" s="42" t="inlineStr">
        <is>
          <t>19139</t>
        </is>
      </c>
      <c r="C270" s="42" t="inlineStr">
        <is>
          <t>Muscatine</t>
        </is>
      </c>
      <c r="D270" s="42" t="inlineStr">
        <is>
          <t>Small town &amp; rural</t>
        </is>
      </c>
      <c r="E270" s="42" t="inlineStr"/>
      <c r="F270" s="43" t="n">
        <v>8212</v>
      </c>
      <c r="G270" s="43" t="n">
        <v>11152</v>
      </c>
      <c r="H270" s="43" t="n">
        <v>19695</v>
      </c>
      <c r="I270" s="43" t="n">
        <v>9372</v>
      </c>
      <c r="J270" s="43" t="n">
        <v>10823</v>
      </c>
      <c r="K270" s="42" t="inlineStr">
        <is>
          <t>US Senate</t>
        </is>
      </c>
      <c r="L270" s="43" t="n">
        <v>5550</v>
      </c>
      <c r="M270" s="43" t="n">
        <v>7623</v>
      </c>
      <c r="N270" s="43" t="n">
        <v>13193</v>
      </c>
      <c r="O270" s="44">
        <f>IFERROR((F270-G270)/(F270+G270),"")</f>
        <v/>
      </c>
      <c r="P270" s="44">
        <f>IFERROR((I270-J270)/(I270+J270),"")</f>
        <v/>
      </c>
      <c r="Q270" s="45">
        <f>IFERROR(O270-P270,"")</f>
        <v/>
      </c>
      <c r="R270" s="44">
        <f>IFERROR((L270-M270)/(L270+M270),"")</f>
        <v/>
      </c>
      <c r="S270" s="46">
        <f>H270/SUMIFS(Counties!$H$2:$H$1583,Counties!$A$2:$A$1583,$A270)</f>
        <v/>
      </c>
      <c r="T270" s="44">
        <f>O270+INDEX(Dashboard!$F$6:$F$22,MATCH($A270,Dashboard!$A$6:$A$22,0))</f>
        <v/>
      </c>
      <c r="U270" s="43">
        <f>AQ270*INDEX(Dashboard!$G$6:$G$22,MATCH($A270,Dashboard!$A$6:$A$22,0))</f>
        <v/>
      </c>
      <c r="V270" s="47" t="n"/>
      <c r="W270" s="47" t="n"/>
      <c r="X270" s="47" t="n"/>
      <c r="Y270" s="48" t="n"/>
      <c r="Z270" s="49" t="n"/>
      <c r="AA270" s="49" t="n"/>
      <c r="AB270" s="49" t="n"/>
      <c r="AC270" s="50" t="n"/>
      <c r="AD270" s="43">
        <f>IF(Z270&lt;&gt;"",Z270,N(V270))</f>
        <v/>
      </c>
      <c r="AE270" s="43">
        <f>IF(AA270&lt;&gt;"",AA270,N(W270))</f>
        <v/>
      </c>
      <c r="AF270" s="43">
        <f>AD270+AE270</f>
        <v/>
      </c>
      <c r="AG270" s="42">
        <f>IF(UPPER(AC270)="Y",1,IF(AF270=0,0,IF(AND(Z270="",Y270&lt;&gt;""),IF(Y270&gt;=0.999,1,0),IF(AF270&gt;=U270,1,0))))</f>
        <v/>
      </c>
      <c r="AH270" s="44">
        <f>IF(AF270&gt;0,(AD270-AE270)/AF270,"")</f>
        <v/>
      </c>
      <c r="AI270" s="45">
        <f>IF(AG270=1,AH270-O270,"")</f>
        <v/>
      </c>
      <c r="AJ270" s="44">
        <f>IF(AG270=1,AH270,MAX(-1,MIN(1,O270+INDEX(Types!$H:$H,MATCH($A270&amp;"|"&amp;$D270,Types!$A:$A,0)))))</f>
        <v/>
      </c>
      <c r="AK270" s="43">
        <f>IF(AG270=1,AF270,MAX(AQ270*AS270,AF270))</f>
        <v/>
      </c>
      <c r="AL270" s="43">
        <f>IF(AG270=1,AD270,AK270*(1+AJ270)/2)</f>
        <v/>
      </c>
      <c r="AM270" s="43">
        <f>IF(AG270=1,AE270,AK270*(1-AJ270)/2)</f>
        <v/>
      </c>
      <c r="AN270" s="45">
        <f>IF(AH270="","",AH270-T270)</f>
        <v/>
      </c>
      <c r="AO270" s="51">
        <f>IF(AG270=1,1,IF(U270&gt;0,MIN(AF270/U270,0.99),0))</f>
        <v/>
      </c>
      <c r="AP270" s="43">
        <f>IF(AG270=1,AI270*AF270,0)</f>
        <v/>
      </c>
      <c r="AQ270" s="43">
        <f>N270*(F270+G270)/H270</f>
        <v/>
      </c>
      <c r="AR270" s="43">
        <f>O270*AQ270</f>
        <v/>
      </c>
      <c r="AS270" s="52">
        <f>IF(AG270=1,IF(AQ270&gt;0,AF270/AQ270,1),IFERROR(INDEX(Types!$K:$K,MATCH($A270&amp;"|"&amp;$D270,Types!$A:$A,0)),INDEX(Dashboard!$X$6:$X$22,MATCH($A270,Dashboard!$A$6:$A$22,0))))</f>
        <v/>
      </c>
      <c r="AT270" s="43">
        <f>AQ270*INDEX(Dashboard!$Y$6:$Y$22,MATCH($A270,Dashboard!$A$6:$A$22,0))</f>
        <v/>
      </c>
      <c r="AU270" s="53">
        <f>IF(AND(AG270=1,AT270&gt;0,AF270&gt;0),100*AF270/AT270,"")</f>
        <v/>
      </c>
      <c r="AV270" s="44">
        <f>IF(AU270="","",T270/(AU270/100))</f>
        <v/>
      </c>
      <c r="AW270" s="53">
        <f>IF(AU270="","",IF(AND(ABS(AH270)&gt;=0.1,ABS(T270)&gt;=0.05,SIGN(AH270)=SIGN(T270)),100*T270/AH270,""))</f>
        <v/>
      </c>
      <c r="AX270" s="45">
        <f>IF(AU270="","",T270-AV270)</f>
        <v/>
      </c>
      <c r="AY270" s="45">
        <f>IF(AU270="","",AH270-AV270)</f>
        <v/>
      </c>
      <c r="AZ270" s="54">
        <f>(AL270-AM270)-T270*AT270</f>
        <v/>
      </c>
      <c r="BA270" s="43">
        <f>IF(AU270="",0,(AH270-T270)*AF270)</f>
        <v/>
      </c>
      <c r="BB270" s="43">
        <f>IF(AU270="",0,T270*(AF270-AT270))</f>
        <v/>
      </c>
      <c r="BC270" s="51" t="n">
        <v>0.02678952105736889</v>
      </c>
      <c r="BD270" s="51" t="n">
        <v>0.1918376048131129</v>
      </c>
      <c r="BE270" s="51" t="n">
        <v>0.2271420157294806</v>
      </c>
      <c r="BF270" s="43" t="n">
        <v>42218</v>
      </c>
    </row>
    <row r="271">
      <c r="A271" s="42" t="inlineStr">
        <is>
          <t>IA</t>
        </is>
      </c>
      <c r="B271" s="42" t="inlineStr">
        <is>
          <t>19141</t>
        </is>
      </c>
      <c r="C271" s="42" t="inlineStr">
        <is>
          <t>O'Brien</t>
        </is>
      </c>
      <c r="D271" s="42" t="inlineStr">
        <is>
          <t>Small town &amp; rural</t>
        </is>
      </c>
      <c r="E271" s="42" t="inlineStr"/>
      <c r="F271" s="43" t="n">
        <v>1428</v>
      </c>
      <c r="G271" s="43" t="n">
        <v>5998</v>
      </c>
      <c r="H271" s="43" t="n">
        <v>7501</v>
      </c>
      <c r="I271" s="43" t="n">
        <v>1569</v>
      </c>
      <c r="J271" s="43" t="n">
        <v>5861</v>
      </c>
      <c r="K271" s="42" t="inlineStr">
        <is>
          <t>US Senate</t>
        </is>
      </c>
      <c r="L271" s="43" t="n">
        <v>972</v>
      </c>
      <c r="M271" s="43" t="n">
        <v>4361</v>
      </c>
      <c r="N271" s="43" t="n">
        <v>5336</v>
      </c>
      <c r="O271" s="44">
        <f>IFERROR((F271-G271)/(F271+G271),"")</f>
        <v/>
      </c>
      <c r="P271" s="44">
        <f>IFERROR((I271-J271)/(I271+J271),"")</f>
        <v/>
      </c>
      <c r="Q271" s="45">
        <f>IFERROR(O271-P271,"")</f>
        <v/>
      </c>
      <c r="R271" s="44">
        <f>IFERROR((L271-M271)/(L271+M271),"")</f>
        <v/>
      </c>
      <c r="S271" s="46">
        <f>H271/SUMIFS(Counties!$H$2:$H$1583,Counties!$A$2:$A$1583,$A271)</f>
        <v/>
      </c>
      <c r="T271" s="44">
        <f>O271+INDEX(Dashboard!$F$6:$F$22,MATCH($A271,Dashboard!$A$6:$A$22,0))</f>
        <v/>
      </c>
      <c r="U271" s="43">
        <f>AQ271*INDEX(Dashboard!$G$6:$G$22,MATCH($A271,Dashboard!$A$6:$A$22,0))</f>
        <v/>
      </c>
      <c r="V271" s="47" t="n"/>
      <c r="W271" s="47" t="n"/>
      <c r="X271" s="47" t="n"/>
      <c r="Y271" s="48" t="n"/>
      <c r="Z271" s="49" t="n"/>
      <c r="AA271" s="49" t="n"/>
      <c r="AB271" s="49" t="n"/>
      <c r="AC271" s="50" t="n"/>
      <c r="AD271" s="43">
        <f>IF(Z271&lt;&gt;"",Z271,N(V271))</f>
        <v/>
      </c>
      <c r="AE271" s="43">
        <f>IF(AA271&lt;&gt;"",AA271,N(W271))</f>
        <v/>
      </c>
      <c r="AF271" s="43">
        <f>AD271+AE271</f>
        <v/>
      </c>
      <c r="AG271" s="42">
        <f>IF(UPPER(AC271)="Y",1,IF(AF271=0,0,IF(AND(Z271="",Y271&lt;&gt;""),IF(Y271&gt;=0.999,1,0),IF(AF271&gt;=U271,1,0))))</f>
        <v/>
      </c>
      <c r="AH271" s="44">
        <f>IF(AF271&gt;0,(AD271-AE271)/AF271,"")</f>
        <v/>
      </c>
      <c r="AI271" s="45">
        <f>IF(AG271=1,AH271-O271,"")</f>
        <v/>
      </c>
      <c r="AJ271" s="44">
        <f>IF(AG271=1,AH271,MAX(-1,MIN(1,O271+INDEX(Types!$H:$H,MATCH($A271&amp;"|"&amp;$D271,Types!$A:$A,0)))))</f>
        <v/>
      </c>
      <c r="AK271" s="43">
        <f>IF(AG271=1,AF271,MAX(AQ271*AS271,AF271))</f>
        <v/>
      </c>
      <c r="AL271" s="43">
        <f>IF(AG271=1,AD271,AK271*(1+AJ271)/2)</f>
        <v/>
      </c>
      <c r="AM271" s="43">
        <f>IF(AG271=1,AE271,AK271*(1-AJ271)/2)</f>
        <v/>
      </c>
      <c r="AN271" s="45">
        <f>IF(AH271="","",AH271-T271)</f>
        <v/>
      </c>
      <c r="AO271" s="51">
        <f>IF(AG271=1,1,IF(U271&gt;0,MIN(AF271/U271,0.99),0))</f>
        <v/>
      </c>
      <c r="AP271" s="43">
        <f>IF(AG271=1,AI271*AF271,0)</f>
        <v/>
      </c>
      <c r="AQ271" s="43">
        <f>N271*(F271+G271)/H271</f>
        <v/>
      </c>
      <c r="AR271" s="43">
        <f>O271*AQ271</f>
        <v/>
      </c>
      <c r="AS271" s="52">
        <f>IF(AG271=1,IF(AQ271&gt;0,AF271/AQ271,1),IFERROR(INDEX(Types!$K:$K,MATCH($A271&amp;"|"&amp;$D271,Types!$A:$A,0)),INDEX(Dashboard!$X$6:$X$22,MATCH($A271,Dashboard!$A$6:$A$22,0))))</f>
        <v/>
      </c>
      <c r="AT271" s="43">
        <f>AQ271*INDEX(Dashboard!$Y$6:$Y$22,MATCH($A271,Dashboard!$A$6:$A$22,0))</f>
        <v/>
      </c>
      <c r="AU271" s="53">
        <f>IF(AND(AG271=1,AT271&gt;0,AF271&gt;0),100*AF271/AT271,"")</f>
        <v/>
      </c>
      <c r="AV271" s="44">
        <f>IF(AU271="","",T271/(AU271/100))</f>
        <v/>
      </c>
      <c r="AW271" s="53">
        <f>IF(AU271="","",IF(AND(ABS(AH271)&gt;=0.1,ABS(T271)&gt;=0.05,SIGN(AH271)=SIGN(T271)),100*T271/AH271,""))</f>
        <v/>
      </c>
      <c r="AX271" s="45">
        <f>IF(AU271="","",T271-AV271)</f>
        <v/>
      </c>
      <c r="AY271" s="45">
        <f>IF(AU271="","",AH271-AV271)</f>
        <v/>
      </c>
      <c r="AZ271" s="54">
        <f>(AL271-AM271)-T271*AT271</f>
        <v/>
      </c>
      <c r="BA271" s="43">
        <f>IF(AU271="",0,(AH271-T271)*AF271)</f>
        <v/>
      </c>
      <c r="BB271" s="43">
        <f>IF(AU271="",0,T271*(AF271-AT271))</f>
        <v/>
      </c>
      <c r="BC271" s="51" t="n">
        <v>0.0124892948900942</v>
      </c>
      <c r="BD271" s="51" t="n">
        <v>0.07829003711104768</v>
      </c>
      <c r="BE271" s="51" t="n">
        <v>0.224606135986733</v>
      </c>
      <c r="BF271" s="43" t="n">
        <v>14012</v>
      </c>
    </row>
    <row r="272">
      <c r="A272" s="42" t="inlineStr">
        <is>
          <t>IA</t>
        </is>
      </c>
      <c r="B272" s="42" t="inlineStr">
        <is>
          <t>19143</t>
        </is>
      </c>
      <c r="C272" s="42" t="inlineStr">
        <is>
          <t>Osceola</t>
        </is>
      </c>
      <c r="D272" s="42" t="inlineStr">
        <is>
          <t>Small town &amp; rural</t>
        </is>
      </c>
      <c r="E272" s="42" t="inlineStr"/>
      <c r="F272" s="43" t="n">
        <v>555</v>
      </c>
      <c r="G272" s="43" t="n">
        <v>2623</v>
      </c>
      <c r="H272" s="43" t="n">
        <v>3219</v>
      </c>
      <c r="I272" s="43" t="n">
        <v>601</v>
      </c>
      <c r="J272" s="43" t="n">
        <v>2690</v>
      </c>
      <c r="K272" s="42" t="inlineStr">
        <is>
          <t>US Senate</t>
        </is>
      </c>
      <c r="L272" s="43" t="n">
        <v>346</v>
      </c>
      <c r="M272" s="43" t="n">
        <v>1923</v>
      </c>
      <c r="N272" s="43" t="n">
        <v>2272</v>
      </c>
      <c r="O272" s="44">
        <f>IFERROR((F272-G272)/(F272+G272),"")</f>
        <v/>
      </c>
      <c r="P272" s="44">
        <f>IFERROR((I272-J272)/(I272+J272),"")</f>
        <v/>
      </c>
      <c r="Q272" s="45">
        <f>IFERROR(O272-P272,"")</f>
        <v/>
      </c>
      <c r="R272" s="44">
        <f>IFERROR((L272-M272)/(L272+M272),"")</f>
        <v/>
      </c>
      <c r="S272" s="46">
        <f>H272/SUMIFS(Counties!$H$2:$H$1583,Counties!$A$2:$A$1583,$A272)</f>
        <v/>
      </c>
      <c r="T272" s="44">
        <f>O272+INDEX(Dashboard!$F$6:$F$22,MATCH($A272,Dashboard!$A$6:$A$22,0))</f>
        <v/>
      </c>
      <c r="U272" s="43">
        <f>AQ272*INDEX(Dashboard!$G$6:$G$22,MATCH($A272,Dashboard!$A$6:$A$22,0))</f>
        <v/>
      </c>
      <c r="V272" s="47" t="n"/>
      <c r="W272" s="47" t="n"/>
      <c r="X272" s="47" t="n"/>
      <c r="Y272" s="48" t="n"/>
      <c r="Z272" s="49" t="n"/>
      <c r="AA272" s="49" t="n"/>
      <c r="AB272" s="49" t="n"/>
      <c r="AC272" s="50" t="n"/>
      <c r="AD272" s="43">
        <f>IF(Z272&lt;&gt;"",Z272,N(V272))</f>
        <v/>
      </c>
      <c r="AE272" s="43">
        <f>IF(AA272&lt;&gt;"",AA272,N(W272))</f>
        <v/>
      </c>
      <c r="AF272" s="43">
        <f>AD272+AE272</f>
        <v/>
      </c>
      <c r="AG272" s="42">
        <f>IF(UPPER(AC272)="Y",1,IF(AF272=0,0,IF(AND(Z272="",Y272&lt;&gt;""),IF(Y272&gt;=0.999,1,0),IF(AF272&gt;=U272,1,0))))</f>
        <v/>
      </c>
      <c r="AH272" s="44">
        <f>IF(AF272&gt;0,(AD272-AE272)/AF272,"")</f>
        <v/>
      </c>
      <c r="AI272" s="45">
        <f>IF(AG272=1,AH272-O272,"")</f>
        <v/>
      </c>
      <c r="AJ272" s="44">
        <f>IF(AG272=1,AH272,MAX(-1,MIN(1,O272+INDEX(Types!$H:$H,MATCH($A272&amp;"|"&amp;$D272,Types!$A:$A,0)))))</f>
        <v/>
      </c>
      <c r="AK272" s="43">
        <f>IF(AG272=1,AF272,MAX(AQ272*AS272,AF272))</f>
        <v/>
      </c>
      <c r="AL272" s="43">
        <f>IF(AG272=1,AD272,AK272*(1+AJ272)/2)</f>
        <v/>
      </c>
      <c r="AM272" s="43">
        <f>IF(AG272=1,AE272,AK272*(1-AJ272)/2)</f>
        <v/>
      </c>
      <c r="AN272" s="45">
        <f>IF(AH272="","",AH272-T272)</f>
        <v/>
      </c>
      <c r="AO272" s="51">
        <f>IF(AG272=1,1,IF(U272&gt;0,MIN(AF272/U272,0.99),0))</f>
        <v/>
      </c>
      <c r="AP272" s="43">
        <f>IF(AG272=1,AI272*AF272,0)</f>
        <v/>
      </c>
      <c r="AQ272" s="43">
        <f>N272*(F272+G272)/H272</f>
        <v/>
      </c>
      <c r="AR272" s="43">
        <f>O272*AQ272</f>
        <v/>
      </c>
      <c r="AS272" s="52">
        <f>IF(AG272=1,IF(AQ272&gt;0,AF272/AQ272,1),IFERROR(INDEX(Types!$K:$K,MATCH($A272&amp;"|"&amp;$D272,Types!$A:$A,0)),INDEX(Dashboard!$X$6:$X$22,MATCH($A272,Dashboard!$A$6:$A$22,0))))</f>
        <v/>
      </c>
      <c r="AT272" s="43">
        <f>AQ272*INDEX(Dashboard!$Y$6:$Y$22,MATCH($A272,Dashboard!$A$6:$A$22,0))</f>
        <v/>
      </c>
      <c r="AU272" s="53">
        <f>IF(AND(AG272=1,AT272&gt;0,AF272&gt;0),100*AF272/AT272,"")</f>
        <v/>
      </c>
      <c r="AV272" s="44">
        <f>IF(AU272="","",T272/(AU272/100))</f>
        <v/>
      </c>
      <c r="AW272" s="53">
        <f>IF(AU272="","",IF(AND(ABS(AH272)&gt;=0.1,ABS(T272)&gt;=0.05,SIGN(AH272)=SIGN(T272)),100*T272/AH272,""))</f>
        <v/>
      </c>
      <c r="AX272" s="45">
        <f>IF(AU272="","",T272-AV272)</f>
        <v/>
      </c>
      <c r="AY272" s="45">
        <f>IF(AU272="","",AH272-AV272)</f>
        <v/>
      </c>
      <c r="AZ272" s="54">
        <f>(AL272-AM272)-T272*AT272</f>
        <v/>
      </c>
      <c r="BA272" s="43">
        <f>IF(AU272="",0,(AH272-T272)*AF272)</f>
        <v/>
      </c>
      <c r="BB272" s="43">
        <f>IF(AU272="",0,T272*(AF272-AT272))</f>
        <v/>
      </c>
      <c r="BC272" s="51" t="n">
        <v>0.01087320173971228</v>
      </c>
      <c r="BD272" s="51" t="n">
        <v>0.108564737370358</v>
      </c>
      <c r="BE272" s="51" t="n">
        <v>0.1535423925667828</v>
      </c>
      <c r="BF272" s="43" t="n">
        <v>5978</v>
      </c>
    </row>
    <row r="273">
      <c r="A273" s="42" t="inlineStr">
        <is>
          <t>IA</t>
        </is>
      </c>
      <c r="B273" s="42" t="inlineStr">
        <is>
          <t>19145</t>
        </is>
      </c>
      <c r="C273" s="42" t="inlineStr">
        <is>
          <t>Page</t>
        </is>
      </c>
      <c r="D273" s="42" t="inlineStr">
        <is>
          <t>Small town &amp; rural</t>
        </is>
      </c>
      <c r="E273" s="42" t="inlineStr"/>
      <c r="F273" s="43" t="n">
        <v>2060</v>
      </c>
      <c r="G273" s="43" t="n">
        <v>5153</v>
      </c>
      <c r="H273" s="43" t="n">
        <v>7297</v>
      </c>
      <c r="I273" s="43" t="n">
        <v>2086</v>
      </c>
      <c r="J273" s="43" t="n">
        <v>5319</v>
      </c>
      <c r="K273" s="42" t="inlineStr">
        <is>
          <t>US Senate</t>
        </is>
      </c>
      <c r="L273" s="43" t="n">
        <v>1385</v>
      </c>
      <c r="M273" s="43" t="n">
        <v>3707</v>
      </c>
      <c r="N273" s="43" t="n">
        <v>5104</v>
      </c>
      <c r="O273" s="44">
        <f>IFERROR((F273-G273)/(F273+G273),"")</f>
        <v/>
      </c>
      <c r="P273" s="44">
        <f>IFERROR((I273-J273)/(I273+J273),"")</f>
        <v/>
      </c>
      <c r="Q273" s="45">
        <f>IFERROR(O273-P273,"")</f>
        <v/>
      </c>
      <c r="R273" s="44">
        <f>IFERROR((L273-M273)/(L273+M273),"")</f>
        <v/>
      </c>
      <c r="S273" s="46">
        <f>H273/SUMIFS(Counties!$H$2:$H$1583,Counties!$A$2:$A$1583,$A273)</f>
        <v/>
      </c>
      <c r="T273" s="44">
        <f>O273+INDEX(Dashboard!$F$6:$F$22,MATCH($A273,Dashboard!$A$6:$A$22,0))</f>
        <v/>
      </c>
      <c r="U273" s="43">
        <f>AQ273*INDEX(Dashboard!$G$6:$G$22,MATCH($A273,Dashboard!$A$6:$A$22,0))</f>
        <v/>
      </c>
      <c r="V273" s="47" t="n"/>
      <c r="W273" s="47" t="n"/>
      <c r="X273" s="47" t="n"/>
      <c r="Y273" s="48" t="n"/>
      <c r="Z273" s="49" t="n"/>
      <c r="AA273" s="49" t="n"/>
      <c r="AB273" s="49" t="n"/>
      <c r="AC273" s="50" t="n"/>
      <c r="AD273" s="43">
        <f>IF(Z273&lt;&gt;"",Z273,N(V273))</f>
        <v/>
      </c>
      <c r="AE273" s="43">
        <f>IF(AA273&lt;&gt;"",AA273,N(W273))</f>
        <v/>
      </c>
      <c r="AF273" s="43">
        <f>AD273+AE273</f>
        <v/>
      </c>
      <c r="AG273" s="42">
        <f>IF(UPPER(AC273)="Y",1,IF(AF273=0,0,IF(AND(Z273="",Y273&lt;&gt;""),IF(Y273&gt;=0.999,1,0),IF(AF273&gt;=U273,1,0))))</f>
        <v/>
      </c>
      <c r="AH273" s="44">
        <f>IF(AF273&gt;0,(AD273-AE273)/AF273,"")</f>
        <v/>
      </c>
      <c r="AI273" s="45">
        <f>IF(AG273=1,AH273-O273,"")</f>
        <v/>
      </c>
      <c r="AJ273" s="44">
        <f>IF(AG273=1,AH273,MAX(-1,MIN(1,O273+INDEX(Types!$H:$H,MATCH($A273&amp;"|"&amp;$D273,Types!$A:$A,0)))))</f>
        <v/>
      </c>
      <c r="AK273" s="43">
        <f>IF(AG273=1,AF273,MAX(AQ273*AS273,AF273))</f>
        <v/>
      </c>
      <c r="AL273" s="43">
        <f>IF(AG273=1,AD273,AK273*(1+AJ273)/2)</f>
        <v/>
      </c>
      <c r="AM273" s="43">
        <f>IF(AG273=1,AE273,AK273*(1-AJ273)/2)</f>
        <v/>
      </c>
      <c r="AN273" s="45">
        <f>IF(AH273="","",AH273-T273)</f>
        <v/>
      </c>
      <c r="AO273" s="51">
        <f>IF(AG273=1,1,IF(U273&gt;0,MIN(AF273/U273,0.99),0))</f>
        <v/>
      </c>
      <c r="AP273" s="43">
        <f>IF(AG273=1,AI273*AF273,0)</f>
        <v/>
      </c>
      <c r="AQ273" s="43">
        <f>N273*(F273+G273)/H273</f>
        <v/>
      </c>
      <c r="AR273" s="43">
        <f>O273*AQ273</f>
        <v/>
      </c>
      <c r="AS273" s="52">
        <f>IF(AG273=1,IF(AQ273&gt;0,AF273/AQ273,1),IFERROR(INDEX(Types!$K:$K,MATCH($A273&amp;"|"&amp;$D273,Types!$A:$A,0)),INDEX(Dashboard!$X$6:$X$22,MATCH($A273,Dashboard!$A$6:$A$22,0))))</f>
        <v/>
      </c>
      <c r="AT273" s="43">
        <f>AQ273*INDEX(Dashboard!$Y$6:$Y$22,MATCH($A273,Dashboard!$A$6:$A$22,0))</f>
        <v/>
      </c>
      <c r="AU273" s="53">
        <f>IF(AND(AG273=1,AT273&gt;0,AF273&gt;0),100*AF273/AT273,"")</f>
        <v/>
      </c>
      <c r="AV273" s="44">
        <f>IF(AU273="","",T273/(AU273/100))</f>
        <v/>
      </c>
      <c r="AW273" s="53">
        <f>IF(AU273="","",IF(AND(ABS(AH273)&gt;=0.1,ABS(T273)&gt;=0.05,SIGN(AH273)=SIGN(T273)),100*T273/AH273,""))</f>
        <v/>
      </c>
      <c r="AX273" s="45">
        <f>IF(AU273="","",T273-AV273)</f>
        <v/>
      </c>
      <c r="AY273" s="45">
        <f>IF(AU273="","",AH273-AV273)</f>
        <v/>
      </c>
      <c r="AZ273" s="54">
        <f>(AL273-AM273)-T273*AT273</f>
        <v/>
      </c>
      <c r="BA273" s="43">
        <f>IF(AU273="",0,(AH273-T273)*AF273)</f>
        <v/>
      </c>
      <c r="BB273" s="43">
        <f>IF(AU273="",0,T273*(AF273-AT273))</f>
        <v/>
      </c>
      <c r="BC273" s="51" t="n">
        <v>0.0257093379512455</v>
      </c>
      <c r="BD273" s="51" t="n">
        <v>0.03476755028639936</v>
      </c>
      <c r="BE273" s="51" t="n">
        <v>0.1880969225327202</v>
      </c>
      <c r="BF273" s="43" t="n">
        <v>15014</v>
      </c>
    </row>
    <row r="274">
      <c r="A274" s="42" t="inlineStr">
        <is>
          <t>IA</t>
        </is>
      </c>
      <c r="B274" s="42" t="inlineStr">
        <is>
          <t>19147</t>
        </is>
      </c>
      <c r="C274" s="42" t="inlineStr">
        <is>
          <t>Palo Alto</t>
        </is>
      </c>
      <c r="D274" s="42" t="inlineStr">
        <is>
          <t>Small town &amp; rural</t>
        </is>
      </c>
      <c r="E274" s="42" t="inlineStr"/>
      <c r="F274" s="43" t="n">
        <v>1338</v>
      </c>
      <c r="G274" s="43" t="n">
        <v>3576</v>
      </c>
      <c r="H274" s="43" t="n">
        <v>4976</v>
      </c>
      <c r="I274" s="43" t="n">
        <v>1519</v>
      </c>
      <c r="J274" s="43" t="n">
        <v>3370</v>
      </c>
      <c r="K274" s="42" t="inlineStr">
        <is>
          <t>US Senate</t>
        </is>
      </c>
      <c r="L274" s="43" t="n">
        <v>994</v>
      </c>
      <c r="M274" s="43" t="n">
        <v>2586</v>
      </c>
      <c r="N274" s="43" t="n">
        <v>3586</v>
      </c>
      <c r="O274" s="44">
        <f>IFERROR((F274-G274)/(F274+G274),"")</f>
        <v/>
      </c>
      <c r="P274" s="44">
        <f>IFERROR((I274-J274)/(I274+J274),"")</f>
        <v/>
      </c>
      <c r="Q274" s="45">
        <f>IFERROR(O274-P274,"")</f>
        <v/>
      </c>
      <c r="R274" s="44">
        <f>IFERROR((L274-M274)/(L274+M274),"")</f>
        <v/>
      </c>
      <c r="S274" s="46">
        <f>H274/SUMIFS(Counties!$H$2:$H$1583,Counties!$A$2:$A$1583,$A274)</f>
        <v/>
      </c>
      <c r="T274" s="44">
        <f>O274+INDEX(Dashboard!$F$6:$F$22,MATCH($A274,Dashboard!$A$6:$A$22,0))</f>
        <v/>
      </c>
      <c r="U274" s="43">
        <f>AQ274*INDEX(Dashboard!$G$6:$G$22,MATCH($A274,Dashboard!$A$6:$A$22,0))</f>
        <v/>
      </c>
      <c r="V274" s="47" t="n"/>
      <c r="W274" s="47" t="n"/>
      <c r="X274" s="47" t="n"/>
      <c r="Y274" s="48" t="n"/>
      <c r="Z274" s="49" t="n"/>
      <c r="AA274" s="49" t="n"/>
      <c r="AB274" s="49" t="n"/>
      <c r="AC274" s="50" t="n"/>
      <c r="AD274" s="43">
        <f>IF(Z274&lt;&gt;"",Z274,N(V274))</f>
        <v/>
      </c>
      <c r="AE274" s="43">
        <f>IF(AA274&lt;&gt;"",AA274,N(W274))</f>
        <v/>
      </c>
      <c r="AF274" s="43">
        <f>AD274+AE274</f>
        <v/>
      </c>
      <c r="AG274" s="42">
        <f>IF(UPPER(AC274)="Y",1,IF(AF274=0,0,IF(AND(Z274="",Y274&lt;&gt;""),IF(Y274&gt;=0.999,1,0),IF(AF274&gt;=U274,1,0))))</f>
        <v/>
      </c>
      <c r="AH274" s="44">
        <f>IF(AF274&gt;0,(AD274-AE274)/AF274,"")</f>
        <v/>
      </c>
      <c r="AI274" s="45">
        <f>IF(AG274=1,AH274-O274,"")</f>
        <v/>
      </c>
      <c r="AJ274" s="44">
        <f>IF(AG274=1,AH274,MAX(-1,MIN(1,O274+INDEX(Types!$H:$H,MATCH($A274&amp;"|"&amp;$D274,Types!$A:$A,0)))))</f>
        <v/>
      </c>
      <c r="AK274" s="43">
        <f>IF(AG274=1,AF274,MAX(AQ274*AS274,AF274))</f>
        <v/>
      </c>
      <c r="AL274" s="43">
        <f>IF(AG274=1,AD274,AK274*(1+AJ274)/2)</f>
        <v/>
      </c>
      <c r="AM274" s="43">
        <f>IF(AG274=1,AE274,AK274*(1-AJ274)/2)</f>
        <v/>
      </c>
      <c r="AN274" s="45">
        <f>IF(AH274="","",AH274-T274)</f>
        <v/>
      </c>
      <c r="AO274" s="51">
        <f>IF(AG274=1,1,IF(U274&gt;0,MIN(AF274/U274,0.99),0))</f>
        <v/>
      </c>
      <c r="AP274" s="43">
        <f>IF(AG274=1,AI274*AF274,0)</f>
        <v/>
      </c>
      <c r="AQ274" s="43">
        <f>N274*(F274+G274)/H274</f>
        <v/>
      </c>
      <c r="AR274" s="43">
        <f>O274*AQ274</f>
        <v/>
      </c>
      <c r="AS274" s="52">
        <f>IF(AG274=1,IF(AQ274&gt;0,AF274/AQ274,1),IFERROR(INDEX(Types!$K:$K,MATCH($A274&amp;"|"&amp;$D274,Types!$A:$A,0)),INDEX(Dashboard!$X$6:$X$22,MATCH($A274,Dashboard!$A$6:$A$22,0))))</f>
        <v/>
      </c>
      <c r="AT274" s="43">
        <f>AQ274*INDEX(Dashboard!$Y$6:$Y$22,MATCH($A274,Dashboard!$A$6:$A$22,0))</f>
        <v/>
      </c>
      <c r="AU274" s="53">
        <f>IF(AND(AG274=1,AT274&gt;0,AF274&gt;0),100*AF274/AT274,"")</f>
        <v/>
      </c>
      <c r="AV274" s="44">
        <f>IF(AU274="","",T274/(AU274/100))</f>
        <v/>
      </c>
      <c r="AW274" s="53">
        <f>IF(AU274="","",IF(AND(ABS(AH274)&gt;=0.1,ABS(T274)&gt;=0.05,SIGN(AH274)=SIGN(T274)),100*T274/AH274,""))</f>
        <v/>
      </c>
      <c r="AX274" s="45">
        <f>IF(AU274="","",T274-AV274)</f>
        <v/>
      </c>
      <c r="AY274" s="45">
        <f>IF(AU274="","",AH274-AV274)</f>
        <v/>
      </c>
      <c r="AZ274" s="54">
        <f>(AL274-AM274)-T274*AT274</f>
        <v/>
      </c>
      <c r="BA274" s="43">
        <f>IF(AU274="",0,(AH274-T274)*AF274)</f>
        <v/>
      </c>
      <c r="BB274" s="43">
        <f>IF(AU274="",0,T274*(AF274-AT274))</f>
        <v/>
      </c>
      <c r="BC274" s="51" t="n">
        <v>0.01418842224744608</v>
      </c>
      <c r="BD274" s="51" t="n">
        <v>0.03564131668558456</v>
      </c>
      <c r="BE274" s="51" t="n">
        <v>0.2052969238361573</v>
      </c>
      <c r="BF274" s="43" t="n">
        <v>8810</v>
      </c>
    </row>
    <row r="275">
      <c r="A275" s="42" t="inlineStr">
        <is>
          <t>IA</t>
        </is>
      </c>
      <c r="B275" s="42" t="inlineStr">
        <is>
          <t>19149</t>
        </is>
      </c>
      <c r="C275" s="42" t="inlineStr">
        <is>
          <t>Plymouth</t>
        </is>
      </c>
      <c r="D275" s="42" t="inlineStr">
        <is>
          <t>Small town &amp; rural</t>
        </is>
      </c>
      <c r="E275" s="42" t="inlineStr"/>
      <c r="F275" s="43" t="n">
        <v>3104</v>
      </c>
      <c r="G275" s="43" t="n">
        <v>10661</v>
      </c>
      <c r="H275" s="43" t="n">
        <v>13931</v>
      </c>
      <c r="I275" s="43" t="n">
        <v>3494</v>
      </c>
      <c r="J275" s="43" t="n">
        <v>10492</v>
      </c>
      <c r="K275" s="42" t="inlineStr">
        <is>
          <t>US Senate</t>
        </is>
      </c>
      <c r="L275" s="43" t="n">
        <v>2053</v>
      </c>
      <c r="M275" s="43" t="n">
        <v>7650</v>
      </c>
      <c r="N275" s="43" t="n">
        <v>9716</v>
      </c>
      <c r="O275" s="44">
        <f>IFERROR((F275-G275)/(F275+G275),"")</f>
        <v/>
      </c>
      <c r="P275" s="44">
        <f>IFERROR((I275-J275)/(I275+J275),"")</f>
        <v/>
      </c>
      <c r="Q275" s="45">
        <f>IFERROR(O275-P275,"")</f>
        <v/>
      </c>
      <c r="R275" s="44">
        <f>IFERROR((L275-M275)/(L275+M275),"")</f>
        <v/>
      </c>
      <c r="S275" s="46">
        <f>H275/SUMIFS(Counties!$H$2:$H$1583,Counties!$A$2:$A$1583,$A275)</f>
        <v/>
      </c>
      <c r="T275" s="44">
        <f>O275+INDEX(Dashboard!$F$6:$F$22,MATCH($A275,Dashboard!$A$6:$A$22,0))</f>
        <v/>
      </c>
      <c r="U275" s="43">
        <f>AQ275*INDEX(Dashboard!$G$6:$G$22,MATCH($A275,Dashboard!$A$6:$A$22,0))</f>
        <v/>
      </c>
      <c r="V275" s="47" t="n"/>
      <c r="W275" s="47" t="n"/>
      <c r="X275" s="47" t="n"/>
      <c r="Y275" s="48" t="n"/>
      <c r="Z275" s="49" t="n"/>
      <c r="AA275" s="49" t="n"/>
      <c r="AB275" s="49" t="n"/>
      <c r="AC275" s="50" t="n"/>
      <c r="AD275" s="43">
        <f>IF(Z275&lt;&gt;"",Z275,N(V275))</f>
        <v/>
      </c>
      <c r="AE275" s="43">
        <f>IF(AA275&lt;&gt;"",AA275,N(W275))</f>
        <v/>
      </c>
      <c r="AF275" s="43">
        <f>AD275+AE275</f>
        <v/>
      </c>
      <c r="AG275" s="42">
        <f>IF(UPPER(AC275)="Y",1,IF(AF275=0,0,IF(AND(Z275="",Y275&lt;&gt;""),IF(Y275&gt;=0.999,1,0),IF(AF275&gt;=U275,1,0))))</f>
        <v/>
      </c>
      <c r="AH275" s="44">
        <f>IF(AF275&gt;0,(AD275-AE275)/AF275,"")</f>
        <v/>
      </c>
      <c r="AI275" s="45">
        <f>IF(AG275=1,AH275-O275,"")</f>
        <v/>
      </c>
      <c r="AJ275" s="44">
        <f>IF(AG275=1,AH275,MAX(-1,MIN(1,O275+INDEX(Types!$H:$H,MATCH($A275&amp;"|"&amp;$D275,Types!$A:$A,0)))))</f>
        <v/>
      </c>
      <c r="AK275" s="43">
        <f>IF(AG275=1,AF275,MAX(AQ275*AS275,AF275))</f>
        <v/>
      </c>
      <c r="AL275" s="43">
        <f>IF(AG275=1,AD275,AK275*(1+AJ275)/2)</f>
        <v/>
      </c>
      <c r="AM275" s="43">
        <f>IF(AG275=1,AE275,AK275*(1-AJ275)/2)</f>
        <v/>
      </c>
      <c r="AN275" s="45">
        <f>IF(AH275="","",AH275-T275)</f>
        <v/>
      </c>
      <c r="AO275" s="51">
        <f>IF(AG275=1,1,IF(U275&gt;0,MIN(AF275/U275,0.99),0))</f>
        <v/>
      </c>
      <c r="AP275" s="43">
        <f>IF(AG275=1,AI275*AF275,0)</f>
        <v/>
      </c>
      <c r="AQ275" s="43">
        <f>N275*(F275+G275)/H275</f>
        <v/>
      </c>
      <c r="AR275" s="43">
        <f>O275*AQ275</f>
        <v/>
      </c>
      <c r="AS275" s="52">
        <f>IF(AG275=1,IF(AQ275&gt;0,AF275/AQ275,1),IFERROR(INDEX(Types!$K:$K,MATCH($A275&amp;"|"&amp;$D275,Types!$A:$A,0)),INDEX(Dashboard!$X$6:$X$22,MATCH($A275,Dashboard!$A$6:$A$22,0))))</f>
        <v/>
      </c>
      <c r="AT275" s="43">
        <f>AQ275*INDEX(Dashboard!$Y$6:$Y$22,MATCH($A275,Dashboard!$A$6:$A$22,0))</f>
        <v/>
      </c>
      <c r="AU275" s="53">
        <f>IF(AND(AG275=1,AT275&gt;0,AF275&gt;0),100*AF275/AT275,"")</f>
        <v/>
      </c>
      <c r="AV275" s="44">
        <f>IF(AU275="","",T275/(AU275/100))</f>
        <v/>
      </c>
      <c r="AW275" s="53">
        <f>IF(AU275="","",IF(AND(ABS(AH275)&gt;=0.1,ABS(T275)&gt;=0.05,SIGN(AH275)=SIGN(T275)),100*T275/AH275,""))</f>
        <v/>
      </c>
      <c r="AX275" s="45">
        <f>IF(AU275="","",T275-AV275)</f>
        <v/>
      </c>
      <c r="AY275" s="45">
        <f>IF(AU275="","",AH275-AV275)</f>
        <v/>
      </c>
      <c r="AZ275" s="54">
        <f>(AL275-AM275)-T275*AT275</f>
        <v/>
      </c>
      <c r="BA275" s="43">
        <f>IF(AU275="",0,(AH275-T275)*AF275)</f>
        <v/>
      </c>
      <c r="BB275" s="43">
        <f>IF(AU275="",0,T275*(AF275-AT275))</f>
        <v/>
      </c>
      <c r="BC275" s="51" t="n">
        <v>0.0216546147266931</v>
      </c>
      <c r="BD275" s="51" t="n">
        <v>0.06776300443200373</v>
      </c>
      <c r="BE275" s="51" t="n">
        <v>0.2387991291394523</v>
      </c>
      <c r="BF275" s="43" t="n">
        <v>25722</v>
      </c>
    </row>
    <row r="276">
      <c r="A276" s="42" t="inlineStr">
        <is>
          <t>IA</t>
        </is>
      </c>
      <c r="B276" s="42" t="inlineStr">
        <is>
          <t>19151</t>
        </is>
      </c>
      <c r="C276" s="42" t="inlineStr">
        <is>
          <t>Pocahontas</t>
        </is>
      </c>
      <c r="D276" s="42" t="inlineStr">
        <is>
          <t>Small town &amp; rural</t>
        </is>
      </c>
      <c r="E276" s="42" t="inlineStr"/>
      <c r="F276" s="43" t="n">
        <v>796</v>
      </c>
      <c r="G276" s="43" t="n">
        <v>2727</v>
      </c>
      <c r="H276" s="43" t="n">
        <v>3573</v>
      </c>
      <c r="I276" s="43" t="n">
        <v>933</v>
      </c>
      <c r="J276" s="43" t="n">
        <v>2826</v>
      </c>
      <c r="K276" s="42" t="inlineStr">
        <is>
          <t>US Senate</t>
        </is>
      </c>
      <c r="L276" s="43" t="n">
        <v>658</v>
      </c>
      <c r="M276" s="43" t="n">
        <v>2158</v>
      </c>
      <c r="N276" s="43" t="n">
        <v>2820</v>
      </c>
      <c r="O276" s="44">
        <f>IFERROR((F276-G276)/(F276+G276),"")</f>
        <v/>
      </c>
      <c r="P276" s="44">
        <f>IFERROR((I276-J276)/(I276+J276),"")</f>
        <v/>
      </c>
      <c r="Q276" s="45">
        <f>IFERROR(O276-P276,"")</f>
        <v/>
      </c>
      <c r="R276" s="44">
        <f>IFERROR((L276-M276)/(L276+M276),"")</f>
        <v/>
      </c>
      <c r="S276" s="46">
        <f>H276/SUMIFS(Counties!$H$2:$H$1583,Counties!$A$2:$A$1583,$A276)</f>
        <v/>
      </c>
      <c r="T276" s="44">
        <f>O276+INDEX(Dashboard!$F$6:$F$22,MATCH($A276,Dashboard!$A$6:$A$22,0))</f>
        <v/>
      </c>
      <c r="U276" s="43">
        <f>AQ276*INDEX(Dashboard!$G$6:$G$22,MATCH($A276,Dashboard!$A$6:$A$22,0))</f>
        <v/>
      </c>
      <c r="V276" s="47" t="n"/>
      <c r="W276" s="47" t="n"/>
      <c r="X276" s="47" t="n"/>
      <c r="Y276" s="48" t="n"/>
      <c r="Z276" s="49" t="n"/>
      <c r="AA276" s="49" t="n"/>
      <c r="AB276" s="49" t="n"/>
      <c r="AC276" s="50" t="n"/>
      <c r="AD276" s="43">
        <f>IF(Z276&lt;&gt;"",Z276,N(V276))</f>
        <v/>
      </c>
      <c r="AE276" s="43">
        <f>IF(AA276&lt;&gt;"",AA276,N(W276))</f>
        <v/>
      </c>
      <c r="AF276" s="43">
        <f>AD276+AE276</f>
        <v/>
      </c>
      <c r="AG276" s="42">
        <f>IF(UPPER(AC276)="Y",1,IF(AF276=0,0,IF(AND(Z276="",Y276&lt;&gt;""),IF(Y276&gt;=0.999,1,0),IF(AF276&gt;=U276,1,0))))</f>
        <v/>
      </c>
      <c r="AH276" s="44">
        <f>IF(AF276&gt;0,(AD276-AE276)/AF276,"")</f>
        <v/>
      </c>
      <c r="AI276" s="45">
        <f>IF(AG276=1,AH276-O276,"")</f>
        <v/>
      </c>
      <c r="AJ276" s="44">
        <f>IF(AG276=1,AH276,MAX(-1,MIN(1,O276+INDEX(Types!$H:$H,MATCH($A276&amp;"|"&amp;$D276,Types!$A:$A,0)))))</f>
        <v/>
      </c>
      <c r="AK276" s="43">
        <f>IF(AG276=1,AF276,MAX(AQ276*AS276,AF276))</f>
        <v/>
      </c>
      <c r="AL276" s="43">
        <f>IF(AG276=1,AD276,AK276*(1+AJ276)/2)</f>
        <v/>
      </c>
      <c r="AM276" s="43">
        <f>IF(AG276=1,AE276,AK276*(1-AJ276)/2)</f>
        <v/>
      </c>
      <c r="AN276" s="45">
        <f>IF(AH276="","",AH276-T276)</f>
        <v/>
      </c>
      <c r="AO276" s="51">
        <f>IF(AG276=1,1,IF(U276&gt;0,MIN(AF276/U276,0.99),0))</f>
        <v/>
      </c>
      <c r="AP276" s="43">
        <f>IF(AG276=1,AI276*AF276,0)</f>
        <v/>
      </c>
      <c r="AQ276" s="43">
        <f>N276*(F276+G276)/H276</f>
        <v/>
      </c>
      <c r="AR276" s="43">
        <f>O276*AQ276</f>
        <v/>
      </c>
      <c r="AS276" s="52">
        <f>IF(AG276=1,IF(AQ276&gt;0,AF276/AQ276,1),IFERROR(INDEX(Types!$K:$K,MATCH($A276&amp;"|"&amp;$D276,Types!$A:$A,0)),INDEX(Dashboard!$X$6:$X$22,MATCH($A276,Dashboard!$A$6:$A$22,0))))</f>
        <v/>
      </c>
      <c r="AT276" s="43">
        <f>AQ276*INDEX(Dashboard!$Y$6:$Y$22,MATCH($A276,Dashboard!$A$6:$A$22,0))</f>
        <v/>
      </c>
      <c r="AU276" s="53">
        <f>IF(AND(AG276=1,AT276&gt;0,AF276&gt;0),100*AF276/AT276,"")</f>
        <v/>
      </c>
      <c r="AV276" s="44">
        <f>IF(AU276="","",T276/(AU276/100))</f>
        <v/>
      </c>
      <c r="AW276" s="53">
        <f>IF(AU276="","",IF(AND(ABS(AH276)&gt;=0.1,ABS(T276)&gt;=0.05,SIGN(AH276)=SIGN(T276)),100*T276/AH276,""))</f>
        <v/>
      </c>
      <c r="AX276" s="45">
        <f>IF(AU276="","",T276-AV276)</f>
        <v/>
      </c>
      <c r="AY276" s="45">
        <f>IF(AU276="","",AH276-AV276)</f>
        <v/>
      </c>
      <c r="AZ276" s="54">
        <f>(AL276-AM276)-T276*AT276</f>
        <v/>
      </c>
      <c r="BA276" s="43">
        <f>IF(AU276="",0,(AH276-T276)*AF276)</f>
        <v/>
      </c>
      <c r="BB276" s="43">
        <f>IF(AU276="",0,T276*(AF276-AT276))</f>
        <v/>
      </c>
      <c r="BC276" s="51" t="n">
        <v>0.01032110091743119</v>
      </c>
      <c r="BD276" s="51" t="n">
        <v>0.06293004587155963</v>
      </c>
      <c r="BE276" s="51" t="n">
        <v>0.1865136298421808</v>
      </c>
      <c r="BF276" s="43" t="n">
        <v>6976</v>
      </c>
    </row>
    <row r="277">
      <c r="A277" s="42" t="inlineStr">
        <is>
          <t>IA</t>
        </is>
      </c>
      <c r="B277" s="42" t="inlineStr">
        <is>
          <t>19153</t>
        </is>
      </c>
      <c r="C277" s="42" t="inlineStr">
        <is>
          <t>Polk</t>
        </is>
      </c>
      <c r="D277" s="42" t="inlineStr">
        <is>
          <t>Mid-size/working metro</t>
        </is>
      </c>
      <c r="E277" s="42" t="inlineStr">
        <is>
          <t>★</t>
        </is>
      </c>
      <c r="F277" s="43" t="n">
        <v>140075</v>
      </c>
      <c r="G277" s="43" t="n">
        <v>112240</v>
      </c>
      <c r="H277" s="43" t="n">
        <v>255563</v>
      </c>
      <c r="I277" s="43" t="n">
        <v>146250</v>
      </c>
      <c r="J277" s="43" t="n">
        <v>106800</v>
      </c>
      <c r="K277" s="42" t="inlineStr">
        <is>
          <t>US Senate</t>
        </is>
      </c>
      <c r="L277" s="43" t="n">
        <v>107478</v>
      </c>
      <c r="M277" s="43" t="n">
        <v>83279</v>
      </c>
      <c r="N277" s="43" t="n">
        <v>191134</v>
      </c>
      <c r="O277" s="44">
        <f>IFERROR((F277-G277)/(F277+G277),"")</f>
        <v/>
      </c>
      <c r="P277" s="44">
        <f>IFERROR((I277-J277)/(I277+J277),"")</f>
        <v/>
      </c>
      <c r="Q277" s="45">
        <f>IFERROR(O277-P277,"")</f>
        <v/>
      </c>
      <c r="R277" s="44">
        <f>IFERROR((L277-M277)/(L277+M277),"")</f>
        <v/>
      </c>
      <c r="S277" s="46">
        <f>H277/SUMIFS(Counties!$H$2:$H$1583,Counties!$A$2:$A$1583,$A277)</f>
        <v/>
      </c>
      <c r="T277" s="44">
        <f>O277+INDEX(Dashboard!$F$6:$F$22,MATCH($A277,Dashboard!$A$6:$A$22,0))</f>
        <v/>
      </c>
      <c r="U277" s="43">
        <f>AQ277*INDEX(Dashboard!$G$6:$G$22,MATCH($A277,Dashboard!$A$6:$A$22,0))</f>
        <v/>
      </c>
      <c r="V277" s="47" t="n"/>
      <c r="W277" s="47" t="n"/>
      <c r="X277" s="47" t="n"/>
      <c r="Y277" s="48" t="n"/>
      <c r="Z277" s="49" t="n"/>
      <c r="AA277" s="49" t="n"/>
      <c r="AB277" s="49" t="n"/>
      <c r="AC277" s="50" t="n"/>
      <c r="AD277" s="43">
        <f>IF(Z277&lt;&gt;"",Z277,N(V277))</f>
        <v/>
      </c>
      <c r="AE277" s="43">
        <f>IF(AA277&lt;&gt;"",AA277,N(W277))</f>
        <v/>
      </c>
      <c r="AF277" s="43">
        <f>AD277+AE277</f>
        <v/>
      </c>
      <c r="AG277" s="42">
        <f>IF(UPPER(AC277)="Y",1,IF(AF277=0,0,IF(AND(Z277="",Y277&lt;&gt;""),IF(Y277&gt;=0.999,1,0),IF(AF277&gt;=U277,1,0))))</f>
        <v/>
      </c>
      <c r="AH277" s="44">
        <f>IF(AF277&gt;0,(AD277-AE277)/AF277,"")</f>
        <v/>
      </c>
      <c r="AI277" s="45">
        <f>IF(AG277=1,AH277-O277,"")</f>
        <v/>
      </c>
      <c r="AJ277" s="44">
        <f>IF(AG277=1,AH277,MAX(-1,MIN(1,O277+INDEX(Types!$H:$H,MATCH($A277&amp;"|"&amp;$D277,Types!$A:$A,0)))))</f>
        <v/>
      </c>
      <c r="AK277" s="43">
        <f>IF(AG277=1,AF277,MAX(AQ277*AS277,AF277))</f>
        <v/>
      </c>
      <c r="AL277" s="43">
        <f>IF(AG277=1,AD277,AK277*(1+AJ277)/2)</f>
        <v/>
      </c>
      <c r="AM277" s="43">
        <f>IF(AG277=1,AE277,AK277*(1-AJ277)/2)</f>
        <v/>
      </c>
      <c r="AN277" s="45">
        <f>IF(AH277="","",AH277-T277)</f>
        <v/>
      </c>
      <c r="AO277" s="51">
        <f>IF(AG277=1,1,IF(U277&gt;0,MIN(AF277/U277,0.99),0))</f>
        <v/>
      </c>
      <c r="AP277" s="43">
        <f>IF(AG277=1,AI277*AF277,0)</f>
        <v/>
      </c>
      <c r="AQ277" s="43">
        <f>N277*(F277+G277)/H277</f>
        <v/>
      </c>
      <c r="AR277" s="43">
        <f>O277*AQ277</f>
        <v/>
      </c>
      <c r="AS277" s="52">
        <f>IF(AG277=1,IF(AQ277&gt;0,AF277/AQ277,1),IFERROR(INDEX(Types!$K:$K,MATCH($A277&amp;"|"&amp;$D277,Types!$A:$A,0)),INDEX(Dashboard!$X$6:$X$22,MATCH($A277,Dashboard!$A$6:$A$22,0))))</f>
        <v/>
      </c>
      <c r="AT277" s="43">
        <f>AQ277*INDEX(Dashboard!$Y$6:$Y$22,MATCH($A277,Dashboard!$A$6:$A$22,0))</f>
        <v/>
      </c>
      <c r="AU277" s="53">
        <f>IF(AND(AG277=1,AT277&gt;0,AF277&gt;0),100*AF277/AT277,"")</f>
        <v/>
      </c>
      <c r="AV277" s="44">
        <f>IF(AU277="","",T277/(AU277/100))</f>
        <v/>
      </c>
      <c r="AW277" s="53">
        <f>IF(AU277="","",IF(AND(ABS(AH277)&gt;=0.1,ABS(T277)&gt;=0.05,SIGN(AH277)=SIGN(T277)),100*T277/AH277,""))</f>
        <v/>
      </c>
      <c r="AX277" s="45">
        <f>IF(AU277="","",T277-AV277)</f>
        <v/>
      </c>
      <c r="AY277" s="45">
        <f>IF(AU277="","",AH277-AV277)</f>
        <v/>
      </c>
      <c r="AZ277" s="54">
        <f>(AL277-AM277)-T277*AT277</f>
        <v/>
      </c>
      <c r="BA277" s="43">
        <f>IF(AU277="",0,(AH277-T277)*AF277)</f>
        <v/>
      </c>
      <c r="BB277" s="43">
        <f>IF(AU277="",0,T277*(AF277-AT277))</f>
        <v/>
      </c>
      <c r="BC277" s="51" t="n">
        <v>0.07641487961524379</v>
      </c>
      <c r="BD277" s="51" t="n">
        <v>0.105542745742249</v>
      </c>
      <c r="BE277" s="51" t="n">
        <v>0.3954552308573841</v>
      </c>
      <c r="BF277" s="43" t="n">
        <v>505255</v>
      </c>
    </row>
    <row r="278">
      <c r="A278" s="42" t="inlineStr">
        <is>
          <t>IA</t>
        </is>
      </c>
      <c r="B278" s="42" t="inlineStr">
        <is>
          <t>19155</t>
        </is>
      </c>
      <c r="C278" s="42" t="inlineStr">
        <is>
          <t>Pottawattamie</t>
        </is>
      </c>
      <c r="D278" s="42" t="inlineStr">
        <is>
          <t>Small town &amp; rural</t>
        </is>
      </c>
      <c r="E278" s="42" t="inlineStr">
        <is>
          <t>★</t>
        </is>
      </c>
      <c r="F278" s="43" t="n">
        <v>17468</v>
      </c>
      <c r="G278" s="43" t="n">
        <v>26335</v>
      </c>
      <c r="H278" s="43" t="n">
        <v>44411</v>
      </c>
      <c r="I278" s="43" t="n">
        <v>18575</v>
      </c>
      <c r="J278" s="43" t="n">
        <v>26247</v>
      </c>
      <c r="K278" s="42" t="inlineStr">
        <is>
          <t>US Senate</t>
        </is>
      </c>
      <c r="L278" s="43" t="n">
        <v>11173</v>
      </c>
      <c r="M278" s="43" t="n">
        <v>17785</v>
      </c>
      <c r="N278" s="43" t="n">
        <v>29008</v>
      </c>
      <c r="O278" s="44">
        <f>IFERROR((F278-G278)/(F278+G278),"")</f>
        <v/>
      </c>
      <c r="P278" s="44">
        <f>IFERROR((I278-J278)/(I278+J278),"")</f>
        <v/>
      </c>
      <c r="Q278" s="45">
        <f>IFERROR(O278-P278,"")</f>
        <v/>
      </c>
      <c r="R278" s="44">
        <f>IFERROR((L278-M278)/(L278+M278),"")</f>
        <v/>
      </c>
      <c r="S278" s="46">
        <f>H278/SUMIFS(Counties!$H$2:$H$1583,Counties!$A$2:$A$1583,$A278)</f>
        <v/>
      </c>
      <c r="T278" s="44">
        <f>O278+INDEX(Dashboard!$F$6:$F$22,MATCH($A278,Dashboard!$A$6:$A$22,0))</f>
        <v/>
      </c>
      <c r="U278" s="43">
        <f>AQ278*INDEX(Dashboard!$G$6:$G$22,MATCH($A278,Dashboard!$A$6:$A$22,0))</f>
        <v/>
      </c>
      <c r="V278" s="47" t="n"/>
      <c r="W278" s="47" t="n"/>
      <c r="X278" s="47" t="n"/>
      <c r="Y278" s="48" t="n"/>
      <c r="Z278" s="49" t="n"/>
      <c r="AA278" s="49" t="n"/>
      <c r="AB278" s="49" t="n"/>
      <c r="AC278" s="50" t="n"/>
      <c r="AD278" s="43">
        <f>IF(Z278&lt;&gt;"",Z278,N(V278))</f>
        <v/>
      </c>
      <c r="AE278" s="43">
        <f>IF(AA278&lt;&gt;"",AA278,N(W278))</f>
        <v/>
      </c>
      <c r="AF278" s="43">
        <f>AD278+AE278</f>
        <v/>
      </c>
      <c r="AG278" s="42">
        <f>IF(UPPER(AC278)="Y",1,IF(AF278=0,0,IF(AND(Z278="",Y278&lt;&gt;""),IF(Y278&gt;=0.999,1,0),IF(AF278&gt;=U278,1,0))))</f>
        <v/>
      </c>
      <c r="AH278" s="44">
        <f>IF(AF278&gt;0,(AD278-AE278)/AF278,"")</f>
        <v/>
      </c>
      <c r="AI278" s="45">
        <f>IF(AG278=1,AH278-O278,"")</f>
        <v/>
      </c>
      <c r="AJ278" s="44">
        <f>IF(AG278=1,AH278,MAX(-1,MIN(1,O278+INDEX(Types!$H:$H,MATCH($A278&amp;"|"&amp;$D278,Types!$A:$A,0)))))</f>
        <v/>
      </c>
      <c r="AK278" s="43">
        <f>IF(AG278=1,AF278,MAX(AQ278*AS278,AF278))</f>
        <v/>
      </c>
      <c r="AL278" s="43">
        <f>IF(AG278=1,AD278,AK278*(1+AJ278)/2)</f>
        <v/>
      </c>
      <c r="AM278" s="43">
        <f>IF(AG278=1,AE278,AK278*(1-AJ278)/2)</f>
        <v/>
      </c>
      <c r="AN278" s="45">
        <f>IF(AH278="","",AH278-T278)</f>
        <v/>
      </c>
      <c r="AO278" s="51">
        <f>IF(AG278=1,1,IF(U278&gt;0,MIN(AF278/U278,0.99),0))</f>
        <v/>
      </c>
      <c r="AP278" s="43">
        <f>IF(AG278=1,AI278*AF278,0)</f>
        <v/>
      </c>
      <c r="AQ278" s="43">
        <f>N278*(F278+G278)/H278</f>
        <v/>
      </c>
      <c r="AR278" s="43">
        <f>O278*AQ278</f>
        <v/>
      </c>
      <c r="AS278" s="52">
        <f>IF(AG278=1,IF(AQ278&gt;0,AF278/AQ278,1),IFERROR(INDEX(Types!$K:$K,MATCH($A278&amp;"|"&amp;$D278,Types!$A:$A,0)),INDEX(Dashboard!$X$6:$X$22,MATCH($A278,Dashboard!$A$6:$A$22,0))))</f>
        <v/>
      </c>
      <c r="AT278" s="43">
        <f>AQ278*INDEX(Dashboard!$Y$6:$Y$22,MATCH($A278,Dashboard!$A$6:$A$22,0))</f>
        <v/>
      </c>
      <c r="AU278" s="53">
        <f>IF(AND(AG278=1,AT278&gt;0,AF278&gt;0),100*AF278/AT278,"")</f>
        <v/>
      </c>
      <c r="AV278" s="44">
        <f>IF(AU278="","",T278/(AU278/100))</f>
        <v/>
      </c>
      <c r="AW278" s="53">
        <f>IF(AU278="","",IF(AND(ABS(AH278)&gt;=0.1,ABS(T278)&gt;=0.05,SIGN(AH278)=SIGN(T278)),100*T278/AH278,""))</f>
        <v/>
      </c>
      <c r="AX278" s="45">
        <f>IF(AU278="","",T278-AV278)</f>
        <v/>
      </c>
      <c r="AY278" s="45">
        <f>IF(AU278="","",AH278-AV278)</f>
        <v/>
      </c>
      <c r="AZ278" s="54">
        <f>(AL278-AM278)-T278*AT278</f>
        <v/>
      </c>
      <c r="BA278" s="43">
        <f>IF(AU278="",0,(AH278-T278)*AF278)</f>
        <v/>
      </c>
      <c r="BB278" s="43">
        <f>IF(AU278="",0,T278*(AF278-AT278))</f>
        <v/>
      </c>
      <c r="BC278" s="51" t="n">
        <v>0.01921033709312184</v>
      </c>
      <c r="BD278" s="51" t="n">
        <v>0.09486042992519773</v>
      </c>
      <c r="BE278" s="51" t="n">
        <v>0.2354001441961067</v>
      </c>
      <c r="BF278" s="43" t="n">
        <v>93179</v>
      </c>
    </row>
    <row r="279">
      <c r="A279" s="42" t="inlineStr">
        <is>
          <t>IA</t>
        </is>
      </c>
      <c r="B279" s="42" t="inlineStr">
        <is>
          <t>19157</t>
        </is>
      </c>
      <c r="C279" s="42" t="inlineStr">
        <is>
          <t>Poweshiek</t>
        </is>
      </c>
      <c r="D279" s="42" t="inlineStr">
        <is>
          <t>Small town &amp; rural</t>
        </is>
      </c>
      <c r="E279" s="42" t="inlineStr"/>
      <c r="F279" s="43" t="n">
        <v>4067</v>
      </c>
      <c r="G279" s="43" t="n">
        <v>5758</v>
      </c>
      <c r="H279" s="43" t="n">
        <v>9971</v>
      </c>
      <c r="I279" s="43" t="n">
        <v>4306</v>
      </c>
      <c r="J279" s="43" t="n">
        <v>5657</v>
      </c>
      <c r="K279" s="42" t="inlineStr">
        <is>
          <t>US Senate</t>
        </is>
      </c>
      <c r="L279" s="43" t="n">
        <v>3174</v>
      </c>
      <c r="M279" s="43" t="n">
        <v>4325</v>
      </c>
      <c r="N279" s="43" t="n">
        <v>7511</v>
      </c>
      <c r="O279" s="44">
        <f>IFERROR((F279-G279)/(F279+G279),"")</f>
        <v/>
      </c>
      <c r="P279" s="44">
        <f>IFERROR((I279-J279)/(I279+J279),"")</f>
        <v/>
      </c>
      <c r="Q279" s="45">
        <f>IFERROR(O279-P279,"")</f>
        <v/>
      </c>
      <c r="R279" s="44">
        <f>IFERROR((L279-M279)/(L279+M279),"")</f>
        <v/>
      </c>
      <c r="S279" s="46">
        <f>H279/SUMIFS(Counties!$H$2:$H$1583,Counties!$A$2:$A$1583,$A279)</f>
        <v/>
      </c>
      <c r="T279" s="44">
        <f>O279+INDEX(Dashboard!$F$6:$F$22,MATCH($A279,Dashboard!$A$6:$A$22,0))</f>
        <v/>
      </c>
      <c r="U279" s="43">
        <f>AQ279*INDEX(Dashboard!$G$6:$G$22,MATCH($A279,Dashboard!$A$6:$A$22,0))</f>
        <v/>
      </c>
      <c r="V279" s="47" t="n"/>
      <c r="W279" s="47" t="n"/>
      <c r="X279" s="47" t="n"/>
      <c r="Y279" s="48" t="n"/>
      <c r="Z279" s="49" t="n"/>
      <c r="AA279" s="49" t="n"/>
      <c r="AB279" s="49" t="n"/>
      <c r="AC279" s="50" t="n"/>
      <c r="AD279" s="43">
        <f>IF(Z279&lt;&gt;"",Z279,N(V279))</f>
        <v/>
      </c>
      <c r="AE279" s="43">
        <f>IF(AA279&lt;&gt;"",AA279,N(W279))</f>
        <v/>
      </c>
      <c r="AF279" s="43">
        <f>AD279+AE279</f>
        <v/>
      </c>
      <c r="AG279" s="42">
        <f>IF(UPPER(AC279)="Y",1,IF(AF279=0,0,IF(AND(Z279="",Y279&lt;&gt;""),IF(Y279&gt;=0.999,1,0),IF(AF279&gt;=U279,1,0))))</f>
        <v/>
      </c>
      <c r="AH279" s="44">
        <f>IF(AF279&gt;0,(AD279-AE279)/AF279,"")</f>
        <v/>
      </c>
      <c r="AI279" s="45">
        <f>IF(AG279=1,AH279-O279,"")</f>
        <v/>
      </c>
      <c r="AJ279" s="44">
        <f>IF(AG279=1,AH279,MAX(-1,MIN(1,O279+INDEX(Types!$H:$H,MATCH($A279&amp;"|"&amp;$D279,Types!$A:$A,0)))))</f>
        <v/>
      </c>
      <c r="AK279" s="43">
        <f>IF(AG279=1,AF279,MAX(AQ279*AS279,AF279))</f>
        <v/>
      </c>
      <c r="AL279" s="43">
        <f>IF(AG279=1,AD279,AK279*(1+AJ279)/2)</f>
        <v/>
      </c>
      <c r="AM279" s="43">
        <f>IF(AG279=1,AE279,AK279*(1-AJ279)/2)</f>
        <v/>
      </c>
      <c r="AN279" s="45">
        <f>IF(AH279="","",AH279-T279)</f>
        <v/>
      </c>
      <c r="AO279" s="51">
        <f>IF(AG279=1,1,IF(U279&gt;0,MIN(AF279/U279,0.99),0))</f>
        <v/>
      </c>
      <c r="AP279" s="43">
        <f>IF(AG279=1,AI279*AF279,0)</f>
        <v/>
      </c>
      <c r="AQ279" s="43">
        <f>N279*(F279+G279)/H279</f>
        <v/>
      </c>
      <c r="AR279" s="43">
        <f>O279*AQ279</f>
        <v/>
      </c>
      <c r="AS279" s="52">
        <f>IF(AG279=1,IF(AQ279&gt;0,AF279/AQ279,1),IFERROR(INDEX(Types!$K:$K,MATCH($A279&amp;"|"&amp;$D279,Types!$A:$A,0)),INDEX(Dashboard!$X$6:$X$22,MATCH($A279,Dashboard!$A$6:$A$22,0))))</f>
        <v/>
      </c>
      <c r="AT279" s="43">
        <f>AQ279*INDEX(Dashboard!$Y$6:$Y$22,MATCH($A279,Dashboard!$A$6:$A$22,0))</f>
        <v/>
      </c>
      <c r="AU279" s="53">
        <f>IF(AND(AG279=1,AT279&gt;0,AF279&gt;0),100*AF279/AT279,"")</f>
        <v/>
      </c>
      <c r="AV279" s="44">
        <f>IF(AU279="","",T279/(AU279/100))</f>
        <v/>
      </c>
      <c r="AW279" s="53">
        <f>IF(AU279="","",IF(AND(ABS(AH279)&gt;=0.1,ABS(T279)&gt;=0.05,SIGN(AH279)=SIGN(T279)),100*T279/AH279,""))</f>
        <v/>
      </c>
      <c r="AX279" s="45">
        <f>IF(AU279="","",T279-AV279)</f>
        <v/>
      </c>
      <c r="AY279" s="45">
        <f>IF(AU279="","",AH279-AV279)</f>
        <v/>
      </c>
      <c r="AZ279" s="54">
        <f>(AL279-AM279)-T279*AT279</f>
        <v/>
      </c>
      <c r="BA279" s="43">
        <f>IF(AU279="",0,(AH279-T279)*AF279)</f>
        <v/>
      </c>
      <c r="BB279" s="43">
        <f>IF(AU279="",0,T279*(AF279-AT279))</f>
        <v/>
      </c>
      <c r="BC279" s="51" t="n">
        <v>0.015119492765404</v>
      </c>
      <c r="BD279" s="51" t="n">
        <v>0.03842193681244242</v>
      </c>
      <c r="BE279" s="51" t="n">
        <v>0.2816219322006074</v>
      </c>
      <c r="BF279" s="43" t="n">
        <v>18453</v>
      </c>
    </row>
    <row r="280">
      <c r="A280" s="42" t="inlineStr">
        <is>
          <t>IA</t>
        </is>
      </c>
      <c r="B280" s="42" t="inlineStr">
        <is>
          <t>19159</t>
        </is>
      </c>
      <c r="C280" s="42" t="inlineStr">
        <is>
          <t>Ringgold</t>
        </is>
      </c>
      <c r="D280" s="42" t="inlineStr">
        <is>
          <t>Small town &amp; rural</t>
        </is>
      </c>
      <c r="E280" s="42" t="inlineStr"/>
      <c r="F280" s="43" t="n">
        <v>638</v>
      </c>
      <c r="G280" s="43" t="n">
        <v>2015</v>
      </c>
      <c r="H280" s="43" t="n">
        <v>2683</v>
      </c>
      <c r="I280" s="43" t="n">
        <v>709</v>
      </c>
      <c r="J280" s="43" t="n">
        <v>1968</v>
      </c>
      <c r="K280" s="42" t="inlineStr">
        <is>
          <t>US Senate</t>
        </is>
      </c>
      <c r="L280" s="43" t="n">
        <v>556</v>
      </c>
      <c r="M280" s="43" t="n">
        <v>1484</v>
      </c>
      <c r="N280" s="43" t="n">
        <v>2043</v>
      </c>
      <c r="O280" s="44">
        <f>IFERROR((F280-G280)/(F280+G280),"")</f>
        <v/>
      </c>
      <c r="P280" s="44">
        <f>IFERROR((I280-J280)/(I280+J280),"")</f>
        <v/>
      </c>
      <c r="Q280" s="45">
        <f>IFERROR(O280-P280,"")</f>
        <v/>
      </c>
      <c r="R280" s="44">
        <f>IFERROR((L280-M280)/(L280+M280),"")</f>
        <v/>
      </c>
      <c r="S280" s="46">
        <f>H280/SUMIFS(Counties!$H$2:$H$1583,Counties!$A$2:$A$1583,$A280)</f>
        <v/>
      </c>
      <c r="T280" s="44">
        <f>O280+INDEX(Dashboard!$F$6:$F$22,MATCH($A280,Dashboard!$A$6:$A$22,0))</f>
        <v/>
      </c>
      <c r="U280" s="43">
        <f>AQ280*INDEX(Dashboard!$G$6:$G$22,MATCH($A280,Dashboard!$A$6:$A$22,0))</f>
        <v/>
      </c>
      <c r="V280" s="47" t="n"/>
      <c r="W280" s="47" t="n"/>
      <c r="X280" s="47" t="n"/>
      <c r="Y280" s="48" t="n"/>
      <c r="Z280" s="49" t="n"/>
      <c r="AA280" s="49" t="n"/>
      <c r="AB280" s="49" t="n"/>
      <c r="AC280" s="50" t="n"/>
      <c r="AD280" s="43">
        <f>IF(Z280&lt;&gt;"",Z280,N(V280))</f>
        <v/>
      </c>
      <c r="AE280" s="43">
        <f>IF(AA280&lt;&gt;"",AA280,N(W280))</f>
        <v/>
      </c>
      <c r="AF280" s="43">
        <f>AD280+AE280</f>
        <v/>
      </c>
      <c r="AG280" s="42">
        <f>IF(UPPER(AC280)="Y",1,IF(AF280=0,0,IF(AND(Z280="",Y280&lt;&gt;""),IF(Y280&gt;=0.999,1,0),IF(AF280&gt;=U280,1,0))))</f>
        <v/>
      </c>
      <c r="AH280" s="44">
        <f>IF(AF280&gt;0,(AD280-AE280)/AF280,"")</f>
        <v/>
      </c>
      <c r="AI280" s="45">
        <f>IF(AG280=1,AH280-O280,"")</f>
        <v/>
      </c>
      <c r="AJ280" s="44">
        <f>IF(AG280=1,AH280,MAX(-1,MIN(1,O280+INDEX(Types!$H:$H,MATCH($A280&amp;"|"&amp;$D280,Types!$A:$A,0)))))</f>
        <v/>
      </c>
      <c r="AK280" s="43">
        <f>IF(AG280=1,AF280,MAX(AQ280*AS280,AF280))</f>
        <v/>
      </c>
      <c r="AL280" s="43">
        <f>IF(AG280=1,AD280,AK280*(1+AJ280)/2)</f>
        <v/>
      </c>
      <c r="AM280" s="43">
        <f>IF(AG280=1,AE280,AK280*(1-AJ280)/2)</f>
        <v/>
      </c>
      <c r="AN280" s="45">
        <f>IF(AH280="","",AH280-T280)</f>
        <v/>
      </c>
      <c r="AO280" s="51">
        <f>IF(AG280=1,1,IF(U280&gt;0,MIN(AF280/U280,0.99),0))</f>
        <v/>
      </c>
      <c r="AP280" s="43">
        <f>IF(AG280=1,AI280*AF280,0)</f>
        <v/>
      </c>
      <c r="AQ280" s="43">
        <f>N280*(F280+G280)/H280</f>
        <v/>
      </c>
      <c r="AR280" s="43">
        <f>O280*AQ280</f>
        <v/>
      </c>
      <c r="AS280" s="52">
        <f>IF(AG280=1,IF(AQ280&gt;0,AF280/AQ280,1),IFERROR(INDEX(Types!$K:$K,MATCH($A280&amp;"|"&amp;$D280,Types!$A:$A,0)),INDEX(Dashboard!$X$6:$X$22,MATCH($A280,Dashboard!$A$6:$A$22,0))))</f>
        <v/>
      </c>
      <c r="AT280" s="43">
        <f>AQ280*INDEX(Dashboard!$Y$6:$Y$22,MATCH($A280,Dashboard!$A$6:$A$22,0))</f>
        <v/>
      </c>
      <c r="AU280" s="53">
        <f>IF(AND(AG280=1,AT280&gt;0,AF280&gt;0),100*AF280/AT280,"")</f>
        <v/>
      </c>
      <c r="AV280" s="44">
        <f>IF(AU280="","",T280/(AU280/100))</f>
        <v/>
      </c>
      <c r="AW280" s="53">
        <f>IF(AU280="","",IF(AND(ABS(AH280)&gt;=0.1,ABS(T280)&gt;=0.05,SIGN(AH280)=SIGN(T280)),100*T280/AH280,""))</f>
        <v/>
      </c>
      <c r="AX280" s="45">
        <f>IF(AU280="","",T280-AV280)</f>
        <v/>
      </c>
      <c r="AY280" s="45">
        <f>IF(AU280="","",AH280-AV280)</f>
        <v/>
      </c>
      <c r="AZ280" s="54">
        <f>(AL280-AM280)-T280*AT280</f>
        <v/>
      </c>
      <c r="BA280" s="43">
        <f>IF(AU280="",0,(AH280-T280)*AF280)</f>
        <v/>
      </c>
      <c r="BB280" s="43">
        <f>IF(AU280="",0,T280*(AF280-AT280))</f>
        <v/>
      </c>
      <c r="BC280" s="51" t="n">
        <v>0.006893580353295993</v>
      </c>
      <c r="BD280" s="51" t="n">
        <v>0.02391210685049548</v>
      </c>
      <c r="BE280" s="51" t="n">
        <v>0.2523191094619666</v>
      </c>
      <c r="BF280" s="43" t="n">
        <v>4642</v>
      </c>
    </row>
    <row r="281">
      <c r="A281" s="42" t="inlineStr">
        <is>
          <t>IA</t>
        </is>
      </c>
      <c r="B281" s="42" t="inlineStr">
        <is>
          <t>19161</t>
        </is>
      </c>
      <c r="C281" s="42" t="inlineStr">
        <is>
          <t>Sac</t>
        </is>
      </c>
      <c r="D281" s="42" t="inlineStr">
        <is>
          <t>Small town &amp; rural</t>
        </is>
      </c>
      <c r="E281" s="42" t="inlineStr"/>
      <c r="F281" s="43" t="n">
        <v>1289</v>
      </c>
      <c r="G281" s="43" t="n">
        <v>4100</v>
      </c>
      <c r="H281" s="43" t="n">
        <v>5448</v>
      </c>
      <c r="I281" s="43" t="n">
        <v>1389</v>
      </c>
      <c r="J281" s="43" t="n">
        <v>4061</v>
      </c>
      <c r="K281" s="42" t="inlineStr">
        <is>
          <t>US Senate</t>
        </is>
      </c>
      <c r="L281" s="43" t="n">
        <v>914</v>
      </c>
      <c r="M281" s="43" t="n">
        <v>2999</v>
      </c>
      <c r="N281" s="43" t="n">
        <v>3921</v>
      </c>
      <c r="O281" s="44">
        <f>IFERROR((F281-G281)/(F281+G281),"")</f>
        <v/>
      </c>
      <c r="P281" s="44">
        <f>IFERROR((I281-J281)/(I281+J281),"")</f>
        <v/>
      </c>
      <c r="Q281" s="45">
        <f>IFERROR(O281-P281,"")</f>
        <v/>
      </c>
      <c r="R281" s="44">
        <f>IFERROR((L281-M281)/(L281+M281),"")</f>
        <v/>
      </c>
      <c r="S281" s="46">
        <f>H281/SUMIFS(Counties!$H$2:$H$1583,Counties!$A$2:$A$1583,$A281)</f>
        <v/>
      </c>
      <c r="T281" s="44">
        <f>O281+INDEX(Dashboard!$F$6:$F$22,MATCH($A281,Dashboard!$A$6:$A$22,0))</f>
        <v/>
      </c>
      <c r="U281" s="43">
        <f>AQ281*INDEX(Dashboard!$G$6:$G$22,MATCH($A281,Dashboard!$A$6:$A$22,0))</f>
        <v/>
      </c>
      <c r="V281" s="47" t="n"/>
      <c r="W281" s="47" t="n"/>
      <c r="X281" s="47" t="n"/>
      <c r="Y281" s="48" t="n"/>
      <c r="Z281" s="49" t="n"/>
      <c r="AA281" s="49" t="n"/>
      <c r="AB281" s="49" t="n"/>
      <c r="AC281" s="50" t="n"/>
      <c r="AD281" s="43">
        <f>IF(Z281&lt;&gt;"",Z281,N(V281))</f>
        <v/>
      </c>
      <c r="AE281" s="43">
        <f>IF(AA281&lt;&gt;"",AA281,N(W281))</f>
        <v/>
      </c>
      <c r="AF281" s="43">
        <f>AD281+AE281</f>
        <v/>
      </c>
      <c r="AG281" s="42">
        <f>IF(UPPER(AC281)="Y",1,IF(AF281=0,0,IF(AND(Z281="",Y281&lt;&gt;""),IF(Y281&gt;=0.999,1,0),IF(AF281&gt;=U281,1,0))))</f>
        <v/>
      </c>
      <c r="AH281" s="44">
        <f>IF(AF281&gt;0,(AD281-AE281)/AF281,"")</f>
        <v/>
      </c>
      <c r="AI281" s="45">
        <f>IF(AG281=1,AH281-O281,"")</f>
        <v/>
      </c>
      <c r="AJ281" s="44">
        <f>IF(AG281=1,AH281,MAX(-1,MIN(1,O281+INDEX(Types!$H:$H,MATCH($A281&amp;"|"&amp;$D281,Types!$A:$A,0)))))</f>
        <v/>
      </c>
      <c r="AK281" s="43">
        <f>IF(AG281=1,AF281,MAX(AQ281*AS281,AF281))</f>
        <v/>
      </c>
      <c r="AL281" s="43">
        <f>IF(AG281=1,AD281,AK281*(1+AJ281)/2)</f>
        <v/>
      </c>
      <c r="AM281" s="43">
        <f>IF(AG281=1,AE281,AK281*(1-AJ281)/2)</f>
        <v/>
      </c>
      <c r="AN281" s="45">
        <f>IF(AH281="","",AH281-T281)</f>
        <v/>
      </c>
      <c r="AO281" s="51">
        <f>IF(AG281=1,1,IF(U281&gt;0,MIN(AF281/U281,0.99),0))</f>
        <v/>
      </c>
      <c r="AP281" s="43">
        <f>IF(AG281=1,AI281*AF281,0)</f>
        <v/>
      </c>
      <c r="AQ281" s="43">
        <f>N281*(F281+G281)/H281</f>
        <v/>
      </c>
      <c r="AR281" s="43">
        <f>O281*AQ281</f>
        <v/>
      </c>
      <c r="AS281" s="52">
        <f>IF(AG281=1,IF(AQ281&gt;0,AF281/AQ281,1),IFERROR(INDEX(Types!$K:$K,MATCH($A281&amp;"|"&amp;$D281,Types!$A:$A,0)),INDEX(Dashboard!$X$6:$X$22,MATCH($A281,Dashboard!$A$6:$A$22,0))))</f>
        <v/>
      </c>
      <c r="AT281" s="43">
        <f>AQ281*INDEX(Dashboard!$Y$6:$Y$22,MATCH($A281,Dashboard!$A$6:$A$22,0))</f>
        <v/>
      </c>
      <c r="AU281" s="53">
        <f>IF(AND(AG281=1,AT281&gt;0,AF281&gt;0),100*AF281/AT281,"")</f>
        <v/>
      </c>
      <c r="AV281" s="44">
        <f>IF(AU281="","",T281/(AU281/100))</f>
        <v/>
      </c>
      <c r="AW281" s="53">
        <f>IF(AU281="","",IF(AND(ABS(AH281)&gt;=0.1,ABS(T281)&gt;=0.05,SIGN(AH281)=SIGN(T281)),100*T281/AH281,""))</f>
        <v/>
      </c>
      <c r="AX281" s="45">
        <f>IF(AU281="","",T281-AV281)</f>
        <v/>
      </c>
      <c r="AY281" s="45">
        <f>IF(AU281="","",AH281-AV281)</f>
        <v/>
      </c>
      <c r="AZ281" s="54">
        <f>(AL281-AM281)-T281*AT281</f>
        <v/>
      </c>
      <c r="BA281" s="43">
        <f>IF(AU281="",0,(AH281-T281)*AF281)</f>
        <v/>
      </c>
      <c r="BB281" s="43">
        <f>IF(AU281="",0,T281*(AF281-AT281))</f>
        <v/>
      </c>
      <c r="BC281" s="51" t="n">
        <v>0.006091265744373323</v>
      </c>
      <c r="BD281" s="51" t="n">
        <v>0.04707825727854636</v>
      </c>
      <c r="BE281" s="51" t="n">
        <v>0.2118582791033984</v>
      </c>
      <c r="BF281" s="43" t="n">
        <v>9686</v>
      </c>
    </row>
    <row r="282">
      <c r="A282" s="42" t="inlineStr">
        <is>
          <t>IA</t>
        </is>
      </c>
      <c r="B282" s="42" t="inlineStr">
        <is>
          <t>19163</t>
        </is>
      </c>
      <c r="C282" s="42" t="inlineStr">
        <is>
          <t>Scott</t>
        </is>
      </c>
      <c r="D282" s="42" t="inlineStr">
        <is>
          <t>Mid-size/working metro</t>
        </is>
      </c>
      <c r="E282" s="42" t="inlineStr">
        <is>
          <t>★</t>
        </is>
      </c>
      <c r="F282" s="43" t="n">
        <v>42479</v>
      </c>
      <c r="G282" s="43" t="n">
        <v>45976</v>
      </c>
      <c r="H282" s="43" t="n">
        <v>89743</v>
      </c>
      <c r="I282" s="43" t="n">
        <v>46926</v>
      </c>
      <c r="J282" s="43" t="n">
        <v>43683</v>
      </c>
      <c r="K282" s="42" t="inlineStr">
        <is>
          <t>US Senate</t>
        </is>
      </c>
      <c r="L282" s="43" t="n">
        <v>30655</v>
      </c>
      <c r="M282" s="43" t="n">
        <v>32955</v>
      </c>
      <c r="N282" s="43" t="n">
        <v>63706</v>
      </c>
      <c r="O282" s="44">
        <f>IFERROR((F282-G282)/(F282+G282),"")</f>
        <v/>
      </c>
      <c r="P282" s="44">
        <f>IFERROR((I282-J282)/(I282+J282),"")</f>
        <v/>
      </c>
      <c r="Q282" s="45">
        <f>IFERROR(O282-P282,"")</f>
        <v/>
      </c>
      <c r="R282" s="44">
        <f>IFERROR((L282-M282)/(L282+M282),"")</f>
        <v/>
      </c>
      <c r="S282" s="46">
        <f>H282/SUMIFS(Counties!$H$2:$H$1583,Counties!$A$2:$A$1583,$A282)</f>
        <v/>
      </c>
      <c r="T282" s="44">
        <f>O282+INDEX(Dashboard!$F$6:$F$22,MATCH($A282,Dashboard!$A$6:$A$22,0))</f>
        <v/>
      </c>
      <c r="U282" s="43">
        <f>AQ282*INDEX(Dashboard!$G$6:$G$22,MATCH($A282,Dashboard!$A$6:$A$22,0))</f>
        <v/>
      </c>
      <c r="V282" s="47" t="n"/>
      <c r="W282" s="47" t="n"/>
      <c r="X282" s="47" t="n"/>
      <c r="Y282" s="48" t="n"/>
      <c r="Z282" s="49" t="n"/>
      <c r="AA282" s="49" t="n"/>
      <c r="AB282" s="49" t="n"/>
      <c r="AC282" s="50" t="n"/>
      <c r="AD282" s="43">
        <f>IF(Z282&lt;&gt;"",Z282,N(V282))</f>
        <v/>
      </c>
      <c r="AE282" s="43">
        <f>IF(AA282&lt;&gt;"",AA282,N(W282))</f>
        <v/>
      </c>
      <c r="AF282" s="43">
        <f>AD282+AE282</f>
        <v/>
      </c>
      <c r="AG282" s="42">
        <f>IF(UPPER(AC282)="Y",1,IF(AF282=0,0,IF(AND(Z282="",Y282&lt;&gt;""),IF(Y282&gt;=0.999,1,0),IF(AF282&gt;=U282,1,0))))</f>
        <v/>
      </c>
      <c r="AH282" s="44">
        <f>IF(AF282&gt;0,(AD282-AE282)/AF282,"")</f>
        <v/>
      </c>
      <c r="AI282" s="45">
        <f>IF(AG282=1,AH282-O282,"")</f>
        <v/>
      </c>
      <c r="AJ282" s="44">
        <f>IF(AG282=1,AH282,MAX(-1,MIN(1,O282+INDEX(Types!$H:$H,MATCH($A282&amp;"|"&amp;$D282,Types!$A:$A,0)))))</f>
        <v/>
      </c>
      <c r="AK282" s="43">
        <f>IF(AG282=1,AF282,MAX(AQ282*AS282,AF282))</f>
        <v/>
      </c>
      <c r="AL282" s="43">
        <f>IF(AG282=1,AD282,AK282*(1+AJ282)/2)</f>
        <v/>
      </c>
      <c r="AM282" s="43">
        <f>IF(AG282=1,AE282,AK282*(1-AJ282)/2)</f>
        <v/>
      </c>
      <c r="AN282" s="45">
        <f>IF(AH282="","",AH282-T282)</f>
        <v/>
      </c>
      <c r="AO282" s="51">
        <f>IF(AG282=1,1,IF(U282&gt;0,MIN(AF282/U282,0.99),0))</f>
        <v/>
      </c>
      <c r="AP282" s="43">
        <f>IF(AG282=1,AI282*AF282,0)</f>
        <v/>
      </c>
      <c r="AQ282" s="43">
        <f>N282*(F282+G282)/H282</f>
        <v/>
      </c>
      <c r="AR282" s="43">
        <f>O282*AQ282</f>
        <v/>
      </c>
      <c r="AS282" s="52">
        <f>IF(AG282=1,IF(AQ282&gt;0,AF282/AQ282,1),IFERROR(INDEX(Types!$K:$K,MATCH($A282&amp;"|"&amp;$D282,Types!$A:$A,0)),INDEX(Dashboard!$X$6:$X$22,MATCH($A282,Dashboard!$A$6:$A$22,0))))</f>
        <v/>
      </c>
      <c r="AT282" s="43">
        <f>AQ282*INDEX(Dashboard!$Y$6:$Y$22,MATCH($A282,Dashboard!$A$6:$A$22,0))</f>
        <v/>
      </c>
      <c r="AU282" s="53">
        <f>IF(AND(AG282=1,AT282&gt;0,AF282&gt;0),100*AF282/AT282,"")</f>
        <v/>
      </c>
      <c r="AV282" s="44">
        <f>IF(AU282="","",T282/(AU282/100))</f>
        <v/>
      </c>
      <c r="AW282" s="53">
        <f>IF(AU282="","",IF(AND(ABS(AH282)&gt;=0.1,ABS(T282)&gt;=0.05,SIGN(AH282)=SIGN(T282)),100*T282/AH282,""))</f>
        <v/>
      </c>
      <c r="AX282" s="45">
        <f>IF(AU282="","",T282-AV282)</f>
        <v/>
      </c>
      <c r="AY282" s="45">
        <f>IF(AU282="","",AH282-AV282)</f>
        <v/>
      </c>
      <c r="AZ282" s="54">
        <f>(AL282-AM282)-T282*AT282</f>
        <v/>
      </c>
      <c r="BA282" s="43">
        <f>IF(AU282="",0,(AH282-T282)*AF282)</f>
        <v/>
      </c>
      <c r="BB282" s="43">
        <f>IF(AU282="",0,T282*(AF282-AT282))</f>
        <v/>
      </c>
      <c r="BC282" s="51" t="n">
        <v>0.07998508062202329</v>
      </c>
      <c r="BD282" s="51" t="n">
        <v>0.0756068170080909</v>
      </c>
      <c r="BE282" s="51" t="n">
        <v>0.3622728802153432</v>
      </c>
      <c r="BF282" s="43" t="n">
        <v>174270</v>
      </c>
    </row>
    <row r="283">
      <c r="A283" s="42" t="inlineStr">
        <is>
          <t>IA</t>
        </is>
      </c>
      <c r="B283" s="42" t="inlineStr">
        <is>
          <t>19165</t>
        </is>
      </c>
      <c r="C283" s="42" t="inlineStr">
        <is>
          <t>Shelby</t>
        </is>
      </c>
      <c r="D283" s="42" t="inlineStr">
        <is>
          <t>Small town &amp; rural</t>
        </is>
      </c>
      <c r="E283" s="42" t="inlineStr"/>
      <c r="F283" s="43" t="n">
        <v>1811</v>
      </c>
      <c r="G283" s="43" t="n">
        <v>4600</v>
      </c>
      <c r="H283" s="43" t="n">
        <v>6486</v>
      </c>
      <c r="I283" s="43" t="n">
        <v>1959</v>
      </c>
      <c r="J283" s="43" t="n">
        <v>4697</v>
      </c>
      <c r="K283" s="42" t="inlineStr">
        <is>
          <t>US Senate</t>
        </is>
      </c>
      <c r="L283" s="43" t="n">
        <v>1213</v>
      </c>
      <c r="M283" s="43" t="n">
        <v>3401</v>
      </c>
      <c r="N283" s="43" t="n">
        <v>4620</v>
      </c>
      <c r="O283" s="44">
        <f>IFERROR((F283-G283)/(F283+G283),"")</f>
        <v/>
      </c>
      <c r="P283" s="44">
        <f>IFERROR((I283-J283)/(I283+J283),"")</f>
        <v/>
      </c>
      <c r="Q283" s="45">
        <f>IFERROR(O283-P283,"")</f>
        <v/>
      </c>
      <c r="R283" s="44">
        <f>IFERROR((L283-M283)/(L283+M283),"")</f>
        <v/>
      </c>
      <c r="S283" s="46">
        <f>H283/SUMIFS(Counties!$H$2:$H$1583,Counties!$A$2:$A$1583,$A283)</f>
        <v/>
      </c>
      <c r="T283" s="44">
        <f>O283+INDEX(Dashboard!$F$6:$F$22,MATCH($A283,Dashboard!$A$6:$A$22,0))</f>
        <v/>
      </c>
      <c r="U283" s="43">
        <f>AQ283*INDEX(Dashboard!$G$6:$G$22,MATCH($A283,Dashboard!$A$6:$A$22,0))</f>
        <v/>
      </c>
      <c r="V283" s="47" t="n"/>
      <c r="W283" s="47" t="n"/>
      <c r="X283" s="47" t="n"/>
      <c r="Y283" s="48" t="n"/>
      <c r="Z283" s="49" t="n"/>
      <c r="AA283" s="49" t="n"/>
      <c r="AB283" s="49" t="n"/>
      <c r="AC283" s="50" t="n"/>
      <c r="AD283" s="43">
        <f>IF(Z283&lt;&gt;"",Z283,N(V283))</f>
        <v/>
      </c>
      <c r="AE283" s="43">
        <f>IF(AA283&lt;&gt;"",AA283,N(W283))</f>
        <v/>
      </c>
      <c r="AF283" s="43">
        <f>AD283+AE283</f>
        <v/>
      </c>
      <c r="AG283" s="42">
        <f>IF(UPPER(AC283)="Y",1,IF(AF283=0,0,IF(AND(Z283="",Y283&lt;&gt;""),IF(Y283&gt;=0.999,1,0),IF(AF283&gt;=U283,1,0))))</f>
        <v/>
      </c>
      <c r="AH283" s="44">
        <f>IF(AF283&gt;0,(AD283-AE283)/AF283,"")</f>
        <v/>
      </c>
      <c r="AI283" s="45">
        <f>IF(AG283=1,AH283-O283,"")</f>
        <v/>
      </c>
      <c r="AJ283" s="44">
        <f>IF(AG283=1,AH283,MAX(-1,MIN(1,O283+INDEX(Types!$H:$H,MATCH($A283&amp;"|"&amp;$D283,Types!$A:$A,0)))))</f>
        <v/>
      </c>
      <c r="AK283" s="43">
        <f>IF(AG283=1,AF283,MAX(AQ283*AS283,AF283))</f>
        <v/>
      </c>
      <c r="AL283" s="43">
        <f>IF(AG283=1,AD283,AK283*(1+AJ283)/2)</f>
        <v/>
      </c>
      <c r="AM283" s="43">
        <f>IF(AG283=1,AE283,AK283*(1-AJ283)/2)</f>
        <v/>
      </c>
      <c r="AN283" s="45">
        <f>IF(AH283="","",AH283-T283)</f>
        <v/>
      </c>
      <c r="AO283" s="51">
        <f>IF(AG283=1,1,IF(U283&gt;0,MIN(AF283/U283,0.99),0))</f>
        <v/>
      </c>
      <c r="AP283" s="43">
        <f>IF(AG283=1,AI283*AF283,0)</f>
        <v/>
      </c>
      <c r="AQ283" s="43">
        <f>N283*(F283+G283)/H283</f>
        <v/>
      </c>
      <c r="AR283" s="43">
        <f>O283*AQ283</f>
        <v/>
      </c>
      <c r="AS283" s="52">
        <f>IF(AG283=1,IF(AQ283&gt;0,AF283/AQ283,1),IFERROR(INDEX(Types!$K:$K,MATCH($A283&amp;"|"&amp;$D283,Types!$A:$A,0)),INDEX(Dashboard!$X$6:$X$22,MATCH($A283,Dashboard!$A$6:$A$22,0))))</f>
        <v/>
      </c>
      <c r="AT283" s="43">
        <f>AQ283*INDEX(Dashboard!$Y$6:$Y$22,MATCH($A283,Dashboard!$A$6:$A$22,0))</f>
        <v/>
      </c>
      <c r="AU283" s="53">
        <f>IF(AND(AG283=1,AT283&gt;0,AF283&gt;0),100*AF283/AT283,"")</f>
        <v/>
      </c>
      <c r="AV283" s="44">
        <f>IF(AU283="","",T283/(AU283/100))</f>
        <v/>
      </c>
      <c r="AW283" s="53">
        <f>IF(AU283="","",IF(AND(ABS(AH283)&gt;=0.1,ABS(T283)&gt;=0.05,SIGN(AH283)=SIGN(T283)),100*T283/AH283,""))</f>
        <v/>
      </c>
      <c r="AX283" s="45">
        <f>IF(AU283="","",T283-AV283)</f>
        <v/>
      </c>
      <c r="AY283" s="45">
        <f>IF(AU283="","",AH283-AV283)</f>
        <v/>
      </c>
      <c r="AZ283" s="54">
        <f>(AL283-AM283)-T283*AT283</f>
        <v/>
      </c>
      <c r="BA283" s="43">
        <f>IF(AU283="",0,(AH283-T283)*AF283)</f>
        <v/>
      </c>
      <c r="BB283" s="43">
        <f>IF(AU283="",0,T283*(AF283-AT283))</f>
        <v/>
      </c>
      <c r="BC283" s="51" t="n">
        <v>0.008216161273928511</v>
      </c>
      <c r="BD283" s="51" t="n">
        <v>0.04751821107911232</v>
      </c>
      <c r="BE283" s="51" t="n">
        <v>0.233220256845166</v>
      </c>
      <c r="BF283" s="43" t="n">
        <v>11806</v>
      </c>
    </row>
    <row r="284">
      <c r="A284" s="42" t="inlineStr">
        <is>
          <t>IA</t>
        </is>
      </c>
      <c r="B284" s="42" t="inlineStr">
        <is>
          <t>19167</t>
        </is>
      </c>
      <c r="C284" s="42" t="inlineStr">
        <is>
          <t>Sioux</t>
        </is>
      </c>
      <c r="D284" s="42" t="inlineStr">
        <is>
          <t>Small town &amp; rural</t>
        </is>
      </c>
      <c r="E284" s="42" t="inlineStr">
        <is>
          <t>★</t>
        </is>
      </c>
      <c r="F284" s="43" t="n">
        <v>2626</v>
      </c>
      <c r="G284" s="43" t="n">
        <v>16053</v>
      </c>
      <c r="H284" s="43" t="n">
        <v>18881</v>
      </c>
      <c r="I284" s="43" t="n">
        <v>3019</v>
      </c>
      <c r="J284" s="43" t="n">
        <v>15680</v>
      </c>
      <c r="K284" s="42" t="inlineStr">
        <is>
          <t>US Senate</t>
        </is>
      </c>
      <c r="L284" s="43" t="n">
        <v>1694</v>
      </c>
      <c r="M284" s="43" t="n">
        <v>12398</v>
      </c>
      <c r="N284" s="43" t="n">
        <v>14107</v>
      </c>
      <c r="O284" s="44">
        <f>IFERROR((F284-G284)/(F284+G284),"")</f>
        <v/>
      </c>
      <c r="P284" s="44">
        <f>IFERROR((I284-J284)/(I284+J284),"")</f>
        <v/>
      </c>
      <c r="Q284" s="45">
        <f>IFERROR(O284-P284,"")</f>
        <v/>
      </c>
      <c r="R284" s="44">
        <f>IFERROR((L284-M284)/(L284+M284),"")</f>
        <v/>
      </c>
      <c r="S284" s="46">
        <f>H284/SUMIFS(Counties!$H$2:$H$1583,Counties!$A$2:$A$1583,$A284)</f>
        <v/>
      </c>
      <c r="T284" s="44">
        <f>O284+INDEX(Dashboard!$F$6:$F$22,MATCH($A284,Dashboard!$A$6:$A$22,0))</f>
        <v/>
      </c>
      <c r="U284" s="43">
        <f>AQ284*INDEX(Dashboard!$G$6:$G$22,MATCH($A284,Dashboard!$A$6:$A$22,0))</f>
        <v/>
      </c>
      <c r="V284" s="47" t="n"/>
      <c r="W284" s="47" t="n"/>
      <c r="X284" s="47" t="n"/>
      <c r="Y284" s="48" t="n"/>
      <c r="Z284" s="49" t="n"/>
      <c r="AA284" s="49" t="n"/>
      <c r="AB284" s="49" t="n"/>
      <c r="AC284" s="50" t="n"/>
      <c r="AD284" s="43">
        <f>IF(Z284&lt;&gt;"",Z284,N(V284))</f>
        <v/>
      </c>
      <c r="AE284" s="43">
        <f>IF(AA284&lt;&gt;"",AA284,N(W284))</f>
        <v/>
      </c>
      <c r="AF284" s="43">
        <f>AD284+AE284</f>
        <v/>
      </c>
      <c r="AG284" s="42">
        <f>IF(UPPER(AC284)="Y",1,IF(AF284=0,0,IF(AND(Z284="",Y284&lt;&gt;""),IF(Y284&gt;=0.999,1,0),IF(AF284&gt;=U284,1,0))))</f>
        <v/>
      </c>
      <c r="AH284" s="44">
        <f>IF(AF284&gt;0,(AD284-AE284)/AF284,"")</f>
        <v/>
      </c>
      <c r="AI284" s="45">
        <f>IF(AG284=1,AH284-O284,"")</f>
        <v/>
      </c>
      <c r="AJ284" s="44">
        <f>IF(AG284=1,AH284,MAX(-1,MIN(1,O284+INDEX(Types!$H:$H,MATCH($A284&amp;"|"&amp;$D284,Types!$A:$A,0)))))</f>
        <v/>
      </c>
      <c r="AK284" s="43">
        <f>IF(AG284=1,AF284,MAX(AQ284*AS284,AF284))</f>
        <v/>
      </c>
      <c r="AL284" s="43">
        <f>IF(AG284=1,AD284,AK284*(1+AJ284)/2)</f>
        <v/>
      </c>
      <c r="AM284" s="43">
        <f>IF(AG284=1,AE284,AK284*(1-AJ284)/2)</f>
        <v/>
      </c>
      <c r="AN284" s="45">
        <f>IF(AH284="","",AH284-T284)</f>
        <v/>
      </c>
      <c r="AO284" s="51">
        <f>IF(AG284=1,1,IF(U284&gt;0,MIN(AF284/U284,0.99),0))</f>
        <v/>
      </c>
      <c r="AP284" s="43">
        <f>IF(AG284=1,AI284*AF284,0)</f>
        <v/>
      </c>
      <c r="AQ284" s="43">
        <f>N284*(F284+G284)/H284</f>
        <v/>
      </c>
      <c r="AR284" s="43">
        <f>O284*AQ284</f>
        <v/>
      </c>
      <c r="AS284" s="52">
        <f>IF(AG284=1,IF(AQ284&gt;0,AF284/AQ284,1),IFERROR(INDEX(Types!$K:$K,MATCH($A284&amp;"|"&amp;$D284,Types!$A:$A,0)),INDEX(Dashboard!$X$6:$X$22,MATCH($A284,Dashboard!$A$6:$A$22,0))))</f>
        <v/>
      </c>
      <c r="AT284" s="43">
        <f>AQ284*INDEX(Dashboard!$Y$6:$Y$22,MATCH($A284,Dashboard!$A$6:$A$22,0))</f>
        <v/>
      </c>
      <c r="AU284" s="53">
        <f>IF(AND(AG284=1,AT284&gt;0,AF284&gt;0),100*AF284/AT284,"")</f>
        <v/>
      </c>
      <c r="AV284" s="44">
        <f>IF(AU284="","",T284/(AU284/100))</f>
        <v/>
      </c>
      <c r="AW284" s="53">
        <f>IF(AU284="","",IF(AND(ABS(AH284)&gt;=0.1,ABS(T284)&gt;=0.05,SIGN(AH284)=SIGN(T284)),100*T284/AH284,""))</f>
        <v/>
      </c>
      <c r="AX284" s="45">
        <f>IF(AU284="","",T284-AV284)</f>
        <v/>
      </c>
      <c r="AY284" s="45">
        <f>IF(AU284="","",AH284-AV284)</f>
        <v/>
      </c>
      <c r="AZ284" s="54">
        <f>(AL284-AM284)-T284*AT284</f>
        <v/>
      </c>
      <c r="BA284" s="43">
        <f>IF(AU284="",0,(AH284-T284)*AF284)</f>
        <v/>
      </c>
      <c r="BB284" s="43">
        <f>IF(AU284="",0,T284*(AF284-AT284))</f>
        <v/>
      </c>
      <c r="BC284" s="51" t="n">
        <v>0.005600617999227501</v>
      </c>
      <c r="BD284" s="51" t="n">
        <v>0.1448159796943111</v>
      </c>
      <c r="BE284" s="51" t="n">
        <v>0.3038751698608312</v>
      </c>
      <c r="BF284" s="43" t="n">
        <v>36246</v>
      </c>
    </row>
    <row r="285">
      <c r="A285" s="42" t="inlineStr">
        <is>
          <t>IA</t>
        </is>
      </c>
      <c r="B285" s="42" t="inlineStr">
        <is>
          <t>19169</t>
        </is>
      </c>
      <c r="C285" s="42" t="inlineStr">
        <is>
          <t>Story</t>
        </is>
      </c>
      <c r="D285" s="42" t="inlineStr">
        <is>
          <t>Small town &amp; rural</t>
        </is>
      </c>
      <c r="E285" s="42" t="inlineStr"/>
      <c r="F285" s="43" t="n">
        <v>26765</v>
      </c>
      <c r="G285" s="43" t="n">
        <v>21665</v>
      </c>
      <c r="H285" s="43" t="n">
        <v>49200</v>
      </c>
      <c r="I285" s="43" t="n">
        <v>29175</v>
      </c>
      <c r="J285" s="43" t="n">
        <v>20340</v>
      </c>
      <c r="K285" s="42" t="inlineStr">
        <is>
          <t>US Senate</t>
        </is>
      </c>
      <c r="L285" s="43" t="n">
        <v>21022</v>
      </c>
      <c r="M285" s="43" t="n">
        <v>15870</v>
      </c>
      <c r="N285" s="43" t="n">
        <v>36958</v>
      </c>
      <c r="O285" s="44">
        <f>IFERROR((F285-G285)/(F285+G285),"")</f>
        <v/>
      </c>
      <c r="P285" s="44">
        <f>IFERROR((I285-J285)/(I285+J285),"")</f>
        <v/>
      </c>
      <c r="Q285" s="45">
        <f>IFERROR(O285-P285,"")</f>
        <v/>
      </c>
      <c r="R285" s="44">
        <f>IFERROR((L285-M285)/(L285+M285),"")</f>
        <v/>
      </c>
      <c r="S285" s="46">
        <f>H285/SUMIFS(Counties!$H$2:$H$1583,Counties!$A$2:$A$1583,$A285)</f>
        <v/>
      </c>
      <c r="T285" s="44">
        <f>O285+INDEX(Dashboard!$F$6:$F$22,MATCH($A285,Dashboard!$A$6:$A$22,0))</f>
        <v/>
      </c>
      <c r="U285" s="43">
        <f>AQ285*INDEX(Dashboard!$G$6:$G$22,MATCH($A285,Dashboard!$A$6:$A$22,0))</f>
        <v/>
      </c>
      <c r="V285" s="47" t="n"/>
      <c r="W285" s="47" t="n"/>
      <c r="X285" s="47" t="n"/>
      <c r="Y285" s="48" t="n"/>
      <c r="Z285" s="49" t="n"/>
      <c r="AA285" s="49" t="n"/>
      <c r="AB285" s="49" t="n"/>
      <c r="AC285" s="50" t="n"/>
      <c r="AD285" s="43">
        <f>IF(Z285&lt;&gt;"",Z285,N(V285))</f>
        <v/>
      </c>
      <c r="AE285" s="43">
        <f>IF(AA285&lt;&gt;"",AA285,N(W285))</f>
        <v/>
      </c>
      <c r="AF285" s="43">
        <f>AD285+AE285</f>
        <v/>
      </c>
      <c r="AG285" s="42">
        <f>IF(UPPER(AC285)="Y",1,IF(AF285=0,0,IF(AND(Z285="",Y285&lt;&gt;""),IF(Y285&gt;=0.999,1,0),IF(AF285&gt;=U285,1,0))))</f>
        <v/>
      </c>
      <c r="AH285" s="44">
        <f>IF(AF285&gt;0,(AD285-AE285)/AF285,"")</f>
        <v/>
      </c>
      <c r="AI285" s="45">
        <f>IF(AG285=1,AH285-O285,"")</f>
        <v/>
      </c>
      <c r="AJ285" s="44">
        <f>IF(AG285=1,AH285,MAX(-1,MIN(1,O285+INDEX(Types!$H:$H,MATCH($A285&amp;"|"&amp;$D285,Types!$A:$A,0)))))</f>
        <v/>
      </c>
      <c r="AK285" s="43">
        <f>IF(AG285=1,AF285,MAX(AQ285*AS285,AF285))</f>
        <v/>
      </c>
      <c r="AL285" s="43">
        <f>IF(AG285=1,AD285,AK285*(1+AJ285)/2)</f>
        <v/>
      </c>
      <c r="AM285" s="43">
        <f>IF(AG285=1,AE285,AK285*(1-AJ285)/2)</f>
        <v/>
      </c>
      <c r="AN285" s="45">
        <f>IF(AH285="","",AH285-T285)</f>
        <v/>
      </c>
      <c r="AO285" s="51">
        <f>IF(AG285=1,1,IF(U285&gt;0,MIN(AF285/U285,0.99),0))</f>
        <v/>
      </c>
      <c r="AP285" s="43">
        <f>IF(AG285=1,AI285*AF285,0)</f>
        <v/>
      </c>
      <c r="AQ285" s="43">
        <f>N285*(F285+G285)/H285</f>
        <v/>
      </c>
      <c r="AR285" s="43">
        <f>O285*AQ285</f>
        <v/>
      </c>
      <c r="AS285" s="52">
        <f>IF(AG285=1,IF(AQ285&gt;0,AF285/AQ285,1),IFERROR(INDEX(Types!$K:$K,MATCH($A285&amp;"|"&amp;$D285,Types!$A:$A,0)),INDEX(Dashboard!$X$6:$X$22,MATCH($A285,Dashboard!$A$6:$A$22,0))))</f>
        <v/>
      </c>
      <c r="AT285" s="43">
        <f>AQ285*INDEX(Dashboard!$Y$6:$Y$22,MATCH($A285,Dashboard!$A$6:$A$22,0))</f>
        <v/>
      </c>
      <c r="AU285" s="53">
        <f>IF(AND(AG285=1,AT285&gt;0,AF285&gt;0),100*AF285/AT285,"")</f>
        <v/>
      </c>
      <c r="AV285" s="44">
        <f>IF(AU285="","",T285/(AU285/100))</f>
        <v/>
      </c>
      <c r="AW285" s="53">
        <f>IF(AU285="","",IF(AND(ABS(AH285)&gt;=0.1,ABS(T285)&gt;=0.05,SIGN(AH285)=SIGN(T285)),100*T285/AH285,""))</f>
        <v/>
      </c>
      <c r="AX285" s="45">
        <f>IF(AU285="","",T285-AV285)</f>
        <v/>
      </c>
      <c r="AY285" s="45">
        <f>IF(AU285="","",AH285-AV285)</f>
        <v/>
      </c>
      <c r="AZ285" s="54">
        <f>(AL285-AM285)-T285*AT285</f>
        <v/>
      </c>
      <c r="BA285" s="43">
        <f>IF(AU285="",0,(AH285-T285)*AF285)</f>
        <v/>
      </c>
      <c r="BB285" s="43">
        <f>IF(AU285="",0,T285*(AF285-AT285))</f>
        <v/>
      </c>
      <c r="BC285" s="51" t="n">
        <v>0.02984802061562811</v>
      </c>
      <c r="BD285" s="51" t="n">
        <v>0.05189416228719843</v>
      </c>
      <c r="BE285" s="51" t="n">
        <v>0.5333752189475287</v>
      </c>
      <c r="BF285" s="43" t="n">
        <v>98566</v>
      </c>
    </row>
    <row r="286">
      <c r="A286" s="42" t="inlineStr">
        <is>
          <t>IA</t>
        </is>
      </c>
      <c r="B286" s="42" t="inlineStr">
        <is>
          <t>19171</t>
        </is>
      </c>
      <c r="C286" s="42" t="inlineStr">
        <is>
          <t>Tama</t>
        </is>
      </c>
      <c r="D286" s="42" t="inlineStr">
        <is>
          <t>Small town &amp; rural</t>
        </is>
      </c>
      <c r="E286" s="42" t="inlineStr"/>
      <c r="F286" s="43" t="n">
        <v>3070</v>
      </c>
      <c r="G286" s="43" t="n">
        <v>5379</v>
      </c>
      <c r="H286" s="43" t="n">
        <v>8594</v>
      </c>
      <c r="I286" s="43" t="n">
        <v>3577</v>
      </c>
      <c r="J286" s="43" t="n">
        <v>5303</v>
      </c>
      <c r="K286" s="42" t="inlineStr">
        <is>
          <t>US Senate</t>
        </is>
      </c>
      <c r="L286" s="43" t="n">
        <v>2373</v>
      </c>
      <c r="M286" s="43" t="n">
        <v>4241</v>
      </c>
      <c r="N286" s="43" t="n">
        <v>6624</v>
      </c>
      <c r="O286" s="44">
        <f>IFERROR((F286-G286)/(F286+G286),"")</f>
        <v/>
      </c>
      <c r="P286" s="44">
        <f>IFERROR((I286-J286)/(I286+J286),"")</f>
        <v/>
      </c>
      <c r="Q286" s="45">
        <f>IFERROR(O286-P286,"")</f>
        <v/>
      </c>
      <c r="R286" s="44">
        <f>IFERROR((L286-M286)/(L286+M286),"")</f>
        <v/>
      </c>
      <c r="S286" s="46">
        <f>H286/SUMIFS(Counties!$H$2:$H$1583,Counties!$A$2:$A$1583,$A286)</f>
        <v/>
      </c>
      <c r="T286" s="44">
        <f>O286+INDEX(Dashboard!$F$6:$F$22,MATCH($A286,Dashboard!$A$6:$A$22,0))</f>
        <v/>
      </c>
      <c r="U286" s="43">
        <f>AQ286*INDEX(Dashboard!$G$6:$G$22,MATCH($A286,Dashboard!$A$6:$A$22,0))</f>
        <v/>
      </c>
      <c r="V286" s="47" t="n"/>
      <c r="W286" s="47" t="n"/>
      <c r="X286" s="47" t="n"/>
      <c r="Y286" s="48" t="n"/>
      <c r="Z286" s="49" t="n"/>
      <c r="AA286" s="49" t="n"/>
      <c r="AB286" s="49" t="n"/>
      <c r="AC286" s="50" t="n"/>
      <c r="AD286" s="43">
        <f>IF(Z286&lt;&gt;"",Z286,N(V286))</f>
        <v/>
      </c>
      <c r="AE286" s="43">
        <f>IF(AA286&lt;&gt;"",AA286,N(W286))</f>
        <v/>
      </c>
      <c r="AF286" s="43">
        <f>AD286+AE286</f>
        <v/>
      </c>
      <c r="AG286" s="42">
        <f>IF(UPPER(AC286)="Y",1,IF(AF286=0,0,IF(AND(Z286="",Y286&lt;&gt;""),IF(Y286&gt;=0.999,1,0),IF(AF286&gt;=U286,1,0))))</f>
        <v/>
      </c>
      <c r="AH286" s="44">
        <f>IF(AF286&gt;0,(AD286-AE286)/AF286,"")</f>
        <v/>
      </c>
      <c r="AI286" s="45">
        <f>IF(AG286=1,AH286-O286,"")</f>
        <v/>
      </c>
      <c r="AJ286" s="44">
        <f>IF(AG286=1,AH286,MAX(-1,MIN(1,O286+INDEX(Types!$H:$H,MATCH($A286&amp;"|"&amp;$D286,Types!$A:$A,0)))))</f>
        <v/>
      </c>
      <c r="AK286" s="43">
        <f>IF(AG286=1,AF286,MAX(AQ286*AS286,AF286))</f>
        <v/>
      </c>
      <c r="AL286" s="43">
        <f>IF(AG286=1,AD286,AK286*(1+AJ286)/2)</f>
        <v/>
      </c>
      <c r="AM286" s="43">
        <f>IF(AG286=1,AE286,AK286*(1-AJ286)/2)</f>
        <v/>
      </c>
      <c r="AN286" s="45">
        <f>IF(AH286="","",AH286-T286)</f>
        <v/>
      </c>
      <c r="AO286" s="51">
        <f>IF(AG286=1,1,IF(U286&gt;0,MIN(AF286/U286,0.99),0))</f>
        <v/>
      </c>
      <c r="AP286" s="43">
        <f>IF(AG286=1,AI286*AF286,0)</f>
        <v/>
      </c>
      <c r="AQ286" s="43">
        <f>N286*(F286+G286)/H286</f>
        <v/>
      </c>
      <c r="AR286" s="43">
        <f>O286*AQ286</f>
        <v/>
      </c>
      <c r="AS286" s="52">
        <f>IF(AG286=1,IF(AQ286&gt;0,AF286/AQ286,1),IFERROR(INDEX(Types!$K:$K,MATCH($A286&amp;"|"&amp;$D286,Types!$A:$A,0)),INDEX(Dashboard!$X$6:$X$22,MATCH($A286,Dashboard!$A$6:$A$22,0))))</f>
        <v/>
      </c>
      <c r="AT286" s="43">
        <f>AQ286*INDEX(Dashboard!$Y$6:$Y$22,MATCH($A286,Dashboard!$A$6:$A$22,0))</f>
        <v/>
      </c>
      <c r="AU286" s="53">
        <f>IF(AND(AG286=1,AT286&gt;0,AF286&gt;0),100*AF286/AT286,"")</f>
        <v/>
      </c>
      <c r="AV286" s="44">
        <f>IF(AU286="","",T286/(AU286/100))</f>
        <v/>
      </c>
      <c r="AW286" s="53">
        <f>IF(AU286="","",IF(AND(ABS(AH286)&gt;=0.1,ABS(T286)&gt;=0.05,SIGN(AH286)=SIGN(T286)),100*T286/AH286,""))</f>
        <v/>
      </c>
      <c r="AX286" s="45">
        <f>IF(AU286="","",T286-AV286)</f>
        <v/>
      </c>
      <c r="AY286" s="45">
        <f>IF(AU286="","",AH286-AV286)</f>
        <v/>
      </c>
      <c r="AZ286" s="54">
        <f>(AL286-AM286)-T286*AT286</f>
        <v/>
      </c>
      <c r="BA286" s="43">
        <f>IF(AU286="",0,(AH286-T286)*AF286)</f>
        <v/>
      </c>
      <c r="BB286" s="43">
        <f>IF(AU286="",0,T286*(AF286-AT286))</f>
        <v/>
      </c>
      <c r="BC286" s="51" t="n">
        <v>0.01009920988534426</v>
      </c>
      <c r="BD286" s="51" t="n">
        <v>0.1212499257411038</v>
      </c>
      <c r="BE286" s="51" t="n">
        <v>0.1940005127766858</v>
      </c>
      <c r="BF286" s="43" t="n">
        <v>16833</v>
      </c>
    </row>
    <row r="287">
      <c r="A287" s="42" t="inlineStr">
        <is>
          <t>IA</t>
        </is>
      </c>
      <c r="B287" s="42" t="inlineStr">
        <is>
          <t>19173</t>
        </is>
      </c>
      <c r="C287" s="42" t="inlineStr">
        <is>
          <t>Taylor</t>
        </is>
      </c>
      <c r="D287" s="42" t="inlineStr">
        <is>
          <t>Small town &amp; rural</t>
        </is>
      </c>
      <c r="E287" s="42" t="inlineStr"/>
      <c r="F287" s="43" t="n">
        <v>666</v>
      </c>
      <c r="G287" s="43" t="n">
        <v>2381</v>
      </c>
      <c r="H287" s="43" t="n">
        <v>3078</v>
      </c>
      <c r="I287" s="43" t="n">
        <v>746</v>
      </c>
      <c r="J287" s="43" t="n">
        <v>2463</v>
      </c>
      <c r="K287" s="42" t="inlineStr">
        <is>
          <t>US Senate</t>
        </is>
      </c>
      <c r="L287" s="43" t="n">
        <v>487</v>
      </c>
      <c r="M287" s="43" t="n">
        <v>1764</v>
      </c>
      <c r="N287" s="43" t="n">
        <v>2255</v>
      </c>
      <c r="O287" s="44">
        <f>IFERROR((F287-G287)/(F287+G287),"")</f>
        <v/>
      </c>
      <c r="P287" s="44">
        <f>IFERROR((I287-J287)/(I287+J287),"")</f>
        <v/>
      </c>
      <c r="Q287" s="45">
        <f>IFERROR(O287-P287,"")</f>
        <v/>
      </c>
      <c r="R287" s="44">
        <f>IFERROR((L287-M287)/(L287+M287),"")</f>
        <v/>
      </c>
      <c r="S287" s="46">
        <f>H287/SUMIFS(Counties!$H$2:$H$1583,Counties!$A$2:$A$1583,$A287)</f>
        <v/>
      </c>
      <c r="T287" s="44">
        <f>O287+INDEX(Dashboard!$F$6:$F$22,MATCH($A287,Dashboard!$A$6:$A$22,0))</f>
        <v/>
      </c>
      <c r="U287" s="43">
        <f>AQ287*INDEX(Dashboard!$G$6:$G$22,MATCH($A287,Dashboard!$A$6:$A$22,0))</f>
        <v/>
      </c>
      <c r="V287" s="47" t="n"/>
      <c r="W287" s="47" t="n"/>
      <c r="X287" s="47" t="n"/>
      <c r="Y287" s="48" t="n"/>
      <c r="Z287" s="49" t="n"/>
      <c r="AA287" s="49" t="n"/>
      <c r="AB287" s="49" t="n"/>
      <c r="AC287" s="50" t="n"/>
      <c r="AD287" s="43">
        <f>IF(Z287&lt;&gt;"",Z287,N(V287))</f>
        <v/>
      </c>
      <c r="AE287" s="43">
        <f>IF(AA287&lt;&gt;"",AA287,N(W287))</f>
        <v/>
      </c>
      <c r="AF287" s="43">
        <f>AD287+AE287</f>
        <v/>
      </c>
      <c r="AG287" s="42">
        <f>IF(UPPER(AC287)="Y",1,IF(AF287=0,0,IF(AND(Z287="",Y287&lt;&gt;""),IF(Y287&gt;=0.999,1,0),IF(AF287&gt;=U287,1,0))))</f>
        <v/>
      </c>
      <c r="AH287" s="44">
        <f>IF(AF287&gt;0,(AD287-AE287)/AF287,"")</f>
        <v/>
      </c>
      <c r="AI287" s="45">
        <f>IF(AG287=1,AH287-O287,"")</f>
        <v/>
      </c>
      <c r="AJ287" s="44">
        <f>IF(AG287=1,AH287,MAX(-1,MIN(1,O287+INDEX(Types!$H:$H,MATCH($A287&amp;"|"&amp;$D287,Types!$A:$A,0)))))</f>
        <v/>
      </c>
      <c r="AK287" s="43">
        <f>IF(AG287=1,AF287,MAX(AQ287*AS287,AF287))</f>
        <v/>
      </c>
      <c r="AL287" s="43">
        <f>IF(AG287=1,AD287,AK287*(1+AJ287)/2)</f>
        <v/>
      </c>
      <c r="AM287" s="43">
        <f>IF(AG287=1,AE287,AK287*(1-AJ287)/2)</f>
        <v/>
      </c>
      <c r="AN287" s="45">
        <f>IF(AH287="","",AH287-T287)</f>
        <v/>
      </c>
      <c r="AO287" s="51">
        <f>IF(AG287=1,1,IF(U287&gt;0,MIN(AF287/U287,0.99),0))</f>
        <v/>
      </c>
      <c r="AP287" s="43">
        <f>IF(AG287=1,AI287*AF287,0)</f>
        <v/>
      </c>
      <c r="AQ287" s="43">
        <f>N287*(F287+G287)/H287</f>
        <v/>
      </c>
      <c r="AR287" s="43">
        <f>O287*AQ287</f>
        <v/>
      </c>
      <c r="AS287" s="52">
        <f>IF(AG287=1,IF(AQ287&gt;0,AF287/AQ287,1),IFERROR(INDEX(Types!$K:$K,MATCH($A287&amp;"|"&amp;$D287,Types!$A:$A,0)),INDEX(Dashboard!$X$6:$X$22,MATCH($A287,Dashboard!$A$6:$A$22,0))))</f>
        <v/>
      </c>
      <c r="AT287" s="43">
        <f>AQ287*INDEX(Dashboard!$Y$6:$Y$22,MATCH($A287,Dashboard!$A$6:$A$22,0))</f>
        <v/>
      </c>
      <c r="AU287" s="53">
        <f>IF(AND(AG287=1,AT287&gt;0,AF287&gt;0),100*AF287/AT287,"")</f>
        <v/>
      </c>
      <c r="AV287" s="44">
        <f>IF(AU287="","",T287/(AU287/100))</f>
        <v/>
      </c>
      <c r="AW287" s="53">
        <f>IF(AU287="","",IF(AND(ABS(AH287)&gt;=0.1,ABS(T287)&gt;=0.05,SIGN(AH287)=SIGN(T287)),100*T287/AH287,""))</f>
        <v/>
      </c>
      <c r="AX287" s="45">
        <f>IF(AU287="","",T287-AV287)</f>
        <v/>
      </c>
      <c r="AY287" s="45">
        <f>IF(AU287="","",AH287-AV287)</f>
        <v/>
      </c>
      <c r="AZ287" s="54">
        <f>(AL287-AM287)-T287*AT287</f>
        <v/>
      </c>
      <c r="BA287" s="43">
        <f>IF(AU287="",0,(AH287-T287)*AF287)</f>
        <v/>
      </c>
      <c r="BB287" s="43">
        <f>IF(AU287="",0,T287*(AF287-AT287))</f>
        <v/>
      </c>
      <c r="BC287" s="51" t="n">
        <v>0.003544902093180284</v>
      </c>
      <c r="BD287" s="51" t="n">
        <v>0.08929777177582715</v>
      </c>
      <c r="BE287" s="51" t="n">
        <v>0.1548747872599076</v>
      </c>
      <c r="BF287" s="43" t="n">
        <v>5924</v>
      </c>
    </row>
    <row r="288">
      <c r="A288" s="42" t="inlineStr">
        <is>
          <t>IA</t>
        </is>
      </c>
      <c r="B288" s="42" t="inlineStr">
        <is>
          <t>19175</t>
        </is>
      </c>
      <c r="C288" s="42" t="inlineStr">
        <is>
          <t>Union</t>
        </is>
      </c>
      <c r="D288" s="42" t="inlineStr">
        <is>
          <t>Small town &amp; rural</t>
        </is>
      </c>
      <c r="E288" s="42" t="inlineStr"/>
      <c r="F288" s="43" t="n">
        <v>1874</v>
      </c>
      <c r="G288" s="43" t="n">
        <v>4044</v>
      </c>
      <c r="H288" s="43" t="n">
        <v>5996</v>
      </c>
      <c r="I288" s="43" t="n">
        <v>2061</v>
      </c>
      <c r="J288" s="43" t="n">
        <v>4010</v>
      </c>
      <c r="K288" s="42" t="inlineStr">
        <is>
          <t>US Senate</t>
        </is>
      </c>
      <c r="L288" s="43" t="n">
        <v>1464</v>
      </c>
      <c r="M288" s="43" t="n">
        <v>3035</v>
      </c>
      <c r="N288" s="43" t="n">
        <v>4506</v>
      </c>
      <c r="O288" s="44">
        <f>IFERROR((F288-G288)/(F288+G288),"")</f>
        <v/>
      </c>
      <c r="P288" s="44">
        <f>IFERROR((I288-J288)/(I288+J288),"")</f>
        <v/>
      </c>
      <c r="Q288" s="45">
        <f>IFERROR(O288-P288,"")</f>
        <v/>
      </c>
      <c r="R288" s="44">
        <f>IFERROR((L288-M288)/(L288+M288),"")</f>
        <v/>
      </c>
      <c r="S288" s="46">
        <f>H288/SUMIFS(Counties!$H$2:$H$1583,Counties!$A$2:$A$1583,$A288)</f>
        <v/>
      </c>
      <c r="T288" s="44">
        <f>O288+INDEX(Dashboard!$F$6:$F$22,MATCH($A288,Dashboard!$A$6:$A$22,0))</f>
        <v/>
      </c>
      <c r="U288" s="43">
        <f>AQ288*INDEX(Dashboard!$G$6:$G$22,MATCH($A288,Dashboard!$A$6:$A$22,0))</f>
        <v/>
      </c>
      <c r="V288" s="47" t="n"/>
      <c r="W288" s="47" t="n"/>
      <c r="X288" s="47" t="n"/>
      <c r="Y288" s="48" t="n"/>
      <c r="Z288" s="49" t="n"/>
      <c r="AA288" s="49" t="n"/>
      <c r="AB288" s="49" t="n"/>
      <c r="AC288" s="50" t="n"/>
      <c r="AD288" s="43">
        <f>IF(Z288&lt;&gt;"",Z288,N(V288))</f>
        <v/>
      </c>
      <c r="AE288" s="43">
        <f>IF(AA288&lt;&gt;"",AA288,N(W288))</f>
        <v/>
      </c>
      <c r="AF288" s="43">
        <f>AD288+AE288</f>
        <v/>
      </c>
      <c r="AG288" s="42">
        <f>IF(UPPER(AC288)="Y",1,IF(AF288=0,0,IF(AND(Z288="",Y288&lt;&gt;""),IF(Y288&gt;=0.999,1,0),IF(AF288&gt;=U288,1,0))))</f>
        <v/>
      </c>
      <c r="AH288" s="44">
        <f>IF(AF288&gt;0,(AD288-AE288)/AF288,"")</f>
        <v/>
      </c>
      <c r="AI288" s="45">
        <f>IF(AG288=1,AH288-O288,"")</f>
        <v/>
      </c>
      <c r="AJ288" s="44">
        <f>IF(AG288=1,AH288,MAX(-1,MIN(1,O288+INDEX(Types!$H:$H,MATCH($A288&amp;"|"&amp;$D288,Types!$A:$A,0)))))</f>
        <v/>
      </c>
      <c r="AK288" s="43">
        <f>IF(AG288=1,AF288,MAX(AQ288*AS288,AF288))</f>
        <v/>
      </c>
      <c r="AL288" s="43">
        <f>IF(AG288=1,AD288,AK288*(1+AJ288)/2)</f>
        <v/>
      </c>
      <c r="AM288" s="43">
        <f>IF(AG288=1,AE288,AK288*(1-AJ288)/2)</f>
        <v/>
      </c>
      <c r="AN288" s="45">
        <f>IF(AH288="","",AH288-T288)</f>
        <v/>
      </c>
      <c r="AO288" s="51">
        <f>IF(AG288=1,1,IF(U288&gt;0,MIN(AF288/U288,0.99),0))</f>
        <v/>
      </c>
      <c r="AP288" s="43">
        <f>IF(AG288=1,AI288*AF288,0)</f>
        <v/>
      </c>
      <c r="AQ288" s="43">
        <f>N288*(F288+G288)/H288</f>
        <v/>
      </c>
      <c r="AR288" s="43">
        <f>O288*AQ288</f>
        <v/>
      </c>
      <c r="AS288" s="52">
        <f>IF(AG288=1,IF(AQ288&gt;0,AF288/AQ288,1),IFERROR(INDEX(Types!$K:$K,MATCH($A288&amp;"|"&amp;$D288,Types!$A:$A,0)),INDEX(Dashboard!$X$6:$X$22,MATCH($A288,Dashboard!$A$6:$A$22,0))))</f>
        <v/>
      </c>
      <c r="AT288" s="43">
        <f>AQ288*INDEX(Dashboard!$Y$6:$Y$22,MATCH($A288,Dashboard!$A$6:$A$22,0))</f>
        <v/>
      </c>
      <c r="AU288" s="53">
        <f>IF(AND(AG288=1,AT288&gt;0,AF288&gt;0),100*AF288/AT288,"")</f>
        <v/>
      </c>
      <c r="AV288" s="44">
        <f>IF(AU288="","",T288/(AU288/100))</f>
        <v/>
      </c>
      <c r="AW288" s="53">
        <f>IF(AU288="","",IF(AND(ABS(AH288)&gt;=0.1,ABS(T288)&gt;=0.05,SIGN(AH288)=SIGN(T288)),100*T288/AH288,""))</f>
        <v/>
      </c>
      <c r="AX288" s="45">
        <f>IF(AU288="","",T288-AV288)</f>
        <v/>
      </c>
      <c r="AY288" s="45">
        <f>IF(AU288="","",AH288-AV288)</f>
        <v/>
      </c>
      <c r="AZ288" s="54">
        <f>(AL288-AM288)-T288*AT288</f>
        <v/>
      </c>
      <c r="BA288" s="43">
        <f>IF(AU288="",0,(AH288-T288)*AF288)</f>
        <v/>
      </c>
      <c r="BB288" s="43">
        <f>IF(AU288="",0,T288*(AF288-AT288))</f>
        <v/>
      </c>
      <c r="BC288" s="51" t="n">
        <v>0.01469847135897867</v>
      </c>
      <c r="BD288" s="51" t="n">
        <v>0.04157567612968251</v>
      </c>
      <c r="BE288" s="51" t="n">
        <v>0.2410231185440236</v>
      </c>
      <c r="BF288" s="43" t="n">
        <v>11906</v>
      </c>
    </row>
    <row r="289">
      <c r="A289" s="42" t="inlineStr">
        <is>
          <t>IA</t>
        </is>
      </c>
      <c r="B289" s="42" t="inlineStr">
        <is>
          <t>19177</t>
        </is>
      </c>
      <c r="C289" s="42" t="inlineStr">
        <is>
          <t>Van Buren</t>
        </is>
      </c>
      <c r="D289" s="42" t="inlineStr">
        <is>
          <t>Small town &amp; rural</t>
        </is>
      </c>
      <c r="E289" s="42" t="inlineStr"/>
      <c r="F289" s="43" t="n">
        <v>778</v>
      </c>
      <c r="G289" s="43" t="n">
        <v>2785</v>
      </c>
      <c r="H289" s="43" t="n">
        <v>3622</v>
      </c>
      <c r="I289" s="43" t="n">
        <v>875</v>
      </c>
      <c r="J289" s="43" t="n">
        <v>2859</v>
      </c>
      <c r="K289" s="42" t="inlineStr">
        <is>
          <t>US Senate</t>
        </is>
      </c>
      <c r="L289" s="43" t="n">
        <v>671</v>
      </c>
      <c r="M289" s="43" t="n">
        <v>2097</v>
      </c>
      <c r="N289" s="43" t="n">
        <v>2774</v>
      </c>
      <c r="O289" s="44">
        <f>IFERROR((F289-G289)/(F289+G289),"")</f>
        <v/>
      </c>
      <c r="P289" s="44">
        <f>IFERROR((I289-J289)/(I289+J289),"")</f>
        <v/>
      </c>
      <c r="Q289" s="45">
        <f>IFERROR(O289-P289,"")</f>
        <v/>
      </c>
      <c r="R289" s="44">
        <f>IFERROR((L289-M289)/(L289+M289),"")</f>
        <v/>
      </c>
      <c r="S289" s="46">
        <f>H289/SUMIFS(Counties!$H$2:$H$1583,Counties!$A$2:$A$1583,$A289)</f>
        <v/>
      </c>
      <c r="T289" s="44">
        <f>O289+INDEX(Dashboard!$F$6:$F$22,MATCH($A289,Dashboard!$A$6:$A$22,0))</f>
        <v/>
      </c>
      <c r="U289" s="43">
        <f>AQ289*INDEX(Dashboard!$G$6:$G$22,MATCH($A289,Dashboard!$A$6:$A$22,0))</f>
        <v/>
      </c>
      <c r="V289" s="47" t="n"/>
      <c r="W289" s="47" t="n"/>
      <c r="X289" s="47" t="n"/>
      <c r="Y289" s="48" t="n"/>
      <c r="Z289" s="49" t="n"/>
      <c r="AA289" s="49" t="n"/>
      <c r="AB289" s="49" t="n"/>
      <c r="AC289" s="50" t="n"/>
      <c r="AD289" s="43">
        <f>IF(Z289&lt;&gt;"",Z289,N(V289))</f>
        <v/>
      </c>
      <c r="AE289" s="43">
        <f>IF(AA289&lt;&gt;"",AA289,N(W289))</f>
        <v/>
      </c>
      <c r="AF289" s="43">
        <f>AD289+AE289</f>
        <v/>
      </c>
      <c r="AG289" s="42">
        <f>IF(UPPER(AC289)="Y",1,IF(AF289=0,0,IF(AND(Z289="",Y289&lt;&gt;""),IF(Y289&gt;=0.999,1,0),IF(AF289&gt;=U289,1,0))))</f>
        <v/>
      </c>
      <c r="AH289" s="44">
        <f>IF(AF289&gt;0,(AD289-AE289)/AF289,"")</f>
        <v/>
      </c>
      <c r="AI289" s="45">
        <f>IF(AG289=1,AH289-O289,"")</f>
        <v/>
      </c>
      <c r="AJ289" s="44">
        <f>IF(AG289=1,AH289,MAX(-1,MIN(1,O289+INDEX(Types!$H:$H,MATCH($A289&amp;"|"&amp;$D289,Types!$A:$A,0)))))</f>
        <v/>
      </c>
      <c r="AK289" s="43">
        <f>IF(AG289=1,AF289,MAX(AQ289*AS289,AF289))</f>
        <v/>
      </c>
      <c r="AL289" s="43">
        <f>IF(AG289=1,AD289,AK289*(1+AJ289)/2)</f>
        <v/>
      </c>
      <c r="AM289" s="43">
        <f>IF(AG289=1,AE289,AK289*(1-AJ289)/2)</f>
        <v/>
      </c>
      <c r="AN289" s="45">
        <f>IF(AH289="","",AH289-T289)</f>
        <v/>
      </c>
      <c r="AO289" s="51">
        <f>IF(AG289=1,1,IF(U289&gt;0,MIN(AF289/U289,0.99),0))</f>
        <v/>
      </c>
      <c r="AP289" s="43">
        <f>IF(AG289=1,AI289*AF289,0)</f>
        <v/>
      </c>
      <c r="AQ289" s="43">
        <f>N289*(F289+G289)/H289</f>
        <v/>
      </c>
      <c r="AR289" s="43">
        <f>O289*AQ289</f>
        <v/>
      </c>
      <c r="AS289" s="52">
        <f>IF(AG289=1,IF(AQ289&gt;0,AF289/AQ289,1),IFERROR(INDEX(Types!$K:$K,MATCH($A289&amp;"|"&amp;$D289,Types!$A:$A,0)),INDEX(Dashboard!$X$6:$X$22,MATCH($A289,Dashboard!$A$6:$A$22,0))))</f>
        <v/>
      </c>
      <c r="AT289" s="43">
        <f>AQ289*INDEX(Dashboard!$Y$6:$Y$22,MATCH($A289,Dashboard!$A$6:$A$22,0))</f>
        <v/>
      </c>
      <c r="AU289" s="53">
        <f>IF(AND(AG289=1,AT289&gt;0,AF289&gt;0),100*AF289/AT289,"")</f>
        <v/>
      </c>
      <c r="AV289" s="44">
        <f>IF(AU289="","",T289/(AU289/100))</f>
        <v/>
      </c>
      <c r="AW289" s="53">
        <f>IF(AU289="","",IF(AND(ABS(AH289)&gt;=0.1,ABS(T289)&gt;=0.05,SIGN(AH289)=SIGN(T289)),100*T289/AH289,""))</f>
        <v/>
      </c>
      <c r="AX289" s="45">
        <f>IF(AU289="","",T289-AV289)</f>
        <v/>
      </c>
      <c r="AY289" s="45">
        <f>IF(AU289="","",AH289-AV289)</f>
        <v/>
      </c>
      <c r="AZ289" s="54">
        <f>(AL289-AM289)-T289*AT289</f>
        <v/>
      </c>
      <c r="BA289" s="43">
        <f>IF(AU289="",0,(AH289-T289)*AF289)</f>
        <v/>
      </c>
      <c r="BB289" s="43">
        <f>IF(AU289="",0,T289*(AF289-AT289))</f>
        <v/>
      </c>
      <c r="BC289" s="51" t="n">
        <v>0.002752546105147261</v>
      </c>
      <c r="BD289" s="51" t="n">
        <v>0.01968070465180292</v>
      </c>
      <c r="BE289" s="51" t="n">
        <v>0.1936821322803554</v>
      </c>
      <c r="BF289" s="43" t="n">
        <v>7266</v>
      </c>
    </row>
    <row r="290">
      <c r="A290" s="42" t="inlineStr">
        <is>
          <t>IA</t>
        </is>
      </c>
      <c r="B290" s="42" t="inlineStr">
        <is>
          <t>19179</t>
        </is>
      </c>
      <c r="C290" s="42" t="inlineStr">
        <is>
          <t>Wapello</t>
        </is>
      </c>
      <c r="D290" s="42" t="inlineStr">
        <is>
          <t>Small town &amp; rural</t>
        </is>
      </c>
      <c r="E290" s="42" t="inlineStr"/>
      <c r="F290" s="43" t="n">
        <v>4896</v>
      </c>
      <c r="G290" s="43" t="n">
        <v>9479</v>
      </c>
      <c r="H290" s="43" t="n">
        <v>14571</v>
      </c>
      <c r="I290" s="43" t="n">
        <v>5821</v>
      </c>
      <c r="J290" s="43" t="n">
        <v>9516</v>
      </c>
      <c r="K290" s="42" t="inlineStr">
        <is>
          <t>US Senate</t>
        </is>
      </c>
      <c r="L290" s="43" t="n">
        <v>3837</v>
      </c>
      <c r="M290" s="43" t="n">
        <v>6601</v>
      </c>
      <c r="N290" s="43" t="n">
        <v>10448</v>
      </c>
      <c r="O290" s="44">
        <f>IFERROR((F290-G290)/(F290+G290),"")</f>
        <v/>
      </c>
      <c r="P290" s="44">
        <f>IFERROR((I290-J290)/(I290+J290),"")</f>
        <v/>
      </c>
      <c r="Q290" s="45">
        <f>IFERROR(O290-P290,"")</f>
        <v/>
      </c>
      <c r="R290" s="44">
        <f>IFERROR((L290-M290)/(L290+M290),"")</f>
        <v/>
      </c>
      <c r="S290" s="46">
        <f>H290/SUMIFS(Counties!$H$2:$H$1583,Counties!$A$2:$A$1583,$A290)</f>
        <v/>
      </c>
      <c r="T290" s="44">
        <f>O290+INDEX(Dashboard!$F$6:$F$22,MATCH($A290,Dashboard!$A$6:$A$22,0))</f>
        <v/>
      </c>
      <c r="U290" s="43">
        <f>AQ290*INDEX(Dashboard!$G$6:$G$22,MATCH($A290,Dashboard!$A$6:$A$22,0))</f>
        <v/>
      </c>
      <c r="V290" s="47" t="n"/>
      <c r="W290" s="47" t="n"/>
      <c r="X290" s="47" t="n"/>
      <c r="Y290" s="48" t="n"/>
      <c r="Z290" s="49" t="n"/>
      <c r="AA290" s="49" t="n"/>
      <c r="AB290" s="49" t="n"/>
      <c r="AC290" s="50" t="n"/>
      <c r="AD290" s="43">
        <f>IF(Z290&lt;&gt;"",Z290,N(V290))</f>
        <v/>
      </c>
      <c r="AE290" s="43">
        <f>IF(AA290&lt;&gt;"",AA290,N(W290))</f>
        <v/>
      </c>
      <c r="AF290" s="43">
        <f>AD290+AE290</f>
        <v/>
      </c>
      <c r="AG290" s="42">
        <f>IF(UPPER(AC290)="Y",1,IF(AF290=0,0,IF(AND(Z290="",Y290&lt;&gt;""),IF(Y290&gt;=0.999,1,0),IF(AF290&gt;=U290,1,0))))</f>
        <v/>
      </c>
      <c r="AH290" s="44">
        <f>IF(AF290&gt;0,(AD290-AE290)/AF290,"")</f>
        <v/>
      </c>
      <c r="AI290" s="45">
        <f>IF(AG290=1,AH290-O290,"")</f>
        <v/>
      </c>
      <c r="AJ290" s="44">
        <f>IF(AG290=1,AH290,MAX(-1,MIN(1,O290+INDEX(Types!$H:$H,MATCH($A290&amp;"|"&amp;$D290,Types!$A:$A,0)))))</f>
        <v/>
      </c>
      <c r="AK290" s="43">
        <f>IF(AG290=1,AF290,MAX(AQ290*AS290,AF290))</f>
        <v/>
      </c>
      <c r="AL290" s="43">
        <f>IF(AG290=1,AD290,AK290*(1+AJ290)/2)</f>
        <v/>
      </c>
      <c r="AM290" s="43">
        <f>IF(AG290=1,AE290,AK290*(1-AJ290)/2)</f>
        <v/>
      </c>
      <c r="AN290" s="45">
        <f>IF(AH290="","",AH290-T290)</f>
        <v/>
      </c>
      <c r="AO290" s="51">
        <f>IF(AG290=1,1,IF(U290&gt;0,MIN(AF290/U290,0.99),0))</f>
        <v/>
      </c>
      <c r="AP290" s="43">
        <f>IF(AG290=1,AI290*AF290,0)</f>
        <v/>
      </c>
      <c r="AQ290" s="43">
        <f>N290*(F290+G290)/H290</f>
        <v/>
      </c>
      <c r="AR290" s="43">
        <f>O290*AQ290</f>
        <v/>
      </c>
      <c r="AS290" s="52">
        <f>IF(AG290=1,IF(AQ290&gt;0,AF290/AQ290,1),IFERROR(INDEX(Types!$K:$K,MATCH($A290&amp;"|"&amp;$D290,Types!$A:$A,0)),INDEX(Dashboard!$X$6:$X$22,MATCH($A290,Dashboard!$A$6:$A$22,0))))</f>
        <v/>
      </c>
      <c r="AT290" s="43">
        <f>AQ290*INDEX(Dashboard!$Y$6:$Y$22,MATCH($A290,Dashboard!$A$6:$A$22,0))</f>
        <v/>
      </c>
      <c r="AU290" s="53">
        <f>IF(AND(AG290=1,AT290&gt;0,AF290&gt;0),100*AF290/AT290,"")</f>
        <v/>
      </c>
      <c r="AV290" s="44">
        <f>IF(AU290="","",T290/(AU290/100))</f>
        <v/>
      </c>
      <c r="AW290" s="53">
        <f>IF(AU290="","",IF(AND(ABS(AH290)&gt;=0.1,ABS(T290)&gt;=0.05,SIGN(AH290)=SIGN(T290)),100*T290/AH290,""))</f>
        <v/>
      </c>
      <c r="AX290" s="45">
        <f>IF(AU290="","",T290-AV290)</f>
        <v/>
      </c>
      <c r="AY290" s="45">
        <f>IF(AU290="","",AH290-AV290)</f>
        <v/>
      </c>
      <c r="AZ290" s="54">
        <f>(AL290-AM290)-T290*AT290</f>
        <v/>
      </c>
      <c r="BA290" s="43">
        <f>IF(AU290="",0,(AH290-T290)*AF290)</f>
        <v/>
      </c>
      <c r="BB290" s="43">
        <f>IF(AU290="",0,T290*(AF290-AT290))</f>
        <v/>
      </c>
      <c r="BC290" s="51" t="n">
        <v>0.03824717056247512</v>
      </c>
      <c r="BD290" s="51" t="n">
        <v>0.1351873969174771</v>
      </c>
      <c r="BE290" s="51" t="n">
        <v>0.1942616806862663</v>
      </c>
      <c r="BF290" s="43" t="n">
        <v>35166</v>
      </c>
    </row>
    <row r="291">
      <c r="A291" s="42" t="inlineStr">
        <is>
          <t>IA</t>
        </is>
      </c>
      <c r="B291" s="42" t="inlineStr">
        <is>
          <t>19181</t>
        </is>
      </c>
      <c r="C291" s="42" t="inlineStr">
        <is>
          <t>Warren</t>
        </is>
      </c>
      <c r="D291" s="42" t="inlineStr">
        <is>
          <t>Small town &amp; rural</t>
        </is>
      </c>
      <c r="E291" s="42" t="inlineStr"/>
      <c r="F291" s="43" t="n">
        <v>12712</v>
      </c>
      <c r="G291" s="43" t="n">
        <v>19486</v>
      </c>
      <c r="H291" s="43" t="n">
        <v>32662</v>
      </c>
      <c r="I291" s="43" t="n">
        <v>12574</v>
      </c>
      <c r="J291" s="43" t="n">
        <v>17782</v>
      </c>
      <c r="K291" s="42" t="inlineStr">
        <is>
          <t>US Senate</t>
        </is>
      </c>
      <c r="L291" s="43" t="n">
        <v>9634</v>
      </c>
      <c r="M291" s="43" t="n">
        <v>14052</v>
      </c>
      <c r="N291" s="43" t="n">
        <v>23738</v>
      </c>
      <c r="O291" s="44">
        <f>IFERROR((F291-G291)/(F291+G291),"")</f>
        <v/>
      </c>
      <c r="P291" s="44">
        <f>IFERROR((I291-J291)/(I291+J291),"")</f>
        <v/>
      </c>
      <c r="Q291" s="45">
        <f>IFERROR(O291-P291,"")</f>
        <v/>
      </c>
      <c r="R291" s="44">
        <f>IFERROR((L291-M291)/(L291+M291),"")</f>
        <v/>
      </c>
      <c r="S291" s="46">
        <f>H291/SUMIFS(Counties!$H$2:$H$1583,Counties!$A$2:$A$1583,$A291)</f>
        <v/>
      </c>
      <c r="T291" s="44">
        <f>O291+INDEX(Dashboard!$F$6:$F$22,MATCH($A291,Dashboard!$A$6:$A$22,0))</f>
        <v/>
      </c>
      <c r="U291" s="43">
        <f>AQ291*INDEX(Dashboard!$G$6:$G$22,MATCH($A291,Dashboard!$A$6:$A$22,0))</f>
        <v/>
      </c>
      <c r="V291" s="47" t="n"/>
      <c r="W291" s="47" t="n"/>
      <c r="X291" s="47" t="n"/>
      <c r="Y291" s="48" t="n"/>
      <c r="Z291" s="49" t="n"/>
      <c r="AA291" s="49" t="n"/>
      <c r="AB291" s="49" t="n"/>
      <c r="AC291" s="50" t="n"/>
      <c r="AD291" s="43">
        <f>IF(Z291&lt;&gt;"",Z291,N(V291))</f>
        <v/>
      </c>
      <c r="AE291" s="43">
        <f>IF(AA291&lt;&gt;"",AA291,N(W291))</f>
        <v/>
      </c>
      <c r="AF291" s="43">
        <f>AD291+AE291</f>
        <v/>
      </c>
      <c r="AG291" s="42">
        <f>IF(UPPER(AC291)="Y",1,IF(AF291=0,0,IF(AND(Z291="",Y291&lt;&gt;""),IF(Y291&gt;=0.999,1,0),IF(AF291&gt;=U291,1,0))))</f>
        <v/>
      </c>
      <c r="AH291" s="44">
        <f>IF(AF291&gt;0,(AD291-AE291)/AF291,"")</f>
        <v/>
      </c>
      <c r="AI291" s="45">
        <f>IF(AG291=1,AH291-O291,"")</f>
        <v/>
      </c>
      <c r="AJ291" s="44">
        <f>IF(AG291=1,AH291,MAX(-1,MIN(1,O291+INDEX(Types!$H:$H,MATCH($A291&amp;"|"&amp;$D291,Types!$A:$A,0)))))</f>
        <v/>
      </c>
      <c r="AK291" s="43">
        <f>IF(AG291=1,AF291,MAX(AQ291*AS291,AF291))</f>
        <v/>
      </c>
      <c r="AL291" s="43">
        <f>IF(AG291=1,AD291,AK291*(1+AJ291)/2)</f>
        <v/>
      </c>
      <c r="AM291" s="43">
        <f>IF(AG291=1,AE291,AK291*(1-AJ291)/2)</f>
        <v/>
      </c>
      <c r="AN291" s="45">
        <f>IF(AH291="","",AH291-T291)</f>
        <v/>
      </c>
      <c r="AO291" s="51">
        <f>IF(AG291=1,1,IF(U291&gt;0,MIN(AF291/U291,0.99),0))</f>
        <v/>
      </c>
      <c r="AP291" s="43">
        <f>IF(AG291=1,AI291*AF291,0)</f>
        <v/>
      </c>
      <c r="AQ291" s="43">
        <f>N291*(F291+G291)/H291</f>
        <v/>
      </c>
      <c r="AR291" s="43">
        <f>O291*AQ291</f>
        <v/>
      </c>
      <c r="AS291" s="52">
        <f>IF(AG291=1,IF(AQ291&gt;0,AF291/AQ291,1),IFERROR(INDEX(Types!$K:$K,MATCH($A291&amp;"|"&amp;$D291,Types!$A:$A,0)),INDEX(Dashboard!$X$6:$X$22,MATCH($A291,Dashboard!$A$6:$A$22,0))))</f>
        <v/>
      </c>
      <c r="AT291" s="43">
        <f>AQ291*INDEX(Dashboard!$Y$6:$Y$22,MATCH($A291,Dashboard!$A$6:$A$22,0))</f>
        <v/>
      </c>
      <c r="AU291" s="53">
        <f>IF(AND(AG291=1,AT291&gt;0,AF291&gt;0),100*AF291/AT291,"")</f>
        <v/>
      </c>
      <c r="AV291" s="44">
        <f>IF(AU291="","",T291/(AU291/100))</f>
        <v/>
      </c>
      <c r="AW291" s="53">
        <f>IF(AU291="","",IF(AND(ABS(AH291)&gt;=0.1,ABS(T291)&gt;=0.05,SIGN(AH291)=SIGN(T291)),100*T291/AH291,""))</f>
        <v/>
      </c>
      <c r="AX291" s="45">
        <f>IF(AU291="","",T291-AV291)</f>
        <v/>
      </c>
      <c r="AY291" s="45">
        <f>IF(AU291="","",AH291-AV291)</f>
        <v/>
      </c>
      <c r="AZ291" s="54">
        <f>(AL291-AM291)-T291*AT291</f>
        <v/>
      </c>
      <c r="BA291" s="43">
        <f>IF(AU291="",0,(AH291-T291)*AF291)</f>
        <v/>
      </c>
      <c r="BB291" s="43">
        <f>IF(AU291="",0,T291*(AF291-AT291))</f>
        <v/>
      </c>
      <c r="BC291" s="51" t="n">
        <v>0.01090480934697944</v>
      </c>
      <c r="BD291" s="51" t="n">
        <v>0.03963409111493524</v>
      </c>
      <c r="BE291" s="51" t="n">
        <v>0.3268418979006023</v>
      </c>
      <c r="BF291" s="43" t="n">
        <v>55205</v>
      </c>
    </row>
    <row r="292">
      <c r="A292" s="42" t="inlineStr">
        <is>
          <t>IA</t>
        </is>
      </c>
      <c r="B292" s="42" t="inlineStr">
        <is>
          <t>19183</t>
        </is>
      </c>
      <c r="C292" s="42" t="inlineStr">
        <is>
          <t>Washington</t>
        </is>
      </c>
      <c r="D292" s="42" t="inlineStr">
        <is>
          <t>Small town &amp; rural</t>
        </is>
      </c>
      <c r="E292" s="42" t="inlineStr"/>
      <c r="F292" s="43" t="n">
        <v>4297</v>
      </c>
      <c r="G292" s="43" t="n">
        <v>7119</v>
      </c>
      <c r="H292" s="43" t="n">
        <v>11551</v>
      </c>
      <c r="I292" s="43" t="n">
        <v>4561</v>
      </c>
      <c r="J292" s="43" t="n">
        <v>6971</v>
      </c>
      <c r="K292" s="42" t="inlineStr">
        <is>
          <t>US Senate</t>
        </is>
      </c>
      <c r="L292" s="43" t="n">
        <v>3235</v>
      </c>
      <c r="M292" s="43" t="n">
        <v>5450</v>
      </c>
      <c r="N292" s="43" t="n">
        <v>8691</v>
      </c>
      <c r="O292" s="44">
        <f>IFERROR((F292-G292)/(F292+G292),"")</f>
        <v/>
      </c>
      <c r="P292" s="44">
        <f>IFERROR((I292-J292)/(I292+J292),"")</f>
        <v/>
      </c>
      <c r="Q292" s="45">
        <f>IFERROR(O292-P292,"")</f>
        <v/>
      </c>
      <c r="R292" s="44">
        <f>IFERROR((L292-M292)/(L292+M292),"")</f>
        <v/>
      </c>
      <c r="S292" s="46">
        <f>H292/SUMIFS(Counties!$H$2:$H$1583,Counties!$A$2:$A$1583,$A292)</f>
        <v/>
      </c>
      <c r="T292" s="44">
        <f>O292+INDEX(Dashboard!$F$6:$F$22,MATCH($A292,Dashboard!$A$6:$A$22,0))</f>
        <v/>
      </c>
      <c r="U292" s="43">
        <f>AQ292*INDEX(Dashboard!$G$6:$G$22,MATCH($A292,Dashboard!$A$6:$A$22,0))</f>
        <v/>
      </c>
      <c r="V292" s="47" t="n"/>
      <c r="W292" s="47" t="n"/>
      <c r="X292" s="47" t="n"/>
      <c r="Y292" s="48" t="n"/>
      <c r="Z292" s="49" t="n"/>
      <c r="AA292" s="49" t="n"/>
      <c r="AB292" s="49" t="n"/>
      <c r="AC292" s="50" t="n"/>
      <c r="AD292" s="43">
        <f>IF(Z292&lt;&gt;"",Z292,N(V292))</f>
        <v/>
      </c>
      <c r="AE292" s="43">
        <f>IF(AA292&lt;&gt;"",AA292,N(W292))</f>
        <v/>
      </c>
      <c r="AF292" s="43">
        <f>AD292+AE292</f>
        <v/>
      </c>
      <c r="AG292" s="42">
        <f>IF(UPPER(AC292)="Y",1,IF(AF292=0,0,IF(AND(Z292="",Y292&lt;&gt;""),IF(Y292&gt;=0.999,1,0),IF(AF292&gt;=U292,1,0))))</f>
        <v/>
      </c>
      <c r="AH292" s="44">
        <f>IF(AF292&gt;0,(AD292-AE292)/AF292,"")</f>
        <v/>
      </c>
      <c r="AI292" s="45">
        <f>IF(AG292=1,AH292-O292,"")</f>
        <v/>
      </c>
      <c r="AJ292" s="44">
        <f>IF(AG292=1,AH292,MAX(-1,MIN(1,O292+INDEX(Types!$H:$H,MATCH($A292&amp;"|"&amp;$D292,Types!$A:$A,0)))))</f>
        <v/>
      </c>
      <c r="AK292" s="43">
        <f>IF(AG292=1,AF292,MAX(AQ292*AS292,AF292))</f>
        <v/>
      </c>
      <c r="AL292" s="43">
        <f>IF(AG292=1,AD292,AK292*(1+AJ292)/2)</f>
        <v/>
      </c>
      <c r="AM292" s="43">
        <f>IF(AG292=1,AE292,AK292*(1-AJ292)/2)</f>
        <v/>
      </c>
      <c r="AN292" s="45">
        <f>IF(AH292="","",AH292-T292)</f>
        <v/>
      </c>
      <c r="AO292" s="51">
        <f>IF(AG292=1,1,IF(U292&gt;0,MIN(AF292/U292,0.99),0))</f>
        <v/>
      </c>
      <c r="AP292" s="43">
        <f>IF(AG292=1,AI292*AF292,0)</f>
        <v/>
      </c>
      <c r="AQ292" s="43">
        <f>N292*(F292+G292)/H292</f>
        <v/>
      </c>
      <c r="AR292" s="43">
        <f>O292*AQ292</f>
        <v/>
      </c>
      <c r="AS292" s="52">
        <f>IF(AG292=1,IF(AQ292&gt;0,AF292/AQ292,1),IFERROR(INDEX(Types!$K:$K,MATCH($A292&amp;"|"&amp;$D292,Types!$A:$A,0)),INDEX(Dashboard!$X$6:$X$22,MATCH($A292,Dashboard!$A$6:$A$22,0))))</f>
        <v/>
      </c>
      <c r="AT292" s="43">
        <f>AQ292*INDEX(Dashboard!$Y$6:$Y$22,MATCH($A292,Dashboard!$A$6:$A$22,0))</f>
        <v/>
      </c>
      <c r="AU292" s="53">
        <f>IF(AND(AG292=1,AT292&gt;0,AF292&gt;0),100*AF292/AT292,"")</f>
        <v/>
      </c>
      <c r="AV292" s="44">
        <f>IF(AU292="","",T292/(AU292/100))</f>
        <v/>
      </c>
      <c r="AW292" s="53">
        <f>IF(AU292="","",IF(AND(ABS(AH292)&gt;=0.1,ABS(T292)&gt;=0.05,SIGN(AH292)=SIGN(T292)),100*T292/AH292,""))</f>
        <v/>
      </c>
      <c r="AX292" s="45">
        <f>IF(AU292="","",T292-AV292)</f>
        <v/>
      </c>
      <c r="AY292" s="45">
        <f>IF(AU292="","",AH292-AV292)</f>
        <v/>
      </c>
      <c r="AZ292" s="54">
        <f>(AL292-AM292)-T292*AT292</f>
        <v/>
      </c>
      <c r="BA292" s="43">
        <f>IF(AU292="",0,(AH292-T292)*AF292)</f>
        <v/>
      </c>
      <c r="BB292" s="43">
        <f>IF(AU292="",0,T292*(AF292-AT292))</f>
        <v/>
      </c>
      <c r="BC292" s="51" t="n">
        <v>0.0100177304964539</v>
      </c>
      <c r="BD292" s="51" t="n">
        <v>0.07934397163120567</v>
      </c>
      <c r="BE292" s="51" t="n">
        <v>0.2489867956595633</v>
      </c>
      <c r="BF292" s="43" t="n">
        <v>22560</v>
      </c>
    </row>
    <row r="293">
      <c r="A293" s="42" t="inlineStr">
        <is>
          <t>IA</t>
        </is>
      </c>
      <c r="B293" s="42" t="inlineStr">
        <is>
          <t>19185</t>
        </is>
      </c>
      <c r="C293" s="42" t="inlineStr">
        <is>
          <t>Wayne</t>
        </is>
      </c>
      <c r="D293" s="42" t="inlineStr">
        <is>
          <t>Small town &amp; rural</t>
        </is>
      </c>
      <c r="E293" s="42" t="inlineStr"/>
      <c r="F293" s="43" t="n">
        <v>643</v>
      </c>
      <c r="G293" s="43" t="n">
        <v>2426</v>
      </c>
      <c r="H293" s="43" t="n">
        <v>3119</v>
      </c>
      <c r="I293" s="43" t="n">
        <v>727</v>
      </c>
      <c r="J293" s="43" t="n">
        <v>2338</v>
      </c>
      <c r="K293" s="42" t="inlineStr">
        <is>
          <t>US Senate</t>
        </is>
      </c>
      <c r="L293" s="43" t="n">
        <v>514</v>
      </c>
      <c r="M293" s="43" t="n">
        <v>1860</v>
      </c>
      <c r="N293" s="43" t="n">
        <v>2378</v>
      </c>
      <c r="O293" s="44">
        <f>IFERROR((F293-G293)/(F293+G293),"")</f>
        <v/>
      </c>
      <c r="P293" s="44">
        <f>IFERROR((I293-J293)/(I293+J293),"")</f>
        <v/>
      </c>
      <c r="Q293" s="45">
        <f>IFERROR(O293-P293,"")</f>
        <v/>
      </c>
      <c r="R293" s="44">
        <f>IFERROR((L293-M293)/(L293+M293),"")</f>
        <v/>
      </c>
      <c r="S293" s="46">
        <f>H293/SUMIFS(Counties!$H$2:$H$1583,Counties!$A$2:$A$1583,$A293)</f>
        <v/>
      </c>
      <c r="T293" s="44">
        <f>O293+INDEX(Dashboard!$F$6:$F$22,MATCH($A293,Dashboard!$A$6:$A$22,0))</f>
        <v/>
      </c>
      <c r="U293" s="43">
        <f>AQ293*INDEX(Dashboard!$G$6:$G$22,MATCH($A293,Dashboard!$A$6:$A$22,0))</f>
        <v/>
      </c>
      <c r="V293" s="47" t="n"/>
      <c r="W293" s="47" t="n"/>
      <c r="X293" s="47" t="n"/>
      <c r="Y293" s="48" t="n"/>
      <c r="Z293" s="49" t="n"/>
      <c r="AA293" s="49" t="n"/>
      <c r="AB293" s="49" t="n"/>
      <c r="AC293" s="50" t="n"/>
      <c r="AD293" s="43">
        <f>IF(Z293&lt;&gt;"",Z293,N(V293))</f>
        <v/>
      </c>
      <c r="AE293" s="43">
        <f>IF(AA293&lt;&gt;"",AA293,N(W293))</f>
        <v/>
      </c>
      <c r="AF293" s="43">
        <f>AD293+AE293</f>
        <v/>
      </c>
      <c r="AG293" s="42">
        <f>IF(UPPER(AC293)="Y",1,IF(AF293=0,0,IF(AND(Z293="",Y293&lt;&gt;""),IF(Y293&gt;=0.999,1,0),IF(AF293&gt;=U293,1,0))))</f>
        <v/>
      </c>
      <c r="AH293" s="44">
        <f>IF(AF293&gt;0,(AD293-AE293)/AF293,"")</f>
        <v/>
      </c>
      <c r="AI293" s="45">
        <f>IF(AG293=1,AH293-O293,"")</f>
        <v/>
      </c>
      <c r="AJ293" s="44">
        <f>IF(AG293=1,AH293,MAX(-1,MIN(1,O293+INDEX(Types!$H:$H,MATCH($A293&amp;"|"&amp;$D293,Types!$A:$A,0)))))</f>
        <v/>
      </c>
      <c r="AK293" s="43">
        <f>IF(AG293=1,AF293,MAX(AQ293*AS293,AF293))</f>
        <v/>
      </c>
      <c r="AL293" s="43">
        <f>IF(AG293=1,AD293,AK293*(1+AJ293)/2)</f>
        <v/>
      </c>
      <c r="AM293" s="43">
        <f>IF(AG293=1,AE293,AK293*(1-AJ293)/2)</f>
        <v/>
      </c>
      <c r="AN293" s="45">
        <f>IF(AH293="","",AH293-T293)</f>
        <v/>
      </c>
      <c r="AO293" s="51">
        <f>IF(AG293=1,1,IF(U293&gt;0,MIN(AF293/U293,0.99),0))</f>
        <v/>
      </c>
      <c r="AP293" s="43">
        <f>IF(AG293=1,AI293*AF293,0)</f>
        <v/>
      </c>
      <c r="AQ293" s="43">
        <f>N293*(F293+G293)/H293</f>
        <v/>
      </c>
      <c r="AR293" s="43">
        <f>O293*AQ293</f>
        <v/>
      </c>
      <c r="AS293" s="52">
        <f>IF(AG293=1,IF(AQ293&gt;0,AF293/AQ293,1),IFERROR(INDEX(Types!$K:$K,MATCH($A293&amp;"|"&amp;$D293,Types!$A:$A,0)),INDEX(Dashboard!$X$6:$X$22,MATCH($A293,Dashboard!$A$6:$A$22,0))))</f>
        <v/>
      </c>
      <c r="AT293" s="43">
        <f>AQ293*INDEX(Dashboard!$Y$6:$Y$22,MATCH($A293,Dashboard!$A$6:$A$22,0))</f>
        <v/>
      </c>
      <c r="AU293" s="53">
        <f>IF(AND(AG293=1,AT293&gt;0,AF293&gt;0),100*AF293/AT293,"")</f>
        <v/>
      </c>
      <c r="AV293" s="44">
        <f>IF(AU293="","",T293/(AU293/100))</f>
        <v/>
      </c>
      <c r="AW293" s="53">
        <f>IF(AU293="","",IF(AND(ABS(AH293)&gt;=0.1,ABS(T293)&gt;=0.05,SIGN(AH293)=SIGN(T293)),100*T293/AH293,""))</f>
        <v/>
      </c>
      <c r="AX293" s="45">
        <f>IF(AU293="","",T293-AV293)</f>
        <v/>
      </c>
      <c r="AY293" s="45">
        <f>IF(AU293="","",AH293-AV293)</f>
        <v/>
      </c>
      <c r="AZ293" s="54">
        <f>(AL293-AM293)-T293*AT293</f>
        <v/>
      </c>
      <c r="BA293" s="43">
        <f>IF(AU293="",0,(AH293-T293)*AF293)</f>
        <v/>
      </c>
      <c r="BB293" s="43">
        <f>IF(AU293="",0,T293*(AF293-AT293))</f>
        <v/>
      </c>
      <c r="BC293" s="51" t="n">
        <v>0.006252859539423517</v>
      </c>
      <c r="BD293" s="51" t="n">
        <v>0.01433582430989782</v>
      </c>
      <c r="BE293" s="51" t="n">
        <v>0.1604118993135011</v>
      </c>
      <c r="BF293" s="43" t="n">
        <v>6557</v>
      </c>
    </row>
    <row r="294">
      <c r="A294" s="42" t="inlineStr">
        <is>
          <t>IA</t>
        </is>
      </c>
      <c r="B294" s="42" t="inlineStr">
        <is>
          <t>19187</t>
        </is>
      </c>
      <c r="C294" s="42" t="inlineStr">
        <is>
          <t>Webster</t>
        </is>
      </c>
      <c r="D294" s="42" t="inlineStr">
        <is>
          <t>Small town &amp; rural</t>
        </is>
      </c>
      <c r="E294" s="42" t="inlineStr"/>
      <c r="F294" s="43" t="n">
        <v>5641</v>
      </c>
      <c r="G294" s="43" t="n">
        <v>10850</v>
      </c>
      <c r="H294" s="43" t="n">
        <v>16706</v>
      </c>
      <c r="I294" s="43" t="n">
        <v>6613</v>
      </c>
      <c r="J294" s="43" t="n">
        <v>10938</v>
      </c>
      <c r="K294" s="42" t="inlineStr">
        <is>
          <t>US Senate</t>
        </is>
      </c>
      <c r="L294" s="43" t="n">
        <v>4244</v>
      </c>
      <c r="M294" s="43" t="n">
        <v>7704</v>
      </c>
      <c r="N294" s="43" t="n">
        <v>11965</v>
      </c>
      <c r="O294" s="44">
        <f>IFERROR((F294-G294)/(F294+G294),"")</f>
        <v/>
      </c>
      <c r="P294" s="44">
        <f>IFERROR((I294-J294)/(I294+J294),"")</f>
        <v/>
      </c>
      <c r="Q294" s="45">
        <f>IFERROR(O294-P294,"")</f>
        <v/>
      </c>
      <c r="R294" s="44">
        <f>IFERROR((L294-M294)/(L294+M294),"")</f>
        <v/>
      </c>
      <c r="S294" s="46">
        <f>H294/SUMIFS(Counties!$H$2:$H$1583,Counties!$A$2:$A$1583,$A294)</f>
        <v/>
      </c>
      <c r="T294" s="44">
        <f>O294+INDEX(Dashboard!$F$6:$F$22,MATCH($A294,Dashboard!$A$6:$A$22,0))</f>
        <v/>
      </c>
      <c r="U294" s="43">
        <f>AQ294*INDEX(Dashboard!$G$6:$G$22,MATCH($A294,Dashboard!$A$6:$A$22,0))</f>
        <v/>
      </c>
      <c r="V294" s="47" t="n"/>
      <c r="W294" s="47" t="n"/>
      <c r="X294" s="47" t="n"/>
      <c r="Y294" s="48" t="n"/>
      <c r="Z294" s="49" t="n"/>
      <c r="AA294" s="49" t="n"/>
      <c r="AB294" s="49" t="n"/>
      <c r="AC294" s="50" t="n"/>
      <c r="AD294" s="43">
        <f>IF(Z294&lt;&gt;"",Z294,N(V294))</f>
        <v/>
      </c>
      <c r="AE294" s="43">
        <f>IF(AA294&lt;&gt;"",AA294,N(W294))</f>
        <v/>
      </c>
      <c r="AF294" s="43">
        <f>AD294+AE294</f>
        <v/>
      </c>
      <c r="AG294" s="42">
        <f>IF(UPPER(AC294)="Y",1,IF(AF294=0,0,IF(AND(Z294="",Y294&lt;&gt;""),IF(Y294&gt;=0.999,1,0),IF(AF294&gt;=U294,1,0))))</f>
        <v/>
      </c>
      <c r="AH294" s="44">
        <f>IF(AF294&gt;0,(AD294-AE294)/AF294,"")</f>
        <v/>
      </c>
      <c r="AI294" s="45">
        <f>IF(AG294=1,AH294-O294,"")</f>
        <v/>
      </c>
      <c r="AJ294" s="44">
        <f>IF(AG294=1,AH294,MAX(-1,MIN(1,O294+INDEX(Types!$H:$H,MATCH($A294&amp;"|"&amp;$D294,Types!$A:$A,0)))))</f>
        <v/>
      </c>
      <c r="AK294" s="43">
        <f>IF(AG294=1,AF294,MAX(AQ294*AS294,AF294))</f>
        <v/>
      </c>
      <c r="AL294" s="43">
        <f>IF(AG294=1,AD294,AK294*(1+AJ294)/2)</f>
        <v/>
      </c>
      <c r="AM294" s="43">
        <f>IF(AG294=1,AE294,AK294*(1-AJ294)/2)</f>
        <v/>
      </c>
      <c r="AN294" s="45">
        <f>IF(AH294="","",AH294-T294)</f>
        <v/>
      </c>
      <c r="AO294" s="51">
        <f>IF(AG294=1,1,IF(U294&gt;0,MIN(AF294/U294,0.99),0))</f>
        <v/>
      </c>
      <c r="AP294" s="43">
        <f>IF(AG294=1,AI294*AF294,0)</f>
        <v/>
      </c>
      <c r="AQ294" s="43">
        <f>N294*(F294+G294)/H294</f>
        <v/>
      </c>
      <c r="AR294" s="43">
        <f>O294*AQ294</f>
        <v/>
      </c>
      <c r="AS294" s="52">
        <f>IF(AG294=1,IF(AQ294&gt;0,AF294/AQ294,1),IFERROR(INDEX(Types!$K:$K,MATCH($A294&amp;"|"&amp;$D294,Types!$A:$A,0)),INDEX(Dashboard!$X$6:$X$22,MATCH($A294,Dashboard!$A$6:$A$22,0))))</f>
        <v/>
      </c>
      <c r="AT294" s="43">
        <f>AQ294*INDEX(Dashboard!$Y$6:$Y$22,MATCH($A294,Dashboard!$A$6:$A$22,0))</f>
        <v/>
      </c>
      <c r="AU294" s="53">
        <f>IF(AND(AG294=1,AT294&gt;0,AF294&gt;0),100*AF294/AT294,"")</f>
        <v/>
      </c>
      <c r="AV294" s="44">
        <f>IF(AU294="","",T294/(AU294/100))</f>
        <v/>
      </c>
      <c r="AW294" s="53">
        <f>IF(AU294="","",IF(AND(ABS(AH294)&gt;=0.1,ABS(T294)&gt;=0.05,SIGN(AH294)=SIGN(T294)),100*T294/AH294,""))</f>
        <v/>
      </c>
      <c r="AX294" s="45">
        <f>IF(AU294="","",T294-AV294)</f>
        <v/>
      </c>
      <c r="AY294" s="45">
        <f>IF(AU294="","",AH294-AV294)</f>
        <v/>
      </c>
      <c r="AZ294" s="54">
        <f>(AL294-AM294)-T294*AT294</f>
        <v/>
      </c>
      <c r="BA294" s="43">
        <f>IF(AU294="",0,(AH294-T294)*AF294)</f>
        <v/>
      </c>
      <c r="BB294" s="43">
        <f>IF(AU294="",0,T294*(AF294-AT294))</f>
        <v/>
      </c>
      <c r="BC294" s="51" t="n">
        <v>0.04547074140057558</v>
      </c>
      <c r="BD294" s="51" t="n">
        <v>0.06723310949705358</v>
      </c>
      <c r="BE294" s="51" t="n">
        <v>0.2051137507549829</v>
      </c>
      <c r="BF294" s="43" t="n">
        <v>36485</v>
      </c>
    </row>
    <row r="295">
      <c r="A295" s="42" t="inlineStr">
        <is>
          <t>IA</t>
        </is>
      </c>
      <c r="B295" s="42" t="inlineStr">
        <is>
          <t>19189</t>
        </is>
      </c>
      <c r="C295" s="42" t="inlineStr">
        <is>
          <t>Winnebago</t>
        </is>
      </c>
      <c r="D295" s="42" t="inlineStr">
        <is>
          <t>Small town &amp; rural</t>
        </is>
      </c>
      <c r="E295" s="42" t="inlineStr"/>
      <c r="F295" s="43" t="n">
        <v>1909</v>
      </c>
      <c r="G295" s="43" t="n">
        <v>3636</v>
      </c>
      <c r="H295" s="43" t="n">
        <v>5627</v>
      </c>
      <c r="I295" s="43" t="n">
        <v>2135</v>
      </c>
      <c r="J295" s="43" t="n">
        <v>3707</v>
      </c>
      <c r="K295" s="42" t="inlineStr">
        <is>
          <t>US Senate</t>
        </is>
      </c>
      <c r="L295" s="43" t="n">
        <v>1478</v>
      </c>
      <c r="M295" s="43" t="n">
        <v>2881</v>
      </c>
      <c r="N295" s="43" t="n">
        <v>4362</v>
      </c>
      <c r="O295" s="44">
        <f>IFERROR((F295-G295)/(F295+G295),"")</f>
        <v/>
      </c>
      <c r="P295" s="44">
        <f>IFERROR((I295-J295)/(I295+J295),"")</f>
        <v/>
      </c>
      <c r="Q295" s="45">
        <f>IFERROR(O295-P295,"")</f>
        <v/>
      </c>
      <c r="R295" s="44">
        <f>IFERROR((L295-M295)/(L295+M295),"")</f>
        <v/>
      </c>
      <c r="S295" s="46">
        <f>H295/SUMIFS(Counties!$H$2:$H$1583,Counties!$A$2:$A$1583,$A295)</f>
        <v/>
      </c>
      <c r="T295" s="44">
        <f>O295+INDEX(Dashboard!$F$6:$F$22,MATCH($A295,Dashboard!$A$6:$A$22,0))</f>
        <v/>
      </c>
      <c r="U295" s="43">
        <f>AQ295*INDEX(Dashboard!$G$6:$G$22,MATCH($A295,Dashboard!$A$6:$A$22,0))</f>
        <v/>
      </c>
      <c r="V295" s="47" t="n"/>
      <c r="W295" s="47" t="n"/>
      <c r="X295" s="47" t="n"/>
      <c r="Y295" s="48" t="n"/>
      <c r="Z295" s="49" t="n"/>
      <c r="AA295" s="49" t="n"/>
      <c r="AB295" s="49" t="n"/>
      <c r="AC295" s="50" t="n"/>
      <c r="AD295" s="43">
        <f>IF(Z295&lt;&gt;"",Z295,N(V295))</f>
        <v/>
      </c>
      <c r="AE295" s="43">
        <f>IF(AA295&lt;&gt;"",AA295,N(W295))</f>
        <v/>
      </c>
      <c r="AF295" s="43">
        <f>AD295+AE295</f>
        <v/>
      </c>
      <c r="AG295" s="42">
        <f>IF(UPPER(AC295)="Y",1,IF(AF295=0,0,IF(AND(Z295="",Y295&lt;&gt;""),IF(Y295&gt;=0.999,1,0),IF(AF295&gt;=U295,1,0))))</f>
        <v/>
      </c>
      <c r="AH295" s="44">
        <f>IF(AF295&gt;0,(AD295-AE295)/AF295,"")</f>
        <v/>
      </c>
      <c r="AI295" s="45">
        <f>IF(AG295=1,AH295-O295,"")</f>
        <v/>
      </c>
      <c r="AJ295" s="44">
        <f>IF(AG295=1,AH295,MAX(-1,MIN(1,O295+INDEX(Types!$H:$H,MATCH($A295&amp;"|"&amp;$D295,Types!$A:$A,0)))))</f>
        <v/>
      </c>
      <c r="AK295" s="43">
        <f>IF(AG295=1,AF295,MAX(AQ295*AS295,AF295))</f>
        <v/>
      </c>
      <c r="AL295" s="43">
        <f>IF(AG295=1,AD295,AK295*(1+AJ295)/2)</f>
        <v/>
      </c>
      <c r="AM295" s="43">
        <f>IF(AG295=1,AE295,AK295*(1-AJ295)/2)</f>
        <v/>
      </c>
      <c r="AN295" s="45">
        <f>IF(AH295="","",AH295-T295)</f>
        <v/>
      </c>
      <c r="AO295" s="51">
        <f>IF(AG295=1,1,IF(U295&gt;0,MIN(AF295/U295,0.99),0))</f>
        <v/>
      </c>
      <c r="AP295" s="43">
        <f>IF(AG295=1,AI295*AF295,0)</f>
        <v/>
      </c>
      <c r="AQ295" s="43">
        <f>N295*(F295+G295)/H295</f>
        <v/>
      </c>
      <c r="AR295" s="43">
        <f>O295*AQ295</f>
        <v/>
      </c>
      <c r="AS295" s="52">
        <f>IF(AG295=1,IF(AQ295&gt;0,AF295/AQ295,1),IFERROR(INDEX(Types!$K:$K,MATCH($A295&amp;"|"&amp;$D295,Types!$A:$A,0)),INDEX(Dashboard!$X$6:$X$22,MATCH($A295,Dashboard!$A$6:$A$22,0))))</f>
        <v/>
      </c>
      <c r="AT295" s="43">
        <f>AQ295*INDEX(Dashboard!$Y$6:$Y$22,MATCH($A295,Dashboard!$A$6:$A$22,0))</f>
        <v/>
      </c>
      <c r="AU295" s="53">
        <f>IF(AND(AG295=1,AT295&gt;0,AF295&gt;0),100*AF295/AT295,"")</f>
        <v/>
      </c>
      <c r="AV295" s="44">
        <f>IF(AU295="","",T295/(AU295/100))</f>
        <v/>
      </c>
      <c r="AW295" s="53">
        <f>IF(AU295="","",IF(AND(ABS(AH295)&gt;=0.1,ABS(T295)&gt;=0.05,SIGN(AH295)=SIGN(T295)),100*T295/AH295,""))</f>
        <v/>
      </c>
      <c r="AX295" s="45">
        <f>IF(AU295="","",T295-AV295)</f>
        <v/>
      </c>
      <c r="AY295" s="45">
        <f>IF(AU295="","",AH295-AV295)</f>
        <v/>
      </c>
      <c r="AZ295" s="54">
        <f>(AL295-AM295)-T295*AT295</f>
        <v/>
      </c>
      <c r="BA295" s="43">
        <f>IF(AU295="",0,(AH295-T295)*AF295)</f>
        <v/>
      </c>
      <c r="BB295" s="43">
        <f>IF(AU295="",0,T295*(AF295-AT295))</f>
        <v/>
      </c>
      <c r="BC295" s="51" t="n">
        <v>0.01598713461356541</v>
      </c>
      <c r="BD295" s="51" t="n">
        <v>0.0614889792829439</v>
      </c>
      <c r="BE295" s="51" t="n">
        <v>0.2511421846878029</v>
      </c>
      <c r="BF295" s="43" t="n">
        <v>10571</v>
      </c>
    </row>
    <row r="296">
      <c r="A296" s="42" t="inlineStr">
        <is>
          <t>IA</t>
        </is>
      </c>
      <c r="B296" s="42" t="inlineStr">
        <is>
          <t>19191</t>
        </is>
      </c>
      <c r="C296" s="42" t="inlineStr">
        <is>
          <t>Winneshiek</t>
        </is>
      </c>
      <c r="D296" s="42" t="inlineStr">
        <is>
          <t>Small town &amp; rural</t>
        </is>
      </c>
      <c r="E296" s="42" t="inlineStr"/>
      <c r="F296" s="43" t="n">
        <v>5321</v>
      </c>
      <c r="G296" s="43" t="n">
        <v>6427</v>
      </c>
      <c r="H296" s="43" t="n">
        <v>11927</v>
      </c>
      <c r="I296" s="43" t="n">
        <v>5617</v>
      </c>
      <c r="J296" s="43" t="n">
        <v>6235</v>
      </c>
      <c r="K296" s="42" t="inlineStr">
        <is>
          <t>US Senate</t>
        </is>
      </c>
      <c r="L296" s="43" t="n">
        <v>4477</v>
      </c>
      <c r="M296" s="43" t="n">
        <v>5094</v>
      </c>
      <c r="N296" s="43" t="n">
        <v>9586</v>
      </c>
      <c r="O296" s="44">
        <f>IFERROR((F296-G296)/(F296+G296),"")</f>
        <v/>
      </c>
      <c r="P296" s="44">
        <f>IFERROR((I296-J296)/(I296+J296),"")</f>
        <v/>
      </c>
      <c r="Q296" s="45">
        <f>IFERROR(O296-P296,"")</f>
        <v/>
      </c>
      <c r="R296" s="44">
        <f>IFERROR((L296-M296)/(L296+M296),"")</f>
        <v/>
      </c>
      <c r="S296" s="46">
        <f>H296/SUMIFS(Counties!$H$2:$H$1583,Counties!$A$2:$A$1583,$A296)</f>
        <v/>
      </c>
      <c r="T296" s="44">
        <f>O296+INDEX(Dashboard!$F$6:$F$22,MATCH($A296,Dashboard!$A$6:$A$22,0))</f>
        <v/>
      </c>
      <c r="U296" s="43">
        <f>AQ296*INDEX(Dashboard!$G$6:$G$22,MATCH($A296,Dashboard!$A$6:$A$22,0))</f>
        <v/>
      </c>
      <c r="V296" s="47" t="n"/>
      <c r="W296" s="47" t="n"/>
      <c r="X296" s="47" t="n"/>
      <c r="Y296" s="48" t="n"/>
      <c r="Z296" s="49" t="n"/>
      <c r="AA296" s="49" t="n"/>
      <c r="AB296" s="49" t="n"/>
      <c r="AC296" s="50" t="n"/>
      <c r="AD296" s="43">
        <f>IF(Z296&lt;&gt;"",Z296,N(V296))</f>
        <v/>
      </c>
      <c r="AE296" s="43">
        <f>IF(AA296&lt;&gt;"",AA296,N(W296))</f>
        <v/>
      </c>
      <c r="AF296" s="43">
        <f>AD296+AE296</f>
        <v/>
      </c>
      <c r="AG296" s="42">
        <f>IF(UPPER(AC296)="Y",1,IF(AF296=0,0,IF(AND(Z296="",Y296&lt;&gt;""),IF(Y296&gt;=0.999,1,0),IF(AF296&gt;=U296,1,0))))</f>
        <v/>
      </c>
      <c r="AH296" s="44">
        <f>IF(AF296&gt;0,(AD296-AE296)/AF296,"")</f>
        <v/>
      </c>
      <c r="AI296" s="45">
        <f>IF(AG296=1,AH296-O296,"")</f>
        <v/>
      </c>
      <c r="AJ296" s="44">
        <f>IF(AG296=1,AH296,MAX(-1,MIN(1,O296+INDEX(Types!$H:$H,MATCH($A296&amp;"|"&amp;$D296,Types!$A:$A,0)))))</f>
        <v/>
      </c>
      <c r="AK296" s="43">
        <f>IF(AG296=1,AF296,MAX(AQ296*AS296,AF296))</f>
        <v/>
      </c>
      <c r="AL296" s="43">
        <f>IF(AG296=1,AD296,AK296*(1+AJ296)/2)</f>
        <v/>
      </c>
      <c r="AM296" s="43">
        <f>IF(AG296=1,AE296,AK296*(1-AJ296)/2)</f>
        <v/>
      </c>
      <c r="AN296" s="45">
        <f>IF(AH296="","",AH296-T296)</f>
        <v/>
      </c>
      <c r="AO296" s="51">
        <f>IF(AG296=1,1,IF(U296&gt;0,MIN(AF296/U296,0.99),0))</f>
        <v/>
      </c>
      <c r="AP296" s="43">
        <f>IF(AG296=1,AI296*AF296,0)</f>
        <v/>
      </c>
      <c r="AQ296" s="43">
        <f>N296*(F296+G296)/H296</f>
        <v/>
      </c>
      <c r="AR296" s="43">
        <f>O296*AQ296</f>
        <v/>
      </c>
      <c r="AS296" s="52">
        <f>IF(AG296=1,IF(AQ296&gt;0,AF296/AQ296,1),IFERROR(INDEX(Types!$K:$K,MATCH($A296&amp;"|"&amp;$D296,Types!$A:$A,0)),INDEX(Dashboard!$X$6:$X$22,MATCH($A296,Dashboard!$A$6:$A$22,0))))</f>
        <v/>
      </c>
      <c r="AT296" s="43">
        <f>AQ296*INDEX(Dashboard!$Y$6:$Y$22,MATCH($A296,Dashboard!$A$6:$A$22,0))</f>
        <v/>
      </c>
      <c r="AU296" s="53">
        <f>IF(AND(AG296=1,AT296&gt;0,AF296&gt;0),100*AF296/AT296,"")</f>
        <v/>
      </c>
      <c r="AV296" s="44">
        <f>IF(AU296="","",T296/(AU296/100))</f>
        <v/>
      </c>
      <c r="AW296" s="53">
        <f>IF(AU296="","",IF(AND(ABS(AH296)&gt;=0.1,ABS(T296)&gt;=0.05,SIGN(AH296)=SIGN(T296)),100*T296/AH296,""))</f>
        <v/>
      </c>
      <c r="AX296" s="45">
        <f>IF(AU296="","",T296-AV296)</f>
        <v/>
      </c>
      <c r="AY296" s="45">
        <f>IF(AU296="","",AH296-AV296)</f>
        <v/>
      </c>
      <c r="AZ296" s="54">
        <f>(AL296-AM296)-T296*AT296</f>
        <v/>
      </c>
      <c r="BA296" s="43">
        <f>IF(AU296="",0,(AH296-T296)*AF296)</f>
        <v/>
      </c>
      <c r="BB296" s="43">
        <f>IF(AU296="",0,T296*(AF296-AT296))</f>
        <v/>
      </c>
      <c r="BC296" s="51" t="n">
        <v>0.008024224072672219</v>
      </c>
      <c r="BD296" s="51" t="n">
        <v>0.03179409538228615</v>
      </c>
      <c r="BE296" s="51" t="n">
        <v>0.3152360354985457</v>
      </c>
      <c r="BF296" s="43" t="n">
        <v>19815</v>
      </c>
    </row>
    <row r="297">
      <c r="A297" s="42" t="inlineStr">
        <is>
          <t>IA</t>
        </is>
      </c>
      <c r="B297" s="42" t="inlineStr">
        <is>
          <t>19193</t>
        </is>
      </c>
      <c r="C297" s="42" t="inlineStr">
        <is>
          <t>Woodbury</t>
        </is>
      </c>
      <c r="D297" s="42" t="inlineStr">
        <is>
          <t>Mid-size/working metro</t>
        </is>
      </c>
      <c r="E297" s="42" t="inlineStr">
        <is>
          <t>★</t>
        </is>
      </c>
      <c r="F297" s="43" t="n">
        <v>16145</v>
      </c>
      <c r="G297" s="43" t="n">
        <v>25969</v>
      </c>
      <c r="H297" s="43" t="n">
        <v>42674</v>
      </c>
      <c r="I297" s="43" t="n">
        <v>18704</v>
      </c>
      <c r="J297" s="43" t="n">
        <v>25736</v>
      </c>
      <c r="K297" s="42" t="inlineStr">
        <is>
          <t>US Senate</t>
        </is>
      </c>
      <c r="L297" s="43" t="n">
        <v>10409</v>
      </c>
      <c r="M297" s="43" t="n">
        <v>18161</v>
      </c>
      <c r="N297" s="43" t="n">
        <v>28636</v>
      </c>
      <c r="O297" s="44">
        <f>IFERROR((F297-G297)/(F297+G297),"")</f>
        <v/>
      </c>
      <c r="P297" s="44">
        <f>IFERROR((I297-J297)/(I297+J297),"")</f>
        <v/>
      </c>
      <c r="Q297" s="45">
        <f>IFERROR(O297-P297,"")</f>
        <v/>
      </c>
      <c r="R297" s="44">
        <f>IFERROR((L297-M297)/(L297+M297),"")</f>
        <v/>
      </c>
      <c r="S297" s="46">
        <f>H297/SUMIFS(Counties!$H$2:$H$1583,Counties!$A$2:$A$1583,$A297)</f>
        <v/>
      </c>
      <c r="T297" s="44">
        <f>O297+INDEX(Dashboard!$F$6:$F$22,MATCH($A297,Dashboard!$A$6:$A$22,0))</f>
        <v/>
      </c>
      <c r="U297" s="43">
        <f>AQ297*INDEX(Dashboard!$G$6:$G$22,MATCH($A297,Dashboard!$A$6:$A$22,0))</f>
        <v/>
      </c>
      <c r="V297" s="47" t="n"/>
      <c r="W297" s="47" t="n"/>
      <c r="X297" s="47" t="n"/>
      <c r="Y297" s="48" t="n"/>
      <c r="Z297" s="49" t="n"/>
      <c r="AA297" s="49" t="n"/>
      <c r="AB297" s="49" t="n"/>
      <c r="AC297" s="50" t="n"/>
      <c r="AD297" s="43">
        <f>IF(Z297&lt;&gt;"",Z297,N(V297))</f>
        <v/>
      </c>
      <c r="AE297" s="43">
        <f>IF(AA297&lt;&gt;"",AA297,N(W297))</f>
        <v/>
      </c>
      <c r="AF297" s="43">
        <f>AD297+AE297</f>
        <v/>
      </c>
      <c r="AG297" s="42">
        <f>IF(UPPER(AC297)="Y",1,IF(AF297=0,0,IF(AND(Z297="",Y297&lt;&gt;""),IF(Y297&gt;=0.999,1,0),IF(AF297&gt;=U297,1,0))))</f>
        <v/>
      </c>
      <c r="AH297" s="44">
        <f>IF(AF297&gt;0,(AD297-AE297)/AF297,"")</f>
        <v/>
      </c>
      <c r="AI297" s="45">
        <f>IF(AG297=1,AH297-O297,"")</f>
        <v/>
      </c>
      <c r="AJ297" s="44">
        <f>IF(AG297=1,AH297,MAX(-1,MIN(1,O297+INDEX(Types!$H:$H,MATCH($A297&amp;"|"&amp;$D297,Types!$A:$A,0)))))</f>
        <v/>
      </c>
      <c r="AK297" s="43">
        <f>IF(AG297=1,AF297,MAX(AQ297*AS297,AF297))</f>
        <v/>
      </c>
      <c r="AL297" s="43">
        <f>IF(AG297=1,AD297,AK297*(1+AJ297)/2)</f>
        <v/>
      </c>
      <c r="AM297" s="43">
        <f>IF(AG297=1,AE297,AK297*(1-AJ297)/2)</f>
        <v/>
      </c>
      <c r="AN297" s="45">
        <f>IF(AH297="","",AH297-T297)</f>
        <v/>
      </c>
      <c r="AO297" s="51">
        <f>IF(AG297=1,1,IF(U297&gt;0,MIN(AF297/U297,0.99),0))</f>
        <v/>
      </c>
      <c r="AP297" s="43">
        <f>IF(AG297=1,AI297*AF297,0)</f>
        <v/>
      </c>
      <c r="AQ297" s="43">
        <f>N297*(F297+G297)/H297</f>
        <v/>
      </c>
      <c r="AR297" s="43">
        <f>O297*AQ297</f>
        <v/>
      </c>
      <c r="AS297" s="52">
        <f>IF(AG297=1,IF(AQ297&gt;0,AF297/AQ297,1),IFERROR(INDEX(Types!$K:$K,MATCH($A297&amp;"|"&amp;$D297,Types!$A:$A,0)),INDEX(Dashboard!$X$6:$X$22,MATCH($A297,Dashboard!$A$6:$A$22,0))))</f>
        <v/>
      </c>
      <c r="AT297" s="43">
        <f>AQ297*INDEX(Dashboard!$Y$6:$Y$22,MATCH($A297,Dashboard!$A$6:$A$22,0))</f>
        <v/>
      </c>
      <c r="AU297" s="53">
        <f>IF(AND(AG297=1,AT297&gt;0,AF297&gt;0),100*AF297/AT297,"")</f>
        <v/>
      </c>
      <c r="AV297" s="44">
        <f>IF(AU297="","",T297/(AU297/100))</f>
        <v/>
      </c>
      <c r="AW297" s="53">
        <f>IF(AU297="","",IF(AND(ABS(AH297)&gt;=0.1,ABS(T297)&gt;=0.05,SIGN(AH297)=SIGN(T297)),100*T297/AH297,""))</f>
        <v/>
      </c>
      <c r="AX297" s="45">
        <f>IF(AU297="","",T297-AV297)</f>
        <v/>
      </c>
      <c r="AY297" s="45">
        <f>IF(AU297="","",AH297-AV297)</f>
        <v/>
      </c>
      <c r="AZ297" s="54">
        <f>(AL297-AM297)-T297*AT297</f>
        <v/>
      </c>
      <c r="BA297" s="43">
        <f>IF(AU297="",0,(AH297-T297)*AF297)</f>
        <v/>
      </c>
      <c r="BB297" s="43">
        <f>IF(AU297="",0,T297*(AF297-AT297))</f>
        <v/>
      </c>
      <c r="BC297" s="51" t="n">
        <v>0.05331709941388</v>
      </c>
      <c r="BD297" s="51" t="n">
        <v>0.1951562514747383</v>
      </c>
      <c r="BE297" s="51" t="n">
        <v>0.2339811002162514</v>
      </c>
      <c r="BF297" s="43" t="n">
        <v>105951</v>
      </c>
    </row>
    <row r="298">
      <c r="A298" s="42" t="inlineStr">
        <is>
          <t>IA</t>
        </is>
      </c>
      <c r="B298" s="42" t="inlineStr">
        <is>
          <t>19195</t>
        </is>
      </c>
      <c r="C298" s="42" t="inlineStr">
        <is>
          <t>Worth</t>
        </is>
      </c>
      <c r="D298" s="42" t="inlineStr">
        <is>
          <t>Small town &amp; rural</t>
        </is>
      </c>
      <c r="E298" s="42" t="inlineStr"/>
      <c r="F298" s="43" t="n">
        <v>1508</v>
      </c>
      <c r="G298" s="43" t="n">
        <v>2715</v>
      </c>
      <c r="H298" s="43" t="n">
        <v>4278</v>
      </c>
      <c r="I298" s="43" t="n">
        <v>1596</v>
      </c>
      <c r="J298" s="43" t="n">
        <v>2738</v>
      </c>
      <c r="K298" s="42" t="inlineStr">
        <is>
          <t>US Senate</t>
        </is>
      </c>
      <c r="L298" s="43" t="n">
        <v>1183</v>
      </c>
      <c r="M298" s="43" t="n">
        <v>2031</v>
      </c>
      <c r="N298" s="43" t="n">
        <v>3219</v>
      </c>
      <c r="O298" s="44">
        <f>IFERROR((F298-G298)/(F298+G298),"")</f>
        <v/>
      </c>
      <c r="P298" s="44">
        <f>IFERROR((I298-J298)/(I298+J298),"")</f>
        <v/>
      </c>
      <c r="Q298" s="45">
        <f>IFERROR(O298-P298,"")</f>
        <v/>
      </c>
      <c r="R298" s="44">
        <f>IFERROR((L298-M298)/(L298+M298),"")</f>
        <v/>
      </c>
      <c r="S298" s="46">
        <f>H298/SUMIFS(Counties!$H$2:$H$1583,Counties!$A$2:$A$1583,$A298)</f>
        <v/>
      </c>
      <c r="T298" s="44">
        <f>O298+INDEX(Dashboard!$F$6:$F$22,MATCH($A298,Dashboard!$A$6:$A$22,0))</f>
        <v/>
      </c>
      <c r="U298" s="43">
        <f>AQ298*INDEX(Dashboard!$G$6:$G$22,MATCH($A298,Dashboard!$A$6:$A$22,0))</f>
        <v/>
      </c>
      <c r="V298" s="47" t="n"/>
      <c r="W298" s="47" t="n"/>
      <c r="X298" s="47" t="n"/>
      <c r="Y298" s="48" t="n"/>
      <c r="Z298" s="49" t="n"/>
      <c r="AA298" s="49" t="n"/>
      <c r="AB298" s="49" t="n"/>
      <c r="AC298" s="50" t="n"/>
      <c r="AD298" s="43">
        <f>IF(Z298&lt;&gt;"",Z298,N(V298))</f>
        <v/>
      </c>
      <c r="AE298" s="43">
        <f>IF(AA298&lt;&gt;"",AA298,N(W298))</f>
        <v/>
      </c>
      <c r="AF298" s="43">
        <f>AD298+AE298</f>
        <v/>
      </c>
      <c r="AG298" s="42">
        <f>IF(UPPER(AC298)="Y",1,IF(AF298=0,0,IF(AND(Z298="",Y298&lt;&gt;""),IF(Y298&gt;=0.999,1,0),IF(AF298&gt;=U298,1,0))))</f>
        <v/>
      </c>
      <c r="AH298" s="44">
        <f>IF(AF298&gt;0,(AD298-AE298)/AF298,"")</f>
        <v/>
      </c>
      <c r="AI298" s="45">
        <f>IF(AG298=1,AH298-O298,"")</f>
        <v/>
      </c>
      <c r="AJ298" s="44">
        <f>IF(AG298=1,AH298,MAX(-1,MIN(1,O298+INDEX(Types!$H:$H,MATCH($A298&amp;"|"&amp;$D298,Types!$A:$A,0)))))</f>
        <v/>
      </c>
      <c r="AK298" s="43">
        <f>IF(AG298=1,AF298,MAX(AQ298*AS298,AF298))</f>
        <v/>
      </c>
      <c r="AL298" s="43">
        <f>IF(AG298=1,AD298,AK298*(1+AJ298)/2)</f>
        <v/>
      </c>
      <c r="AM298" s="43">
        <f>IF(AG298=1,AE298,AK298*(1-AJ298)/2)</f>
        <v/>
      </c>
      <c r="AN298" s="45">
        <f>IF(AH298="","",AH298-T298)</f>
        <v/>
      </c>
      <c r="AO298" s="51">
        <f>IF(AG298=1,1,IF(U298&gt;0,MIN(AF298/U298,0.99),0))</f>
        <v/>
      </c>
      <c r="AP298" s="43">
        <f>IF(AG298=1,AI298*AF298,0)</f>
        <v/>
      </c>
      <c r="AQ298" s="43">
        <f>N298*(F298+G298)/H298</f>
        <v/>
      </c>
      <c r="AR298" s="43">
        <f>O298*AQ298</f>
        <v/>
      </c>
      <c r="AS298" s="52">
        <f>IF(AG298=1,IF(AQ298&gt;0,AF298/AQ298,1),IFERROR(INDEX(Types!$K:$K,MATCH($A298&amp;"|"&amp;$D298,Types!$A:$A,0)),INDEX(Dashboard!$X$6:$X$22,MATCH($A298,Dashboard!$A$6:$A$22,0))))</f>
        <v/>
      </c>
      <c r="AT298" s="43">
        <f>AQ298*INDEX(Dashboard!$Y$6:$Y$22,MATCH($A298,Dashboard!$A$6:$A$22,0))</f>
        <v/>
      </c>
      <c r="AU298" s="53">
        <f>IF(AND(AG298=1,AT298&gt;0,AF298&gt;0),100*AF298/AT298,"")</f>
        <v/>
      </c>
      <c r="AV298" s="44">
        <f>IF(AU298="","",T298/(AU298/100))</f>
        <v/>
      </c>
      <c r="AW298" s="53">
        <f>IF(AU298="","",IF(AND(ABS(AH298)&gt;=0.1,ABS(T298)&gt;=0.05,SIGN(AH298)=SIGN(T298)),100*T298/AH298,""))</f>
        <v/>
      </c>
      <c r="AX298" s="45">
        <f>IF(AU298="","",T298-AV298)</f>
        <v/>
      </c>
      <c r="AY298" s="45">
        <f>IF(AU298="","",AH298-AV298)</f>
        <v/>
      </c>
      <c r="AZ298" s="54">
        <f>(AL298-AM298)-T298*AT298</f>
        <v/>
      </c>
      <c r="BA298" s="43">
        <f>IF(AU298="",0,(AH298-T298)*AF298)</f>
        <v/>
      </c>
      <c r="BB298" s="43">
        <f>IF(AU298="",0,T298*(AF298-AT298))</f>
        <v/>
      </c>
      <c r="BC298" s="51" t="n">
        <v>0.009867068658352747</v>
      </c>
      <c r="BD298" s="51" t="n">
        <v>0.036727422228313</v>
      </c>
      <c r="BE298" s="51" t="n">
        <v>0.2006713912719135</v>
      </c>
      <c r="BF298" s="43" t="n">
        <v>7297</v>
      </c>
    </row>
    <row r="299">
      <c r="A299" s="42" t="inlineStr">
        <is>
          <t>IA</t>
        </is>
      </c>
      <c r="B299" s="42" t="inlineStr">
        <is>
          <t>19197</t>
        </is>
      </c>
      <c r="C299" s="42" t="inlineStr">
        <is>
          <t>Wright</t>
        </is>
      </c>
      <c r="D299" s="42" t="inlineStr">
        <is>
          <t>Small town &amp; rural</t>
        </is>
      </c>
      <c r="E299" s="42" t="inlineStr"/>
      <c r="F299" s="43" t="n">
        <v>1770</v>
      </c>
      <c r="G299" s="43" t="n">
        <v>3853</v>
      </c>
      <c r="H299" s="43" t="n">
        <v>5706</v>
      </c>
      <c r="I299" s="43" t="n">
        <v>1996</v>
      </c>
      <c r="J299" s="43" t="n">
        <v>4136</v>
      </c>
      <c r="K299" s="42" t="inlineStr">
        <is>
          <t>US Senate</t>
        </is>
      </c>
      <c r="L299" s="43" t="n">
        <v>1268</v>
      </c>
      <c r="M299" s="43" t="n">
        <v>2982</v>
      </c>
      <c r="N299" s="43" t="n">
        <v>4259</v>
      </c>
      <c r="O299" s="44">
        <f>IFERROR((F299-G299)/(F299+G299),"")</f>
        <v/>
      </c>
      <c r="P299" s="44">
        <f>IFERROR((I299-J299)/(I299+J299),"")</f>
        <v/>
      </c>
      <c r="Q299" s="45">
        <f>IFERROR(O299-P299,"")</f>
        <v/>
      </c>
      <c r="R299" s="44">
        <f>IFERROR((L299-M299)/(L299+M299),"")</f>
        <v/>
      </c>
      <c r="S299" s="46">
        <f>H299/SUMIFS(Counties!$H$2:$H$1583,Counties!$A$2:$A$1583,$A299)</f>
        <v/>
      </c>
      <c r="T299" s="44">
        <f>O299+INDEX(Dashboard!$F$6:$F$22,MATCH($A299,Dashboard!$A$6:$A$22,0))</f>
        <v/>
      </c>
      <c r="U299" s="43">
        <f>AQ299*INDEX(Dashboard!$G$6:$G$22,MATCH($A299,Dashboard!$A$6:$A$22,0))</f>
        <v/>
      </c>
      <c r="V299" s="47" t="n"/>
      <c r="W299" s="47" t="n"/>
      <c r="X299" s="47" t="n"/>
      <c r="Y299" s="48" t="n"/>
      <c r="Z299" s="49" t="n"/>
      <c r="AA299" s="49" t="n"/>
      <c r="AB299" s="49" t="n"/>
      <c r="AC299" s="50" t="n"/>
      <c r="AD299" s="43">
        <f>IF(Z299&lt;&gt;"",Z299,N(V299))</f>
        <v/>
      </c>
      <c r="AE299" s="43">
        <f>IF(AA299&lt;&gt;"",AA299,N(W299))</f>
        <v/>
      </c>
      <c r="AF299" s="43">
        <f>AD299+AE299</f>
        <v/>
      </c>
      <c r="AG299" s="42">
        <f>IF(UPPER(AC299)="Y",1,IF(AF299=0,0,IF(AND(Z299="",Y299&lt;&gt;""),IF(Y299&gt;=0.999,1,0),IF(AF299&gt;=U299,1,0))))</f>
        <v/>
      </c>
      <c r="AH299" s="44">
        <f>IF(AF299&gt;0,(AD299-AE299)/AF299,"")</f>
        <v/>
      </c>
      <c r="AI299" s="45">
        <f>IF(AG299=1,AH299-O299,"")</f>
        <v/>
      </c>
      <c r="AJ299" s="44">
        <f>IF(AG299=1,AH299,MAX(-1,MIN(1,O299+INDEX(Types!$H:$H,MATCH($A299&amp;"|"&amp;$D299,Types!$A:$A,0)))))</f>
        <v/>
      </c>
      <c r="AK299" s="43">
        <f>IF(AG299=1,AF299,MAX(AQ299*AS299,AF299))</f>
        <v/>
      </c>
      <c r="AL299" s="43">
        <f>IF(AG299=1,AD299,AK299*(1+AJ299)/2)</f>
        <v/>
      </c>
      <c r="AM299" s="43">
        <f>IF(AG299=1,AE299,AK299*(1-AJ299)/2)</f>
        <v/>
      </c>
      <c r="AN299" s="45">
        <f>IF(AH299="","",AH299-T299)</f>
        <v/>
      </c>
      <c r="AO299" s="51">
        <f>IF(AG299=1,1,IF(U299&gt;0,MIN(AF299/U299,0.99),0))</f>
        <v/>
      </c>
      <c r="AP299" s="43">
        <f>IF(AG299=1,AI299*AF299,0)</f>
        <v/>
      </c>
      <c r="AQ299" s="43">
        <f>N299*(F299+G299)/H299</f>
        <v/>
      </c>
      <c r="AR299" s="43">
        <f>O299*AQ299</f>
        <v/>
      </c>
      <c r="AS299" s="52">
        <f>IF(AG299=1,IF(AQ299&gt;0,AF299/AQ299,1),IFERROR(INDEX(Types!$K:$K,MATCH($A299&amp;"|"&amp;$D299,Types!$A:$A,0)),INDEX(Dashboard!$X$6:$X$22,MATCH($A299,Dashboard!$A$6:$A$22,0))))</f>
        <v/>
      </c>
      <c r="AT299" s="43">
        <f>AQ299*INDEX(Dashboard!$Y$6:$Y$22,MATCH($A299,Dashboard!$A$6:$A$22,0))</f>
        <v/>
      </c>
      <c r="AU299" s="53">
        <f>IF(AND(AG299=1,AT299&gt;0,AF299&gt;0),100*AF299/AT299,"")</f>
        <v/>
      </c>
      <c r="AV299" s="44">
        <f>IF(AU299="","",T299/(AU299/100))</f>
        <v/>
      </c>
      <c r="AW299" s="53">
        <f>IF(AU299="","",IF(AND(ABS(AH299)&gt;=0.1,ABS(T299)&gt;=0.05,SIGN(AH299)=SIGN(T299)),100*T299/AH299,""))</f>
        <v/>
      </c>
      <c r="AX299" s="45">
        <f>IF(AU299="","",T299-AV299)</f>
        <v/>
      </c>
      <c r="AY299" s="45">
        <f>IF(AU299="","",AH299-AV299)</f>
        <v/>
      </c>
      <c r="AZ299" s="54">
        <f>(AL299-AM299)-T299*AT299</f>
        <v/>
      </c>
      <c r="BA299" s="43">
        <f>IF(AU299="",0,(AH299-T299)*AF299)</f>
        <v/>
      </c>
      <c r="BB299" s="43">
        <f>IF(AU299="",0,T299*(AF299-AT299))</f>
        <v/>
      </c>
      <c r="BC299" s="51" t="n">
        <v>0.007822376738305941</v>
      </c>
      <c r="BD299" s="51" t="n">
        <v>0.2031447534766119</v>
      </c>
      <c r="BE299" s="51" t="n">
        <v>0.2350750610962411</v>
      </c>
      <c r="BF299" s="43" t="n">
        <v>12656</v>
      </c>
    </row>
    <row r="300">
      <c r="A300" s="42" t="inlineStr">
        <is>
          <t>KS</t>
        </is>
      </c>
      <c r="B300" s="42" t="inlineStr">
        <is>
          <t>20001</t>
        </is>
      </c>
      <c r="C300" s="42" t="inlineStr">
        <is>
          <t>Allen</t>
        </is>
      </c>
      <c r="D300" s="42" t="inlineStr">
        <is>
          <t>Small town &amp; rural</t>
        </is>
      </c>
      <c r="E300" s="42" t="inlineStr"/>
      <c r="F300" s="43" t="n">
        <v>1445</v>
      </c>
      <c r="G300" s="43" t="n">
        <v>4029</v>
      </c>
      <c r="H300" s="43" t="n">
        <v>5600</v>
      </c>
      <c r="I300" s="43" t="n">
        <v>1559</v>
      </c>
      <c r="J300" s="43" t="n">
        <v>4155</v>
      </c>
      <c r="K300" s="42" t="inlineStr">
        <is>
          <t>US Senate</t>
        </is>
      </c>
      <c r="L300" s="43" t="n">
        <v>984</v>
      </c>
      <c r="M300" s="43" t="n">
        <v>3014</v>
      </c>
      <c r="N300" s="43" t="n">
        <v>4122</v>
      </c>
      <c r="O300" s="44">
        <f>IFERROR((F300-G300)/(F300+G300),"")</f>
        <v/>
      </c>
      <c r="P300" s="44">
        <f>IFERROR((I300-J300)/(I300+J300),"")</f>
        <v/>
      </c>
      <c r="Q300" s="45">
        <f>IFERROR(O300-P300,"")</f>
        <v/>
      </c>
      <c r="R300" s="44">
        <f>IFERROR((L300-M300)/(L300+M300),"")</f>
        <v/>
      </c>
      <c r="S300" s="46">
        <f>H300/SUMIFS(Counties!$H$2:$H$1583,Counties!$A$2:$A$1583,$A300)</f>
        <v/>
      </c>
      <c r="T300" s="44">
        <f>O300+INDEX(Dashboard!$F$6:$F$22,MATCH($A300,Dashboard!$A$6:$A$22,0))</f>
        <v/>
      </c>
      <c r="U300" s="43">
        <f>AQ300*INDEX(Dashboard!$G$6:$G$22,MATCH($A300,Dashboard!$A$6:$A$22,0))</f>
        <v/>
      </c>
      <c r="V300" s="47" t="n"/>
      <c r="W300" s="47" t="n"/>
      <c r="X300" s="47" t="n"/>
      <c r="Y300" s="48" t="n"/>
      <c r="Z300" s="49" t="n"/>
      <c r="AA300" s="49" t="n"/>
      <c r="AB300" s="49" t="n"/>
      <c r="AC300" s="50" t="n"/>
      <c r="AD300" s="43">
        <f>IF(Z300&lt;&gt;"",Z300,N(V300))</f>
        <v/>
      </c>
      <c r="AE300" s="43">
        <f>IF(AA300&lt;&gt;"",AA300,N(W300))</f>
        <v/>
      </c>
      <c r="AF300" s="43">
        <f>AD300+AE300</f>
        <v/>
      </c>
      <c r="AG300" s="42">
        <f>IF(UPPER(AC300)="Y",1,IF(AF300=0,0,IF(AND(Z300="",Y300&lt;&gt;""),IF(Y300&gt;=0.999,1,0),IF(AF300&gt;=U300,1,0))))</f>
        <v/>
      </c>
      <c r="AH300" s="44">
        <f>IF(AF300&gt;0,(AD300-AE300)/AF300,"")</f>
        <v/>
      </c>
      <c r="AI300" s="45">
        <f>IF(AG300=1,AH300-O300,"")</f>
        <v/>
      </c>
      <c r="AJ300" s="44">
        <f>IF(AG300=1,AH300,MAX(-1,MIN(1,O300+INDEX(Types!$H:$H,MATCH($A300&amp;"|"&amp;$D300,Types!$A:$A,0)))))</f>
        <v/>
      </c>
      <c r="AK300" s="43">
        <f>IF(AG300=1,AF300,MAX(AQ300*AS300,AF300))</f>
        <v/>
      </c>
      <c r="AL300" s="43">
        <f>IF(AG300=1,AD300,AK300*(1+AJ300)/2)</f>
        <v/>
      </c>
      <c r="AM300" s="43">
        <f>IF(AG300=1,AE300,AK300*(1-AJ300)/2)</f>
        <v/>
      </c>
      <c r="AN300" s="45">
        <f>IF(AH300="","",AH300-T300)</f>
        <v/>
      </c>
      <c r="AO300" s="51">
        <f>IF(AG300=1,1,IF(U300&gt;0,MIN(AF300/U300,0.99),0))</f>
        <v/>
      </c>
      <c r="AP300" s="43">
        <f>IF(AG300=1,AI300*AF300,0)</f>
        <v/>
      </c>
      <c r="AQ300" s="43">
        <f>N300*(F300+G300)/H300</f>
        <v/>
      </c>
      <c r="AR300" s="43">
        <f>O300*AQ300</f>
        <v/>
      </c>
      <c r="AS300" s="52">
        <f>IF(AG300=1,IF(AQ300&gt;0,AF300/AQ300,1),IFERROR(INDEX(Types!$K:$K,MATCH($A300&amp;"|"&amp;$D300,Types!$A:$A,0)),INDEX(Dashboard!$X$6:$X$22,MATCH($A300,Dashboard!$A$6:$A$22,0))))</f>
        <v/>
      </c>
      <c r="AT300" s="43">
        <f>AQ300*INDEX(Dashboard!$Y$6:$Y$22,MATCH($A300,Dashboard!$A$6:$A$22,0))</f>
        <v/>
      </c>
      <c r="AU300" s="53">
        <f>IF(AND(AG300=1,AT300&gt;0,AF300&gt;0),100*AF300/AT300,"")</f>
        <v/>
      </c>
      <c r="AV300" s="44">
        <f>IF(AU300="","",T300/(AU300/100))</f>
        <v/>
      </c>
      <c r="AW300" s="53">
        <f>IF(AU300="","",IF(AND(ABS(AH300)&gt;=0.1,ABS(T300)&gt;=0.05,SIGN(AH300)=SIGN(T300)),100*T300/AH300,""))</f>
        <v/>
      </c>
      <c r="AX300" s="45">
        <f>IF(AU300="","",T300-AV300)</f>
        <v/>
      </c>
      <c r="AY300" s="45">
        <f>IF(AU300="","",AH300-AV300)</f>
        <v/>
      </c>
      <c r="AZ300" s="54">
        <f>(AL300-AM300)-T300*AT300</f>
        <v/>
      </c>
      <c r="BA300" s="43">
        <f>IF(AU300="",0,(AH300-T300)*AF300)</f>
        <v/>
      </c>
      <c r="BB300" s="43">
        <f>IF(AU300="",0,T300*(AF300-AT300))</f>
        <v/>
      </c>
      <c r="BC300" s="51" t="n">
        <v>0.01901385755720271</v>
      </c>
      <c r="BD300" s="51" t="n">
        <v>0.04342571704801805</v>
      </c>
      <c r="BE300" s="51" t="n">
        <v>0.2127236580516899</v>
      </c>
      <c r="BF300" s="43" t="n">
        <v>12412</v>
      </c>
    </row>
    <row r="301">
      <c r="A301" s="42" t="inlineStr">
        <is>
          <t>KS</t>
        </is>
      </c>
      <c r="B301" s="42" t="inlineStr">
        <is>
          <t>20003</t>
        </is>
      </c>
      <c r="C301" s="42" t="inlineStr">
        <is>
          <t>Anderson</t>
        </is>
      </c>
      <c r="D301" s="42" t="inlineStr">
        <is>
          <t>Small town &amp; rural</t>
        </is>
      </c>
      <c r="E301" s="42" t="inlineStr"/>
      <c r="F301" s="43" t="n">
        <v>732</v>
      </c>
      <c r="G301" s="43" t="n">
        <v>2998</v>
      </c>
      <c r="H301" s="43" t="n">
        <v>3791</v>
      </c>
      <c r="I301" s="43" t="n">
        <v>765</v>
      </c>
      <c r="J301" s="43" t="n">
        <v>2874</v>
      </c>
      <c r="K301" s="42" t="inlineStr">
        <is>
          <t>US Senate</t>
        </is>
      </c>
      <c r="L301" s="43" t="n">
        <v>505</v>
      </c>
      <c r="M301" s="43" t="n">
        <v>2291</v>
      </c>
      <c r="N301" s="43" t="n">
        <v>2901</v>
      </c>
      <c r="O301" s="44">
        <f>IFERROR((F301-G301)/(F301+G301),"")</f>
        <v/>
      </c>
      <c r="P301" s="44">
        <f>IFERROR((I301-J301)/(I301+J301),"")</f>
        <v/>
      </c>
      <c r="Q301" s="45">
        <f>IFERROR(O301-P301,"")</f>
        <v/>
      </c>
      <c r="R301" s="44">
        <f>IFERROR((L301-M301)/(L301+M301),"")</f>
        <v/>
      </c>
      <c r="S301" s="46">
        <f>H301/SUMIFS(Counties!$H$2:$H$1583,Counties!$A$2:$A$1583,$A301)</f>
        <v/>
      </c>
      <c r="T301" s="44">
        <f>O301+INDEX(Dashboard!$F$6:$F$22,MATCH($A301,Dashboard!$A$6:$A$22,0))</f>
        <v/>
      </c>
      <c r="U301" s="43">
        <f>AQ301*INDEX(Dashboard!$G$6:$G$22,MATCH($A301,Dashboard!$A$6:$A$22,0))</f>
        <v/>
      </c>
      <c r="V301" s="47" t="n"/>
      <c r="W301" s="47" t="n"/>
      <c r="X301" s="47" t="n"/>
      <c r="Y301" s="48" t="n"/>
      <c r="Z301" s="49" t="n"/>
      <c r="AA301" s="49" t="n"/>
      <c r="AB301" s="49" t="n"/>
      <c r="AC301" s="50" t="n"/>
      <c r="AD301" s="43">
        <f>IF(Z301&lt;&gt;"",Z301,N(V301))</f>
        <v/>
      </c>
      <c r="AE301" s="43">
        <f>IF(AA301&lt;&gt;"",AA301,N(W301))</f>
        <v/>
      </c>
      <c r="AF301" s="43">
        <f>AD301+AE301</f>
        <v/>
      </c>
      <c r="AG301" s="42">
        <f>IF(UPPER(AC301)="Y",1,IF(AF301=0,0,IF(AND(Z301="",Y301&lt;&gt;""),IF(Y301&gt;=0.999,1,0),IF(AF301&gt;=U301,1,0))))</f>
        <v/>
      </c>
      <c r="AH301" s="44">
        <f>IF(AF301&gt;0,(AD301-AE301)/AF301,"")</f>
        <v/>
      </c>
      <c r="AI301" s="45">
        <f>IF(AG301=1,AH301-O301,"")</f>
        <v/>
      </c>
      <c r="AJ301" s="44">
        <f>IF(AG301=1,AH301,MAX(-1,MIN(1,O301+INDEX(Types!$H:$H,MATCH($A301&amp;"|"&amp;$D301,Types!$A:$A,0)))))</f>
        <v/>
      </c>
      <c r="AK301" s="43">
        <f>IF(AG301=1,AF301,MAX(AQ301*AS301,AF301))</f>
        <v/>
      </c>
      <c r="AL301" s="43">
        <f>IF(AG301=1,AD301,AK301*(1+AJ301)/2)</f>
        <v/>
      </c>
      <c r="AM301" s="43">
        <f>IF(AG301=1,AE301,AK301*(1-AJ301)/2)</f>
        <v/>
      </c>
      <c r="AN301" s="45">
        <f>IF(AH301="","",AH301-T301)</f>
        <v/>
      </c>
      <c r="AO301" s="51">
        <f>IF(AG301=1,1,IF(U301&gt;0,MIN(AF301/U301,0.99),0))</f>
        <v/>
      </c>
      <c r="AP301" s="43">
        <f>IF(AG301=1,AI301*AF301,0)</f>
        <v/>
      </c>
      <c r="AQ301" s="43">
        <f>N301*(F301+G301)/H301</f>
        <v/>
      </c>
      <c r="AR301" s="43">
        <f>O301*AQ301</f>
        <v/>
      </c>
      <c r="AS301" s="52">
        <f>IF(AG301=1,IF(AQ301&gt;0,AF301/AQ301,1),IFERROR(INDEX(Types!$K:$K,MATCH($A301&amp;"|"&amp;$D301,Types!$A:$A,0)),INDEX(Dashboard!$X$6:$X$22,MATCH($A301,Dashboard!$A$6:$A$22,0))))</f>
        <v/>
      </c>
      <c r="AT301" s="43">
        <f>AQ301*INDEX(Dashboard!$Y$6:$Y$22,MATCH($A301,Dashboard!$A$6:$A$22,0))</f>
        <v/>
      </c>
      <c r="AU301" s="53">
        <f>IF(AND(AG301=1,AT301&gt;0,AF301&gt;0),100*AF301/AT301,"")</f>
        <v/>
      </c>
      <c r="AV301" s="44">
        <f>IF(AU301="","",T301/(AU301/100))</f>
        <v/>
      </c>
      <c r="AW301" s="53">
        <f>IF(AU301="","",IF(AND(ABS(AH301)&gt;=0.1,ABS(T301)&gt;=0.05,SIGN(AH301)=SIGN(T301)),100*T301/AH301,""))</f>
        <v/>
      </c>
      <c r="AX301" s="45">
        <f>IF(AU301="","",T301-AV301)</f>
        <v/>
      </c>
      <c r="AY301" s="45">
        <f>IF(AU301="","",AH301-AV301)</f>
        <v/>
      </c>
      <c r="AZ301" s="54">
        <f>(AL301-AM301)-T301*AT301</f>
        <v/>
      </c>
      <c r="BA301" s="43">
        <f>IF(AU301="",0,(AH301-T301)*AF301)</f>
        <v/>
      </c>
      <c r="BB301" s="43">
        <f>IF(AU301="",0,T301*(AF301-AT301))</f>
        <v/>
      </c>
      <c r="BC301" s="51" t="n">
        <v>0.01071701964786935</v>
      </c>
      <c r="BD301" s="51" t="n">
        <v>0.02653738198520031</v>
      </c>
      <c r="BE301" s="51" t="n">
        <v>0.1580868228966577</v>
      </c>
      <c r="BF301" s="43" t="n">
        <v>7838</v>
      </c>
    </row>
    <row r="302">
      <c r="A302" s="42" t="inlineStr">
        <is>
          <t>KS</t>
        </is>
      </c>
      <c r="B302" s="42" t="inlineStr">
        <is>
          <t>20005</t>
        </is>
      </c>
      <c r="C302" s="42" t="inlineStr">
        <is>
          <t>Atchison</t>
        </is>
      </c>
      <c r="D302" s="42" t="inlineStr">
        <is>
          <t>Small town &amp; rural</t>
        </is>
      </c>
      <c r="E302" s="42" t="inlineStr"/>
      <c r="F302" s="43" t="n">
        <v>2201</v>
      </c>
      <c r="G302" s="43" t="n">
        <v>4911</v>
      </c>
      <c r="H302" s="43" t="n">
        <v>7255</v>
      </c>
      <c r="I302" s="43" t="n">
        <v>2314</v>
      </c>
      <c r="J302" s="43" t="n">
        <v>4826</v>
      </c>
      <c r="K302" s="42" t="inlineStr">
        <is>
          <t>US Senate</t>
        </is>
      </c>
      <c r="L302" s="43" t="n">
        <v>1413</v>
      </c>
      <c r="M302" s="43" t="n">
        <v>3936</v>
      </c>
      <c r="N302" s="43" t="n">
        <v>5486</v>
      </c>
      <c r="O302" s="44">
        <f>IFERROR((F302-G302)/(F302+G302),"")</f>
        <v/>
      </c>
      <c r="P302" s="44">
        <f>IFERROR((I302-J302)/(I302+J302),"")</f>
        <v/>
      </c>
      <c r="Q302" s="45">
        <f>IFERROR(O302-P302,"")</f>
        <v/>
      </c>
      <c r="R302" s="44">
        <f>IFERROR((L302-M302)/(L302+M302),"")</f>
        <v/>
      </c>
      <c r="S302" s="46">
        <f>H302/SUMIFS(Counties!$H$2:$H$1583,Counties!$A$2:$A$1583,$A302)</f>
        <v/>
      </c>
      <c r="T302" s="44">
        <f>O302+INDEX(Dashboard!$F$6:$F$22,MATCH($A302,Dashboard!$A$6:$A$22,0))</f>
        <v/>
      </c>
      <c r="U302" s="43">
        <f>AQ302*INDEX(Dashboard!$G$6:$G$22,MATCH($A302,Dashboard!$A$6:$A$22,0))</f>
        <v/>
      </c>
      <c r="V302" s="47" t="n"/>
      <c r="W302" s="47" t="n"/>
      <c r="X302" s="47" t="n"/>
      <c r="Y302" s="48" t="n"/>
      <c r="Z302" s="49" t="n"/>
      <c r="AA302" s="49" t="n"/>
      <c r="AB302" s="49" t="n"/>
      <c r="AC302" s="50" t="n"/>
      <c r="AD302" s="43">
        <f>IF(Z302&lt;&gt;"",Z302,N(V302))</f>
        <v/>
      </c>
      <c r="AE302" s="43">
        <f>IF(AA302&lt;&gt;"",AA302,N(W302))</f>
        <v/>
      </c>
      <c r="AF302" s="43">
        <f>AD302+AE302</f>
        <v/>
      </c>
      <c r="AG302" s="42">
        <f>IF(UPPER(AC302)="Y",1,IF(AF302=0,0,IF(AND(Z302="",Y302&lt;&gt;""),IF(Y302&gt;=0.999,1,0),IF(AF302&gt;=U302,1,0))))</f>
        <v/>
      </c>
      <c r="AH302" s="44">
        <f>IF(AF302&gt;0,(AD302-AE302)/AF302,"")</f>
        <v/>
      </c>
      <c r="AI302" s="45">
        <f>IF(AG302=1,AH302-O302,"")</f>
        <v/>
      </c>
      <c r="AJ302" s="44">
        <f>IF(AG302=1,AH302,MAX(-1,MIN(1,O302+INDEX(Types!$H:$H,MATCH($A302&amp;"|"&amp;$D302,Types!$A:$A,0)))))</f>
        <v/>
      </c>
      <c r="AK302" s="43">
        <f>IF(AG302=1,AF302,MAX(AQ302*AS302,AF302))</f>
        <v/>
      </c>
      <c r="AL302" s="43">
        <f>IF(AG302=1,AD302,AK302*(1+AJ302)/2)</f>
        <v/>
      </c>
      <c r="AM302" s="43">
        <f>IF(AG302=1,AE302,AK302*(1-AJ302)/2)</f>
        <v/>
      </c>
      <c r="AN302" s="45">
        <f>IF(AH302="","",AH302-T302)</f>
        <v/>
      </c>
      <c r="AO302" s="51">
        <f>IF(AG302=1,1,IF(U302&gt;0,MIN(AF302/U302,0.99),0))</f>
        <v/>
      </c>
      <c r="AP302" s="43">
        <f>IF(AG302=1,AI302*AF302,0)</f>
        <v/>
      </c>
      <c r="AQ302" s="43">
        <f>N302*(F302+G302)/H302</f>
        <v/>
      </c>
      <c r="AR302" s="43">
        <f>O302*AQ302</f>
        <v/>
      </c>
      <c r="AS302" s="52">
        <f>IF(AG302=1,IF(AQ302&gt;0,AF302/AQ302,1),IFERROR(INDEX(Types!$K:$K,MATCH($A302&amp;"|"&amp;$D302,Types!$A:$A,0)),INDEX(Dashboard!$X$6:$X$22,MATCH($A302,Dashboard!$A$6:$A$22,0))))</f>
        <v/>
      </c>
      <c r="AT302" s="43">
        <f>AQ302*INDEX(Dashboard!$Y$6:$Y$22,MATCH($A302,Dashboard!$A$6:$A$22,0))</f>
        <v/>
      </c>
      <c r="AU302" s="53">
        <f>IF(AND(AG302=1,AT302&gt;0,AF302&gt;0),100*AF302/AT302,"")</f>
        <v/>
      </c>
      <c r="AV302" s="44">
        <f>IF(AU302="","",T302/(AU302/100))</f>
        <v/>
      </c>
      <c r="AW302" s="53">
        <f>IF(AU302="","",IF(AND(ABS(AH302)&gt;=0.1,ABS(T302)&gt;=0.05,SIGN(AH302)=SIGN(T302)),100*T302/AH302,""))</f>
        <v/>
      </c>
      <c r="AX302" s="45">
        <f>IF(AU302="","",T302-AV302)</f>
        <v/>
      </c>
      <c r="AY302" s="45">
        <f>IF(AU302="","",AH302-AV302)</f>
        <v/>
      </c>
      <c r="AZ302" s="54">
        <f>(AL302-AM302)-T302*AT302</f>
        <v/>
      </c>
      <c r="BA302" s="43">
        <f>IF(AU302="",0,(AH302-T302)*AF302)</f>
        <v/>
      </c>
      <c r="BB302" s="43">
        <f>IF(AU302="",0,T302*(AF302-AT302))</f>
        <v/>
      </c>
      <c r="BC302" s="51" t="n">
        <v>0.04227022977022977</v>
      </c>
      <c r="BD302" s="51" t="n">
        <v>0.03858641358641358</v>
      </c>
      <c r="BE302" s="51" t="n">
        <v>0.2292001607717042</v>
      </c>
      <c r="BF302" s="43" t="n">
        <v>16016</v>
      </c>
    </row>
    <row r="303">
      <c r="A303" s="42" t="inlineStr">
        <is>
          <t>KS</t>
        </is>
      </c>
      <c r="B303" s="42" t="inlineStr">
        <is>
          <t>20007</t>
        </is>
      </c>
      <c r="C303" s="42" t="inlineStr">
        <is>
          <t>Barber</t>
        </is>
      </c>
      <c r="D303" s="42" t="inlineStr">
        <is>
          <t>Small town &amp; rural</t>
        </is>
      </c>
      <c r="E303" s="42" t="inlineStr"/>
      <c r="F303" s="43" t="n">
        <v>288</v>
      </c>
      <c r="G303" s="43" t="n">
        <v>1854</v>
      </c>
      <c r="H303" s="43" t="n">
        <v>2170</v>
      </c>
      <c r="I303" s="43" t="n">
        <v>284</v>
      </c>
      <c r="J303" s="43" t="n">
        <v>1992</v>
      </c>
      <c r="K303" s="42" t="inlineStr">
        <is>
          <t>US Senate</t>
        </is>
      </c>
      <c r="L303" s="43" t="n">
        <v>169</v>
      </c>
      <c r="M303" s="43" t="n">
        <v>1521</v>
      </c>
      <c r="N303" s="43" t="n">
        <v>1737</v>
      </c>
      <c r="O303" s="44">
        <f>IFERROR((F303-G303)/(F303+G303),"")</f>
        <v/>
      </c>
      <c r="P303" s="44">
        <f>IFERROR((I303-J303)/(I303+J303),"")</f>
        <v/>
      </c>
      <c r="Q303" s="45">
        <f>IFERROR(O303-P303,"")</f>
        <v/>
      </c>
      <c r="R303" s="44">
        <f>IFERROR((L303-M303)/(L303+M303),"")</f>
        <v/>
      </c>
      <c r="S303" s="46">
        <f>H303/SUMIFS(Counties!$H$2:$H$1583,Counties!$A$2:$A$1583,$A303)</f>
        <v/>
      </c>
      <c r="T303" s="44">
        <f>O303+INDEX(Dashboard!$F$6:$F$22,MATCH($A303,Dashboard!$A$6:$A$22,0))</f>
        <v/>
      </c>
      <c r="U303" s="43">
        <f>AQ303*INDEX(Dashboard!$G$6:$G$22,MATCH($A303,Dashboard!$A$6:$A$22,0))</f>
        <v/>
      </c>
      <c r="V303" s="47" t="n"/>
      <c r="W303" s="47" t="n"/>
      <c r="X303" s="47" t="n"/>
      <c r="Y303" s="48" t="n"/>
      <c r="Z303" s="49" t="n"/>
      <c r="AA303" s="49" t="n"/>
      <c r="AB303" s="49" t="n"/>
      <c r="AC303" s="50" t="n"/>
      <c r="AD303" s="43">
        <f>IF(Z303&lt;&gt;"",Z303,N(V303))</f>
        <v/>
      </c>
      <c r="AE303" s="43">
        <f>IF(AA303&lt;&gt;"",AA303,N(W303))</f>
        <v/>
      </c>
      <c r="AF303" s="43">
        <f>AD303+AE303</f>
        <v/>
      </c>
      <c r="AG303" s="42">
        <f>IF(UPPER(AC303)="Y",1,IF(AF303=0,0,IF(AND(Z303="",Y303&lt;&gt;""),IF(Y303&gt;=0.999,1,0),IF(AF303&gt;=U303,1,0))))</f>
        <v/>
      </c>
      <c r="AH303" s="44">
        <f>IF(AF303&gt;0,(AD303-AE303)/AF303,"")</f>
        <v/>
      </c>
      <c r="AI303" s="45">
        <f>IF(AG303=1,AH303-O303,"")</f>
        <v/>
      </c>
      <c r="AJ303" s="44">
        <f>IF(AG303=1,AH303,MAX(-1,MIN(1,O303+INDEX(Types!$H:$H,MATCH($A303&amp;"|"&amp;$D303,Types!$A:$A,0)))))</f>
        <v/>
      </c>
      <c r="AK303" s="43">
        <f>IF(AG303=1,AF303,MAX(AQ303*AS303,AF303))</f>
        <v/>
      </c>
      <c r="AL303" s="43">
        <f>IF(AG303=1,AD303,AK303*(1+AJ303)/2)</f>
        <v/>
      </c>
      <c r="AM303" s="43">
        <f>IF(AG303=1,AE303,AK303*(1-AJ303)/2)</f>
        <v/>
      </c>
      <c r="AN303" s="45">
        <f>IF(AH303="","",AH303-T303)</f>
        <v/>
      </c>
      <c r="AO303" s="51">
        <f>IF(AG303=1,1,IF(U303&gt;0,MIN(AF303/U303,0.99),0))</f>
        <v/>
      </c>
      <c r="AP303" s="43">
        <f>IF(AG303=1,AI303*AF303,0)</f>
        <v/>
      </c>
      <c r="AQ303" s="43">
        <f>N303*(F303+G303)/H303</f>
        <v/>
      </c>
      <c r="AR303" s="43">
        <f>O303*AQ303</f>
        <v/>
      </c>
      <c r="AS303" s="52">
        <f>IF(AG303=1,IF(AQ303&gt;0,AF303/AQ303,1),IFERROR(INDEX(Types!$K:$K,MATCH($A303&amp;"|"&amp;$D303,Types!$A:$A,0)),INDEX(Dashboard!$X$6:$X$22,MATCH($A303,Dashboard!$A$6:$A$22,0))))</f>
        <v/>
      </c>
      <c r="AT303" s="43">
        <f>AQ303*INDEX(Dashboard!$Y$6:$Y$22,MATCH($A303,Dashboard!$A$6:$A$22,0))</f>
        <v/>
      </c>
      <c r="AU303" s="53">
        <f>IF(AND(AG303=1,AT303&gt;0,AF303&gt;0),100*AF303/AT303,"")</f>
        <v/>
      </c>
      <c r="AV303" s="44">
        <f>IF(AU303="","",T303/(AU303/100))</f>
        <v/>
      </c>
      <c r="AW303" s="53">
        <f>IF(AU303="","",IF(AND(ABS(AH303)&gt;=0.1,ABS(T303)&gt;=0.05,SIGN(AH303)=SIGN(T303)),100*T303/AH303,""))</f>
        <v/>
      </c>
      <c r="AX303" s="45">
        <f>IF(AU303="","",T303-AV303)</f>
        <v/>
      </c>
      <c r="AY303" s="45">
        <f>IF(AU303="","",AH303-AV303)</f>
        <v/>
      </c>
      <c r="AZ303" s="54">
        <f>(AL303-AM303)-T303*AT303</f>
        <v/>
      </c>
      <c r="BA303" s="43">
        <f>IF(AU303="",0,(AH303-T303)*AF303)</f>
        <v/>
      </c>
      <c r="BB303" s="43">
        <f>IF(AU303="",0,T303*(AF303-AT303))</f>
        <v/>
      </c>
      <c r="BC303" s="51" t="n">
        <v>0.009579955784819455</v>
      </c>
      <c r="BD303" s="51" t="n">
        <v>0.04249570130189143</v>
      </c>
      <c r="BE303" s="51" t="n">
        <v>0.2712464589235127</v>
      </c>
      <c r="BF303" s="43" t="n">
        <v>4071</v>
      </c>
    </row>
    <row r="304">
      <c r="A304" s="42" t="inlineStr">
        <is>
          <t>KS</t>
        </is>
      </c>
      <c r="B304" s="42" t="inlineStr">
        <is>
          <t>20009</t>
        </is>
      </c>
      <c r="C304" s="42" t="inlineStr">
        <is>
          <t>Barton</t>
        </is>
      </c>
      <c r="D304" s="42" t="inlineStr">
        <is>
          <t>Small town &amp; rural</t>
        </is>
      </c>
      <c r="E304" s="42" t="inlineStr"/>
      <c r="F304" s="43" t="n">
        <v>2207</v>
      </c>
      <c r="G304" s="43" t="n">
        <v>8205</v>
      </c>
      <c r="H304" s="43" t="n">
        <v>10570</v>
      </c>
      <c r="I304" s="43" t="n">
        <v>2302</v>
      </c>
      <c r="J304" s="43" t="n">
        <v>8480</v>
      </c>
      <c r="K304" s="42" t="inlineStr">
        <is>
          <t>US Senate</t>
        </is>
      </c>
      <c r="L304" s="43" t="n">
        <v>1232</v>
      </c>
      <c r="M304" s="43" t="n">
        <v>6626</v>
      </c>
      <c r="N304" s="43" t="n">
        <v>8072</v>
      </c>
      <c r="O304" s="44">
        <f>IFERROR((F304-G304)/(F304+G304),"")</f>
        <v/>
      </c>
      <c r="P304" s="44">
        <f>IFERROR((I304-J304)/(I304+J304),"")</f>
        <v/>
      </c>
      <c r="Q304" s="45">
        <f>IFERROR(O304-P304,"")</f>
        <v/>
      </c>
      <c r="R304" s="44">
        <f>IFERROR((L304-M304)/(L304+M304),"")</f>
        <v/>
      </c>
      <c r="S304" s="46">
        <f>H304/SUMIFS(Counties!$H$2:$H$1583,Counties!$A$2:$A$1583,$A304)</f>
        <v/>
      </c>
      <c r="T304" s="44">
        <f>O304+INDEX(Dashboard!$F$6:$F$22,MATCH($A304,Dashboard!$A$6:$A$22,0))</f>
        <v/>
      </c>
      <c r="U304" s="43">
        <f>AQ304*INDEX(Dashboard!$G$6:$G$22,MATCH($A304,Dashboard!$A$6:$A$22,0))</f>
        <v/>
      </c>
      <c r="V304" s="47" t="n"/>
      <c r="W304" s="47" t="n"/>
      <c r="X304" s="47" t="n"/>
      <c r="Y304" s="48" t="n"/>
      <c r="Z304" s="49" t="n"/>
      <c r="AA304" s="49" t="n"/>
      <c r="AB304" s="49" t="n"/>
      <c r="AC304" s="50" t="n"/>
      <c r="AD304" s="43">
        <f>IF(Z304&lt;&gt;"",Z304,N(V304))</f>
        <v/>
      </c>
      <c r="AE304" s="43">
        <f>IF(AA304&lt;&gt;"",AA304,N(W304))</f>
        <v/>
      </c>
      <c r="AF304" s="43">
        <f>AD304+AE304</f>
        <v/>
      </c>
      <c r="AG304" s="42">
        <f>IF(UPPER(AC304)="Y",1,IF(AF304=0,0,IF(AND(Z304="",Y304&lt;&gt;""),IF(Y304&gt;=0.999,1,0),IF(AF304&gt;=U304,1,0))))</f>
        <v/>
      </c>
      <c r="AH304" s="44">
        <f>IF(AF304&gt;0,(AD304-AE304)/AF304,"")</f>
        <v/>
      </c>
      <c r="AI304" s="45">
        <f>IF(AG304=1,AH304-O304,"")</f>
        <v/>
      </c>
      <c r="AJ304" s="44">
        <f>IF(AG304=1,AH304,MAX(-1,MIN(1,O304+INDEX(Types!$H:$H,MATCH($A304&amp;"|"&amp;$D304,Types!$A:$A,0)))))</f>
        <v/>
      </c>
      <c r="AK304" s="43">
        <f>IF(AG304=1,AF304,MAX(AQ304*AS304,AF304))</f>
        <v/>
      </c>
      <c r="AL304" s="43">
        <f>IF(AG304=1,AD304,AK304*(1+AJ304)/2)</f>
        <v/>
      </c>
      <c r="AM304" s="43">
        <f>IF(AG304=1,AE304,AK304*(1-AJ304)/2)</f>
        <v/>
      </c>
      <c r="AN304" s="45">
        <f>IF(AH304="","",AH304-T304)</f>
        <v/>
      </c>
      <c r="AO304" s="51">
        <f>IF(AG304=1,1,IF(U304&gt;0,MIN(AF304/U304,0.99),0))</f>
        <v/>
      </c>
      <c r="AP304" s="43">
        <f>IF(AG304=1,AI304*AF304,0)</f>
        <v/>
      </c>
      <c r="AQ304" s="43">
        <f>N304*(F304+G304)/H304</f>
        <v/>
      </c>
      <c r="AR304" s="43">
        <f>O304*AQ304</f>
        <v/>
      </c>
      <c r="AS304" s="52">
        <f>IF(AG304=1,IF(AQ304&gt;0,AF304/AQ304,1),IFERROR(INDEX(Types!$K:$K,MATCH($A304&amp;"|"&amp;$D304,Types!$A:$A,0)),INDEX(Dashboard!$X$6:$X$22,MATCH($A304,Dashboard!$A$6:$A$22,0))))</f>
        <v/>
      </c>
      <c r="AT304" s="43">
        <f>AQ304*INDEX(Dashboard!$Y$6:$Y$22,MATCH($A304,Dashboard!$A$6:$A$22,0))</f>
        <v/>
      </c>
      <c r="AU304" s="53">
        <f>IF(AND(AG304=1,AT304&gt;0,AF304&gt;0),100*AF304/AT304,"")</f>
        <v/>
      </c>
      <c r="AV304" s="44">
        <f>IF(AU304="","",T304/(AU304/100))</f>
        <v/>
      </c>
      <c r="AW304" s="53">
        <f>IF(AU304="","",IF(AND(ABS(AH304)&gt;=0.1,ABS(T304)&gt;=0.05,SIGN(AH304)=SIGN(T304)),100*T304/AH304,""))</f>
        <v/>
      </c>
      <c r="AX304" s="45">
        <f>IF(AU304="","",T304-AV304)</f>
        <v/>
      </c>
      <c r="AY304" s="45">
        <f>IF(AU304="","",AH304-AV304)</f>
        <v/>
      </c>
      <c r="AZ304" s="54">
        <f>(AL304-AM304)-T304*AT304</f>
        <v/>
      </c>
      <c r="BA304" s="43">
        <f>IF(AU304="",0,(AH304-T304)*AF304)</f>
        <v/>
      </c>
      <c r="BB304" s="43">
        <f>IF(AU304="",0,T304*(AF304-AT304))</f>
        <v/>
      </c>
      <c r="BC304" s="51" t="n">
        <v>0.01305273304148761</v>
      </c>
      <c r="BD304" s="51" t="n">
        <v>0.168199526085385</v>
      </c>
      <c r="BE304" s="51" t="n">
        <v>0.2167229533015023</v>
      </c>
      <c r="BF304" s="43" t="n">
        <v>24899</v>
      </c>
    </row>
    <row r="305">
      <c r="A305" s="42" t="inlineStr">
        <is>
          <t>KS</t>
        </is>
      </c>
      <c r="B305" s="42" t="inlineStr">
        <is>
          <t>20011</t>
        </is>
      </c>
      <c r="C305" s="42" t="inlineStr">
        <is>
          <t>Bourbon</t>
        </is>
      </c>
      <c r="D305" s="42" t="inlineStr">
        <is>
          <t>Small town &amp; rural</t>
        </is>
      </c>
      <c r="E305" s="42" t="inlineStr"/>
      <c r="F305" s="43" t="n">
        <v>1444</v>
      </c>
      <c r="G305" s="43" t="n">
        <v>5003</v>
      </c>
      <c r="H305" s="43" t="n">
        <v>6572</v>
      </c>
      <c r="I305" s="43" t="n">
        <v>1505</v>
      </c>
      <c r="J305" s="43" t="n">
        <v>4910</v>
      </c>
      <c r="K305" s="42" t="inlineStr">
        <is>
          <t>US Senate</t>
        </is>
      </c>
      <c r="L305" s="43" t="n">
        <v>1050</v>
      </c>
      <c r="M305" s="43" t="n">
        <v>3561</v>
      </c>
      <c r="N305" s="43" t="n">
        <v>4787</v>
      </c>
      <c r="O305" s="44">
        <f>IFERROR((F305-G305)/(F305+G305),"")</f>
        <v/>
      </c>
      <c r="P305" s="44">
        <f>IFERROR((I305-J305)/(I305+J305),"")</f>
        <v/>
      </c>
      <c r="Q305" s="45">
        <f>IFERROR(O305-P305,"")</f>
        <v/>
      </c>
      <c r="R305" s="44">
        <f>IFERROR((L305-M305)/(L305+M305),"")</f>
        <v/>
      </c>
      <c r="S305" s="46">
        <f>H305/SUMIFS(Counties!$H$2:$H$1583,Counties!$A$2:$A$1583,$A305)</f>
        <v/>
      </c>
      <c r="T305" s="44">
        <f>O305+INDEX(Dashboard!$F$6:$F$22,MATCH($A305,Dashboard!$A$6:$A$22,0))</f>
        <v/>
      </c>
      <c r="U305" s="43">
        <f>AQ305*INDEX(Dashboard!$G$6:$G$22,MATCH($A305,Dashboard!$A$6:$A$22,0))</f>
        <v/>
      </c>
      <c r="V305" s="47" t="n"/>
      <c r="W305" s="47" t="n"/>
      <c r="X305" s="47" t="n"/>
      <c r="Y305" s="48" t="n"/>
      <c r="Z305" s="49" t="n"/>
      <c r="AA305" s="49" t="n"/>
      <c r="AB305" s="49" t="n"/>
      <c r="AC305" s="50" t="n"/>
      <c r="AD305" s="43">
        <f>IF(Z305&lt;&gt;"",Z305,N(V305))</f>
        <v/>
      </c>
      <c r="AE305" s="43">
        <f>IF(AA305&lt;&gt;"",AA305,N(W305))</f>
        <v/>
      </c>
      <c r="AF305" s="43">
        <f>AD305+AE305</f>
        <v/>
      </c>
      <c r="AG305" s="42">
        <f>IF(UPPER(AC305)="Y",1,IF(AF305=0,0,IF(AND(Z305="",Y305&lt;&gt;""),IF(Y305&gt;=0.999,1,0),IF(AF305&gt;=U305,1,0))))</f>
        <v/>
      </c>
      <c r="AH305" s="44">
        <f>IF(AF305&gt;0,(AD305-AE305)/AF305,"")</f>
        <v/>
      </c>
      <c r="AI305" s="45">
        <f>IF(AG305=1,AH305-O305,"")</f>
        <v/>
      </c>
      <c r="AJ305" s="44">
        <f>IF(AG305=1,AH305,MAX(-1,MIN(1,O305+INDEX(Types!$H:$H,MATCH($A305&amp;"|"&amp;$D305,Types!$A:$A,0)))))</f>
        <v/>
      </c>
      <c r="AK305" s="43">
        <f>IF(AG305=1,AF305,MAX(AQ305*AS305,AF305))</f>
        <v/>
      </c>
      <c r="AL305" s="43">
        <f>IF(AG305=1,AD305,AK305*(1+AJ305)/2)</f>
        <v/>
      </c>
      <c r="AM305" s="43">
        <f>IF(AG305=1,AE305,AK305*(1-AJ305)/2)</f>
        <v/>
      </c>
      <c r="AN305" s="45">
        <f>IF(AH305="","",AH305-T305)</f>
        <v/>
      </c>
      <c r="AO305" s="51">
        <f>IF(AG305=1,1,IF(U305&gt;0,MIN(AF305/U305,0.99),0))</f>
        <v/>
      </c>
      <c r="AP305" s="43">
        <f>IF(AG305=1,AI305*AF305,0)</f>
        <v/>
      </c>
      <c r="AQ305" s="43">
        <f>N305*(F305+G305)/H305</f>
        <v/>
      </c>
      <c r="AR305" s="43">
        <f>O305*AQ305</f>
        <v/>
      </c>
      <c r="AS305" s="52">
        <f>IF(AG305=1,IF(AQ305&gt;0,AF305/AQ305,1),IFERROR(INDEX(Types!$K:$K,MATCH($A305&amp;"|"&amp;$D305,Types!$A:$A,0)),INDEX(Dashboard!$X$6:$X$22,MATCH($A305,Dashboard!$A$6:$A$22,0))))</f>
        <v/>
      </c>
      <c r="AT305" s="43">
        <f>AQ305*INDEX(Dashboard!$Y$6:$Y$22,MATCH($A305,Dashboard!$A$6:$A$22,0))</f>
        <v/>
      </c>
      <c r="AU305" s="53">
        <f>IF(AND(AG305=1,AT305&gt;0,AF305&gt;0),100*AF305/AT305,"")</f>
        <v/>
      </c>
      <c r="AV305" s="44">
        <f>IF(AU305="","",T305/(AU305/100))</f>
        <v/>
      </c>
      <c r="AW305" s="53">
        <f>IF(AU305="","",IF(AND(ABS(AH305)&gt;=0.1,ABS(T305)&gt;=0.05,SIGN(AH305)=SIGN(T305)),100*T305/AH305,""))</f>
        <v/>
      </c>
      <c r="AX305" s="45">
        <f>IF(AU305="","",T305-AV305)</f>
        <v/>
      </c>
      <c r="AY305" s="45">
        <f>IF(AU305="","",AH305-AV305)</f>
        <v/>
      </c>
      <c r="AZ305" s="54">
        <f>(AL305-AM305)-T305*AT305</f>
        <v/>
      </c>
      <c r="BA305" s="43">
        <f>IF(AU305="",0,(AH305-T305)*AF305)</f>
        <v/>
      </c>
      <c r="BB305" s="43">
        <f>IF(AU305="",0,T305*(AF305-AT305))</f>
        <v/>
      </c>
      <c r="BC305" s="51" t="n">
        <v>0.02984453081621322</v>
      </c>
      <c r="BD305" s="51" t="n">
        <v>0.03352304275402554</v>
      </c>
      <c r="BE305" s="51" t="n">
        <v>0.2431114879186096</v>
      </c>
      <c r="BF305" s="43" t="n">
        <v>14408</v>
      </c>
    </row>
    <row r="306">
      <c r="A306" s="42" t="inlineStr">
        <is>
          <t>KS</t>
        </is>
      </c>
      <c r="B306" s="42" t="inlineStr">
        <is>
          <t>20013</t>
        </is>
      </c>
      <c r="C306" s="42" t="inlineStr">
        <is>
          <t>Brown</t>
        </is>
      </c>
      <c r="D306" s="42" t="inlineStr">
        <is>
          <t>Small town &amp; rural</t>
        </is>
      </c>
      <c r="E306" s="42" t="inlineStr"/>
      <c r="F306" s="43" t="n">
        <v>1065</v>
      </c>
      <c r="G306" s="43" t="n">
        <v>3106</v>
      </c>
      <c r="H306" s="43" t="n">
        <v>4258</v>
      </c>
      <c r="I306" s="43" t="n">
        <v>1088</v>
      </c>
      <c r="J306" s="43" t="n">
        <v>3206</v>
      </c>
      <c r="K306" s="42" t="inlineStr">
        <is>
          <t>US Senate</t>
        </is>
      </c>
      <c r="L306" s="43" t="n">
        <v>646</v>
      </c>
      <c r="M306" s="43" t="n">
        <v>2588</v>
      </c>
      <c r="N306" s="43" t="n">
        <v>3353</v>
      </c>
      <c r="O306" s="44">
        <f>IFERROR((F306-G306)/(F306+G306),"")</f>
        <v/>
      </c>
      <c r="P306" s="44">
        <f>IFERROR((I306-J306)/(I306+J306),"")</f>
        <v/>
      </c>
      <c r="Q306" s="45">
        <f>IFERROR(O306-P306,"")</f>
        <v/>
      </c>
      <c r="R306" s="44">
        <f>IFERROR((L306-M306)/(L306+M306),"")</f>
        <v/>
      </c>
      <c r="S306" s="46">
        <f>H306/SUMIFS(Counties!$H$2:$H$1583,Counties!$A$2:$A$1583,$A306)</f>
        <v/>
      </c>
      <c r="T306" s="44">
        <f>O306+INDEX(Dashboard!$F$6:$F$22,MATCH($A306,Dashboard!$A$6:$A$22,0))</f>
        <v/>
      </c>
      <c r="U306" s="43">
        <f>AQ306*INDEX(Dashboard!$G$6:$G$22,MATCH($A306,Dashboard!$A$6:$A$22,0))</f>
        <v/>
      </c>
      <c r="V306" s="47" t="n"/>
      <c r="W306" s="47" t="n"/>
      <c r="X306" s="47" t="n"/>
      <c r="Y306" s="48" t="n"/>
      <c r="Z306" s="49" t="n"/>
      <c r="AA306" s="49" t="n"/>
      <c r="AB306" s="49" t="n"/>
      <c r="AC306" s="50" t="n"/>
      <c r="AD306" s="43">
        <f>IF(Z306&lt;&gt;"",Z306,N(V306))</f>
        <v/>
      </c>
      <c r="AE306" s="43">
        <f>IF(AA306&lt;&gt;"",AA306,N(W306))</f>
        <v/>
      </c>
      <c r="AF306" s="43">
        <f>AD306+AE306</f>
        <v/>
      </c>
      <c r="AG306" s="42">
        <f>IF(UPPER(AC306)="Y",1,IF(AF306=0,0,IF(AND(Z306="",Y306&lt;&gt;""),IF(Y306&gt;=0.999,1,0),IF(AF306&gt;=U306,1,0))))</f>
        <v/>
      </c>
      <c r="AH306" s="44">
        <f>IF(AF306&gt;0,(AD306-AE306)/AF306,"")</f>
        <v/>
      </c>
      <c r="AI306" s="45">
        <f>IF(AG306=1,AH306-O306,"")</f>
        <v/>
      </c>
      <c r="AJ306" s="44">
        <f>IF(AG306=1,AH306,MAX(-1,MIN(1,O306+INDEX(Types!$H:$H,MATCH($A306&amp;"|"&amp;$D306,Types!$A:$A,0)))))</f>
        <v/>
      </c>
      <c r="AK306" s="43">
        <f>IF(AG306=1,AF306,MAX(AQ306*AS306,AF306))</f>
        <v/>
      </c>
      <c r="AL306" s="43">
        <f>IF(AG306=1,AD306,AK306*(1+AJ306)/2)</f>
        <v/>
      </c>
      <c r="AM306" s="43">
        <f>IF(AG306=1,AE306,AK306*(1-AJ306)/2)</f>
        <v/>
      </c>
      <c r="AN306" s="45">
        <f>IF(AH306="","",AH306-T306)</f>
        <v/>
      </c>
      <c r="AO306" s="51">
        <f>IF(AG306=1,1,IF(U306&gt;0,MIN(AF306/U306,0.99),0))</f>
        <v/>
      </c>
      <c r="AP306" s="43">
        <f>IF(AG306=1,AI306*AF306,0)</f>
        <v/>
      </c>
      <c r="AQ306" s="43">
        <f>N306*(F306+G306)/H306</f>
        <v/>
      </c>
      <c r="AR306" s="43">
        <f>O306*AQ306</f>
        <v/>
      </c>
      <c r="AS306" s="52">
        <f>IF(AG306=1,IF(AQ306&gt;0,AF306/AQ306,1),IFERROR(INDEX(Types!$K:$K,MATCH($A306&amp;"|"&amp;$D306,Types!$A:$A,0)),INDEX(Dashboard!$X$6:$X$22,MATCH($A306,Dashboard!$A$6:$A$22,0))))</f>
        <v/>
      </c>
      <c r="AT306" s="43">
        <f>AQ306*INDEX(Dashboard!$Y$6:$Y$22,MATCH($A306,Dashboard!$A$6:$A$22,0))</f>
        <v/>
      </c>
      <c r="AU306" s="53">
        <f>IF(AND(AG306=1,AT306&gt;0,AF306&gt;0),100*AF306/AT306,"")</f>
        <v/>
      </c>
      <c r="AV306" s="44">
        <f>IF(AU306="","",T306/(AU306/100))</f>
        <v/>
      </c>
      <c r="AW306" s="53">
        <f>IF(AU306="","",IF(AND(ABS(AH306)&gt;=0.1,ABS(T306)&gt;=0.05,SIGN(AH306)=SIGN(T306)),100*T306/AH306,""))</f>
        <v/>
      </c>
      <c r="AX306" s="45">
        <f>IF(AU306="","",T306-AV306)</f>
        <v/>
      </c>
      <c r="AY306" s="45">
        <f>IF(AU306="","",AH306-AV306)</f>
        <v/>
      </c>
      <c r="AZ306" s="54">
        <f>(AL306-AM306)-T306*AT306</f>
        <v/>
      </c>
      <c r="BA306" s="43">
        <f>IF(AU306="",0,(AH306-T306)*AF306)</f>
        <v/>
      </c>
      <c r="BB306" s="43">
        <f>IF(AU306="",0,T306*(AF306-AT306))</f>
        <v/>
      </c>
      <c r="BC306" s="51" t="n">
        <v>0.01675675675675676</v>
      </c>
      <c r="BD306" s="51" t="n">
        <v>0.048</v>
      </c>
      <c r="BE306" s="51" t="n">
        <v>0.183011583011583</v>
      </c>
      <c r="BF306" s="43" t="n">
        <v>9250</v>
      </c>
    </row>
    <row r="307">
      <c r="A307" s="42" t="inlineStr">
        <is>
          <t>KS</t>
        </is>
      </c>
      <c r="B307" s="42" t="inlineStr">
        <is>
          <t>20015</t>
        </is>
      </c>
      <c r="C307" s="42" t="inlineStr">
        <is>
          <t>Butler</t>
        </is>
      </c>
      <c r="D307" s="42" t="inlineStr">
        <is>
          <t>Small town &amp; rural</t>
        </is>
      </c>
      <c r="E307" s="42" t="inlineStr">
        <is>
          <t>★</t>
        </is>
      </c>
      <c r="F307" s="43" t="n">
        <v>9150</v>
      </c>
      <c r="G307" s="43" t="n">
        <v>22426</v>
      </c>
      <c r="H307" s="43" t="n">
        <v>32236</v>
      </c>
      <c r="I307" s="43" t="n">
        <v>9003</v>
      </c>
      <c r="J307" s="43" t="n">
        <v>22250</v>
      </c>
      <c r="K307" s="42" t="inlineStr">
        <is>
          <t>US Senate</t>
        </is>
      </c>
      <c r="L307" s="43" t="n">
        <v>5987</v>
      </c>
      <c r="M307" s="43" t="n">
        <v>16962</v>
      </c>
      <c r="N307" s="43" t="n">
        <v>23675</v>
      </c>
      <c r="O307" s="44">
        <f>IFERROR((F307-G307)/(F307+G307),"")</f>
        <v/>
      </c>
      <c r="P307" s="44">
        <f>IFERROR((I307-J307)/(I307+J307),"")</f>
        <v/>
      </c>
      <c r="Q307" s="45">
        <f>IFERROR(O307-P307,"")</f>
        <v/>
      </c>
      <c r="R307" s="44">
        <f>IFERROR((L307-M307)/(L307+M307),"")</f>
        <v/>
      </c>
      <c r="S307" s="46">
        <f>H307/SUMIFS(Counties!$H$2:$H$1583,Counties!$A$2:$A$1583,$A307)</f>
        <v/>
      </c>
      <c r="T307" s="44">
        <f>O307+INDEX(Dashboard!$F$6:$F$22,MATCH($A307,Dashboard!$A$6:$A$22,0))</f>
        <v/>
      </c>
      <c r="U307" s="43">
        <f>AQ307*INDEX(Dashboard!$G$6:$G$22,MATCH($A307,Dashboard!$A$6:$A$22,0))</f>
        <v/>
      </c>
      <c r="V307" s="47" t="n"/>
      <c r="W307" s="47" t="n"/>
      <c r="X307" s="47" t="n"/>
      <c r="Y307" s="48" t="n"/>
      <c r="Z307" s="49" t="n"/>
      <c r="AA307" s="49" t="n"/>
      <c r="AB307" s="49" t="n"/>
      <c r="AC307" s="50" t="n"/>
      <c r="AD307" s="43">
        <f>IF(Z307&lt;&gt;"",Z307,N(V307))</f>
        <v/>
      </c>
      <c r="AE307" s="43">
        <f>IF(AA307&lt;&gt;"",AA307,N(W307))</f>
        <v/>
      </c>
      <c r="AF307" s="43">
        <f>AD307+AE307</f>
        <v/>
      </c>
      <c r="AG307" s="42">
        <f>IF(UPPER(AC307)="Y",1,IF(AF307=0,0,IF(AND(Z307="",Y307&lt;&gt;""),IF(Y307&gt;=0.999,1,0),IF(AF307&gt;=U307,1,0))))</f>
        <v/>
      </c>
      <c r="AH307" s="44">
        <f>IF(AF307&gt;0,(AD307-AE307)/AF307,"")</f>
        <v/>
      </c>
      <c r="AI307" s="45">
        <f>IF(AG307=1,AH307-O307,"")</f>
        <v/>
      </c>
      <c r="AJ307" s="44">
        <f>IF(AG307=1,AH307,MAX(-1,MIN(1,O307+INDEX(Types!$H:$H,MATCH($A307&amp;"|"&amp;$D307,Types!$A:$A,0)))))</f>
        <v/>
      </c>
      <c r="AK307" s="43">
        <f>IF(AG307=1,AF307,MAX(AQ307*AS307,AF307))</f>
        <v/>
      </c>
      <c r="AL307" s="43">
        <f>IF(AG307=1,AD307,AK307*(1+AJ307)/2)</f>
        <v/>
      </c>
      <c r="AM307" s="43">
        <f>IF(AG307=1,AE307,AK307*(1-AJ307)/2)</f>
        <v/>
      </c>
      <c r="AN307" s="45">
        <f>IF(AH307="","",AH307-T307)</f>
        <v/>
      </c>
      <c r="AO307" s="51">
        <f>IF(AG307=1,1,IF(U307&gt;0,MIN(AF307/U307,0.99),0))</f>
        <v/>
      </c>
      <c r="AP307" s="43">
        <f>IF(AG307=1,AI307*AF307,0)</f>
        <v/>
      </c>
      <c r="AQ307" s="43">
        <f>N307*(F307+G307)/H307</f>
        <v/>
      </c>
      <c r="AR307" s="43">
        <f>O307*AQ307</f>
        <v/>
      </c>
      <c r="AS307" s="52">
        <f>IF(AG307=1,IF(AQ307&gt;0,AF307/AQ307,1),IFERROR(INDEX(Types!$K:$K,MATCH($A307&amp;"|"&amp;$D307,Types!$A:$A,0)),INDEX(Dashboard!$X$6:$X$22,MATCH($A307,Dashboard!$A$6:$A$22,0))))</f>
        <v/>
      </c>
      <c r="AT307" s="43">
        <f>AQ307*INDEX(Dashboard!$Y$6:$Y$22,MATCH($A307,Dashboard!$A$6:$A$22,0))</f>
        <v/>
      </c>
      <c r="AU307" s="53">
        <f>IF(AND(AG307=1,AT307&gt;0,AF307&gt;0),100*AF307/AT307,"")</f>
        <v/>
      </c>
      <c r="AV307" s="44">
        <f>IF(AU307="","",T307/(AU307/100))</f>
        <v/>
      </c>
      <c r="AW307" s="53">
        <f>IF(AU307="","",IF(AND(ABS(AH307)&gt;=0.1,ABS(T307)&gt;=0.05,SIGN(AH307)=SIGN(T307)),100*T307/AH307,""))</f>
        <v/>
      </c>
      <c r="AX307" s="45">
        <f>IF(AU307="","",T307-AV307)</f>
        <v/>
      </c>
      <c r="AY307" s="45">
        <f>IF(AU307="","",AH307-AV307)</f>
        <v/>
      </c>
      <c r="AZ307" s="54">
        <f>(AL307-AM307)-T307*AT307</f>
        <v/>
      </c>
      <c r="BA307" s="43">
        <f>IF(AU307="",0,(AH307-T307)*AF307)</f>
        <v/>
      </c>
      <c r="BB307" s="43">
        <f>IF(AU307="",0,T307*(AF307-AT307))</f>
        <v/>
      </c>
      <c r="BC307" s="51" t="n">
        <v>0.02264249912577223</v>
      </c>
      <c r="BD307" s="51" t="n">
        <v>0.06135621867350507</v>
      </c>
      <c r="BE307" s="51" t="n">
        <v>0.3257053988002666</v>
      </c>
      <c r="BF307" s="43" t="n">
        <v>68632</v>
      </c>
    </row>
    <row r="308">
      <c r="A308" s="42" t="inlineStr">
        <is>
          <t>KS</t>
        </is>
      </c>
      <c r="B308" s="42" t="inlineStr">
        <is>
          <t>20017</t>
        </is>
      </c>
      <c r="C308" s="42" t="inlineStr">
        <is>
          <t>Chase</t>
        </is>
      </c>
      <c r="D308" s="42" t="inlineStr">
        <is>
          <t>Small town &amp; rural</t>
        </is>
      </c>
      <c r="E308" s="42" t="inlineStr"/>
      <c r="F308" s="43" t="n">
        <v>348</v>
      </c>
      <c r="G308" s="43" t="n">
        <v>1090</v>
      </c>
      <c r="H308" s="43" t="n">
        <v>1462</v>
      </c>
      <c r="I308" s="43" t="n">
        <v>341</v>
      </c>
      <c r="J308" s="43" t="n">
        <v>1114</v>
      </c>
      <c r="K308" s="42" t="inlineStr">
        <is>
          <t>US Senate</t>
        </is>
      </c>
      <c r="L308" s="43" t="n">
        <v>245</v>
      </c>
      <c r="M308" s="43" t="n">
        <v>898</v>
      </c>
      <c r="N308" s="43" t="n">
        <v>1177</v>
      </c>
      <c r="O308" s="44">
        <f>IFERROR((F308-G308)/(F308+G308),"")</f>
        <v/>
      </c>
      <c r="P308" s="44">
        <f>IFERROR((I308-J308)/(I308+J308),"")</f>
        <v/>
      </c>
      <c r="Q308" s="45">
        <f>IFERROR(O308-P308,"")</f>
        <v/>
      </c>
      <c r="R308" s="44">
        <f>IFERROR((L308-M308)/(L308+M308),"")</f>
        <v/>
      </c>
      <c r="S308" s="46">
        <f>H308/SUMIFS(Counties!$H$2:$H$1583,Counties!$A$2:$A$1583,$A308)</f>
        <v/>
      </c>
      <c r="T308" s="44">
        <f>O308+INDEX(Dashboard!$F$6:$F$22,MATCH($A308,Dashboard!$A$6:$A$22,0))</f>
        <v/>
      </c>
      <c r="U308" s="43">
        <f>AQ308*INDEX(Dashboard!$G$6:$G$22,MATCH($A308,Dashboard!$A$6:$A$22,0))</f>
        <v/>
      </c>
      <c r="V308" s="47" t="n"/>
      <c r="W308" s="47" t="n"/>
      <c r="X308" s="47" t="n"/>
      <c r="Y308" s="48" t="n"/>
      <c r="Z308" s="49" t="n"/>
      <c r="AA308" s="49" t="n"/>
      <c r="AB308" s="49" t="n"/>
      <c r="AC308" s="50" t="n"/>
      <c r="AD308" s="43">
        <f>IF(Z308&lt;&gt;"",Z308,N(V308))</f>
        <v/>
      </c>
      <c r="AE308" s="43">
        <f>IF(AA308&lt;&gt;"",AA308,N(W308))</f>
        <v/>
      </c>
      <c r="AF308" s="43">
        <f>AD308+AE308</f>
        <v/>
      </c>
      <c r="AG308" s="42">
        <f>IF(UPPER(AC308)="Y",1,IF(AF308=0,0,IF(AND(Z308="",Y308&lt;&gt;""),IF(Y308&gt;=0.999,1,0),IF(AF308&gt;=U308,1,0))))</f>
        <v/>
      </c>
      <c r="AH308" s="44">
        <f>IF(AF308&gt;0,(AD308-AE308)/AF308,"")</f>
        <v/>
      </c>
      <c r="AI308" s="45">
        <f>IF(AG308=1,AH308-O308,"")</f>
        <v/>
      </c>
      <c r="AJ308" s="44">
        <f>IF(AG308=1,AH308,MAX(-1,MIN(1,O308+INDEX(Types!$H:$H,MATCH($A308&amp;"|"&amp;$D308,Types!$A:$A,0)))))</f>
        <v/>
      </c>
      <c r="AK308" s="43">
        <f>IF(AG308=1,AF308,MAX(AQ308*AS308,AF308))</f>
        <v/>
      </c>
      <c r="AL308" s="43">
        <f>IF(AG308=1,AD308,AK308*(1+AJ308)/2)</f>
        <v/>
      </c>
      <c r="AM308" s="43">
        <f>IF(AG308=1,AE308,AK308*(1-AJ308)/2)</f>
        <v/>
      </c>
      <c r="AN308" s="45">
        <f>IF(AH308="","",AH308-T308)</f>
        <v/>
      </c>
      <c r="AO308" s="51">
        <f>IF(AG308=1,1,IF(U308&gt;0,MIN(AF308/U308,0.99),0))</f>
        <v/>
      </c>
      <c r="AP308" s="43">
        <f>IF(AG308=1,AI308*AF308,0)</f>
        <v/>
      </c>
      <c r="AQ308" s="43">
        <f>N308*(F308+G308)/H308</f>
        <v/>
      </c>
      <c r="AR308" s="43">
        <f>O308*AQ308</f>
        <v/>
      </c>
      <c r="AS308" s="52">
        <f>IF(AG308=1,IF(AQ308&gt;0,AF308/AQ308,1),IFERROR(INDEX(Types!$K:$K,MATCH($A308&amp;"|"&amp;$D308,Types!$A:$A,0)),INDEX(Dashboard!$X$6:$X$22,MATCH($A308,Dashboard!$A$6:$A$22,0))))</f>
        <v/>
      </c>
      <c r="AT308" s="43">
        <f>AQ308*INDEX(Dashboard!$Y$6:$Y$22,MATCH($A308,Dashboard!$A$6:$A$22,0))</f>
        <v/>
      </c>
      <c r="AU308" s="53">
        <f>IF(AND(AG308=1,AT308&gt;0,AF308&gt;0),100*AF308/AT308,"")</f>
        <v/>
      </c>
      <c r="AV308" s="44">
        <f>IF(AU308="","",T308/(AU308/100))</f>
        <v/>
      </c>
      <c r="AW308" s="53">
        <f>IF(AU308="","",IF(AND(ABS(AH308)&gt;=0.1,ABS(T308)&gt;=0.05,SIGN(AH308)=SIGN(T308)),100*T308/AH308,""))</f>
        <v/>
      </c>
      <c r="AX308" s="45">
        <f>IF(AU308="","",T308-AV308)</f>
        <v/>
      </c>
      <c r="AY308" s="45">
        <f>IF(AU308="","",AH308-AV308)</f>
        <v/>
      </c>
      <c r="AZ308" s="54">
        <f>(AL308-AM308)-T308*AT308</f>
        <v/>
      </c>
      <c r="BA308" s="43">
        <f>IF(AU308="",0,(AH308-T308)*AF308)</f>
        <v/>
      </c>
      <c r="BB308" s="43">
        <f>IF(AU308="",0,T308*(AF308-AT308))</f>
        <v/>
      </c>
      <c r="BC308" s="51" t="n">
        <v>0.01822411787514541</v>
      </c>
      <c r="BD308" s="51" t="n">
        <v>0.08607987592089958</v>
      </c>
      <c r="BE308" s="51" t="n">
        <v>0.2927350427350427</v>
      </c>
      <c r="BF308" s="43" t="n">
        <v>2579</v>
      </c>
    </row>
    <row r="309">
      <c r="A309" s="42" t="inlineStr">
        <is>
          <t>KS</t>
        </is>
      </c>
      <c r="B309" s="42" t="inlineStr">
        <is>
          <t>20019</t>
        </is>
      </c>
      <c r="C309" s="42" t="inlineStr">
        <is>
          <t>Chautauqua</t>
        </is>
      </c>
      <c r="D309" s="42" t="inlineStr">
        <is>
          <t>Small town &amp; rural</t>
        </is>
      </c>
      <c r="E309" s="42" t="inlineStr"/>
      <c r="F309" s="43" t="n">
        <v>211</v>
      </c>
      <c r="G309" s="43" t="n">
        <v>1299</v>
      </c>
      <c r="H309" s="43" t="n">
        <v>1527</v>
      </c>
      <c r="I309" s="43" t="n">
        <v>212</v>
      </c>
      <c r="J309" s="43" t="n">
        <v>1397</v>
      </c>
      <c r="K309" s="42" t="inlineStr">
        <is>
          <t>US Senate</t>
        </is>
      </c>
      <c r="L309" s="43" t="n">
        <v>151</v>
      </c>
      <c r="M309" s="43" t="n">
        <v>991</v>
      </c>
      <c r="N309" s="43" t="n">
        <v>1173</v>
      </c>
      <c r="O309" s="44">
        <f>IFERROR((F309-G309)/(F309+G309),"")</f>
        <v/>
      </c>
      <c r="P309" s="44">
        <f>IFERROR((I309-J309)/(I309+J309),"")</f>
        <v/>
      </c>
      <c r="Q309" s="45">
        <f>IFERROR(O309-P309,"")</f>
        <v/>
      </c>
      <c r="R309" s="44">
        <f>IFERROR((L309-M309)/(L309+M309),"")</f>
        <v/>
      </c>
      <c r="S309" s="46">
        <f>H309/SUMIFS(Counties!$H$2:$H$1583,Counties!$A$2:$A$1583,$A309)</f>
        <v/>
      </c>
      <c r="T309" s="44">
        <f>O309+INDEX(Dashboard!$F$6:$F$22,MATCH($A309,Dashboard!$A$6:$A$22,0))</f>
        <v/>
      </c>
      <c r="U309" s="43">
        <f>AQ309*INDEX(Dashboard!$G$6:$G$22,MATCH($A309,Dashboard!$A$6:$A$22,0))</f>
        <v/>
      </c>
      <c r="V309" s="47" t="n"/>
      <c r="W309" s="47" t="n"/>
      <c r="X309" s="47" t="n"/>
      <c r="Y309" s="48" t="n"/>
      <c r="Z309" s="49" t="n"/>
      <c r="AA309" s="49" t="n"/>
      <c r="AB309" s="49" t="n"/>
      <c r="AC309" s="50" t="n"/>
      <c r="AD309" s="43">
        <f>IF(Z309&lt;&gt;"",Z309,N(V309))</f>
        <v/>
      </c>
      <c r="AE309" s="43">
        <f>IF(AA309&lt;&gt;"",AA309,N(W309))</f>
        <v/>
      </c>
      <c r="AF309" s="43">
        <f>AD309+AE309</f>
        <v/>
      </c>
      <c r="AG309" s="42">
        <f>IF(UPPER(AC309)="Y",1,IF(AF309=0,0,IF(AND(Z309="",Y309&lt;&gt;""),IF(Y309&gt;=0.999,1,0),IF(AF309&gt;=U309,1,0))))</f>
        <v/>
      </c>
      <c r="AH309" s="44">
        <f>IF(AF309&gt;0,(AD309-AE309)/AF309,"")</f>
        <v/>
      </c>
      <c r="AI309" s="45">
        <f>IF(AG309=1,AH309-O309,"")</f>
        <v/>
      </c>
      <c r="AJ309" s="44">
        <f>IF(AG309=1,AH309,MAX(-1,MIN(1,O309+INDEX(Types!$H:$H,MATCH($A309&amp;"|"&amp;$D309,Types!$A:$A,0)))))</f>
        <v/>
      </c>
      <c r="AK309" s="43">
        <f>IF(AG309=1,AF309,MAX(AQ309*AS309,AF309))</f>
        <v/>
      </c>
      <c r="AL309" s="43">
        <f>IF(AG309=1,AD309,AK309*(1+AJ309)/2)</f>
        <v/>
      </c>
      <c r="AM309" s="43">
        <f>IF(AG309=1,AE309,AK309*(1-AJ309)/2)</f>
        <v/>
      </c>
      <c r="AN309" s="45">
        <f>IF(AH309="","",AH309-T309)</f>
        <v/>
      </c>
      <c r="AO309" s="51">
        <f>IF(AG309=1,1,IF(U309&gt;0,MIN(AF309/U309,0.99),0))</f>
        <v/>
      </c>
      <c r="AP309" s="43">
        <f>IF(AG309=1,AI309*AF309,0)</f>
        <v/>
      </c>
      <c r="AQ309" s="43">
        <f>N309*(F309+G309)/H309</f>
        <v/>
      </c>
      <c r="AR309" s="43">
        <f>O309*AQ309</f>
        <v/>
      </c>
      <c r="AS309" s="52">
        <f>IF(AG309=1,IF(AQ309&gt;0,AF309/AQ309,1),IFERROR(INDEX(Types!$K:$K,MATCH($A309&amp;"|"&amp;$D309,Types!$A:$A,0)),INDEX(Dashboard!$X$6:$X$22,MATCH($A309,Dashboard!$A$6:$A$22,0))))</f>
        <v/>
      </c>
      <c r="AT309" s="43">
        <f>AQ309*INDEX(Dashboard!$Y$6:$Y$22,MATCH($A309,Dashboard!$A$6:$A$22,0))</f>
        <v/>
      </c>
      <c r="AU309" s="53">
        <f>IF(AND(AG309=1,AT309&gt;0,AF309&gt;0),100*AF309/AT309,"")</f>
        <v/>
      </c>
      <c r="AV309" s="44">
        <f>IF(AU309="","",T309/(AU309/100))</f>
        <v/>
      </c>
      <c r="AW309" s="53">
        <f>IF(AU309="","",IF(AND(ABS(AH309)&gt;=0.1,ABS(T309)&gt;=0.05,SIGN(AH309)=SIGN(T309)),100*T309/AH309,""))</f>
        <v/>
      </c>
      <c r="AX309" s="45">
        <f>IF(AU309="","",T309-AV309)</f>
        <v/>
      </c>
      <c r="AY309" s="45">
        <f>IF(AU309="","",AH309-AV309)</f>
        <v/>
      </c>
      <c r="AZ309" s="54">
        <f>(AL309-AM309)-T309*AT309</f>
        <v/>
      </c>
      <c r="BA309" s="43">
        <f>IF(AU309="",0,(AH309-T309)*AF309)</f>
        <v/>
      </c>
      <c r="BB309" s="43">
        <f>IF(AU309="",0,T309*(AF309-AT309))</f>
        <v/>
      </c>
      <c r="BC309" s="51" t="n">
        <v>0.01434120107559008</v>
      </c>
      <c r="BD309" s="51" t="n">
        <v>0.05437705407827906</v>
      </c>
      <c r="BE309" s="51" t="n">
        <v>0.1834786218347862</v>
      </c>
      <c r="BF309" s="43" t="n">
        <v>3347</v>
      </c>
    </row>
    <row r="310">
      <c r="A310" s="42" t="inlineStr">
        <is>
          <t>KS</t>
        </is>
      </c>
      <c r="B310" s="42" t="inlineStr">
        <is>
          <t>20021</t>
        </is>
      </c>
      <c r="C310" s="42" t="inlineStr">
        <is>
          <t>Cherokee</t>
        </is>
      </c>
      <c r="D310" s="42" t="inlineStr">
        <is>
          <t>Small town &amp; rural</t>
        </is>
      </c>
      <c r="E310" s="42" t="inlineStr"/>
      <c r="F310" s="43" t="n">
        <v>1970</v>
      </c>
      <c r="G310" s="43" t="n">
        <v>6584</v>
      </c>
      <c r="H310" s="43" t="n">
        <v>8717</v>
      </c>
      <c r="I310" s="43" t="n">
        <v>2163</v>
      </c>
      <c r="J310" s="43" t="n">
        <v>6622</v>
      </c>
      <c r="K310" s="42" t="inlineStr">
        <is>
          <t>US Senate</t>
        </is>
      </c>
      <c r="L310" s="43" t="n">
        <v>1492</v>
      </c>
      <c r="M310" s="43" t="n">
        <v>4716</v>
      </c>
      <c r="N310" s="43" t="n">
        <v>6407</v>
      </c>
      <c r="O310" s="44">
        <f>IFERROR((F310-G310)/(F310+G310),"")</f>
        <v/>
      </c>
      <c r="P310" s="44">
        <f>IFERROR((I310-J310)/(I310+J310),"")</f>
        <v/>
      </c>
      <c r="Q310" s="45">
        <f>IFERROR(O310-P310,"")</f>
        <v/>
      </c>
      <c r="R310" s="44">
        <f>IFERROR((L310-M310)/(L310+M310),"")</f>
        <v/>
      </c>
      <c r="S310" s="46">
        <f>H310/SUMIFS(Counties!$H$2:$H$1583,Counties!$A$2:$A$1583,$A310)</f>
        <v/>
      </c>
      <c r="T310" s="44">
        <f>O310+INDEX(Dashboard!$F$6:$F$22,MATCH($A310,Dashboard!$A$6:$A$22,0))</f>
        <v/>
      </c>
      <c r="U310" s="43">
        <f>AQ310*INDEX(Dashboard!$G$6:$G$22,MATCH($A310,Dashboard!$A$6:$A$22,0))</f>
        <v/>
      </c>
      <c r="V310" s="47" t="n"/>
      <c r="W310" s="47" t="n"/>
      <c r="X310" s="47" t="n"/>
      <c r="Y310" s="48" t="n"/>
      <c r="Z310" s="49" t="n"/>
      <c r="AA310" s="49" t="n"/>
      <c r="AB310" s="49" t="n"/>
      <c r="AC310" s="50" t="n"/>
      <c r="AD310" s="43">
        <f>IF(Z310&lt;&gt;"",Z310,N(V310))</f>
        <v/>
      </c>
      <c r="AE310" s="43">
        <f>IF(AA310&lt;&gt;"",AA310,N(W310))</f>
        <v/>
      </c>
      <c r="AF310" s="43">
        <f>AD310+AE310</f>
        <v/>
      </c>
      <c r="AG310" s="42">
        <f>IF(UPPER(AC310)="Y",1,IF(AF310=0,0,IF(AND(Z310="",Y310&lt;&gt;""),IF(Y310&gt;=0.999,1,0),IF(AF310&gt;=U310,1,0))))</f>
        <v/>
      </c>
      <c r="AH310" s="44">
        <f>IF(AF310&gt;0,(AD310-AE310)/AF310,"")</f>
        <v/>
      </c>
      <c r="AI310" s="45">
        <f>IF(AG310=1,AH310-O310,"")</f>
        <v/>
      </c>
      <c r="AJ310" s="44">
        <f>IF(AG310=1,AH310,MAX(-1,MIN(1,O310+INDEX(Types!$H:$H,MATCH($A310&amp;"|"&amp;$D310,Types!$A:$A,0)))))</f>
        <v/>
      </c>
      <c r="AK310" s="43">
        <f>IF(AG310=1,AF310,MAX(AQ310*AS310,AF310))</f>
        <v/>
      </c>
      <c r="AL310" s="43">
        <f>IF(AG310=1,AD310,AK310*(1+AJ310)/2)</f>
        <v/>
      </c>
      <c r="AM310" s="43">
        <f>IF(AG310=1,AE310,AK310*(1-AJ310)/2)</f>
        <v/>
      </c>
      <c r="AN310" s="45">
        <f>IF(AH310="","",AH310-T310)</f>
        <v/>
      </c>
      <c r="AO310" s="51">
        <f>IF(AG310=1,1,IF(U310&gt;0,MIN(AF310/U310,0.99),0))</f>
        <v/>
      </c>
      <c r="AP310" s="43">
        <f>IF(AG310=1,AI310*AF310,0)</f>
        <v/>
      </c>
      <c r="AQ310" s="43">
        <f>N310*(F310+G310)/H310</f>
        <v/>
      </c>
      <c r="AR310" s="43">
        <f>O310*AQ310</f>
        <v/>
      </c>
      <c r="AS310" s="52">
        <f>IF(AG310=1,IF(AQ310&gt;0,AF310/AQ310,1),IFERROR(INDEX(Types!$K:$K,MATCH($A310&amp;"|"&amp;$D310,Types!$A:$A,0)),INDEX(Dashboard!$X$6:$X$22,MATCH($A310,Dashboard!$A$6:$A$22,0))))</f>
        <v/>
      </c>
      <c r="AT310" s="43">
        <f>AQ310*INDEX(Dashboard!$Y$6:$Y$22,MATCH($A310,Dashboard!$A$6:$A$22,0))</f>
        <v/>
      </c>
      <c r="AU310" s="53">
        <f>IF(AND(AG310=1,AT310&gt;0,AF310&gt;0),100*AF310/AT310,"")</f>
        <v/>
      </c>
      <c r="AV310" s="44">
        <f>IF(AU310="","",T310/(AU310/100))</f>
        <v/>
      </c>
      <c r="AW310" s="53">
        <f>IF(AU310="","",IF(AND(ABS(AH310)&gt;=0.1,ABS(T310)&gt;=0.05,SIGN(AH310)=SIGN(T310)),100*T310/AH310,""))</f>
        <v/>
      </c>
      <c r="AX310" s="45">
        <f>IF(AU310="","",T310-AV310)</f>
        <v/>
      </c>
      <c r="AY310" s="45">
        <f>IF(AU310="","",AH310-AV310)</f>
        <v/>
      </c>
      <c r="AZ310" s="54">
        <f>(AL310-AM310)-T310*AT310</f>
        <v/>
      </c>
      <c r="BA310" s="43">
        <f>IF(AU310="",0,(AH310-T310)*AF310)</f>
        <v/>
      </c>
      <c r="BB310" s="43">
        <f>IF(AU310="",0,T310*(AF310-AT310))</f>
        <v/>
      </c>
      <c r="BC310" s="51" t="n">
        <v>0.01033903642279836</v>
      </c>
      <c r="BD310" s="51" t="n">
        <v>0.02954760155347958</v>
      </c>
      <c r="BE310" s="51" t="n">
        <v>0.2011976047904191</v>
      </c>
      <c r="BF310" s="43" t="n">
        <v>19054</v>
      </c>
    </row>
    <row r="311">
      <c r="A311" s="42" t="inlineStr">
        <is>
          <t>KS</t>
        </is>
      </c>
      <c r="B311" s="42" t="inlineStr">
        <is>
          <t>20023</t>
        </is>
      </c>
      <c r="C311" s="42" t="inlineStr">
        <is>
          <t>Cheyenne</t>
        </is>
      </c>
      <c r="D311" s="42" t="inlineStr">
        <is>
          <t>Small town &amp; rural</t>
        </is>
      </c>
      <c r="E311" s="42" t="inlineStr"/>
      <c r="F311" s="43" t="n">
        <v>206</v>
      </c>
      <c r="G311" s="43" t="n">
        <v>1185</v>
      </c>
      <c r="H311" s="43" t="n">
        <v>1422</v>
      </c>
      <c r="I311" s="43" t="n">
        <v>220</v>
      </c>
      <c r="J311" s="43" t="n">
        <v>1158</v>
      </c>
      <c r="K311" s="42" t="inlineStr">
        <is>
          <t>US Senate</t>
        </is>
      </c>
      <c r="L311" s="43" t="n">
        <v>112</v>
      </c>
      <c r="M311" s="43" t="n">
        <v>903</v>
      </c>
      <c r="N311" s="43" t="n">
        <v>1039</v>
      </c>
      <c r="O311" s="44">
        <f>IFERROR((F311-G311)/(F311+G311),"")</f>
        <v/>
      </c>
      <c r="P311" s="44">
        <f>IFERROR((I311-J311)/(I311+J311),"")</f>
        <v/>
      </c>
      <c r="Q311" s="45">
        <f>IFERROR(O311-P311,"")</f>
        <v/>
      </c>
      <c r="R311" s="44">
        <f>IFERROR((L311-M311)/(L311+M311),"")</f>
        <v/>
      </c>
      <c r="S311" s="46">
        <f>H311/SUMIFS(Counties!$H$2:$H$1583,Counties!$A$2:$A$1583,$A311)</f>
        <v/>
      </c>
      <c r="T311" s="44">
        <f>O311+INDEX(Dashboard!$F$6:$F$22,MATCH($A311,Dashboard!$A$6:$A$22,0))</f>
        <v/>
      </c>
      <c r="U311" s="43">
        <f>AQ311*INDEX(Dashboard!$G$6:$G$22,MATCH($A311,Dashboard!$A$6:$A$22,0))</f>
        <v/>
      </c>
      <c r="V311" s="47" t="n"/>
      <c r="W311" s="47" t="n"/>
      <c r="X311" s="47" t="n"/>
      <c r="Y311" s="48" t="n"/>
      <c r="Z311" s="49" t="n"/>
      <c r="AA311" s="49" t="n"/>
      <c r="AB311" s="49" t="n"/>
      <c r="AC311" s="50" t="n"/>
      <c r="AD311" s="43">
        <f>IF(Z311&lt;&gt;"",Z311,N(V311))</f>
        <v/>
      </c>
      <c r="AE311" s="43">
        <f>IF(AA311&lt;&gt;"",AA311,N(W311))</f>
        <v/>
      </c>
      <c r="AF311" s="43">
        <f>AD311+AE311</f>
        <v/>
      </c>
      <c r="AG311" s="42">
        <f>IF(UPPER(AC311)="Y",1,IF(AF311=0,0,IF(AND(Z311="",Y311&lt;&gt;""),IF(Y311&gt;=0.999,1,0),IF(AF311&gt;=U311,1,0))))</f>
        <v/>
      </c>
      <c r="AH311" s="44">
        <f>IF(AF311&gt;0,(AD311-AE311)/AF311,"")</f>
        <v/>
      </c>
      <c r="AI311" s="45">
        <f>IF(AG311=1,AH311-O311,"")</f>
        <v/>
      </c>
      <c r="AJ311" s="44">
        <f>IF(AG311=1,AH311,MAX(-1,MIN(1,O311+INDEX(Types!$H:$H,MATCH($A311&amp;"|"&amp;$D311,Types!$A:$A,0)))))</f>
        <v/>
      </c>
      <c r="AK311" s="43">
        <f>IF(AG311=1,AF311,MAX(AQ311*AS311,AF311))</f>
        <v/>
      </c>
      <c r="AL311" s="43">
        <f>IF(AG311=1,AD311,AK311*(1+AJ311)/2)</f>
        <v/>
      </c>
      <c r="AM311" s="43">
        <f>IF(AG311=1,AE311,AK311*(1-AJ311)/2)</f>
        <v/>
      </c>
      <c r="AN311" s="45">
        <f>IF(AH311="","",AH311-T311)</f>
        <v/>
      </c>
      <c r="AO311" s="51">
        <f>IF(AG311=1,1,IF(U311&gt;0,MIN(AF311/U311,0.99),0))</f>
        <v/>
      </c>
      <c r="AP311" s="43">
        <f>IF(AG311=1,AI311*AF311,0)</f>
        <v/>
      </c>
      <c r="AQ311" s="43">
        <f>N311*(F311+G311)/H311</f>
        <v/>
      </c>
      <c r="AR311" s="43">
        <f>O311*AQ311</f>
        <v/>
      </c>
      <c r="AS311" s="52">
        <f>IF(AG311=1,IF(AQ311&gt;0,AF311/AQ311,1),IFERROR(INDEX(Types!$K:$K,MATCH($A311&amp;"|"&amp;$D311,Types!$A:$A,0)),INDEX(Dashboard!$X$6:$X$22,MATCH($A311,Dashboard!$A$6:$A$22,0))))</f>
        <v/>
      </c>
      <c r="AT311" s="43">
        <f>AQ311*INDEX(Dashboard!$Y$6:$Y$22,MATCH($A311,Dashboard!$A$6:$A$22,0))</f>
        <v/>
      </c>
      <c r="AU311" s="53">
        <f>IF(AND(AG311=1,AT311&gt;0,AF311&gt;0),100*AF311/AT311,"")</f>
        <v/>
      </c>
      <c r="AV311" s="44">
        <f>IF(AU311="","",T311/(AU311/100))</f>
        <v/>
      </c>
      <c r="AW311" s="53">
        <f>IF(AU311="","",IF(AND(ABS(AH311)&gt;=0.1,ABS(T311)&gt;=0.05,SIGN(AH311)=SIGN(T311)),100*T311/AH311,""))</f>
        <v/>
      </c>
      <c r="AX311" s="45">
        <f>IF(AU311="","",T311-AV311)</f>
        <v/>
      </c>
      <c r="AY311" s="45">
        <f>IF(AU311="","",AH311-AV311)</f>
        <v/>
      </c>
      <c r="AZ311" s="54">
        <f>(AL311-AM311)-T311*AT311</f>
        <v/>
      </c>
      <c r="BA311" s="43">
        <f>IF(AU311="",0,(AH311-T311)*AF311)</f>
        <v/>
      </c>
      <c r="BB311" s="43">
        <f>IF(AU311="",0,T311*(AF311-AT311))</f>
        <v/>
      </c>
      <c r="BC311" s="51" t="n">
        <v>0.006449165402124431</v>
      </c>
      <c r="BD311" s="51" t="n">
        <v>0.09332321699544764</v>
      </c>
      <c r="BE311" s="51" t="n">
        <v>0.2161290322580645</v>
      </c>
      <c r="BF311" s="43" t="n">
        <v>2636</v>
      </c>
    </row>
    <row r="312">
      <c r="A312" s="42" t="inlineStr">
        <is>
          <t>KS</t>
        </is>
      </c>
      <c r="B312" s="42" t="inlineStr">
        <is>
          <t>20025</t>
        </is>
      </c>
      <c r="C312" s="42" t="inlineStr">
        <is>
          <t>Clark</t>
        </is>
      </c>
      <c r="D312" s="42" t="inlineStr">
        <is>
          <t>Small town &amp; rural</t>
        </is>
      </c>
      <c r="E312" s="42" t="inlineStr"/>
      <c r="F312" s="43" t="n">
        <v>129</v>
      </c>
      <c r="G312" s="43" t="n">
        <v>867</v>
      </c>
      <c r="H312" s="43" t="n">
        <v>1014</v>
      </c>
      <c r="I312" s="43" t="n">
        <v>143</v>
      </c>
      <c r="J312" s="43" t="n">
        <v>885</v>
      </c>
      <c r="K312" s="42" t="inlineStr">
        <is>
          <t>US Senate</t>
        </is>
      </c>
      <c r="L312" s="43" t="n">
        <v>95</v>
      </c>
      <c r="M312" s="43" t="n">
        <v>725</v>
      </c>
      <c r="N312" s="43" t="n">
        <v>854</v>
      </c>
      <c r="O312" s="44">
        <f>IFERROR((F312-G312)/(F312+G312),"")</f>
        <v/>
      </c>
      <c r="P312" s="44">
        <f>IFERROR((I312-J312)/(I312+J312),"")</f>
        <v/>
      </c>
      <c r="Q312" s="45">
        <f>IFERROR(O312-P312,"")</f>
        <v/>
      </c>
      <c r="R312" s="44">
        <f>IFERROR((L312-M312)/(L312+M312),"")</f>
        <v/>
      </c>
      <c r="S312" s="46">
        <f>H312/SUMIFS(Counties!$H$2:$H$1583,Counties!$A$2:$A$1583,$A312)</f>
        <v/>
      </c>
      <c r="T312" s="44">
        <f>O312+INDEX(Dashboard!$F$6:$F$22,MATCH($A312,Dashboard!$A$6:$A$22,0))</f>
        <v/>
      </c>
      <c r="U312" s="43">
        <f>AQ312*INDEX(Dashboard!$G$6:$G$22,MATCH($A312,Dashboard!$A$6:$A$22,0))</f>
        <v/>
      </c>
      <c r="V312" s="47" t="n"/>
      <c r="W312" s="47" t="n"/>
      <c r="X312" s="47" t="n"/>
      <c r="Y312" s="48" t="n"/>
      <c r="Z312" s="49" t="n"/>
      <c r="AA312" s="49" t="n"/>
      <c r="AB312" s="49" t="n"/>
      <c r="AC312" s="50" t="n"/>
      <c r="AD312" s="43">
        <f>IF(Z312&lt;&gt;"",Z312,N(V312))</f>
        <v/>
      </c>
      <c r="AE312" s="43">
        <f>IF(AA312&lt;&gt;"",AA312,N(W312))</f>
        <v/>
      </c>
      <c r="AF312" s="43">
        <f>AD312+AE312</f>
        <v/>
      </c>
      <c r="AG312" s="42">
        <f>IF(UPPER(AC312)="Y",1,IF(AF312=0,0,IF(AND(Z312="",Y312&lt;&gt;""),IF(Y312&gt;=0.999,1,0),IF(AF312&gt;=U312,1,0))))</f>
        <v/>
      </c>
      <c r="AH312" s="44">
        <f>IF(AF312&gt;0,(AD312-AE312)/AF312,"")</f>
        <v/>
      </c>
      <c r="AI312" s="45">
        <f>IF(AG312=1,AH312-O312,"")</f>
        <v/>
      </c>
      <c r="AJ312" s="44">
        <f>IF(AG312=1,AH312,MAX(-1,MIN(1,O312+INDEX(Types!$H:$H,MATCH($A312&amp;"|"&amp;$D312,Types!$A:$A,0)))))</f>
        <v/>
      </c>
      <c r="AK312" s="43">
        <f>IF(AG312=1,AF312,MAX(AQ312*AS312,AF312))</f>
        <v/>
      </c>
      <c r="AL312" s="43">
        <f>IF(AG312=1,AD312,AK312*(1+AJ312)/2)</f>
        <v/>
      </c>
      <c r="AM312" s="43">
        <f>IF(AG312=1,AE312,AK312*(1-AJ312)/2)</f>
        <v/>
      </c>
      <c r="AN312" s="45">
        <f>IF(AH312="","",AH312-T312)</f>
        <v/>
      </c>
      <c r="AO312" s="51">
        <f>IF(AG312=1,1,IF(U312&gt;0,MIN(AF312/U312,0.99),0))</f>
        <v/>
      </c>
      <c r="AP312" s="43">
        <f>IF(AG312=1,AI312*AF312,0)</f>
        <v/>
      </c>
      <c r="AQ312" s="43">
        <f>N312*(F312+G312)/H312</f>
        <v/>
      </c>
      <c r="AR312" s="43">
        <f>O312*AQ312</f>
        <v/>
      </c>
      <c r="AS312" s="52">
        <f>IF(AG312=1,IF(AQ312&gt;0,AF312/AQ312,1),IFERROR(INDEX(Types!$K:$K,MATCH($A312&amp;"|"&amp;$D312,Types!$A:$A,0)),INDEX(Dashboard!$X$6:$X$22,MATCH($A312,Dashboard!$A$6:$A$22,0))))</f>
        <v/>
      </c>
      <c r="AT312" s="43">
        <f>AQ312*INDEX(Dashboard!$Y$6:$Y$22,MATCH($A312,Dashboard!$A$6:$A$22,0))</f>
        <v/>
      </c>
      <c r="AU312" s="53">
        <f>IF(AND(AG312=1,AT312&gt;0,AF312&gt;0),100*AF312/AT312,"")</f>
        <v/>
      </c>
      <c r="AV312" s="44">
        <f>IF(AU312="","",T312/(AU312/100))</f>
        <v/>
      </c>
      <c r="AW312" s="53">
        <f>IF(AU312="","",IF(AND(ABS(AH312)&gt;=0.1,ABS(T312)&gt;=0.05,SIGN(AH312)=SIGN(T312)),100*T312/AH312,""))</f>
        <v/>
      </c>
      <c r="AX312" s="45">
        <f>IF(AU312="","",T312-AV312)</f>
        <v/>
      </c>
      <c r="AY312" s="45">
        <f>IF(AU312="","",AH312-AV312)</f>
        <v/>
      </c>
      <c r="AZ312" s="54">
        <f>(AL312-AM312)-T312*AT312</f>
        <v/>
      </c>
      <c r="BA312" s="43">
        <f>IF(AU312="",0,(AH312-T312)*AF312)</f>
        <v/>
      </c>
      <c r="BB312" s="43">
        <f>IF(AU312="",0,T312*(AF312-AT312))</f>
        <v/>
      </c>
      <c r="BC312" s="51" t="n">
        <v>0.003789929615592853</v>
      </c>
      <c r="BD312" s="51" t="n">
        <v>0.1407688142934488</v>
      </c>
      <c r="BE312" s="51" t="n">
        <v>0.3095752339812815</v>
      </c>
      <c r="BF312" s="43" t="n">
        <v>1847</v>
      </c>
    </row>
    <row r="313">
      <c r="A313" s="42" t="inlineStr">
        <is>
          <t>KS</t>
        </is>
      </c>
      <c r="B313" s="42" t="inlineStr">
        <is>
          <t>20027</t>
        </is>
      </c>
      <c r="C313" s="42" t="inlineStr">
        <is>
          <t>Clay</t>
        </is>
      </c>
      <c r="D313" s="42" t="inlineStr">
        <is>
          <t>Small town &amp; rural</t>
        </is>
      </c>
      <c r="E313" s="42" t="inlineStr"/>
      <c r="F313" s="43" t="n">
        <v>867</v>
      </c>
      <c r="G313" s="43" t="n">
        <v>3150</v>
      </c>
      <c r="H313" s="43" t="n">
        <v>4113</v>
      </c>
      <c r="I313" s="43" t="n">
        <v>883</v>
      </c>
      <c r="J313" s="43" t="n">
        <v>3129</v>
      </c>
      <c r="K313" s="42" t="inlineStr">
        <is>
          <t>US Senate</t>
        </is>
      </c>
      <c r="L313" s="43" t="n">
        <v>479</v>
      </c>
      <c r="M313" s="43" t="n">
        <v>2711</v>
      </c>
      <c r="N313" s="43" t="n">
        <v>3297</v>
      </c>
      <c r="O313" s="44">
        <f>IFERROR((F313-G313)/(F313+G313),"")</f>
        <v/>
      </c>
      <c r="P313" s="44">
        <f>IFERROR((I313-J313)/(I313+J313),"")</f>
        <v/>
      </c>
      <c r="Q313" s="45">
        <f>IFERROR(O313-P313,"")</f>
        <v/>
      </c>
      <c r="R313" s="44">
        <f>IFERROR((L313-M313)/(L313+M313),"")</f>
        <v/>
      </c>
      <c r="S313" s="46">
        <f>H313/SUMIFS(Counties!$H$2:$H$1583,Counties!$A$2:$A$1583,$A313)</f>
        <v/>
      </c>
      <c r="T313" s="44">
        <f>O313+INDEX(Dashboard!$F$6:$F$22,MATCH($A313,Dashboard!$A$6:$A$22,0))</f>
        <v/>
      </c>
      <c r="U313" s="43">
        <f>AQ313*INDEX(Dashboard!$G$6:$G$22,MATCH($A313,Dashboard!$A$6:$A$22,0))</f>
        <v/>
      </c>
      <c r="V313" s="47" t="n"/>
      <c r="W313" s="47" t="n"/>
      <c r="X313" s="47" t="n"/>
      <c r="Y313" s="48" t="n"/>
      <c r="Z313" s="49" t="n"/>
      <c r="AA313" s="49" t="n"/>
      <c r="AB313" s="49" t="n"/>
      <c r="AC313" s="50" t="n"/>
      <c r="AD313" s="43">
        <f>IF(Z313&lt;&gt;"",Z313,N(V313))</f>
        <v/>
      </c>
      <c r="AE313" s="43">
        <f>IF(AA313&lt;&gt;"",AA313,N(W313))</f>
        <v/>
      </c>
      <c r="AF313" s="43">
        <f>AD313+AE313</f>
        <v/>
      </c>
      <c r="AG313" s="42">
        <f>IF(UPPER(AC313)="Y",1,IF(AF313=0,0,IF(AND(Z313="",Y313&lt;&gt;""),IF(Y313&gt;=0.999,1,0),IF(AF313&gt;=U313,1,0))))</f>
        <v/>
      </c>
      <c r="AH313" s="44">
        <f>IF(AF313&gt;0,(AD313-AE313)/AF313,"")</f>
        <v/>
      </c>
      <c r="AI313" s="45">
        <f>IF(AG313=1,AH313-O313,"")</f>
        <v/>
      </c>
      <c r="AJ313" s="44">
        <f>IF(AG313=1,AH313,MAX(-1,MIN(1,O313+INDEX(Types!$H:$H,MATCH($A313&amp;"|"&amp;$D313,Types!$A:$A,0)))))</f>
        <v/>
      </c>
      <c r="AK313" s="43">
        <f>IF(AG313=1,AF313,MAX(AQ313*AS313,AF313))</f>
        <v/>
      </c>
      <c r="AL313" s="43">
        <f>IF(AG313=1,AD313,AK313*(1+AJ313)/2)</f>
        <v/>
      </c>
      <c r="AM313" s="43">
        <f>IF(AG313=1,AE313,AK313*(1-AJ313)/2)</f>
        <v/>
      </c>
      <c r="AN313" s="45">
        <f>IF(AH313="","",AH313-T313)</f>
        <v/>
      </c>
      <c r="AO313" s="51">
        <f>IF(AG313=1,1,IF(U313&gt;0,MIN(AF313/U313,0.99),0))</f>
        <v/>
      </c>
      <c r="AP313" s="43">
        <f>IF(AG313=1,AI313*AF313,0)</f>
        <v/>
      </c>
      <c r="AQ313" s="43">
        <f>N313*(F313+G313)/H313</f>
        <v/>
      </c>
      <c r="AR313" s="43">
        <f>O313*AQ313</f>
        <v/>
      </c>
      <c r="AS313" s="52">
        <f>IF(AG313=1,IF(AQ313&gt;0,AF313/AQ313,1),IFERROR(INDEX(Types!$K:$K,MATCH($A313&amp;"|"&amp;$D313,Types!$A:$A,0)),INDEX(Dashboard!$X$6:$X$22,MATCH($A313,Dashboard!$A$6:$A$22,0))))</f>
        <v/>
      </c>
      <c r="AT313" s="43">
        <f>AQ313*INDEX(Dashboard!$Y$6:$Y$22,MATCH($A313,Dashboard!$A$6:$A$22,0))</f>
        <v/>
      </c>
      <c r="AU313" s="53">
        <f>IF(AND(AG313=1,AT313&gt;0,AF313&gt;0),100*AF313/AT313,"")</f>
        <v/>
      </c>
      <c r="AV313" s="44">
        <f>IF(AU313="","",T313/(AU313/100))</f>
        <v/>
      </c>
      <c r="AW313" s="53">
        <f>IF(AU313="","",IF(AND(ABS(AH313)&gt;=0.1,ABS(T313)&gt;=0.05,SIGN(AH313)=SIGN(T313)),100*T313/AH313,""))</f>
        <v/>
      </c>
      <c r="AX313" s="45">
        <f>IF(AU313="","",T313-AV313)</f>
        <v/>
      </c>
      <c r="AY313" s="45">
        <f>IF(AU313="","",AH313-AV313)</f>
        <v/>
      </c>
      <c r="AZ313" s="54">
        <f>(AL313-AM313)-T313*AT313</f>
        <v/>
      </c>
      <c r="BA313" s="43">
        <f>IF(AU313="",0,(AH313-T313)*AF313)</f>
        <v/>
      </c>
      <c r="BB313" s="43">
        <f>IF(AU313="",0,T313*(AF313-AT313))</f>
        <v/>
      </c>
      <c r="BC313" s="51" t="n">
        <v>0.01711002872486574</v>
      </c>
      <c r="BD313" s="51" t="n">
        <v>0.03871612339203197</v>
      </c>
      <c r="BE313" s="51" t="n">
        <v>0.2335497455693981</v>
      </c>
      <c r="BF313" s="43" t="n">
        <v>8007</v>
      </c>
    </row>
    <row r="314">
      <c r="A314" s="42" t="inlineStr">
        <is>
          <t>KS</t>
        </is>
      </c>
      <c r="B314" s="42" t="inlineStr">
        <is>
          <t>20029</t>
        </is>
      </c>
      <c r="C314" s="42" t="inlineStr">
        <is>
          <t>Cloud</t>
        </is>
      </c>
      <c r="D314" s="42" t="inlineStr">
        <is>
          <t>Small town &amp; rural</t>
        </is>
      </c>
      <c r="E314" s="42" t="inlineStr"/>
      <c r="F314" s="43" t="n">
        <v>767</v>
      </c>
      <c r="G314" s="43" t="n">
        <v>3218</v>
      </c>
      <c r="H314" s="43" t="n">
        <v>4047</v>
      </c>
      <c r="I314" s="43" t="n">
        <v>893</v>
      </c>
      <c r="J314" s="43" t="n">
        <v>3182</v>
      </c>
      <c r="K314" s="42" t="inlineStr">
        <is>
          <t>US Senate</t>
        </is>
      </c>
      <c r="L314" s="43" t="n">
        <v>530</v>
      </c>
      <c r="M314" s="43" t="n">
        <v>2575</v>
      </c>
      <c r="N314" s="43" t="n">
        <v>3209</v>
      </c>
      <c r="O314" s="44">
        <f>IFERROR((F314-G314)/(F314+G314),"")</f>
        <v/>
      </c>
      <c r="P314" s="44">
        <f>IFERROR((I314-J314)/(I314+J314),"")</f>
        <v/>
      </c>
      <c r="Q314" s="45">
        <f>IFERROR(O314-P314,"")</f>
        <v/>
      </c>
      <c r="R314" s="44">
        <f>IFERROR((L314-M314)/(L314+M314),"")</f>
        <v/>
      </c>
      <c r="S314" s="46">
        <f>H314/SUMIFS(Counties!$H$2:$H$1583,Counties!$A$2:$A$1583,$A314)</f>
        <v/>
      </c>
      <c r="T314" s="44">
        <f>O314+INDEX(Dashboard!$F$6:$F$22,MATCH($A314,Dashboard!$A$6:$A$22,0))</f>
        <v/>
      </c>
      <c r="U314" s="43">
        <f>AQ314*INDEX(Dashboard!$G$6:$G$22,MATCH($A314,Dashboard!$A$6:$A$22,0))</f>
        <v/>
      </c>
      <c r="V314" s="47" t="n"/>
      <c r="W314" s="47" t="n"/>
      <c r="X314" s="47" t="n"/>
      <c r="Y314" s="48" t="n"/>
      <c r="Z314" s="49" t="n"/>
      <c r="AA314" s="49" t="n"/>
      <c r="AB314" s="49" t="n"/>
      <c r="AC314" s="50" t="n"/>
      <c r="AD314" s="43">
        <f>IF(Z314&lt;&gt;"",Z314,N(V314))</f>
        <v/>
      </c>
      <c r="AE314" s="43">
        <f>IF(AA314&lt;&gt;"",AA314,N(W314))</f>
        <v/>
      </c>
      <c r="AF314" s="43">
        <f>AD314+AE314</f>
        <v/>
      </c>
      <c r="AG314" s="42">
        <f>IF(UPPER(AC314)="Y",1,IF(AF314=0,0,IF(AND(Z314="",Y314&lt;&gt;""),IF(Y314&gt;=0.999,1,0),IF(AF314&gt;=U314,1,0))))</f>
        <v/>
      </c>
      <c r="AH314" s="44">
        <f>IF(AF314&gt;0,(AD314-AE314)/AF314,"")</f>
        <v/>
      </c>
      <c r="AI314" s="45">
        <f>IF(AG314=1,AH314-O314,"")</f>
        <v/>
      </c>
      <c r="AJ314" s="44">
        <f>IF(AG314=1,AH314,MAX(-1,MIN(1,O314+INDEX(Types!$H:$H,MATCH($A314&amp;"|"&amp;$D314,Types!$A:$A,0)))))</f>
        <v/>
      </c>
      <c r="AK314" s="43">
        <f>IF(AG314=1,AF314,MAX(AQ314*AS314,AF314))</f>
        <v/>
      </c>
      <c r="AL314" s="43">
        <f>IF(AG314=1,AD314,AK314*(1+AJ314)/2)</f>
        <v/>
      </c>
      <c r="AM314" s="43">
        <f>IF(AG314=1,AE314,AK314*(1-AJ314)/2)</f>
        <v/>
      </c>
      <c r="AN314" s="45">
        <f>IF(AH314="","",AH314-T314)</f>
        <v/>
      </c>
      <c r="AO314" s="51">
        <f>IF(AG314=1,1,IF(U314&gt;0,MIN(AF314/U314,0.99),0))</f>
        <v/>
      </c>
      <c r="AP314" s="43">
        <f>IF(AG314=1,AI314*AF314,0)</f>
        <v/>
      </c>
      <c r="AQ314" s="43">
        <f>N314*(F314+G314)/H314</f>
        <v/>
      </c>
      <c r="AR314" s="43">
        <f>O314*AQ314</f>
        <v/>
      </c>
      <c r="AS314" s="52">
        <f>IF(AG314=1,IF(AQ314&gt;0,AF314/AQ314,1),IFERROR(INDEX(Types!$K:$K,MATCH($A314&amp;"|"&amp;$D314,Types!$A:$A,0)),INDEX(Dashboard!$X$6:$X$22,MATCH($A314,Dashboard!$A$6:$A$22,0))))</f>
        <v/>
      </c>
      <c r="AT314" s="43">
        <f>AQ314*INDEX(Dashboard!$Y$6:$Y$22,MATCH($A314,Dashboard!$A$6:$A$22,0))</f>
        <v/>
      </c>
      <c r="AU314" s="53">
        <f>IF(AND(AG314=1,AT314&gt;0,AF314&gt;0),100*AF314/AT314,"")</f>
        <v/>
      </c>
      <c r="AV314" s="44">
        <f>IF(AU314="","",T314/(AU314/100))</f>
        <v/>
      </c>
      <c r="AW314" s="53">
        <f>IF(AU314="","",IF(AND(ABS(AH314)&gt;=0.1,ABS(T314)&gt;=0.05,SIGN(AH314)=SIGN(T314)),100*T314/AH314,""))</f>
        <v/>
      </c>
      <c r="AX314" s="45">
        <f>IF(AU314="","",T314-AV314)</f>
        <v/>
      </c>
      <c r="AY314" s="45">
        <f>IF(AU314="","",AH314-AV314)</f>
        <v/>
      </c>
      <c r="AZ314" s="54">
        <f>(AL314-AM314)-T314*AT314</f>
        <v/>
      </c>
      <c r="BA314" s="43">
        <f>IF(AU314="",0,(AH314-T314)*AF314)</f>
        <v/>
      </c>
      <c r="BB314" s="43">
        <f>IF(AU314="",0,T314*(AF314-AT314))</f>
        <v/>
      </c>
      <c r="BC314" s="51" t="n">
        <v>0.01502145922746781</v>
      </c>
      <c r="BD314" s="51" t="n">
        <v>0.03919132595437091</v>
      </c>
      <c r="BE314" s="51" t="n">
        <v>0.2240161453077699</v>
      </c>
      <c r="BF314" s="43" t="n">
        <v>8854</v>
      </c>
    </row>
    <row r="315">
      <c r="A315" s="42" t="inlineStr">
        <is>
          <t>KS</t>
        </is>
      </c>
      <c r="B315" s="42" t="inlineStr">
        <is>
          <t>20031</t>
        </is>
      </c>
      <c r="C315" s="42" t="inlineStr">
        <is>
          <t>Coffey</t>
        </is>
      </c>
      <c r="D315" s="42" t="inlineStr">
        <is>
          <t>Small town &amp; rural</t>
        </is>
      </c>
      <c r="E315" s="42" t="inlineStr"/>
      <c r="F315" s="43" t="n">
        <v>934</v>
      </c>
      <c r="G315" s="43" t="n">
        <v>3371</v>
      </c>
      <c r="H315" s="43" t="n">
        <v>4377</v>
      </c>
      <c r="I315" s="43" t="n">
        <v>928</v>
      </c>
      <c r="J315" s="43" t="n">
        <v>3407</v>
      </c>
      <c r="K315" s="42" t="inlineStr">
        <is>
          <t>US Senate</t>
        </is>
      </c>
      <c r="L315" s="43" t="n">
        <v>574</v>
      </c>
      <c r="M315" s="43" t="n">
        <v>2733</v>
      </c>
      <c r="N315" s="43" t="n">
        <v>3437</v>
      </c>
      <c r="O315" s="44">
        <f>IFERROR((F315-G315)/(F315+G315),"")</f>
        <v/>
      </c>
      <c r="P315" s="44">
        <f>IFERROR((I315-J315)/(I315+J315),"")</f>
        <v/>
      </c>
      <c r="Q315" s="45">
        <f>IFERROR(O315-P315,"")</f>
        <v/>
      </c>
      <c r="R315" s="44">
        <f>IFERROR((L315-M315)/(L315+M315),"")</f>
        <v/>
      </c>
      <c r="S315" s="46">
        <f>H315/SUMIFS(Counties!$H$2:$H$1583,Counties!$A$2:$A$1583,$A315)</f>
        <v/>
      </c>
      <c r="T315" s="44">
        <f>O315+INDEX(Dashboard!$F$6:$F$22,MATCH($A315,Dashboard!$A$6:$A$22,0))</f>
        <v/>
      </c>
      <c r="U315" s="43">
        <f>AQ315*INDEX(Dashboard!$G$6:$G$22,MATCH($A315,Dashboard!$A$6:$A$22,0))</f>
        <v/>
      </c>
      <c r="V315" s="47" t="n"/>
      <c r="W315" s="47" t="n"/>
      <c r="X315" s="47" t="n"/>
      <c r="Y315" s="48" t="n"/>
      <c r="Z315" s="49" t="n"/>
      <c r="AA315" s="49" t="n"/>
      <c r="AB315" s="49" t="n"/>
      <c r="AC315" s="50" t="n"/>
      <c r="AD315" s="43">
        <f>IF(Z315&lt;&gt;"",Z315,N(V315))</f>
        <v/>
      </c>
      <c r="AE315" s="43">
        <f>IF(AA315&lt;&gt;"",AA315,N(W315))</f>
        <v/>
      </c>
      <c r="AF315" s="43">
        <f>AD315+AE315</f>
        <v/>
      </c>
      <c r="AG315" s="42">
        <f>IF(UPPER(AC315)="Y",1,IF(AF315=0,0,IF(AND(Z315="",Y315&lt;&gt;""),IF(Y315&gt;=0.999,1,0),IF(AF315&gt;=U315,1,0))))</f>
        <v/>
      </c>
      <c r="AH315" s="44">
        <f>IF(AF315&gt;0,(AD315-AE315)/AF315,"")</f>
        <v/>
      </c>
      <c r="AI315" s="45">
        <f>IF(AG315=1,AH315-O315,"")</f>
        <v/>
      </c>
      <c r="AJ315" s="44">
        <f>IF(AG315=1,AH315,MAX(-1,MIN(1,O315+INDEX(Types!$H:$H,MATCH($A315&amp;"|"&amp;$D315,Types!$A:$A,0)))))</f>
        <v/>
      </c>
      <c r="AK315" s="43">
        <f>IF(AG315=1,AF315,MAX(AQ315*AS315,AF315))</f>
        <v/>
      </c>
      <c r="AL315" s="43">
        <f>IF(AG315=1,AD315,AK315*(1+AJ315)/2)</f>
        <v/>
      </c>
      <c r="AM315" s="43">
        <f>IF(AG315=1,AE315,AK315*(1-AJ315)/2)</f>
        <v/>
      </c>
      <c r="AN315" s="45">
        <f>IF(AH315="","",AH315-T315)</f>
        <v/>
      </c>
      <c r="AO315" s="51">
        <f>IF(AG315=1,1,IF(U315&gt;0,MIN(AF315/U315,0.99),0))</f>
        <v/>
      </c>
      <c r="AP315" s="43">
        <f>IF(AG315=1,AI315*AF315,0)</f>
        <v/>
      </c>
      <c r="AQ315" s="43">
        <f>N315*(F315+G315)/H315</f>
        <v/>
      </c>
      <c r="AR315" s="43">
        <f>O315*AQ315</f>
        <v/>
      </c>
      <c r="AS315" s="52">
        <f>IF(AG315=1,IF(AQ315&gt;0,AF315/AQ315,1),IFERROR(INDEX(Types!$K:$K,MATCH($A315&amp;"|"&amp;$D315,Types!$A:$A,0)),INDEX(Dashboard!$X$6:$X$22,MATCH($A315,Dashboard!$A$6:$A$22,0))))</f>
        <v/>
      </c>
      <c r="AT315" s="43">
        <f>AQ315*INDEX(Dashboard!$Y$6:$Y$22,MATCH($A315,Dashboard!$A$6:$A$22,0))</f>
        <v/>
      </c>
      <c r="AU315" s="53">
        <f>IF(AND(AG315=1,AT315&gt;0,AF315&gt;0),100*AF315/AT315,"")</f>
        <v/>
      </c>
      <c r="AV315" s="44">
        <f>IF(AU315="","",T315/(AU315/100))</f>
        <v/>
      </c>
      <c r="AW315" s="53">
        <f>IF(AU315="","",IF(AND(ABS(AH315)&gt;=0.1,ABS(T315)&gt;=0.05,SIGN(AH315)=SIGN(T315)),100*T315/AH315,""))</f>
        <v/>
      </c>
      <c r="AX315" s="45">
        <f>IF(AU315="","",T315-AV315)</f>
        <v/>
      </c>
      <c r="AY315" s="45">
        <f>IF(AU315="","",AH315-AV315)</f>
        <v/>
      </c>
      <c r="AZ315" s="54">
        <f>(AL315-AM315)-T315*AT315</f>
        <v/>
      </c>
      <c r="BA315" s="43">
        <f>IF(AU315="",0,(AH315-T315)*AF315)</f>
        <v/>
      </c>
      <c r="BB315" s="43">
        <f>IF(AU315="",0,T315*(AF315-AT315))</f>
        <v/>
      </c>
      <c r="BC315" s="51" t="n">
        <v>0.008605017573627438</v>
      </c>
      <c r="BD315" s="51" t="n">
        <v>0.04060113925584777</v>
      </c>
      <c r="BE315" s="51" t="n">
        <v>0.212187711006077</v>
      </c>
      <c r="BF315" s="43" t="n">
        <v>8251</v>
      </c>
    </row>
    <row r="316">
      <c r="A316" s="42" t="inlineStr">
        <is>
          <t>KS</t>
        </is>
      </c>
      <c r="B316" s="42" t="inlineStr">
        <is>
          <t>20033</t>
        </is>
      </c>
      <c r="C316" s="42" t="inlineStr">
        <is>
          <t>Comanche</t>
        </is>
      </c>
      <c r="D316" s="42" t="inlineStr">
        <is>
          <t>Small town &amp; rural</t>
        </is>
      </c>
      <c r="E316" s="42" t="inlineStr"/>
      <c r="F316" s="43" t="n">
        <v>130</v>
      </c>
      <c r="G316" s="43" t="n">
        <v>727</v>
      </c>
      <c r="H316" s="43" t="n">
        <v>874</v>
      </c>
      <c r="I316" s="43" t="n">
        <v>126</v>
      </c>
      <c r="J316" s="43" t="n">
        <v>745</v>
      </c>
      <c r="K316" s="42" t="inlineStr">
        <is>
          <t>US Senate</t>
        </is>
      </c>
      <c r="L316" s="43" t="n">
        <v>67</v>
      </c>
      <c r="M316" s="43" t="n">
        <v>652</v>
      </c>
      <c r="N316" s="43" t="n">
        <v>744</v>
      </c>
      <c r="O316" s="44">
        <f>IFERROR((F316-G316)/(F316+G316),"")</f>
        <v/>
      </c>
      <c r="P316" s="44">
        <f>IFERROR((I316-J316)/(I316+J316),"")</f>
        <v/>
      </c>
      <c r="Q316" s="45">
        <f>IFERROR(O316-P316,"")</f>
        <v/>
      </c>
      <c r="R316" s="44">
        <f>IFERROR((L316-M316)/(L316+M316),"")</f>
        <v/>
      </c>
      <c r="S316" s="46">
        <f>H316/SUMIFS(Counties!$H$2:$H$1583,Counties!$A$2:$A$1583,$A316)</f>
        <v/>
      </c>
      <c r="T316" s="44">
        <f>O316+INDEX(Dashboard!$F$6:$F$22,MATCH($A316,Dashboard!$A$6:$A$22,0))</f>
        <v/>
      </c>
      <c r="U316" s="43">
        <f>AQ316*INDEX(Dashboard!$G$6:$G$22,MATCH($A316,Dashboard!$A$6:$A$22,0))</f>
        <v/>
      </c>
      <c r="V316" s="47" t="n"/>
      <c r="W316" s="47" t="n"/>
      <c r="X316" s="47" t="n"/>
      <c r="Y316" s="48" t="n"/>
      <c r="Z316" s="49" t="n"/>
      <c r="AA316" s="49" t="n"/>
      <c r="AB316" s="49" t="n"/>
      <c r="AC316" s="50" t="n"/>
      <c r="AD316" s="43">
        <f>IF(Z316&lt;&gt;"",Z316,N(V316))</f>
        <v/>
      </c>
      <c r="AE316" s="43">
        <f>IF(AA316&lt;&gt;"",AA316,N(W316))</f>
        <v/>
      </c>
      <c r="AF316" s="43">
        <f>AD316+AE316</f>
        <v/>
      </c>
      <c r="AG316" s="42">
        <f>IF(UPPER(AC316)="Y",1,IF(AF316=0,0,IF(AND(Z316="",Y316&lt;&gt;""),IF(Y316&gt;=0.999,1,0),IF(AF316&gt;=U316,1,0))))</f>
        <v/>
      </c>
      <c r="AH316" s="44">
        <f>IF(AF316&gt;0,(AD316-AE316)/AF316,"")</f>
        <v/>
      </c>
      <c r="AI316" s="45">
        <f>IF(AG316=1,AH316-O316,"")</f>
        <v/>
      </c>
      <c r="AJ316" s="44">
        <f>IF(AG316=1,AH316,MAX(-1,MIN(1,O316+INDEX(Types!$H:$H,MATCH($A316&amp;"|"&amp;$D316,Types!$A:$A,0)))))</f>
        <v/>
      </c>
      <c r="AK316" s="43">
        <f>IF(AG316=1,AF316,MAX(AQ316*AS316,AF316))</f>
        <v/>
      </c>
      <c r="AL316" s="43">
        <f>IF(AG316=1,AD316,AK316*(1+AJ316)/2)</f>
        <v/>
      </c>
      <c r="AM316" s="43">
        <f>IF(AG316=1,AE316,AK316*(1-AJ316)/2)</f>
        <v/>
      </c>
      <c r="AN316" s="45">
        <f>IF(AH316="","",AH316-T316)</f>
        <v/>
      </c>
      <c r="AO316" s="51">
        <f>IF(AG316=1,1,IF(U316&gt;0,MIN(AF316/U316,0.99),0))</f>
        <v/>
      </c>
      <c r="AP316" s="43">
        <f>IF(AG316=1,AI316*AF316,0)</f>
        <v/>
      </c>
      <c r="AQ316" s="43">
        <f>N316*(F316+G316)/H316</f>
        <v/>
      </c>
      <c r="AR316" s="43">
        <f>O316*AQ316</f>
        <v/>
      </c>
      <c r="AS316" s="52">
        <f>IF(AG316=1,IF(AQ316&gt;0,AF316/AQ316,1),IFERROR(INDEX(Types!$K:$K,MATCH($A316&amp;"|"&amp;$D316,Types!$A:$A,0)),INDEX(Dashboard!$X$6:$X$22,MATCH($A316,Dashboard!$A$6:$A$22,0))))</f>
        <v/>
      </c>
      <c r="AT316" s="43">
        <f>AQ316*INDEX(Dashboard!$Y$6:$Y$22,MATCH($A316,Dashboard!$A$6:$A$22,0))</f>
        <v/>
      </c>
      <c r="AU316" s="53">
        <f>IF(AND(AG316=1,AT316&gt;0,AF316&gt;0),100*AF316/AT316,"")</f>
        <v/>
      </c>
      <c r="AV316" s="44">
        <f>IF(AU316="","",T316/(AU316/100))</f>
        <v/>
      </c>
      <c r="AW316" s="53">
        <f>IF(AU316="","",IF(AND(ABS(AH316)&gt;=0.1,ABS(T316)&gt;=0.05,SIGN(AH316)=SIGN(T316)),100*T316/AH316,""))</f>
        <v/>
      </c>
      <c r="AX316" s="45">
        <f>IF(AU316="","",T316-AV316)</f>
        <v/>
      </c>
      <c r="AY316" s="45">
        <f>IF(AU316="","",AH316-AV316)</f>
        <v/>
      </c>
      <c r="AZ316" s="54">
        <f>(AL316-AM316)-T316*AT316</f>
        <v/>
      </c>
      <c r="BA316" s="43">
        <f>IF(AU316="",0,(AH316-T316)*AF316)</f>
        <v/>
      </c>
      <c r="BB316" s="43">
        <f>IF(AU316="",0,T316*(AF316-AT316))</f>
        <v/>
      </c>
      <c r="BC316" s="51" t="n">
        <v>0.004229607250755287</v>
      </c>
      <c r="BD316" s="51" t="n">
        <v>0.07492447129909366</v>
      </c>
      <c r="BE316" s="51" t="n">
        <v>0.1919111816019033</v>
      </c>
      <c r="BF316" s="43" t="n">
        <v>1655</v>
      </c>
    </row>
    <row r="317">
      <c r="A317" s="42" t="inlineStr">
        <is>
          <t>KS</t>
        </is>
      </c>
      <c r="B317" s="42" t="inlineStr">
        <is>
          <t>20035</t>
        </is>
      </c>
      <c r="C317" s="42" t="inlineStr">
        <is>
          <t>Cowley</t>
        </is>
      </c>
      <c r="D317" s="42" t="inlineStr">
        <is>
          <t>Small town &amp; rural</t>
        </is>
      </c>
      <c r="E317" s="42" t="inlineStr"/>
      <c r="F317" s="43" t="n">
        <v>3919</v>
      </c>
      <c r="G317" s="43" t="n">
        <v>9360</v>
      </c>
      <c r="H317" s="43" t="n">
        <v>13505</v>
      </c>
      <c r="I317" s="43" t="n">
        <v>4171</v>
      </c>
      <c r="J317" s="43" t="n">
        <v>9442</v>
      </c>
      <c r="K317" s="42" t="inlineStr">
        <is>
          <t>US Senate</t>
        </is>
      </c>
      <c r="L317" s="43" t="n">
        <v>2867</v>
      </c>
      <c r="M317" s="43" t="n">
        <v>7362</v>
      </c>
      <c r="N317" s="43" t="n">
        <v>10611</v>
      </c>
      <c r="O317" s="44">
        <f>IFERROR((F317-G317)/(F317+G317),"")</f>
        <v/>
      </c>
      <c r="P317" s="44">
        <f>IFERROR((I317-J317)/(I317+J317),"")</f>
        <v/>
      </c>
      <c r="Q317" s="45">
        <f>IFERROR(O317-P317,"")</f>
        <v/>
      </c>
      <c r="R317" s="44">
        <f>IFERROR((L317-M317)/(L317+M317),"")</f>
        <v/>
      </c>
      <c r="S317" s="46">
        <f>H317/SUMIFS(Counties!$H$2:$H$1583,Counties!$A$2:$A$1583,$A317)</f>
        <v/>
      </c>
      <c r="T317" s="44">
        <f>O317+INDEX(Dashboard!$F$6:$F$22,MATCH($A317,Dashboard!$A$6:$A$22,0))</f>
        <v/>
      </c>
      <c r="U317" s="43">
        <f>AQ317*INDEX(Dashboard!$G$6:$G$22,MATCH($A317,Dashboard!$A$6:$A$22,0))</f>
        <v/>
      </c>
      <c r="V317" s="47" t="n"/>
      <c r="W317" s="47" t="n"/>
      <c r="X317" s="47" t="n"/>
      <c r="Y317" s="48" t="n"/>
      <c r="Z317" s="49" t="n"/>
      <c r="AA317" s="49" t="n"/>
      <c r="AB317" s="49" t="n"/>
      <c r="AC317" s="50" t="n"/>
      <c r="AD317" s="43">
        <f>IF(Z317&lt;&gt;"",Z317,N(V317))</f>
        <v/>
      </c>
      <c r="AE317" s="43">
        <f>IF(AA317&lt;&gt;"",AA317,N(W317))</f>
        <v/>
      </c>
      <c r="AF317" s="43">
        <f>AD317+AE317</f>
        <v/>
      </c>
      <c r="AG317" s="42">
        <f>IF(UPPER(AC317)="Y",1,IF(AF317=0,0,IF(AND(Z317="",Y317&lt;&gt;""),IF(Y317&gt;=0.999,1,0),IF(AF317&gt;=U317,1,0))))</f>
        <v/>
      </c>
      <c r="AH317" s="44">
        <f>IF(AF317&gt;0,(AD317-AE317)/AF317,"")</f>
        <v/>
      </c>
      <c r="AI317" s="45">
        <f>IF(AG317=1,AH317-O317,"")</f>
        <v/>
      </c>
      <c r="AJ317" s="44">
        <f>IF(AG317=1,AH317,MAX(-1,MIN(1,O317+INDEX(Types!$H:$H,MATCH($A317&amp;"|"&amp;$D317,Types!$A:$A,0)))))</f>
        <v/>
      </c>
      <c r="AK317" s="43">
        <f>IF(AG317=1,AF317,MAX(AQ317*AS317,AF317))</f>
        <v/>
      </c>
      <c r="AL317" s="43">
        <f>IF(AG317=1,AD317,AK317*(1+AJ317)/2)</f>
        <v/>
      </c>
      <c r="AM317" s="43">
        <f>IF(AG317=1,AE317,AK317*(1-AJ317)/2)</f>
        <v/>
      </c>
      <c r="AN317" s="45">
        <f>IF(AH317="","",AH317-T317)</f>
        <v/>
      </c>
      <c r="AO317" s="51">
        <f>IF(AG317=1,1,IF(U317&gt;0,MIN(AF317/U317,0.99),0))</f>
        <v/>
      </c>
      <c r="AP317" s="43">
        <f>IF(AG317=1,AI317*AF317,0)</f>
        <v/>
      </c>
      <c r="AQ317" s="43">
        <f>N317*(F317+G317)/H317</f>
        <v/>
      </c>
      <c r="AR317" s="43">
        <f>O317*AQ317</f>
        <v/>
      </c>
      <c r="AS317" s="52">
        <f>IF(AG317=1,IF(AQ317&gt;0,AF317/AQ317,1),IFERROR(INDEX(Types!$K:$K,MATCH($A317&amp;"|"&amp;$D317,Types!$A:$A,0)),INDEX(Dashboard!$X$6:$X$22,MATCH($A317,Dashboard!$A$6:$A$22,0))))</f>
        <v/>
      </c>
      <c r="AT317" s="43">
        <f>AQ317*INDEX(Dashboard!$Y$6:$Y$22,MATCH($A317,Dashboard!$A$6:$A$22,0))</f>
        <v/>
      </c>
      <c r="AU317" s="53">
        <f>IF(AND(AG317=1,AT317&gt;0,AF317&gt;0),100*AF317/AT317,"")</f>
        <v/>
      </c>
      <c r="AV317" s="44">
        <f>IF(AU317="","",T317/(AU317/100))</f>
        <v/>
      </c>
      <c r="AW317" s="53">
        <f>IF(AU317="","",IF(AND(ABS(AH317)&gt;=0.1,ABS(T317)&gt;=0.05,SIGN(AH317)=SIGN(T317)),100*T317/AH317,""))</f>
        <v/>
      </c>
      <c r="AX317" s="45">
        <f>IF(AU317="","",T317-AV317)</f>
        <v/>
      </c>
      <c r="AY317" s="45">
        <f>IF(AU317="","",AH317-AV317)</f>
        <v/>
      </c>
      <c r="AZ317" s="54">
        <f>(AL317-AM317)-T317*AT317</f>
        <v/>
      </c>
      <c r="BA317" s="43">
        <f>IF(AU317="",0,(AH317-T317)*AF317)</f>
        <v/>
      </c>
      <c r="BB317" s="43">
        <f>IF(AU317="",0,T317*(AF317-AT317))</f>
        <v/>
      </c>
      <c r="BC317" s="51" t="n">
        <v>0.02734432180812132</v>
      </c>
      <c r="BD317" s="51" t="n">
        <v>0.1247474895336241</v>
      </c>
      <c r="BE317" s="51" t="n">
        <v>0.2425668543279381</v>
      </c>
      <c r="BF317" s="43" t="n">
        <v>34157</v>
      </c>
    </row>
    <row r="318">
      <c r="A318" s="42" t="inlineStr">
        <is>
          <t>KS</t>
        </is>
      </c>
      <c r="B318" s="42" t="inlineStr">
        <is>
          <t>20037</t>
        </is>
      </c>
      <c r="C318" s="42" t="inlineStr">
        <is>
          <t>Crawford</t>
        </is>
      </c>
      <c r="D318" s="42" t="inlineStr">
        <is>
          <t>Small town &amp; rural</t>
        </is>
      </c>
      <c r="E318" s="42" t="inlineStr"/>
      <c r="F318" s="43" t="n">
        <v>5956</v>
      </c>
      <c r="G318" s="43" t="n">
        <v>10084</v>
      </c>
      <c r="H318" s="43" t="n">
        <v>16334</v>
      </c>
      <c r="I318" s="43" t="n">
        <v>6179</v>
      </c>
      <c r="J318" s="43" t="n">
        <v>10045</v>
      </c>
      <c r="K318" s="42" t="inlineStr">
        <is>
          <t>US Senate</t>
        </is>
      </c>
      <c r="L318" s="43" t="n">
        <v>4276</v>
      </c>
      <c r="M318" s="43" t="n">
        <v>7154</v>
      </c>
      <c r="N318" s="43" t="n">
        <v>11797</v>
      </c>
      <c r="O318" s="44">
        <f>IFERROR((F318-G318)/(F318+G318),"")</f>
        <v/>
      </c>
      <c r="P318" s="44">
        <f>IFERROR((I318-J318)/(I318+J318),"")</f>
        <v/>
      </c>
      <c r="Q318" s="45">
        <f>IFERROR(O318-P318,"")</f>
        <v/>
      </c>
      <c r="R318" s="44">
        <f>IFERROR((L318-M318)/(L318+M318),"")</f>
        <v/>
      </c>
      <c r="S318" s="46">
        <f>H318/SUMIFS(Counties!$H$2:$H$1583,Counties!$A$2:$A$1583,$A318)</f>
        <v/>
      </c>
      <c r="T318" s="44">
        <f>O318+INDEX(Dashboard!$F$6:$F$22,MATCH($A318,Dashboard!$A$6:$A$22,0))</f>
        <v/>
      </c>
      <c r="U318" s="43">
        <f>AQ318*INDEX(Dashboard!$G$6:$G$22,MATCH($A318,Dashboard!$A$6:$A$22,0))</f>
        <v/>
      </c>
      <c r="V318" s="47" t="n"/>
      <c r="W318" s="47" t="n"/>
      <c r="X318" s="47" t="n"/>
      <c r="Y318" s="48" t="n"/>
      <c r="Z318" s="49" t="n"/>
      <c r="AA318" s="49" t="n"/>
      <c r="AB318" s="49" t="n"/>
      <c r="AC318" s="50" t="n"/>
      <c r="AD318" s="43">
        <f>IF(Z318&lt;&gt;"",Z318,N(V318))</f>
        <v/>
      </c>
      <c r="AE318" s="43">
        <f>IF(AA318&lt;&gt;"",AA318,N(W318))</f>
        <v/>
      </c>
      <c r="AF318" s="43">
        <f>AD318+AE318</f>
        <v/>
      </c>
      <c r="AG318" s="42">
        <f>IF(UPPER(AC318)="Y",1,IF(AF318=0,0,IF(AND(Z318="",Y318&lt;&gt;""),IF(Y318&gt;=0.999,1,0),IF(AF318&gt;=U318,1,0))))</f>
        <v/>
      </c>
      <c r="AH318" s="44">
        <f>IF(AF318&gt;0,(AD318-AE318)/AF318,"")</f>
        <v/>
      </c>
      <c r="AI318" s="45">
        <f>IF(AG318=1,AH318-O318,"")</f>
        <v/>
      </c>
      <c r="AJ318" s="44">
        <f>IF(AG318=1,AH318,MAX(-1,MIN(1,O318+INDEX(Types!$H:$H,MATCH($A318&amp;"|"&amp;$D318,Types!$A:$A,0)))))</f>
        <v/>
      </c>
      <c r="AK318" s="43">
        <f>IF(AG318=1,AF318,MAX(AQ318*AS318,AF318))</f>
        <v/>
      </c>
      <c r="AL318" s="43">
        <f>IF(AG318=1,AD318,AK318*(1+AJ318)/2)</f>
        <v/>
      </c>
      <c r="AM318" s="43">
        <f>IF(AG318=1,AE318,AK318*(1-AJ318)/2)</f>
        <v/>
      </c>
      <c r="AN318" s="45">
        <f>IF(AH318="","",AH318-T318)</f>
        <v/>
      </c>
      <c r="AO318" s="51">
        <f>IF(AG318=1,1,IF(U318&gt;0,MIN(AF318/U318,0.99),0))</f>
        <v/>
      </c>
      <c r="AP318" s="43">
        <f>IF(AG318=1,AI318*AF318,0)</f>
        <v/>
      </c>
      <c r="AQ318" s="43">
        <f>N318*(F318+G318)/H318</f>
        <v/>
      </c>
      <c r="AR318" s="43">
        <f>O318*AQ318</f>
        <v/>
      </c>
      <c r="AS318" s="52">
        <f>IF(AG318=1,IF(AQ318&gt;0,AF318/AQ318,1),IFERROR(INDEX(Types!$K:$K,MATCH($A318&amp;"|"&amp;$D318,Types!$A:$A,0)),INDEX(Dashboard!$X$6:$X$22,MATCH($A318,Dashboard!$A$6:$A$22,0))))</f>
        <v/>
      </c>
      <c r="AT318" s="43">
        <f>AQ318*INDEX(Dashboard!$Y$6:$Y$22,MATCH($A318,Dashboard!$A$6:$A$22,0))</f>
        <v/>
      </c>
      <c r="AU318" s="53">
        <f>IF(AND(AG318=1,AT318&gt;0,AF318&gt;0),100*AF318/AT318,"")</f>
        <v/>
      </c>
      <c r="AV318" s="44">
        <f>IF(AU318="","",T318/(AU318/100))</f>
        <v/>
      </c>
      <c r="AW318" s="53">
        <f>IF(AU318="","",IF(AND(ABS(AH318)&gt;=0.1,ABS(T318)&gt;=0.05,SIGN(AH318)=SIGN(T318)),100*T318/AH318,""))</f>
        <v/>
      </c>
      <c r="AX318" s="45">
        <f>IF(AU318="","",T318-AV318)</f>
        <v/>
      </c>
      <c r="AY318" s="45">
        <f>IF(AU318="","",AH318-AV318)</f>
        <v/>
      </c>
      <c r="AZ318" s="54">
        <f>(AL318-AM318)-T318*AT318</f>
        <v/>
      </c>
      <c r="BA318" s="43">
        <f>IF(AU318="",0,(AH318-T318)*AF318)</f>
        <v/>
      </c>
      <c r="BB318" s="43">
        <f>IF(AU318="",0,T318*(AF318-AT318))</f>
        <v/>
      </c>
      <c r="BC318" s="51" t="n">
        <v>0.02146321329068208</v>
      </c>
      <c r="BD318" s="51" t="n">
        <v>0.07468269528428438</v>
      </c>
      <c r="BE318" s="51" t="n">
        <v>0.3197421227905388</v>
      </c>
      <c r="BF318" s="43" t="n">
        <v>38764</v>
      </c>
    </row>
    <row r="319">
      <c r="A319" s="42" t="inlineStr">
        <is>
          <t>KS</t>
        </is>
      </c>
      <c r="B319" s="42" t="inlineStr">
        <is>
          <t>20039</t>
        </is>
      </c>
      <c r="C319" s="42" t="inlineStr">
        <is>
          <t>Decatur</t>
        </is>
      </c>
      <c r="D319" s="42" t="inlineStr">
        <is>
          <t>Small town &amp; rural</t>
        </is>
      </c>
      <c r="E319" s="42" t="inlineStr"/>
      <c r="F319" s="43" t="n">
        <v>215</v>
      </c>
      <c r="G319" s="43" t="n">
        <v>1217</v>
      </c>
      <c r="H319" s="43" t="n">
        <v>1452</v>
      </c>
      <c r="I319" s="43" t="n">
        <v>208</v>
      </c>
      <c r="J319" s="43" t="n">
        <v>1232</v>
      </c>
      <c r="K319" s="42" t="inlineStr">
        <is>
          <t>US Senate</t>
        </is>
      </c>
      <c r="L319" s="43" t="n">
        <v>114</v>
      </c>
      <c r="M319" s="43" t="n">
        <v>986</v>
      </c>
      <c r="N319" s="43" t="n">
        <v>1129</v>
      </c>
      <c r="O319" s="44">
        <f>IFERROR((F319-G319)/(F319+G319),"")</f>
        <v/>
      </c>
      <c r="P319" s="44">
        <f>IFERROR((I319-J319)/(I319+J319),"")</f>
        <v/>
      </c>
      <c r="Q319" s="45">
        <f>IFERROR(O319-P319,"")</f>
        <v/>
      </c>
      <c r="R319" s="44">
        <f>IFERROR((L319-M319)/(L319+M319),"")</f>
        <v/>
      </c>
      <c r="S319" s="46">
        <f>H319/SUMIFS(Counties!$H$2:$H$1583,Counties!$A$2:$A$1583,$A319)</f>
        <v/>
      </c>
      <c r="T319" s="44">
        <f>O319+INDEX(Dashboard!$F$6:$F$22,MATCH($A319,Dashboard!$A$6:$A$22,0))</f>
        <v/>
      </c>
      <c r="U319" s="43">
        <f>AQ319*INDEX(Dashboard!$G$6:$G$22,MATCH($A319,Dashboard!$A$6:$A$22,0))</f>
        <v/>
      </c>
      <c r="V319" s="47" t="n"/>
      <c r="W319" s="47" t="n"/>
      <c r="X319" s="47" t="n"/>
      <c r="Y319" s="48" t="n"/>
      <c r="Z319" s="49" t="n"/>
      <c r="AA319" s="49" t="n"/>
      <c r="AB319" s="49" t="n"/>
      <c r="AC319" s="50" t="n"/>
      <c r="AD319" s="43">
        <f>IF(Z319&lt;&gt;"",Z319,N(V319))</f>
        <v/>
      </c>
      <c r="AE319" s="43">
        <f>IF(AA319&lt;&gt;"",AA319,N(W319))</f>
        <v/>
      </c>
      <c r="AF319" s="43">
        <f>AD319+AE319</f>
        <v/>
      </c>
      <c r="AG319" s="42">
        <f>IF(UPPER(AC319)="Y",1,IF(AF319=0,0,IF(AND(Z319="",Y319&lt;&gt;""),IF(Y319&gt;=0.999,1,0),IF(AF319&gt;=U319,1,0))))</f>
        <v/>
      </c>
      <c r="AH319" s="44">
        <f>IF(AF319&gt;0,(AD319-AE319)/AF319,"")</f>
        <v/>
      </c>
      <c r="AI319" s="45">
        <f>IF(AG319=1,AH319-O319,"")</f>
        <v/>
      </c>
      <c r="AJ319" s="44">
        <f>IF(AG319=1,AH319,MAX(-1,MIN(1,O319+INDEX(Types!$H:$H,MATCH($A319&amp;"|"&amp;$D319,Types!$A:$A,0)))))</f>
        <v/>
      </c>
      <c r="AK319" s="43">
        <f>IF(AG319=1,AF319,MAX(AQ319*AS319,AF319))</f>
        <v/>
      </c>
      <c r="AL319" s="43">
        <f>IF(AG319=1,AD319,AK319*(1+AJ319)/2)</f>
        <v/>
      </c>
      <c r="AM319" s="43">
        <f>IF(AG319=1,AE319,AK319*(1-AJ319)/2)</f>
        <v/>
      </c>
      <c r="AN319" s="45">
        <f>IF(AH319="","",AH319-T319)</f>
        <v/>
      </c>
      <c r="AO319" s="51">
        <f>IF(AG319=1,1,IF(U319&gt;0,MIN(AF319/U319,0.99),0))</f>
        <v/>
      </c>
      <c r="AP319" s="43">
        <f>IF(AG319=1,AI319*AF319,0)</f>
        <v/>
      </c>
      <c r="AQ319" s="43">
        <f>N319*(F319+G319)/H319</f>
        <v/>
      </c>
      <c r="AR319" s="43">
        <f>O319*AQ319</f>
        <v/>
      </c>
      <c r="AS319" s="52">
        <f>IF(AG319=1,IF(AQ319&gt;0,AF319/AQ319,1),IFERROR(INDEX(Types!$K:$K,MATCH($A319&amp;"|"&amp;$D319,Types!$A:$A,0)),INDEX(Dashboard!$X$6:$X$22,MATCH($A319,Dashboard!$A$6:$A$22,0))))</f>
        <v/>
      </c>
      <c r="AT319" s="43">
        <f>AQ319*INDEX(Dashboard!$Y$6:$Y$22,MATCH($A319,Dashboard!$A$6:$A$22,0))</f>
        <v/>
      </c>
      <c r="AU319" s="53">
        <f>IF(AND(AG319=1,AT319&gt;0,AF319&gt;0),100*AF319/AT319,"")</f>
        <v/>
      </c>
      <c r="AV319" s="44">
        <f>IF(AU319="","",T319/(AU319/100))</f>
        <v/>
      </c>
      <c r="AW319" s="53">
        <f>IF(AU319="","",IF(AND(ABS(AH319)&gt;=0.1,ABS(T319)&gt;=0.05,SIGN(AH319)=SIGN(T319)),100*T319/AH319,""))</f>
        <v/>
      </c>
      <c r="AX319" s="45">
        <f>IF(AU319="","",T319-AV319)</f>
        <v/>
      </c>
      <c r="AY319" s="45">
        <f>IF(AU319="","",AH319-AV319)</f>
        <v/>
      </c>
      <c r="AZ319" s="54">
        <f>(AL319-AM319)-T319*AT319</f>
        <v/>
      </c>
      <c r="BA319" s="43">
        <f>IF(AU319="",0,(AH319-T319)*AF319)</f>
        <v/>
      </c>
      <c r="BB319" s="43">
        <f>IF(AU319="",0,T319*(AF319-AT319))</f>
        <v/>
      </c>
      <c r="BC319" s="51" t="n">
        <v>0.0114306784660767</v>
      </c>
      <c r="BD319" s="51" t="n">
        <v>0.05125368731563422</v>
      </c>
      <c r="BE319" s="51" t="n">
        <v>0.278084714548803</v>
      </c>
      <c r="BF319" s="43" t="n">
        <v>2712</v>
      </c>
    </row>
    <row r="320">
      <c r="A320" s="42" t="inlineStr">
        <is>
          <t>KS</t>
        </is>
      </c>
      <c r="B320" s="42" t="inlineStr">
        <is>
          <t>20041</t>
        </is>
      </c>
      <c r="C320" s="42" t="inlineStr">
        <is>
          <t>Dickinson</t>
        </is>
      </c>
      <c r="D320" s="42" t="inlineStr">
        <is>
          <t>Small town &amp; rural</t>
        </is>
      </c>
      <c r="E320" s="42" t="inlineStr"/>
      <c r="F320" s="43" t="n">
        <v>1989</v>
      </c>
      <c r="G320" s="43" t="n">
        <v>7014</v>
      </c>
      <c r="H320" s="43" t="n">
        <v>9144</v>
      </c>
      <c r="I320" s="43" t="n">
        <v>2040</v>
      </c>
      <c r="J320" s="43" t="n">
        <v>7045</v>
      </c>
      <c r="K320" s="42" t="inlineStr">
        <is>
          <t>US Senate</t>
        </is>
      </c>
      <c r="L320" s="43" t="n">
        <v>1239</v>
      </c>
      <c r="M320" s="43" t="n">
        <v>5446</v>
      </c>
      <c r="N320" s="43" t="n">
        <v>6912</v>
      </c>
      <c r="O320" s="44">
        <f>IFERROR((F320-G320)/(F320+G320),"")</f>
        <v/>
      </c>
      <c r="P320" s="44">
        <f>IFERROR((I320-J320)/(I320+J320),"")</f>
        <v/>
      </c>
      <c r="Q320" s="45">
        <f>IFERROR(O320-P320,"")</f>
        <v/>
      </c>
      <c r="R320" s="44">
        <f>IFERROR((L320-M320)/(L320+M320),"")</f>
        <v/>
      </c>
      <c r="S320" s="46">
        <f>H320/SUMIFS(Counties!$H$2:$H$1583,Counties!$A$2:$A$1583,$A320)</f>
        <v/>
      </c>
      <c r="T320" s="44">
        <f>O320+INDEX(Dashboard!$F$6:$F$22,MATCH($A320,Dashboard!$A$6:$A$22,0))</f>
        <v/>
      </c>
      <c r="U320" s="43">
        <f>AQ320*INDEX(Dashboard!$G$6:$G$22,MATCH($A320,Dashboard!$A$6:$A$22,0))</f>
        <v/>
      </c>
      <c r="V320" s="47" t="n"/>
      <c r="W320" s="47" t="n"/>
      <c r="X320" s="47" t="n"/>
      <c r="Y320" s="48" t="n"/>
      <c r="Z320" s="49" t="n"/>
      <c r="AA320" s="49" t="n"/>
      <c r="AB320" s="49" t="n"/>
      <c r="AC320" s="50" t="n"/>
      <c r="AD320" s="43">
        <f>IF(Z320&lt;&gt;"",Z320,N(V320))</f>
        <v/>
      </c>
      <c r="AE320" s="43">
        <f>IF(AA320&lt;&gt;"",AA320,N(W320))</f>
        <v/>
      </c>
      <c r="AF320" s="43">
        <f>AD320+AE320</f>
        <v/>
      </c>
      <c r="AG320" s="42">
        <f>IF(UPPER(AC320)="Y",1,IF(AF320=0,0,IF(AND(Z320="",Y320&lt;&gt;""),IF(Y320&gt;=0.999,1,0),IF(AF320&gt;=U320,1,0))))</f>
        <v/>
      </c>
      <c r="AH320" s="44">
        <f>IF(AF320&gt;0,(AD320-AE320)/AF320,"")</f>
        <v/>
      </c>
      <c r="AI320" s="45">
        <f>IF(AG320=1,AH320-O320,"")</f>
        <v/>
      </c>
      <c r="AJ320" s="44">
        <f>IF(AG320=1,AH320,MAX(-1,MIN(1,O320+INDEX(Types!$H:$H,MATCH($A320&amp;"|"&amp;$D320,Types!$A:$A,0)))))</f>
        <v/>
      </c>
      <c r="AK320" s="43">
        <f>IF(AG320=1,AF320,MAX(AQ320*AS320,AF320))</f>
        <v/>
      </c>
      <c r="AL320" s="43">
        <f>IF(AG320=1,AD320,AK320*(1+AJ320)/2)</f>
        <v/>
      </c>
      <c r="AM320" s="43">
        <f>IF(AG320=1,AE320,AK320*(1-AJ320)/2)</f>
        <v/>
      </c>
      <c r="AN320" s="45">
        <f>IF(AH320="","",AH320-T320)</f>
        <v/>
      </c>
      <c r="AO320" s="51">
        <f>IF(AG320=1,1,IF(U320&gt;0,MIN(AF320/U320,0.99),0))</f>
        <v/>
      </c>
      <c r="AP320" s="43">
        <f>IF(AG320=1,AI320*AF320,0)</f>
        <v/>
      </c>
      <c r="AQ320" s="43">
        <f>N320*(F320+G320)/H320</f>
        <v/>
      </c>
      <c r="AR320" s="43">
        <f>O320*AQ320</f>
        <v/>
      </c>
      <c r="AS320" s="52">
        <f>IF(AG320=1,IF(AQ320&gt;0,AF320/AQ320,1),IFERROR(INDEX(Types!$K:$K,MATCH($A320&amp;"|"&amp;$D320,Types!$A:$A,0)),INDEX(Dashboard!$X$6:$X$22,MATCH($A320,Dashboard!$A$6:$A$22,0))))</f>
        <v/>
      </c>
      <c r="AT320" s="43">
        <f>AQ320*INDEX(Dashboard!$Y$6:$Y$22,MATCH($A320,Dashboard!$A$6:$A$22,0))</f>
        <v/>
      </c>
      <c r="AU320" s="53">
        <f>IF(AND(AG320=1,AT320&gt;0,AF320&gt;0),100*AF320/AT320,"")</f>
        <v/>
      </c>
      <c r="AV320" s="44">
        <f>IF(AU320="","",T320/(AU320/100))</f>
        <v/>
      </c>
      <c r="AW320" s="53">
        <f>IF(AU320="","",IF(AND(ABS(AH320)&gt;=0.1,ABS(T320)&gt;=0.05,SIGN(AH320)=SIGN(T320)),100*T320/AH320,""))</f>
        <v/>
      </c>
      <c r="AX320" s="45">
        <f>IF(AU320="","",T320-AV320)</f>
        <v/>
      </c>
      <c r="AY320" s="45">
        <f>IF(AU320="","",AH320-AV320)</f>
        <v/>
      </c>
      <c r="AZ320" s="54">
        <f>(AL320-AM320)-T320*AT320</f>
        <v/>
      </c>
      <c r="BA320" s="43">
        <f>IF(AU320="",0,(AH320-T320)*AF320)</f>
        <v/>
      </c>
      <c r="BB320" s="43">
        <f>IF(AU320="",0,T320*(AF320-AT320))</f>
        <v/>
      </c>
      <c r="BC320" s="51" t="n">
        <v>0.0114936297099485</v>
      </c>
      <c r="BD320" s="51" t="n">
        <v>0.05963675792897805</v>
      </c>
      <c r="BE320" s="51" t="n">
        <v>0.2193083352503642</v>
      </c>
      <c r="BF320" s="43" t="n">
        <v>18445</v>
      </c>
    </row>
    <row r="321">
      <c r="A321" s="42" t="inlineStr">
        <is>
          <t>KS</t>
        </is>
      </c>
      <c r="B321" s="42" t="inlineStr">
        <is>
          <t>20043</t>
        </is>
      </c>
      <c r="C321" s="42" t="inlineStr">
        <is>
          <t>Doniphan</t>
        </is>
      </c>
      <c r="D321" s="42" t="inlineStr">
        <is>
          <t>Small town &amp; rural</t>
        </is>
      </c>
      <c r="E321" s="42" t="inlineStr"/>
      <c r="F321" s="43" t="n">
        <v>626</v>
      </c>
      <c r="G321" s="43" t="n">
        <v>2899</v>
      </c>
      <c r="H321" s="43" t="n">
        <v>3577</v>
      </c>
      <c r="I321" s="43" t="n">
        <v>678</v>
      </c>
      <c r="J321" s="43" t="n">
        <v>2949</v>
      </c>
      <c r="K321" s="42" t="inlineStr">
        <is>
          <t>US Senate</t>
        </is>
      </c>
      <c r="L321" s="43" t="n">
        <v>405</v>
      </c>
      <c r="M321" s="43" t="n">
        <v>2159</v>
      </c>
      <c r="N321" s="43" t="n">
        <v>2638</v>
      </c>
      <c r="O321" s="44">
        <f>IFERROR((F321-G321)/(F321+G321),"")</f>
        <v/>
      </c>
      <c r="P321" s="44">
        <f>IFERROR((I321-J321)/(I321+J321),"")</f>
        <v/>
      </c>
      <c r="Q321" s="45">
        <f>IFERROR(O321-P321,"")</f>
        <v/>
      </c>
      <c r="R321" s="44">
        <f>IFERROR((L321-M321)/(L321+M321),"")</f>
        <v/>
      </c>
      <c r="S321" s="46">
        <f>H321/SUMIFS(Counties!$H$2:$H$1583,Counties!$A$2:$A$1583,$A321)</f>
        <v/>
      </c>
      <c r="T321" s="44">
        <f>O321+INDEX(Dashboard!$F$6:$F$22,MATCH($A321,Dashboard!$A$6:$A$22,0))</f>
        <v/>
      </c>
      <c r="U321" s="43">
        <f>AQ321*INDEX(Dashboard!$G$6:$G$22,MATCH($A321,Dashboard!$A$6:$A$22,0))</f>
        <v/>
      </c>
      <c r="V321" s="47" t="n"/>
      <c r="W321" s="47" t="n"/>
      <c r="X321" s="47" t="n"/>
      <c r="Y321" s="48" t="n"/>
      <c r="Z321" s="49" t="n"/>
      <c r="AA321" s="49" t="n"/>
      <c r="AB321" s="49" t="n"/>
      <c r="AC321" s="50" t="n"/>
      <c r="AD321" s="43">
        <f>IF(Z321&lt;&gt;"",Z321,N(V321))</f>
        <v/>
      </c>
      <c r="AE321" s="43">
        <f>IF(AA321&lt;&gt;"",AA321,N(W321))</f>
        <v/>
      </c>
      <c r="AF321" s="43">
        <f>AD321+AE321</f>
        <v/>
      </c>
      <c r="AG321" s="42">
        <f>IF(UPPER(AC321)="Y",1,IF(AF321=0,0,IF(AND(Z321="",Y321&lt;&gt;""),IF(Y321&gt;=0.999,1,0),IF(AF321&gt;=U321,1,0))))</f>
        <v/>
      </c>
      <c r="AH321" s="44">
        <f>IF(AF321&gt;0,(AD321-AE321)/AF321,"")</f>
        <v/>
      </c>
      <c r="AI321" s="45">
        <f>IF(AG321=1,AH321-O321,"")</f>
        <v/>
      </c>
      <c r="AJ321" s="44">
        <f>IF(AG321=1,AH321,MAX(-1,MIN(1,O321+INDEX(Types!$H:$H,MATCH($A321&amp;"|"&amp;$D321,Types!$A:$A,0)))))</f>
        <v/>
      </c>
      <c r="AK321" s="43">
        <f>IF(AG321=1,AF321,MAX(AQ321*AS321,AF321))</f>
        <v/>
      </c>
      <c r="AL321" s="43">
        <f>IF(AG321=1,AD321,AK321*(1+AJ321)/2)</f>
        <v/>
      </c>
      <c r="AM321" s="43">
        <f>IF(AG321=1,AE321,AK321*(1-AJ321)/2)</f>
        <v/>
      </c>
      <c r="AN321" s="45">
        <f>IF(AH321="","",AH321-T321)</f>
        <v/>
      </c>
      <c r="AO321" s="51">
        <f>IF(AG321=1,1,IF(U321&gt;0,MIN(AF321/U321,0.99),0))</f>
        <v/>
      </c>
      <c r="AP321" s="43">
        <f>IF(AG321=1,AI321*AF321,0)</f>
        <v/>
      </c>
      <c r="AQ321" s="43">
        <f>N321*(F321+G321)/H321</f>
        <v/>
      </c>
      <c r="AR321" s="43">
        <f>O321*AQ321</f>
        <v/>
      </c>
      <c r="AS321" s="52">
        <f>IF(AG321=1,IF(AQ321&gt;0,AF321/AQ321,1),IFERROR(INDEX(Types!$K:$K,MATCH($A321&amp;"|"&amp;$D321,Types!$A:$A,0)),INDEX(Dashboard!$X$6:$X$22,MATCH($A321,Dashboard!$A$6:$A$22,0))))</f>
        <v/>
      </c>
      <c r="AT321" s="43">
        <f>AQ321*INDEX(Dashboard!$Y$6:$Y$22,MATCH($A321,Dashboard!$A$6:$A$22,0))</f>
        <v/>
      </c>
      <c r="AU321" s="53">
        <f>IF(AND(AG321=1,AT321&gt;0,AF321&gt;0),100*AF321/AT321,"")</f>
        <v/>
      </c>
      <c r="AV321" s="44">
        <f>IF(AU321="","",T321/(AU321/100))</f>
        <v/>
      </c>
      <c r="AW321" s="53">
        <f>IF(AU321="","",IF(AND(ABS(AH321)&gt;=0.1,ABS(T321)&gt;=0.05,SIGN(AH321)=SIGN(T321)),100*T321/AH321,""))</f>
        <v/>
      </c>
      <c r="AX321" s="45">
        <f>IF(AU321="","",T321-AV321)</f>
        <v/>
      </c>
      <c r="AY321" s="45">
        <f>IF(AU321="","",AH321-AV321)</f>
        <v/>
      </c>
      <c r="AZ321" s="54">
        <f>(AL321-AM321)-T321*AT321</f>
        <v/>
      </c>
      <c r="BA321" s="43">
        <f>IF(AU321="",0,(AH321-T321)*AF321)</f>
        <v/>
      </c>
      <c r="BB321" s="43">
        <f>IF(AU321="",0,T321*(AF321-AT321))</f>
        <v/>
      </c>
      <c r="BC321" s="51" t="n">
        <v>0.03016148405178166</v>
      </c>
      <c r="BD321" s="51" t="n">
        <v>0.03630054717736554</v>
      </c>
      <c r="BE321" s="51" t="n">
        <v>0.2149607882565856</v>
      </c>
      <c r="BF321" s="43" t="n">
        <v>7493</v>
      </c>
    </row>
    <row r="322">
      <c r="A322" s="42" t="inlineStr">
        <is>
          <t>KS</t>
        </is>
      </c>
      <c r="B322" s="42" t="inlineStr">
        <is>
          <t>20045</t>
        </is>
      </c>
      <c r="C322" s="42" t="inlineStr">
        <is>
          <t>Douglas</t>
        </is>
      </c>
      <c r="D322" s="42" t="inlineStr">
        <is>
          <t>College suburb/metro</t>
        </is>
      </c>
      <c r="E322" s="42" t="inlineStr">
        <is>
          <t>★</t>
        </is>
      </c>
      <c r="F322" s="43" t="n">
        <v>39582</v>
      </c>
      <c r="G322" s="43" t="n">
        <v>17523</v>
      </c>
      <c r="H322" s="43" t="n">
        <v>58041</v>
      </c>
      <c r="I322" s="43" t="n">
        <v>39436</v>
      </c>
      <c r="J322" s="43" t="n">
        <v>16737</v>
      </c>
      <c r="K322" s="42" t="inlineStr">
        <is>
          <t>US Senate</t>
        </is>
      </c>
      <c r="L322" s="43" t="n">
        <v>31415</v>
      </c>
      <c r="M322" s="43" t="n">
        <v>14501</v>
      </c>
      <c r="N322" s="43" t="n">
        <v>47161</v>
      </c>
      <c r="O322" s="44">
        <f>IFERROR((F322-G322)/(F322+G322),"")</f>
        <v/>
      </c>
      <c r="P322" s="44">
        <f>IFERROR((I322-J322)/(I322+J322),"")</f>
        <v/>
      </c>
      <c r="Q322" s="45">
        <f>IFERROR(O322-P322,"")</f>
        <v/>
      </c>
      <c r="R322" s="44">
        <f>IFERROR((L322-M322)/(L322+M322),"")</f>
        <v/>
      </c>
      <c r="S322" s="46">
        <f>H322/SUMIFS(Counties!$H$2:$H$1583,Counties!$A$2:$A$1583,$A322)</f>
        <v/>
      </c>
      <c r="T322" s="44">
        <f>O322+INDEX(Dashboard!$F$6:$F$22,MATCH($A322,Dashboard!$A$6:$A$22,0))</f>
        <v/>
      </c>
      <c r="U322" s="43">
        <f>AQ322*INDEX(Dashboard!$G$6:$G$22,MATCH($A322,Dashboard!$A$6:$A$22,0))</f>
        <v/>
      </c>
      <c r="V322" s="47" t="n"/>
      <c r="W322" s="47" t="n"/>
      <c r="X322" s="47" t="n"/>
      <c r="Y322" s="48" t="n"/>
      <c r="Z322" s="49" t="n"/>
      <c r="AA322" s="49" t="n"/>
      <c r="AB322" s="49" t="n"/>
      <c r="AC322" s="50" t="n"/>
      <c r="AD322" s="43">
        <f>IF(Z322&lt;&gt;"",Z322,N(V322))</f>
        <v/>
      </c>
      <c r="AE322" s="43">
        <f>IF(AA322&lt;&gt;"",AA322,N(W322))</f>
        <v/>
      </c>
      <c r="AF322" s="43">
        <f>AD322+AE322</f>
        <v/>
      </c>
      <c r="AG322" s="42">
        <f>IF(UPPER(AC322)="Y",1,IF(AF322=0,0,IF(AND(Z322="",Y322&lt;&gt;""),IF(Y322&gt;=0.999,1,0),IF(AF322&gt;=U322,1,0))))</f>
        <v/>
      </c>
      <c r="AH322" s="44">
        <f>IF(AF322&gt;0,(AD322-AE322)/AF322,"")</f>
        <v/>
      </c>
      <c r="AI322" s="45">
        <f>IF(AG322=1,AH322-O322,"")</f>
        <v/>
      </c>
      <c r="AJ322" s="44">
        <f>IF(AG322=1,AH322,MAX(-1,MIN(1,O322+INDEX(Types!$H:$H,MATCH($A322&amp;"|"&amp;$D322,Types!$A:$A,0)))))</f>
        <v/>
      </c>
      <c r="AK322" s="43">
        <f>IF(AG322=1,AF322,MAX(AQ322*AS322,AF322))</f>
        <v/>
      </c>
      <c r="AL322" s="43">
        <f>IF(AG322=1,AD322,AK322*(1+AJ322)/2)</f>
        <v/>
      </c>
      <c r="AM322" s="43">
        <f>IF(AG322=1,AE322,AK322*(1-AJ322)/2)</f>
        <v/>
      </c>
      <c r="AN322" s="45">
        <f>IF(AH322="","",AH322-T322)</f>
        <v/>
      </c>
      <c r="AO322" s="51">
        <f>IF(AG322=1,1,IF(U322&gt;0,MIN(AF322/U322,0.99),0))</f>
        <v/>
      </c>
      <c r="AP322" s="43">
        <f>IF(AG322=1,AI322*AF322,0)</f>
        <v/>
      </c>
      <c r="AQ322" s="43">
        <f>N322*(F322+G322)/H322</f>
        <v/>
      </c>
      <c r="AR322" s="43">
        <f>O322*AQ322</f>
        <v/>
      </c>
      <c r="AS322" s="52">
        <f>IF(AG322=1,IF(AQ322&gt;0,AF322/AQ322,1),IFERROR(INDEX(Types!$K:$K,MATCH($A322&amp;"|"&amp;$D322,Types!$A:$A,0)),INDEX(Dashboard!$X$6:$X$22,MATCH($A322,Dashboard!$A$6:$A$22,0))))</f>
        <v/>
      </c>
      <c r="AT322" s="43">
        <f>AQ322*INDEX(Dashboard!$Y$6:$Y$22,MATCH($A322,Dashboard!$A$6:$A$22,0))</f>
        <v/>
      </c>
      <c r="AU322" s="53">
        <f>IF(AND(AG322=1,AT322&gt;0,AF322&gt;0),100*AF322/AT322,"")</f>
        <v/>
      </c>
      <c r="AV322" s="44">
        <f>IF(AU322="","",T322/(AU322/100))</f>
        <v/>
      </c>
      <c r="AW322" s="53">
        <f>IF(AU322="","",IF(AND(ABS(AH322)&gt;=0.1,ABS(T322)&gt;=0.05,SIGN(AH322)=SIGN(T322)),100*T322/AH322,""))</f>
        <v/>
      </c>
      <c r="AX322" s="45">
        <f>IF(AU322="","",T322-AV322)</f>
        <v/>
      </c>
      <c r="AY322" s="45">
        <f>IF(AU322="","",AH322-AV322)</f>
        <v/>
      </c>
      <c r="AZ322" s="54">
        <f>(AL322-AM322)-T322*AT322</f>
        <v/>
      </c>
      <c r="BA322" s="43">
        <f>IF(AU322="",0,(AH322-T322)*AF322)</f>
        <v/>
      </c>
      <c r="BB322" s="43">
        <f>IF(AU322="",0,T322*(AF322-AT322))</f>
        <v/>
      </c>
      <c r="BC322" s="51" t="n">
        <v>0.04367373686262474</v>
      </c>
      <c r="BD322" s="51" t="n">
        <v>0.07263195441009349</v>
      </c>
      <c r="BE322" s="51" t="n">
        <v>0.5203068273319301</v>
      </c>
      <c r="BF322" s="43" t="n">
        <v>120553</v>
      </c>
    </row>
    <row r="323">
      <c r="A323" s="42" t="inlineStr">
        <is>
          <t>KS</t>
        </is>
      </c>
      <c r="B323" s="42" t="inlineStr">
        <is>
          <t>20047</t>
        </is>
      </c>
      <c r="C323" s="42" t="inlineStr">
        <is>
          <t>Edwards</t>
        </is>
      </c>
      <c r="D323" s="42" t="inlineStr">
        <is>
          <t>Small town &amp; rural</t>
        </is>
      </c>
      <c r="E323" s="42" t="inlineStr"/>
      <c r="F323" s="43" t="n">
        <v>213</v>
      </c>
      <c r="G323" s="43" t="n">
        <v>1042</v>
      </c>
      <c r="H323" s="43" t="n">
        <v>1269</v>
      </c>
      <c r="I323" s="43" t="n">
        <v>267</v>
      </c>
      <c r="J323" s="43" t="n">
        <v>1127</v>
      </c>
      <c r="K323" s="42" t="inlineStr">
        <is>
          <t>US Senate</t>
        </is>
      </c>
      <c r="L323" s="43" t="n">
        <v>139</v>
      </c>
      <c r="M323" s="43" t="n">
        <v>923</v>
      </c>
      <c r="N323" s="43" t="n">
        <v>1089</v>
      </c>
      <c r="O323" s="44">
        <f>IFERROR((F323-G323)/(F323+G323),"")</f>
        <v/>
      </c>
      <c r="P323" s="44">
        <f>IFERROR((I323-J323)/(I323+J323),"")</f>
        <v/>
      </c>
      <c r="Q323" s="45">
        <f>IFERROR(O323-P323,"")</f>
        <v/>
      </c>
      <c r="R323" s="44">
        <f>IFERROR((L323-M323)/(L323+M323),"")</f>
        <v/>
      </c>
      <c r="S323" s="46">
        <f>H323/SUMIFS(Counties!$H$2:$H$1583,Counties!$A$2:$A$1583,$A323)</f>
        <v/>
      </c>
      <c r="T323" s="44">
        <f>O323+INDEX(Dashboard!$F$6:$F$22,MATCH($A323,Dashboard!$A$6:$A$22,0))</f>
        <v/>
      </c>
      <c r="U323" s="43">
        <f>AQ323*INDEX(Dashboard!$G$6:$G$22,MATCH($A323,Dashboard!$A$6:$A$22,0))</f>
        <v/>
      </c>
      <c r="V323" s="47" t="n"/>
      <c r="W323" s="47" t="n"/>
      <c r="X323" s="47" t="n"/>
      <c r="Y323" s="48" t="n"/>
      <c r="Z323" s="49" t="n"/>
      <c r="AA323" s="49" t="n"/>
      <c r="AB323" s="49" t="n"/>
      <c r="AC323" s="50" t="n"/>
      <c r="AD323" s="43">
        <f>IF(Z323&lt;&gt;"",Z323,N(V323))</f>
        <v/>
      </c>
      <c r="AE323" s="43">
        <f>IF(AA323&lt;&gt;"",AA323,N(W323))</f>
        <v/>
      </c>
      <c r="AF323" s="43">
        <f>AD323+AE323</f>
        <v/>
      </c>
      <c r="AG323" s="42">
        <f>IF(UPPER(AC323)="Y",1,IF(AF323=0,0,IF(AND(Z323="",Y323&lt;&gt;""),IF(Y323&gt;=0.999,1,0),IF(AF323&gt;=U323,1,0))))</f>
        <v/>
      </c>
      <c r="AH323" s="44">
        <f>IF(AF323&gt;0,(AD323-AE323)/AF323,"")</f>
        <v/>
      </c>
      <c r="AI323" s="45">
        <f>IF(AG323=1,AH323-O323,"")</f>
        <v/>
      </c>
      <c r="AJ323" s="44">
        <f>IF(AG323=1,AH323,MAX(-1,MIN(1,O323+INDEX(Types!$H:$H,MATCH($A323&amp;"|"&amp;$D323,Types!$A:$A,0)))))</f>
        <v/>
      </c>
      <c r="AK323" s="43">
        <f>IF(AG323=1,AF323,MAX(AQ323*AS323,AF323))</f>
        <v/>
      </c>
      <c r="AL323" s="43">
        <f>IF(AG323=1,AD323,AK323*(1+AJ323)/2)</f>
        <v/>
      </c>
      <c r="AM323" s="43">
        <f>IF(AG323=1,AE323,AK323*(1-AJ323)/2)</f>
        <v/>
      </c>
      <c r="AN323" s="45">
        <f>IF(AH323="","",AH323-T323)</f>
        <v/>
      </c>
      <c r="AO323" s="51">
        <f>IF(AG323=1,1,IF(U323&gt;0,MIN(AF323/U323,0.99),0))</f>
        <v/>
      </c>
      <c r="AP323" s="43">
        <f>IF(AG323=1,AI323*AF323,0)</f>
        <v/>
      </c>
      <c r="AQ323" s="43">
        <f>N323*(F323+G323)/H323</f>
        <v/>
      </c>
      <c r="AR323" s="43">
        <f>O323*AQ323</f>
        <v/>
      </c>
      <c r="AS323" s="52">
        <f>IF(AG323=1,IF(AQ323&gt;0,AF323/AQ323,1),IFERROR(INDEX(Types!$K:$K,MATCH($A323&amp;"|"&amp;$D323,Types!$A:$A,0)),INDEX(Dashboard!$X$6:$X$22,MATCH($A323,Dashboard!$A$6:$A$22,0))))</f>
        <v/>
      </c>
      <c r="AT323" s="43">
        <f>AQ323*INDEX(Dashboard!$Y$6:$Y$22,MATCH($A323,Dashboard!$A$6:$A$22,0))</f>
        <v/>
      </c>
      <c r="AU323" s="53">
        <f>IF(AND(AG323=1,AT323&gt;0,AF323&gt;0),100*AF323/AT323,"")</f>
        <v/>
      </c>
      <c r="AV323" s="44">
        <f>IF(AU323="","",T323/(AU323/100))</f>
        <v/>
      </c>
      <c r="AW323" s="53">
        <f>IF(AU323="","",IF(AND(ABS(AH323)&gt;=0.1,ABS(T323)&gt;=0.05,SIGN(AH323)=SIGN(T323)),100*T323/AH323,""))</f>
        <v/>
      </c>
      <c r="AX323" s="45">
        <f>IF(AU323="","",T323-AV323)</f>
        <v/>
      </c>
      <c r="AY323" s="45">
        <f>IF(AU323="","",AH323-AV323)</f>
        <v/>
      </c>
      <c r="AZ323" s="54">
        <f>(AL323-AM323)-T323*AT323</f>
        <v/>
      </c>
      <c r="BA323" s="43">
        <f>IF(AU323="",0,(AH323-T323)*AF323)</f>
        <v/>
      </c>
      <c r="BB323" s="43">
        <f>IF(AU323="",0,T323*(AF323-AT323))</f>
        <v/>
      </c>
      <c r="BC323" s="51" t="n">
        <v>0.01427003293084523</v>
      </c>
      <c r="BD323" s="51" t="n">
        <v>0.230150018294914</v>
      </c>
      <c r="BE323" s="51" t="n">
        <v>0.2069311903566047</v>
      </c>
      <c r="BF323" s="43" t="n">
        <v>2733</v>
      </c>
    </row>
    <row r="324">
      <c r="A324" s="42" t="inlineStr">
        <is>
          <t>KS</t>
        </is>
      </c>
      <c r="B324" s="42" t="inlineStr">
        <is>
          <t>20049</t>
        </is>
      </c>
      <c r="C324" s="42" t="inlineStr">
        <is>
          <t>Elk</t>
        </is>
      </c>
      <c r="D324" s="42" t="inlineStr">
        <is>
          <t>Small town &amp; rural</t>
        </is>
      </c>
      <c r="E324" s="42" t="inlineStr"/>
      <c r="F324" s="43" t="n">
        <v>191</v>
      </c>
      <c r="G324" s="43" t="n">
        <v>1123</v>
      </c>
      <c r="H324" s="43" t="n">
        <v>1338</v>
      </c>
      <c r="I324" s="43" t="n">
        <v>191</v>
      </c>
      <c r="J324" s="43" t="n">
        <v>1130</v>
      </c>
      <c r="K324" s="42" t="inlineStr">
        <is>
          <t>US Senate</t>
        </is>
      </c>
      <c r="L324" s="43" t="n">
        <v>132</v>
      </c>
      <c r="M324" s="43" t="n">
        <v>891</v>
      </c>
      <c r="N324" s="43" t="n">
        <v>1062</v>
      </c>
      <c r="O324" s="44">
        <f>IFERROR((F324-G324)/(F324+G324),"")</f>
        <v/>
      </c>
      <c r="P324" s="44">
        <f>IFERROR((I324-J324)/(I324+J324),"")</f>
        <v/>
      </c>
      <c r="Q324" s="45">
        <f>IFERROR(O324-P324,"")</f>
        <v/>
      </c>
      <c r="R324" s="44">
        <f>IFERROR((L324-M324)/(L324+M324),"")</f>
        <v/>
      </c>
      <c r="S324" s="46">
        <f>H324/SUMIFS(Counties!$H$2:$H$1583,Counties!$A$2:$A$1583,$A324)</f>
        <v/>
      </c>
      <c r="T324" s="44">
        <f>O324+INDEX(Dashboard!$F$6:$F$22,MATCH($A324,Dashboard!$A$6:$A$22,0))</f>
        <v/>
      </c>
      <c r="U324" s="43">
        <f>AQ324*INDEX(Dashboard!$G$6:$G$22,MATCH($A324,Dashboard!$A$6:$A$22,0))</f>
        <v/>
      </c>
      <c r="V324" s="47" t="n"/>
      <c r="W324" s="47" t="n"/>
      <c r="X324" s="47" t="n"/>
      <c r="Y324" s="48" t="n"/>
      <c r="Z324" s="49" t="n"/>
      <c r="AA324" s="49" t="n"/>
      <c r="AB324" s="49" t="n"/>
      <c r="AC324" s="50" t="n"/>
      <c r="AD324" s="43">
        <f>IF(Z324&lt;&gt;"",Z324,N(V324))</f>
        <v/>
      </c>
      <c r="AE324" s="43">
        <f>IF(AA324&lt;&gt;"",AA324,N(W324))</f>
        <v/>
      </c>
      <c r="AF324" s="43">
        <f>AD324+AE324</f>
        <v/>
      </c>
      <c r="AG324" s="42">
        <f>IF(UPPER(AC324)="Y",1,IF(AF324=0,0,IF(AND(Z324="",Y324&lt;&gt;""),IF(Y324&gt;=0.999,1,0),IF(AF324&gt;=U324,1,0))))</f>
        <v/>
      </c>
      <c r="AH324" s="44">
        <f>IF(AF324&gt;0,(AD324-AE324)/AF324,"")</f>
        <v/>
      </c>
      <c r="AI324" s="45">
        <f>IF(AG324=1,AH324-O324,"")</f>
        <v/>
      </c>
      <c r="AJ324" s="44">
        <f>IF(AG324=1,AH324,MAX(-1,MIN(1,O324+INDEX(Types!$H:$H,MATCH($A324&amp;"|"&amp;$D324,Types!$A:$A,0)))))</f>
        <v/>
      </c>
      <c r="AK324" s="43">
        <f>IF(AG324=1,AF324,MAX(AQ324*AS324,AF324))</f>
        <v/>
      </c>
      <c r="AL324" s="43">
        <f>IF(AG324=1,AD324,AK324*(1+AJ324)/2)</f>
        <v/>
      </c>
      <c r="AM324" s="43">
        <f>IF(AG324=1,AE324,AK324*(1-AJ324)/2)</f>
        <v/>
      </c>
      <c r="AN324" s="45">
        <f>IF(AH324="","",AH324-T324)</f>
        <v/>
      </c>
      <c r="AO324" s="51">
        <f>IF(AG324=1,1,IF(U324&gt;0,MIN(AF324/U324,0.99),0))</f>
        <v/>
      </c>
      <c r="AP324" s="43">
        <f>IF(AG324=1,AI324*AF324,0)</f>
        <v/>
      </c>
      <c r="AQ324" s="43">
        <f>N324*(F324+G324)/H324</f>
        <v/>
      </c>
      <c r="AR324" s="43">
        <f>O324*AQ324</f>
        <v/>
      </c>
      <c r="AS324" s="52">
        <f>IF(AG324=1,IF(AQ324&gt;0,AF324/AQ324,1),IFERROR(INDEX(Types!$K:$K,MATCH($A324&amp;"|"&amp;$D324,Types!$A:$A,0)),INDEX(Dashboard!$X$6:$X$22,MATCH($A324,Dashboard!$A$6:$A$22,0))))</f>
        <v/>
      </c>
      <c r="AT324" s="43">
        <f>AQ324*INDEX(Dashboard!$Y$6:$Y$22,MATCH($A324,Dashboard!$A$6:$A$22,0))</f>
        <v/>
      </c>
      <c r="AU324" s="53">
        <f>IF(AND(AG324=1,AT324&gt;0,AF324&gt;0),100*AF324/AT324,"")</f>
        <v/>
      </c>
      <c r="AV324" s="44">
        <f>IF(AU324="","",T324/(AU324/100))</f>
        <v/>
      </c>
      <c r="AW324" s="53">
        <f>IF(AU324="","",IF(AND(ABS(AH324)&gt;=0.1,ABS(T324)&gt;=0.05,SIGN(AH324)=SIGN(T324)),100*T324/AH324,""))</f>
        <v/>
      </c>
      <c r="AX324" s="45">
        <f>IF(AU324="","",T324-AV324)</f>
        <v/>
      </c>
      <c r="AY324" s="45">
        <f>IF(AU324="","",AH324-AV324)</f>
        <v/>
      </c>
      <c r="AZ324" s="54">
        <f>(AL324-AM324)-T324*AT324</f>
        <v/>
      </c>
      <c r="BA324" s="43">
        <f>IF(AU324="",0,(AH324-T324)*AF324)</f>
        <v/>
      </c>
      <c r="BB324" s="43">
        <f>IF(AU324="",0,T324*(AF324-AT324))</f>
        <v/>
      </c>
      <c r="BC324" s="51" t="n">
        <v>0.004458856911228212</v>
      </c>
      <c r="BD324" s="51" t="n">
        <v>0.04296716659910823</v>
      </c>
      <c r="BE324" s="51" t="n">
        <v>0.2058003346346905</v>
      </c>
      <c r="BF324" s="43" t="n">
        <v>2467</v>
      </c>
    </row>
    <row r="325">
      <c r="A325" s="42" t="inlineStr">
        <is>
          <t>KS</t>
        </is>
      </c>
      <c r="B325" s="42" t="inlineStr">
        <is>
          <t>20051</t>
        </is>
      </c>
      <c r="C325" s="42" t="inlineStr">
        <is>
          <t>Ellis</t>
        </is>
      </c>
      <c r="D325" s="42" t="inlineStr">
        <is>
          <t>Small town &amp; rural</t>
        </is>
      </c>
      <c r="E325" s="42" t="inlineStr"/>
      <c r="F325" s="43" t="n">
        <v>3511</v>
      </c>
      <c r="G325" s="43" t="n">
        <v>9743</v>
      </c>
      <c r="H325" s="43" t="n">
        <v>13511</v>
      </c>
      <c r="I325" s="43" t="n">
        <v>3633</v>
      </c>
      <c r="J325" s="43" t="n">
        <v>9569</v>
      </c>
      <c r="K325" s="42" t="inlineStr">
        <is>
          <t>US Senate</t>
        </is>
      </c>
      <c r="L325" s="43" t="n">
        <v>2236</v>
      </c>
      <c r="M325" s="43" t="n">
        <v>7920</v>
      </c>
      <c r="N325" s="43" t="n">
        <v>10518</v>
      </c>
      <c r="O325" s="44">
        <f>IFERROR((F325-G325)/(F325+G325),"")</f>
        <v/>
      </c>
      <c r="P325" s="44">
        <f>IFERROR((I325-J325)/(I325+J325),"")</f>
        <v/>
      </c>
      <c r="Q325" s="45">
        <f>IFERROR(O325-P325,"")</f>
        <v/>
      </c>
      <c r="R325" s="44">
        <f>IFERROR((L325-M325)/(L325+M325),"")</f>
        <v/>
      </c>
      <c r="S325" s="46">
        <f>H325/SUMIFS(Counties!$H$2:$H$1583,Counties!$A$2:$A$1583,$A325)</f>
        <v/>
      </c>
      <c r="T325" s="44">
        <f>O325+INDEX(Dashboard!$F$6:$F$22,MATCH($A325,Dashboard!$A$6:$A$22,0))</f>
        <v/>
      </c>
      <c r="U325" s="43">
        <f>AQ325*INDEX(Dashboard!$G$6:$G$22,MATCH($A325,Dashboard!$A$6:$A$22,0))</f>
        <v/>
      </c>
      <c r="V325" s="47" t="n"/>
      <c r="W325" s="47" t="n"/>
      <c r="X325" s="47" t="n"/>
      <c r="Y325" s="48" t="n"/>
      <c r="Z325" s="49" t="n"/>
      <c r="AA325" s="49" t="n"/>
      <c r="AB325" s="49" t="n"/>
      <c r="AC325" s="50" t="n"/>
      <c r="AD325" s="43">
        <f>IF(Z325&lt;&gt;"",Z325,N(V325))</f>
        <v/>
      </c>
      <c r="AE325" s="43">
        <f>IF(AA325&lt;&gt;"",AA325,N(W325))</f>
        <v/>
      </c>
      <c r="AF325" s="43">
        <f>AD325+AE325</f>
        <v/>
      </c>
      <c r="AG325" s="42">
        <f>IF(UPPER(AC325)="Y",1,IF(AF325=0,0,IF(AND(Z325="",Y325&lt;&gt;""),IF(Y325&gt;=0.999,1,0),IF(AF325&gt;=U325,1,0))))</f>
        <v/>
      </c>
      <c r="AH325" s="44">
        <f>IF(AF325&gt;0,(AD325-AE325)/AF325,"")</f>
        <v/>
      </c>
      <c r="AI325" s="45">
        <f>IF(AG325=1,AH325-O325,"")</f>
        <v/>
      </c>
      <c r="AJ325" s="44">
        <f>IF(AG325=1,AH325,MAX(-1,MIN(1,O325+INDEX(Types!$H:$H,MATCH($A325&amp;"|"&amp;$D325,Types!$A:$A,0)))))</f>
        <v/>
      </c>
      <c r="AK325" s="43">
        <f>IF(AG325=1,AF325,MAX(AQ325*AS325,AF325))</f>
        <v/>
      </c>
      <c r="AL325" s="43">
        <f>IF(AG325=1,AD325,AK325*(1+AJ325)/2)</f>
        <v/>
      </c>
      <c r="AM325" s="43">
        <f>IF(AG325=1,AE325,AK325*(1-AJ325)/2)</f>
        <v/>
      </c>
      <c r="AN325" s="45">
        <f>IF(AH325="","",AH325-T325)</f>
        <v/>
      </c>
      <c r="AO325" s="51">
        <f>IF(AG325=1,1,IF(U325&gt;0,MIN(AF325/U325,0.99),0))</f>
        <v/>
      </c>
      <c r="AP325" s="43">
        <f>IF(AG325=1,AI325*AF325,0)</f>
        <v/>
      </c>
      <c r="AQ325" s="43">
        <f>N325*(F325+G325)/H325</f>
        <v/>
      </c>
      <c r="AR325" s="43">
        <f>O325*AQ325</f>
        <v/>
      </c>
      <c r="AS325" s="52">
        <f>IF(AG325=1,IF(AQ325&gt;0,AF325/AQ325,1),IFERROR(INDEX(Types!$K:$K,MATCH($A325&amp;"|"&amp;$D325,Types!$A:$A,0)),INDEX(Dashboard!$X$6:$X$22,MATCH($A325,Dashboard!$A$6:$A$22,0))))</f>
        <v/>
      </c>
      <c r="AT325" s="43">
        <f>AQ325*INDEX(Dashboard!$Y$6:$Y$22,MATCH($A325,Dashboard!$A$6:$A$22,0))</f>
        <v/>
      </c>
      <c r="AU325" s="53">
        <f>IF(AND(AG325=1,AT325&gt;0,AF325&gt;0),100*AF325/AT325,"")</f>
        <v/>
      </c>
      <c r="AV325" s="44">
        <f>IF(AU325="","",T325/(AU325/100))</f>
        <v/>
      </c>
      <c r="AW325" s="53">
        <f>IF(AU325="","",IF(AND(ABS(AH325)&gt;=0.1,ABS(T325)&gt;=0.05,SIGN(AH325)=SIGN(T325)),100*T325/AH325,""))</f>
        <v/>
      </c>
      <c r="AX325" s="45">
        <f>IF(AU325="","",T325-AV325)</f>
        <v/>
      </c>
      <c r="AY325" s="45">
        <f>IF(AU325="","",AH325-AV325)</f>
        <v/>
      </c>
      <c r="AZ325" s="54">
        <f>(AL325-AM325)-T325*AT325</f>
        <v/>
      </c>
      <c r="BA325" s="43">
        <f>IF(AU325="",0,(AH325-T325)*AF325)</f>
        <v/>
      </c>
      <c r="BB325" s="43">
        <f>IF(AU325="",0,T325*(AF325-AT325))</f>
        <v/>
      </c>
      <c r="BC325" s="51" t="n">
        <v>0.01339812565081569</v>
      </c>
      <c r="BD325" s="51" t="n">
        <v>0.07389795209996529</v>
      </c>
      <c r="BE325" s="51" t="n">
        <v>0.3954658492857556</v>
      </c>
      <c r="BF325" s="43" t="n">
        <v>28810</v>
      </c>
    </row>
    <row r="326">
      <c r="A326" s="42" t="inlineStr">
        <is>
          <t>KS</t>
        </is>
      </c>
      <c r="B326" s="42" t="inlineStr">
        <is>
          <t>20053</t>
        </is>
      </c>
      <c r="C326" s="42" t="inlineStr">
        <is>
          <t>Ellsworth</t>
        </is>
      </c>
      <c r="D326" s="42" t="inlineStr">
        <is>
          <t>Small town &amp; rural</t>
        </is>
      </c>
      <c r="E326" s="42" t="inlineStr"/>
      <c r="F326" s="43" t="n">
        <v>636</v>
      </c>
      <c r="G326" s="43" t="n">
        <v>2078</v>
      </c>
      <c r="H326" s="43" t="n">
        <v>2758</v>
      </c>
      <c r="I326" s="43" t="n">
        <v>646</v>
      </c>
      <c r="J326" s="43" t="n">
        <v>2106</v>
      </c>
      <c r="K326" s="42" t="inlineStr">
        <is>
          <t>US Senate</t>
        </is>
      </c>
      <c r="L326" s="43" t="n">
        <v>359</v>
      </c>
      <c r="M326" s="43" t="n">
        <v>1821</v>
      </c>
      <c r="N326" s="43" t="n">
        <v>2244</v>
      </c>
      <c r="O326" s="44">
        <f>IFERROR((F326-G326)/(F326+G326),"")</f>
        <v/>
      </c>
      <c r="P326" s="44">
        <f>IFERROR((I326-J326)/(I326+J326),"")</f>
        <v/>
      </c>
      <c r="Q326" s="45">
        <f>IFERROR(O326-P326,"")</f>
        <v/>
      </c>
      <c r="R326" s="44">
        <f>IFERROR((L326-M326)/(L326+M326),"")</f>
        <v/>
      </c>
      <c r="S326" s="46">
        <f>H326/SUMIFS(Counties!$H$2:$H$1583,Counties!$A$2:$A$1583,$A326)</f>
        <v/>
      </c>
      <c r="T326" s="44">
        <f>O326+INDEX(Dashboard!$F$6:$F$22,MATCH($A326,Dashboard!$A$6:$A$22,0))</f>
        <v/>
      </c>
      <c r="U326" s="43">
        <f>AQ326*INDEX(Dashboard!$G$6:$G$22,MATCH($A326,Dashboard!$A$6:$A$22,0))</f>
        <v/>
      </c>
      <c r="V326" s="47" t="n"/>
      <c r="W326" s="47" t="n"/>
      <c r="X326" s="47" t="n"/>
      <c r="Y326" s="48" t="n"/>
      <c r="Z326" s="49" t="n"/>
      <c r="AA326" s="49" t="n"/>
      <c r="AB326" s="49" t="n"/>
      <c r="AC326" s="50" t="n"/>
      <c r="AD326" s="43">
        <f>IF(Z326&lt;&gt;"",Z326,N(V326))</f>
        <v/>
      </c>
      <c r="AE326" s="43">
        <f>IF(AA326&lt;&gt;"",AA326,N(W326))</f>
        <v/>
      </c>
      <c r="AF326" s="43">
        <f>AD326+AE326</f>
        <v/>
      </c>
      <c r="AG326" s="42">
        <f>IF(UPPER(AC326)="Y",1,IF(AF326=0,0,IF(AND(Z326="",Y326&lt;&gt;""),IF(Y326&gt;=0.999,1,0),IF(AF326&gt;=U326,1,0))))</f>
        <v/>
      </c>
      <c r="AH326" s="44">
        <f>IF(AF326&gt;0,(AD326-AE326)/AF326,"")</f>
        <v/>
      </c>
      <c r="AI326" s="45">
        <f>IF(AG326=1,AH326-O326,"")</f>
        <v/>
      </c>
      <c r="AJ326" s="44">
        <f>IF(AG326=1,AH326,MAX(-1,MIN(1,O326+INDEX(Types!$H:$H,MATCH($A326&amp;"|"&amp;$D326,Types!$A:$A,0)))))</f>
        <v/>
      </c>
      <c r="AK326" s="43">
        <f>IF(AG326=1,AF326,MAX(AQ326*AS326,AF326))</f>
        <v/>
      </c>
      <c r="AL326" s="43">
        <f>IF(AG326=1,AD326,AK326*(1+AJ326)/2)</f>
        <v/>
      </c>
      <c r="AM326" s="43">
        <f>IF(AG326=1,AE326,AK326*(1-AJ326)/2)</f>
        <v/>
      </c>
      <c r="AN326" s="45">
        <f>IF(AH326="","",AH326-T326)</f>
        <v/>
      </c>
      <c r="AO326" s="51">
        <f>IF(AG326=1,1,IF(U326&gt;0,MIN(AF326/U326,0.99),0))</f>
        <v/>
      </c>
      <c r="AP326" s="43">
        <f>IF(AG326=1,AI326*AF326,0)</f>
        <v/>
      </c>
      <c r="AQ326" s="43">
        <f>N326*(F326+G326)/H326</f>
        <v/>
      </c>
      <c r="AR326" s="43">
        <f>O326*AQ326</f>
        <v/>
      </c>
      <c r="AS326" s="52">
        <f>IF(AG326=1,IF(AQ326&gt;0,AF326/AQ326,1),IFERROR(INDEX(Types!$K:$K,MATCH($A326&amp;"|"&amp;$D326,Types!$A:$A,0)),INDEX(Dashboard!$X$6:$X$22,MATCH($A326,Dashboard!$A$6:$A$22,0))))</f>
        <v/>
      </c>
      <c r="AT326" s="43">
        <f>AQ326*INDEX(Dashboard!$Y$6:$Y$22,MATCH($A326,Dashboard!$A$6:$A$22,0))</f>
        <v/>
      </c>
      <c r="AU326" s="53">
        <f>IF(AND(AG326=1,AT326&gt;0,AF326&gt;0),100*AF326/AT326,"")</f>
        <v/>
      </c>
      <c r="AV326" s="44">
        <f>IF(AU326="","",T326/(AU326/100))</f>
        <v/>
      </c>
      <c r="AW326" s="53">
        <f>IF(AU326="","",IF(AND(ABS(AH326)&gt;=0.1,ABS(T326)&gt;=0.05,SIGN(AH326)=SIGN(T326)),100*T326/AH326,""))</f>
        <v/>
      </c>
      <c r="AX326" s="45">
        <f>IF(AU326="","",T326-AV326)</f>
        <v/>
      </c>
      <c r="AY326" s="45">
        <f>IF(AU326="","",AH326-AV326)</f>
        <v/>
      </c>
      <c r="AZ326" s="54">
        <f>(AL326-AM326)-T326*AT326</f>
        <v/>
      </c>
      <c r="BA326" s="43">
        <f>IF(AU326="",0,(AH326-T326)*AF326)</f>
        <v/>
      </c>
      <c r="BB326" s="43">
        <f>IF(AU326="",0,T326*(AF326-AT326))</f>
        <v/>
      </c>
      <c r="BC326" s="51" t="n">
        <v>0.05961931728802895</v>
      </c>
      <c r="BD326" s="51" t="n">
        <v>0.06182161396885323</v>
      </c>
      <c r="BE326" s="51" t="n">
        <v>0.2205762987012987</v>
      </c>
      <c r="BF326" s="43" t="n">
        <v>6357</v>
      </c>
    </row>
    <row r="327">
      <c r="A327" s="42" t="inlineStr">
        <is>
          <t>KS</t>
        </is>
      </c>
      <c r="B327" s="42" t="inlineStr">
        <is>
          <t>20055</t>
        </is>
      </c>
      <c r="C327" s="42" t="inlineStr">
        <is>
          <t>Finney</t>
        </is>
      </c>
      <c r="D327" s="42" t="inlineStr">
        <is>
          <t>Hispanic</t>
        </is>
      </c>
      <c r="E327" s="42" t="inlineStr"/>
      <c r="F327" s="43" t="n">
        <v>3425</v>
      </c>
      <c r="G327" s="43" t="n">
        <v>7166</v>
      </c>
      <c r="H327" s="43" t="n">
        <v>10782</v>
      </c>
      <c r="I327" s="43" t="n">
        <v>4155</v>
      </c>
      <c r="J327" s="43" t="n">
        <v>7079</v>
      </c>
      <c r="K327" s="42" t="inlineStr">
        <is>
          <t>US Senate</t>
        </is>
      </c>
      <c r="L327" s="43" t="n">
        <v>1793</v>
      </c>
      <c r="M327" s="43" t="n">
        <v>5162</v>
      </c>
      <c r="N327" s="43" t="n">
        <v>7160</v>
      </c>
      <c r="O327" s="44">
        <f>IFERROR((F327-G327)/(F327+G327),"")</f>
        <v/>
      </c>
      <c r="P327" s="44">
        <f>IFERROR((I327-J327)/(I327+J327),"")</f>
        <v/>
      </c>
      <c r="Q327" s="45">
        <f>IFERROR(O327-P327,"")</f>
        <v/>
      </c>
      <c r="R327" s="44">
        <f>IFERROR((L327-M327)/(L327+M327),"")</f>
        <v/>
      </c>
      <c r="S327" s="46">
        <f>H327/SUMIFS(Counties!$H$2:$H$1583,Counties!$A$2:$A$1583,$A327)</f>
        <v/>
      </c>
      <c r="T327" s="44">
        <f>O327+INDEX(Dashboard!$F$6:$F$22,MATCH($A327,Dashboard!$A$6:$A$22,0))</f>
        <v/>
      </c>
      <c r="U327" s="43">
        <f>AQ327*INDEX(Dashboard!$G$6:$G$22,MATCH($A327,Dashboard!$A$6:$A$22,0))</f>
        <v/>
      </c>
      <c r="V327" s="47" t="n"/>
      <c r="W327" s="47" t="n"/>
      <c r="X327" s="47" t="n"/>
      <c r="Y327" s="48" t="n"/>
      <c r="Z327" s="49" t="n"/>
      <c r="AA327" s="49" t="n"/>
      <c r="AB327" s="49" t="n"/>
      <c r="AC327" s="50" t="n"/>
      <c r="AD327" s="43">
        <f>IF(Z327&lt;&gt;"",Z327,N(V327))</f>
        <v/>
      </c>
      <c r="AE327" s="43">
        <f>IF(AA327&lt;&gt;"",AA327,N(W327))</f>
        <v/>
      </c>
      <c r="AF327" s="43">
        <f>AD327+AE327</f>
        <v/>
      </c>
      <c r="AG327" s="42">
        <f>IF(UPPER(AC327)="Y",1,IF(AF327=0,0,IF(AND(Z327="",Y327&lt;&gt;""),IF(Y327&gt;=0.999,1,0),IF(AF327&gt;=U327,1,0))))</f>
        <v/>
      </c>
      <c r="AH327" s="44">
        <f>IF(AF327&gt;0,(AD327-AE327)/AF327,"")</f>
        <v/>
      </c>
      <c r="AI327" s="45">
        <f>IF(AG327=1,AH327-O327,"")</f>
        <v/>
      </c>
      <c r="AJ327" s="44">
        <f>IF(AG327=1,AH327,MAX(-1,MIN(1,O327+INDEX(Types!$H:$H,MATCH($A327&amp;"|"&amp;$D327,Types!$A:$A,0)))))</f>
        <v/>
      </c>
      <c r="AK327" s="43">
        <f>IF(AG327=1,AF327,MAX(AQ327*AS327,AF327))</f>
        <v/>
      </c>
      <c r="AL327" s="43">
        <f>IF(AG327=1,AD327,AK327*(1+AJ327)/2)</f>
        <v/>
      </c>
      <c r="AM327" s="43">
        <f>IF(AG327=1,AE327,AK327*(1-AJ327)/2)</f>
        <v/>
      </c>
      <c r="AN327" s="45">
        <f>IF(AH327="","",AH327-T327)</f>
        <v/>
      </c>
      <c r="AO327" s="51">
        <f>IF(AG327=1,1,IF(U327&gt;0,MIN(AF327/U327,0.99),0))</f>
        <v/>
      </c>
      <c r="AP327" s="43">
        <f>IF(AG327=1,AI327*AF327,0)</f>
        <v/>
      </c>
      <c r="AQ327" s="43">
        <f>N327*(F327+G327)/H327</f>
        <v/>
      </c>
      <c r="AR327" s="43">
        <f>O327*AQ327</f>
        <v/>
      </c>
      <c r="AS327" s="52">
        <f>IF(AG327=1,IF(AQ327&gt;0,AF327/AQ327,1),IFERROR(INDEX(Types!$K:$K,MATCH($A327&amp;"|"&amp;$D327,Types!$A:$A,0)),INDEX(Dashboard!$X$6:$X$22,MATCH($A327,Dashboard!$A$6:$A$22,0))))</f>
        <v/>
      </c>
      <c r="AT327" s="43">
        <f>AQ327*INDEX(Dashboard!$Y$6:$Y$22,MATCH($A327,Dashboard!$A$6:$A$22,0))</f>
        <v/>
      </c>
      <c r="AU327" s="53">
        <f>IF(AND(AG327=1,AT327&gt;0,AF327&gt;0),100*AF327/AT327,"")</f>
        <v/>
      </c>
      <c r="AV327" s="44">
        <f>IF(AU327="","",T327/(AU327/100))</f>
        <v/>
      </c>
      <c r="AW327" s="53">
        <f>IF(AU327="","",IF(AND(ABS(AH327)&gt;=0.1,ABS(T327)&gt;=0.05,SIGN(AH327)=SIGN(T327)),100*T327/AH327,""))</f>
        <v/>
      </c>
      <c r="AX327" s="45">
        <f>IF(AU327="","",T327-AV327)</f>
        <v/>
      </c>
      <c r="AY327" s="45">
        <f>IF(AU327="","",AH327-AV327)</f>
        <v/>
      </c>
      <c r="AZ327" s="54">
        <f>(AL327-AM327)-T327*AT327</f>
        <v/>
      </c>
      <c r="BA327" s="43">
        <f>IF(AU327="",0,(AH327-T327)*AF327)</f>
        <v/>
      </c>
      <c r="BB327" s="43">
        <f>IF(AU327="",0,T327*(AF327-AT327))</f>
        <v/>
      </c>
      <c r="BC327" s="51" t="n">
        <v>0.04016975391021192</v>
      </c>
      <c r="BD327" s="51" t="n">
        <v>0.5369935408103347</v>
      </c>
      <c r="BE327" s="51" t="n">
        <v>0.1973520526035187</v>
      </c>
      <c r="BF327" s="43" t="n">
        <v>37466</v>
      </c>
    </row>
    <row r="328">
      <c r="A328" s="42" t="inlineStr">
        <is>
          <t>KS</t>
        </is>
      </c>
      <c r="B328" s="42" t="inlineStr">
        <is>
          <t>20057</t>
        </is>
      </c>
      <c r="C328" s="42" t="inlineStr">
        <is>
          <t>Ford</t>
        </is>
      </c>
      <c r="D328" s="42" t="inlineStr">
        <is>
          <t>Hispanic</t>
        </is>
      </c>
      <c r="E328" s="42" t="inlineStr"/>
      <c r="F328" s="43" t="n">
        <v>2461</v>
      </c>
      <c r="G328" s="43" t="n">
        <v>5616</v>
      </c>
      <c r="H328" s="43" t="n">
        <v>8224</v>
      </c>
      <c r="I328" s="43" t="n">
        <v>2926</v>
      </c>
      <c r="J328" s="43" t="n">
        <v>5763</v>
      </c>
      <c r="K328" s="42" t="inlineStr">
        <is>
          <t>US Senate</t>
        </is>
      </c>
      <c r="L328" s="43" t="n">
        <v>1452</v>
      </c>
      <c r="M328" s="43" t="n">
        <v>4350</v>
      </c>
      <c r="N328" s="43" t="n">
        <v>5966</v>
      </c>
      <c r="O328" s="44">
        <f>IFERROR((F328-G328)/(F328+G328),"")</f>
        <v/>
      </c>
      <c r="P328" s="44">
        <f>IFERROR((I328-J328)/(I328+J328),"")</f>
        <v/>
      </c>
      <c r="Q328" s="45">
        <f>IFERROR(O328-P328,"")</f>
        <v/>
      </c>
      <c r="R328" s="44">
        <f>IFERROR((L328-M328)/(L328+M328),"")</f>
        <v/>
      </c>
      <c r="S328" s="46">
        <f>H328/SUMIFS(Counties!$H$2:$H$1583,Counties!$A$2:$A$1583,$A328)</f>
        <v/>
      </c>
      <c r="T328" s="44">
        <f>O328+INDEX(Dashboard!$F$6:$F$22,MATCH($A328,Dashboard!$A$6:$A$22,0))</f>
        <v/>
      </c>
      <c r="U328" s="43">
        <f>AQ328*INDEX(Dashboard!$G$6:$G$22,MATCH($A328,Dashboard!$A$6:$A$22,0))</f>
        <v/>
      </c>
      <c r="V328" s="47" t="n"/>
      <c r="W328" s="47" t="n"/>
      <c r="X328" s="47" t="n"/>
      <c r="Y328" s="48" t="n"/>
      <c r="Z328" s="49" t="n"/>
      <c r="AA328" s="49" t="n"/>
      <c r="AB328" s="49" t="n"/>
      <c r="AC328" s="50" t="n"/>
      <c r="AD328" s="43">
        <f>IF(Z328&lt;&gt;"",Z328,N(V328))</f>
        <v/>
      </c>
      <c r="AE328" s="43">
        <f>IF(AA328&lt;&gt;"",AA328,N(W328))</f>
        <v/>
      </c>
      <c r="AF328" s="43">
        <f>AD328+AE328</f>
        <v/>
      </c>
      <c r="AG328" s="42">
        <f>IF(UPPER(AC328)="Y",1,IF(AF328=0,0,IF(AND(Z328="",Y328&lt;&gt;""),IF(Y328&gt;=0.999,1,0),IF(AF328&gt;=U328,1,0))))</f>
        <v/>
      </c>
      <c r="AH328" s="44">
        <f>IF(AF328&gt;0,(AD328-AE328)/AF328,"")</f>
        <v/>
      </c>
      <c r="AI328" s="45">
        <f>IF(AG328=1,AH328-O328,"")</f>
        <v/>
      </c>
      <c r="AJ328" s="44">
        <f>IF(AG328=1,AH328,MAX(-1,MIN(1,O328+INDEX(Types!$H:$H,MATCH($A328&amp;"|"&amp;$D328,Types!$A:$A,0)))))</f>
        <v/>
      </c>
      <c r="AK328" s="43">
        <f>IF(AG328=1,AF328,MAX(AQ328*AS328,AF328))</f>
        <v/>
      </c>
      <c r="AL328" s="43">
        <f>IF(AG328=1,AD328,AK328*(1+AJ328)/2)</f>
        <v/>
      </c>
      <c r="AM328" s="43">
        <f>IF(AG328=1,AE328,AK328*(1-AJ328)/2)</f>
        <v/>
      </c>
      <c r="AN328" s="45">
        <f>IF(AH328="","",AH328-T328)</f>
        <v/>
      </c>
      <c r="AO328" s="51">
        <f>IF(AG328=1,1,IF(U328&gt;0,MIN(AF328/U328,0.99),0))</f>
        <v/>
      </c>
      <c r="AP328" s="43">
        <f>IF(AG328=1,AI328*AF328,0)</f>
        <v/>
      </c>
      <c r="AQ328" s="43">
        <f>N328*(F328+G328)/H328</f>
        <v/>
      </c>
      <c r="AR328" s="43">
        <f>O328*AQ328</f>
        <v/>
      </c>
      <c r="AS328" s="52">
        <f>IF(AG328=1,IF(AQ328&gt;0,AF328/AQ328,1),IFERROR(INDEX(Types!$K:$K,MATCH($A328&amp;"|"&amp;$D328,Types!$A:$A,0)),INDEX(Dashboard!$X$6:$X$22,MATCH($A328,Dashboard!$A$6:$A$22,0))))</f>
        <v/>
      </c>
      <c r="AT328" s="43">
        <f>AQ328*INDEX(Dashboard!$Y$6:$Y$22,MATCH($A328,Dashboard!$A$6:$A$22,0))</f>
        <v/>
      </c>
      <c r="AU328" s="53">
        <f>IF(AND(AG328=1,AT328&gt;0,AF328&gt;0),100*AF328/AT328,"")</f>
        <v/>
      </c>
      <c r="AV328" s="44">
        <f>IF(AU328="","",T328/(AU328/100))</f>
        <v/>
      </c>
      <c r="AW328" s="53">
        <f>IF(AU328="","",IF(AND(ABS(AH328)&gt;=0.1,ABS(T328)&gt;=0.05,SIGN(AH328)=SIGN(T328)),100*T328/AH328,""))</f>
        <v/>
      </c>
      <c r="AX328" s="45">
        <f>IF(AU328="","",T328-AV328)</f>
        <v/>
      </c>
      <c r="AY328" s="45">
        <f>IF(AU328="","",AH328-AV328)</f>
        <v/>
      </c>
      <c r="AZ328" s="54">
        <f>(AL328-AM328)-T328*AT328</f>
        <v/>
      </c>
      <c r="BA328" s="43">
        <f>IF(AU328="",0,(AH328-T328)*AF328)</f>
        <v/>
      </c>
      <c r="BB328" s="43">
        <f>IF(AU328="",0,T328*(AF328-AT328))</f>
        <v/>
      </c>
      <c r="BC328" s="51" t="n">
        <v>0.02442613301942319</v>
      </c>
      <c r="BD328" s="51" t="n">
        <v>0.5978811065332549</v>
      </c>
      <c r="BE328" s="51" t="n">
        <v>0.2071382412884625</v>
      </c>
      <c r="BF328" s="43" t="n">
        <v>33980</v>
      </c>
    </row>
    <row r="329">
      <c r="A329" s="42" t="inlineStr">
        <is>
          <t>KS</t>
        </is>
      </c>
      <c r="B329" s="42" t="inlineStr">
        <is>
          <t>20059</t>
        </is>
      </c>
      <c r="C329" s="42" t="inlineStr">
        <is>
          <t>Franklin</t>
        </is>
      </c>
      <c r="D329" s="42" t="inlineStr">
        <is>
          <t>Small town &amp; rural</t>
        </is>
      </c>
      <c r="E329" s="42" t="inlineStr"/>
      <c r="F329" s="43" t="n">
        <v>3676</v>
      </c>
      <c r="G329" s="43" t="n">
        <v>8773</v>
      </c>
      <c r="H329" s="43" t="n">
        <v>12708</v>
      </c>
      <c r="I329" s="43" t="n">
        <v>3623</v>
      </c>
      <c r="J329" s="43" t="n">
        <v>8326</v>
      </c>
      <c r="K329" s="42" t="inlineStr">
        <is>
          <t>US Senate</t>
        </is>
      </c>
      <c r="L329" s="43" t="n">
        <v>2505</v>
      </c>
      <c r="M329" s="43" t="n">
        <v>6678</v>
      </c>
      <c r="N329" s="43" t="n">
        <v>9512</v>
      </c>
      <c r="O329" s="44">
        <f>IFERROR((F329-G329)/(F329+G329),"")</f>
        <v/>
      </c>
      <c r="P329" s="44">
        <f>IFERROR((I329-J329)/(I329+J329),"")</f>
        <v/>
      </c>
      <c r="Q329" s="45">
        <f>IFERROR(O329-P329,"")</f>
        <v/>
      </c>
      <c r="R329" s="44">
        <f>IFERROR((L329-M329)/(L329+M329),"")</f>
        <v/>
      </c>
      <c r="S329" s="46">
        <f>H329/SUMIFS(Counties!$H$2:$H$1583,Counties!$A$2:$A$1583,$A329)</f>
        <v/>
      </c>
      <c r="T329" s="44">
        <f>O329+INDEX(Dashboard!$F$6:$F$22,MATCH($A329,Dashboard!$A$6:$A$22,0))</f>
        <v/>
      </c>
      <c r="U329" s="43">
        <f>AQ329*INDEX(Dashboard!$G$6:$G$22,MATCH($A329,Dashboard!$A$6:$A$22,0))</f>
        <v/>
      </c>
      <c r="V329" s="47" t="n"/>
      <c r="W329" s="47" t="n"/>
      <c r="X329" s="47" t="n"/>
      <c r="Y329" s="48" t="n"/>
      <c r="Z329" s="49" t="n"/>
      <c r="AA329" s="49" t="n"/>
      <c r="AB329" s="49" t="n"/>
      <c r="AC329" s="50" t="n"/>
      <c r="AD329" s="43">
        <f>IF(Z329&lt;&gt;"",Z329,N(V329))</f>
        <v/>
      </c>
      <c r="AE329" s="43">
        <f>IF(AA329&lt;&gt;"",AA329,N(W329))</f>
        <v/>
      </c>
      <c r="AF329" s="43">
        <f>AD329+AE329</f>
        <v/>
      </c>
      <c r="AG329" s="42">
        <f>IF(UPPER(AC329)="Y",1,IF(AF329=0,0,IF(AND(Z329="",Y329&lt;&gt;""),IF(Y329&gt;=0.999,1,0),IF(AF329&gt;=U329,1,0))))</f>
        <v/>
      </c>
      <c r="AH329" s="44">
        <f>IF(AF329&gt;0,(AD329-AE329)/AF329,"")</f>
        <v/>
      </c>
      <c r="AI329" s="45">
        <f>IF(AG329=1,AH329-O329,"")</f>
        <v/>
      </c>
      <c r="AJ329" s="44">
        <f>IF(AG329=1,AH329,MAX(-1,MIN(1,O329+INDEX(Types!$H:$H,MATCH($A329&amp;"|"&amp;$D329,Types!$A:$A,0)))))</f>
        <v/>
      </c>
      <c r="AK329" s="43">
        <f>IF(AG329=1,AF329,MAX(AQ329*AS329,AF329))</f>
        <v/>
      </c>
      <c r="AL329" s="43">
        <f>IF(AG329=1,AD329,AK329*(1+AJ329)/2)</f>
        <v/>
      </c>
      <c r="AM329" s="43">
        <f>IF(AG329=1,AE329,AK329*(1-AJ329)/2)</f>
        <v/>
      </c>
      <c r="AN329" s="45">
        <f>IF(AH329="","",AH329-T329)</f>
        <v/>
      </c>
      <c r="AO329" s="51">
        <f>IF(AG329=1,1,IF(U329&gt;0,MIN(AF329/U329,0.99),0))</f>
        <v/>
      </c>
      <c r="AP329" s="43">
        <f>IF(AG329=1,AI329*AF329,0)</f>
        <v/>
      </c>
      <c r="AQ329" s="43">
        <f>N329*(F329+G329)/H329</f>
        <v/>
      </c>
      <c r="AR329" s="43">
        <f>O329*AQ329</f>
        <v/>
      </c>
      <c r="AS329" s="52">
        <f>IF(AG329=1,IF(AQ329&gt;0,AF329/AQ329,1),IFERROR(INDEX(Types!$K:$K,MATCH($A329&amp;"|"&amp;$D329,Types!$A:$A,0)),INDEX(Dashboard!$X$6:$X$22,MATCH($A329,Dashboard!$A$6:$A$22,0))))</f>
        <v/>
      </c>
      <c r="AT329" s="43">
        <f>AQ329*INDEX(Dashboard!$Y$6:$Y$22,MATCH($A329,Dashboard!$A$6:$A$22,0))</f>
        <v/>
      </c>
      <c r="AU329" s="53">
        <f>IF(AND(AG329=1,AT329&gt;0,AF329&gt;0),100*AF329/AT329,"")</f>
        <v/>
      </c>
      <c r="AV329" s="44">
        <f>IF(AU329="","",T329/(AU329/100))</f>
        <v/>
      </c>
      <c r="AW329" s="53">
        <f>IF(AU329="","",IF(AND(ABS(AH329)&gt;=0.1,ABS(T329)&gt;=0.05,SIGN(AH329)=SIGN(T329)),100*T329/AH329,""))</f>
        <v/>
      </c>
      <c r="AX329" s="45">
        <f>IF(AU329="","",T329-AV329)</f>
        <v/>
      </c>
      <c r="AY329" s="45">
        <f>IF(AU329="","",AH329-AV329)</f>
        <v/>
      </c>
      <c r="AZ329" s="54">
        <f>(AL329-AM329)-T329*AT329</f>
        <v/>
      </c>
      <c r="BA329" s="43">
        <f>IF(AU329="",0,(AH329-T329)*AF329)</f>
        <v/>
      </c>
      <c r="BB329" s="43">
        <f>IF(AU329="",0,T329*(AF329-AT329))</f>
        <v/>
      </c>
      <c r="BC329" s="51" t="n">
        <v>0.01427751196172249</v>
      </c>
      <c r="BD329" s="51" t="n">
        <v>0.04876555023923445</v>
      </c>
      <c r="BE329" s="51" t="n">
        <v>0.2529615144816641</v>
      </c>
      <c r="BF329" s="43" t="n">
        <v>26125</v>
      </c>
    </row>
    <row r="330">
      <c r="A330" s="42" t="inlineStr">
        <is>
          <t>KS</t>
        </is>
      </c>
      <c r="B330" s="42" t="inlineStr">
        <is>
          <t>20061</t>
        </is>
      </c>
      <c r="C330" s="42" t="inlineStr">
        <is>
          <t>Geary</t>
        </is>
      </c>
      <c r="D330" s="42" t="inlineStr">
        <is>
          <t>Small town &amp; rural</t>
        </is>
      </c>
      <c r="E330" s="42" t="inlineStr"/>
      <c r="F330" s="43" t="n">
        <v>3674</v>
      </c>
      <c r="G330" s="43" t="n">
        <v>5288</v>
      </c>
      <c r="H330" s="43" t="n">
        <v>9163</v>
      </c>
      <c r="I330" s="43" t="n">
        <v>3825</v>
      </c>
      <c r="J330" s="43" t="n">
        <v>5193</v>
      </c>
      <c r="K330" s="42" t="inlineStr">
        <is>
          <t>US Senate</t>
        </is>
      </c>
      <c r="L330" s="43" t="n">
        <v>2038</v>
      </c>
      <c r="M330" s="43" t="n">
        <v>3799</v>
      </c>
      <c r="N330" s="43" t="n">
        <v>6051</v>
      </c>
      <c r="O330" s="44">
        <f>IFERROR((F330-G330)/(F330+G330),"")</f>
        <v/>
      </c>
      <c r="P330" s="44">
        <f>IFERROR((I330-J330)/(I330+J330),"")</f>
        <v/>
      </c>
      <c r="Q330" s="45">
        <f>IFERROR(O330-P330,"")</f>
        <v/>
      </c>
      <c r="R330" s="44">
        <f>IFERROR((L330-M330)/(L330+M330),"")</f>
        <v/>
      </c>
      <c r="S330" s="46">
        <f>H330/SUMIFS(Counties!$H$2:$H$1583,Counties!$A$2:$A$1583,$A330)</f>
        <v/>
      </c>
      <c r="T330" s="44">
        <f>O330+INDEX(Dashboard!$F$6:$F$22,MATCH($A330,Dashboard!$A$6:$A$22,0))</f>
        <v/>
      </c>
      <c r="U330" s="43">
        <f>AQ330*INDEX(Dashboard!$G$6:$G$22,MATCH($A330,Dashboard!$A$6:$A$22,0))</f>
        <v/>
      </c>
      <c r="V330" s="47" t="n"/>
      <c r="W330" s="47" t="n"/>
      <c r="X330" s="47" t="n"/>
      <c r="Y330" s="48" t="n"/>
      <c r="Z330" s="49" t="n"/>
      <c r="AA330" s="49" t="n"/>
      <c r="AB330" s="49" t="n"/>
      <c r="AC330" s="50" t="n"/>
      <c r="AD330" s="43">
        <f>IF(Z330&lt;&gt;"",Z330,N(V330))</f>
        <v/>
      </c>
      <c r="AE330" s="43">
        <f>IF(AA330&lt;&gt;"",AA330,N(W330))</f>
        <v/>
      </c>
      <c r="AF330" s="43">
        <f>AD330+AE330</f>
        <v/>
      </c>
      <c r="AG330" s="42">
        <f>IF(UPPER(AC330)="Y",1,IF(AF330=0,0,IF(AND(Z330="",Y330&lt;&gt;""),IF(Y330&gt;=0.999,1,0),IF(AF330&gt;=U330,1,0))))</f>
        <v/>
      </c>
      <c r="AH330" s="44">
        <f>IF(AF330&gt;0,(AD330-AE330)/AF330,"")</f>
        <v/>
      </c>
      <c r="AI330" s="45">
        <f>IF(AG330=1,AH330-O330,"")</f>
        <v/>
      </c>
      <c r="AJ330" s="44">
        <f>IF(AG330=1,AH330,MAX(-1,MIN(1,O330+INDEX(Types!$H:$H,MATCH($A330&amp;"|"&amp;$D330,Types!$A:$A,0)))))</f>
        <v/>
      </c>
      <c r="AK330" s="43">
        <f>IF(AG330=1,AF330,MAX(AQ330*AS330,AF330))</f>
        <v/>
      </c>
      <c r="AL330" s="43">
        <f>IF(AG330=1,AD330,AK330*(1+AJ330)/2)</f>
        <v/>
      </c>
      <c r="AM330" s="43">
        <f>IF(AG330=1,AE330,AK330*(1-AJ330)/2)</f>
        <v/>
      </c>
      <c r="AN330" s="45">
        <f>IF(AH330="","",AH330-T330)</f>
        <v/>
      </c>
      <c r="AO330" s="51">
        <f>IF(AG330=1,1,IF(U330&gt;0,MIN(AF330/U330,0.99),0))</f>
        <v/>
      </c>
      <c r="AP330" s="43">
        <f>IF(AG330=1,AI330*AF330,0)</f>
        <v/>
      </c>
      <c r="AQ330" s="43">
        <f>N330*(F330+G330)/H330</f>
        <v/>
      </c>
      <c r="AR330" s="43">
        <f>O330*AQ330</f>
        <v/>
      </c>
      <c r="AS330" s="52">
        <f>IF(AG330=1,IF(AQ330&gt;0,AF330/AQ330,1),IFERROR(INDEX(Types!$K:$K,MATCH($A330&amp;"|"&amp;$D330,Types!$A:$A,0)),INDEX(Dashboard!$X$6:$X$22,MATCH($A330,Dashboard!$A$6:$A$22,0))))</f>
        <v/>
      </c>
      <c r="AT330" s="43">
        <f>AQ330*INDEX(Dashboard!$Y$6:$Y$22,MATCH($A330,Dashboard!$A$6:$A$22,0))</f>
        <v/>
      </c>
      <c r="AU330" s="53">
        <f>IF(AND(AG330=1,AT330&gt;0,AF330&gt;0),100*AF330/AT330,"")</f>
        <v/>
      </c>
      <c r="AV330" s="44">
        <f>IF(AU330="","",T330/(AU330/100))</f>
        <v/>
      </c>
      <c r="AW330" s="53">
        <f>IF(AU330="","",IF(AND(ABS(AH330)&gt;=0.1,ABS(T330)&gt;=0.05,SIGN(AH330)=SIGN(T330)),100*T330/AH330,""))</f>
        <v/>
      </c>
      <c r="AX330" s="45">
        <f>IF(AU330="","",T330-AV330)</f>
        <v/>
      </c>
      <c r="AY330" s="45">
        <f>IF(AU330="","",AH330-AV330)</f>
        <v/>
      </c>
      <c r="AZ330" s="54">
        <f>(AL330-AM330)-T330*AT330</f>
        <v/>
      </c>
      <c r="BA330" s="43">
        <f>IF(AU330="",0,(AH330-T330)*AF330)</f>
        <v/>
      </c>
      <c r="BB330" s="43">
        <f>IF(AU330="",0,T330*(AF330-AT330))</f>
        <v/>
      </c>
      <c r="BC330" s="51" t="n">
        <v>0.1549348018375324</v>
      </c>
      <c r="BD330" s="51" t="n">
        <v>0.1706280138100265</v>
      </c>
      <c r="BE330" s="51" t="n">
        <v>0.2437841425435238</v>
      </c>
      <c r="BF330" s="43" t="n">
        <v>35047</v>
      </c>
    </row>
    <row r="331">
      <c r="A331" s="42" t="inlineStr">
        <is>
          <t>KS</t>
        </is>
      </c>
      <c r="B331" s="42" t="inlineStr">
        <is>
          <t>20063</t>
        </is>
      </c>
      <c r="C331" s="42" t="inlineStr">
        <is>
          <t>Gove</t>
        </is>
      </c>
      <c r="D331" s="42" t="inlineStr">
        <is>
          <t>Small town &amp; rural</t>
        </is>
      </c>
      <c r="E331" s="42" t="inlineStr"/>
      <c r="F331" s="43" t="n">
        <v>150</v>
      </c>
      <c r="G331" s="43" t="n">
        <v>1227</v>
      </c>
      <c r="H331" s="43" t="n">
        <v>1396</v>
      </c>
      <c r="I331" s="43" t="n">
        <v>163</v>
      </c>
      <c r="J331" s="43" t="n">
        <v>1256</v>
      </c>
      <c r="K331" s="42" t="inlineStr">
        <is>
          <t>US Senate</t>
        </is>
      </c>
      <c r="L331" s="43" t="n">
        <v>86</v>
      </c>
      <c r="M331" s="43" t="n">
        <v>1049</v>
      </c>
      <c r="N331" s="43" t="n">
        <v>1156</v>
      </c>
      <c r="O331" s="44">
        <f>IFERROR((F331-G331)/(F331+G331),"")</f>
        <v/>
      </c>
      <c r="P331" s="44">
        <f>IFERROR((I331-J331)/(I331+J331),"")</f>
        <v/>
      </c>
      <c r="Q331" s="45">
        <f>IFERROR(O331-P331,"")</f>
        <v/>
      </c>
      <c r="R331" s="44">
        <f>IFERROR((L331-M331)/(L331+M331),"")</f>
        <v/>
      </c>
      <c r="S331" s="46">
        <f>H331/SUMIFS(Counties!$H$2:$H$1583,Counties!$A$2:$A$1583,$A331)</f>
        <v/>
      </c>
      <c r="T331" s="44">
        <f>O331+INDEX(Dashboard!$F$6:$F$22,MATCH($A331,Dashboard!$A$6:$A$22,0))</f>
        <v/>
      </c>
      <c r="U331" s="43">
        <f>AQ331*INDEX(Dashboard!$G$6:$G$22,MATCH($A331,Dashboard!$A$6:$A$22,0))</f>
        <v/>
      </c>
      <c r="V331" s="47" t="n"/>
      <c r="W331" s="47" t="n"/>
      <c r="X331" s="47" t="n"/>
      <c r="Y331" s="48" t="n"/>
      <c r="Z331" s="49" t="n"/>
      <c r="AA331" s="49" t="n"/>
      <c r="AB331" s="49" t="n"/>
      <c r="AC331" s="50" t="n"/>
      <c r="AD331" s="43">
        <f>IF(Z331&lt;&gt;"",Z331,N(V331))</f>
        <v/>
      </c>
      <c r="AE331" s="43">
        <f>IF(AA331&lt;&gt;"",AA331,N(W331))</f>
        <v/>
      </c>
      <c r="AF331" s="43">
        <f>AD331+AE331</f>
        <v/>
      </c>
      <c r="AG331" s="42">
        <f>IF(UPPER(AC331)="Y",1,IF(AF331=0,0,IF(AND(Z331="",Y331&lt;&gt;""),IF(Y331&gt;=0.999,1,0),IF(AF331&gt;=U331,1,0))))</f>
        <v/>
      </c>
      <c r="AH331" s="44">
        <f>IF(AF331&gt;0,(AD331-AE331)/AF331,"")</f>
        <v/>
      </c>
      <c r="AI331" s="45">
        <f>IF(AG331=1,AH331-O331,"")</f>
        <v/>
      </c>
      <c r="AJ331" s="44">
        <f>IF(AG331=1,AH331,MAX(-1,MIN(1,O331+INDEX(Types!$H:$H,MATCH($A331&amp;"|"&amp;$D331,Types!$A:$A,0)))))</f>
        <v/>
      </c>
      <c r="AK331" s="43">
        <f>IF(AG331=1,AF331,MAX(AQ331*AS331,AF331))</f>
        <v/>
      </c>
      <c r="AL331" s="43">
        <f>IF(AG331=1,AD331,AK331*(1+AJ331)/2)</f>
        <v/>
      </c>
      <c r="AM331" s="43">
        <f>IF(AG331=1,AE331,AK331*(1-AJ331)/2)</f>
        <v/>
      </c>
      <c r="AN331" s="45">
        <f>IF(AH331="","",AH331-T331)</f>
        <v/>
      </c>
      <c r="AO331" s="51">
        <f>IF(AG331=1,1,IF(U331&gt;0,MIN(AF331/U331,0.99),0))</f>
        <v/>
      </c>
      <c r="AP331" s="43">
        <f>IF(AG331=1,AI331*AF331,0)</f>
        <v/>
      </c>
      <c r="AQ331" s="43">
        <f>N331*(F331+G331)/H331</f>
        <v/>
      </c>
      <c r="AR331" s="43">
        <f>O331*AQ331</f>
        <v/>
      </c>
      <c r="AS331" s="52">
        <f>IF(AG331=1,IF(AQ331&gt;0,AF331/AQ331,1),IFERROR(INDEX(Types!$K:$K,MATCH($A331&amp;"|"&amp;$D331,Types!$A:$A,0)),INDEX(Dashboard!$X$6:$X$22,MATCH($A331,Dashboard!$A$6:$A$22,0))))</f>
        <v/>
      </c>
      <c r="AT331" s="43">
        <f>AQ331*INDEX(Dashboard!$Y$6:$Y$22,MATCH($A331,Dashboard!$A$6:$A$22,0))</f>
        <v/>
      </c>
      <c r="AU331" s="53">
        <f>IF(AND(AG331=1,AT331&gt;0,AF331&gt;0),100*AF331/AT331,"")</f>
        <v/>
      </c>
      <c r="AV331" s="44">
        <f>IF(AU331="","",T331/(AU331/100))</f>
        <v/>
      </c>
      <c r="AW331" s="53">
        <f>IF(AU331="","",IF(AND(ABS(AH331)&gt;=0.1,ABS(T331)&gt;=0.05,SIGN(AH331)=SIGN(T331)),100*T331/AH331,""))</f>
        <v/>
      </c>
      <c r="AX331" s="45">
        <f>IF(AU331="","",T331-AV331)</f>
        <v/>
      </c>
      <c r="AY331" s="45">
        <f>IF(AU331="","",AH331-AV331)</f>
        <v/>
      </c>
      <c r="AZ331" s="54">
        <f>(AL331-AM331)-T331*AT331</f>
        <v/>
      </c>
      <c r="BA331" s="43">
        <f>IF(AU331="",0,(AH331-T331)*AF331)</f>
        <v/>
      </c>
      <c r="BB331" s="43">
        <f>IF(AU331="",0,T331*(AF331-AT331))</f>
        <v/>
      </c>
      <c r="BC331" s="51" t="n">
        <v>0.006946983546617916</v>
      </c>
      <c r="BD331" s="51" t="n">
        <v>0.04168190127970749</v>
      </c>
      <c r="BE331" s="51" t="n">
        <v>0.2095238095238095</v>
      </c>
      <c r="BF331" s="43" t="n">
        <v>2735</v>
      </c>
    </row>
    <row r="332">
      <c r="A332" s="42" t="inlineStr">
        <is>
          <t>KS</t>
        </is>
      </c>
      <c r="B332" s="42" t="inlineStr">
        <is>
          <t>20065</t>
        </is>
      </c>
      <c r="C332" s="42" t="inlineStr">
        <is>
          <t>Graham</t>
        </is>
      </c>
      <c r="D332" s="42" t="inlineStr">
        <is>
          <t>Small town &amp; rural</t>
        </is>
      </c>
      <c r="E332" s="42" t="inlineStr"/>
      <c r="F332" s="43" t="n">
        <v>210</v>
      </c>
      <c r="G332" s="43" t="n">
        <v>1055</v>
      </c>
      <c r="H332" s="43" t="n">
        <v>1287</v>
      </c>
      <c r="I332" s="43" t="n">
        <v>222</v>
      </c>
      <c r="J332" s="43" t="n">
        <v>1052</v>
      </c>
      <c r="K332" s="42" t="inlineStr">
        <is>
          <t>US Senate</t>
        </is>
      </c>
      <c r="L332" s="43" t="n">
        <v>109</v>
      </c>
      <c r="M332" s="43" t="n">
        <v>845</v>
      </c>
      <c r="N332" s="43" t="n">
        <v>1002</v>
      </c>
      <c r="O332" s="44">
        <f>IFERROR((F332-G332)/(F332+G332),"")</f>
        <v/>
      </c>
      <c r="P332" s="44">
        <f>IFERROR((I332-J332)/(I332+J332),"")</f>
        <v/>
      </c>
      <c r="Q332" s="45">
        <f>IFERROR(O332-P332,"")</f>
        <v/>
      </c>
      <c r="R332" s="44">
        <f>IFERROR((L332-M332)/(L332+M332),"")</f>
        <v/>
      </c>
      <c r="S332" s="46">
        <f>H332/SUMIFS(Counties!$H$2:$H$1583,Counties!$A$2:$A$1583,$A332)</f>
        <v/>
      </c>
      <c r="T332" s="44">
        <f>O332+INDEX(Dashboard!$F$6:$F$22,MATCH($A332,Dashboard!$A$6:$A$22,0))</f>
        <v/>
      </c>
      <c r="U332" s="43">
        <f>AQ332*INDEX(Dashboard!$G$6:$G$22,MATCH($A332,Dashboard!$A$6:$A$22,0))</f>
        <v/>
      </c>
      <c r="V332" s="47" t="n"/>
      <c r="W332" s="47" t="n"/>
      <c r="X332" s="47" t="n"/>
      <c r="Y332" s="48" t="n"/>
      <c r="Z332" s="49" t="n"/>
      <c r="AA332" s="49" t="n"/>
      <c r="AB332" s="49" t="n"/>
      <c r="AC332" s="50" t="n"/>
      <c r="AD332" s="43">
        <f>IF(Z332&lt;&gt;"",Z332,N(V332))</f>
        <v/>
      </c>
      <c r="AE332" s="43">
        <f>IF(AA332&lt;&gt;"",AA332,N(W332))</f>
        <v/>
      </c>
      <c r="AF332" s="43">
        <f>AD332+AE332</f>
        <v/>
      </c>
      <c r="AG332" s="42">
        <f>IF(UPPER(AC332)="Y",1,IF(AF332=0,0,IF(AND(Z332="",Y332&lt;&gt;""),IF(Y332&gt;=0.999,1,0),IF(AF332&gt;=U332,1,0))))</f>
        <v/>
      </c>
      <c r="AH332" s="44">
        <f>IF(AF332&gt;0,(AD332-AE332)/AF332,"")</f>
        <v/>
      </c>
      <c r="AI332" s="45">
        <f>IF(AG332=1,AH332-O332,"")</f>
        <v/>
      </c>
      <c r="AJ332" s="44">
        <f>IF(AG332=1,AH332,MAX(-1,MIN(1,O332+INDEX(Types!$H:$H,MATCH($A332&amp;"|"&amp;$D332,Types!$A:$A,0)))))</f>
        <v/>
      </c>
      <c r="AK332" s="43">
        <f>IF(AG332=1,AF332,MAX(AQ332*AS332,AF332))</f>
        <v/>
      </c>
      <c r="AL332" s="43">
        <f>IF(AG332=1,AD332,AK332*(1+AJ332)/2)</f>
        <v/>
      </c>
      <c r="AM332" s="43">
        <f>IF(AG332=1,AE332,AK332*(1-AJ332)/2)</f>
        <v/>
      </c>
      <c r="AN332" s="45">
        <f>IF(AH332="","",AH332-T332)</f>
        <v/>
      </c>
      <c r="AO332" s="51">
        <f>IF(AG332=1,1,IF(U332&gt;0,MIN(AF332/U332,0.99),0))</f>
        <v/>
      </c>
      <c r="AP332" s="43">
        <f>IF(AG332=1,AI332*AF332,0)</f>
        <v/>
      </c>
      <c r="AQ332" s="43">
        <f>N332*(F332+G332)/H332</f>
        <v/>
      </c>
      <c r="AR332" s="43">
        <f>O332*AQ332</f>
        <v/>
      </c>
      <c r="AS332" s="52">
        <f>IF(AG332=1,IF(AQ332&gt;0,AF332/AQ332,1),IFERROR(INDEX(Types!$K:$K,MATCH($A332&amp;"|"&amp;$D332,Types!$A:$A,0)),INDEX(Dashboard!$X$6:$X$22,MATCH($A332,Dashboard!$A$6:$A$22,0))))</f>
        <v/>
      </c>
      <c r="AT332" s="43">
        <f>AQ332*INDEX(Dashboard!$Y$6:$Y$22,MATCH($A332,Dashboard!$A$6:$A$22,0))</f>
        <v/>
      </c>
      <c r="AU332" s="53">
        <f>IF(AND(AG332=1,AT332&gt;0,AF332&gt;0),100*AF332/AT332,"")</f>
        <v/>
      </c>
      <c r="AV332" s="44">
        <f>IF(AU332="","",T332/(AU332/100))</f>
        <v/>
      </c>
      <c r="AW332" s="53">
        <f>IF(AU332="","",IF(AND(ABS(AH332)&gt;=0.1,ABS(T332)&gt;=0.05,SIGN(AH332)=SIGN(T332)),100*T332/AH332,""))</f>
        <v/>
      </c>
      <c r="AX332" s="45">
        <f>IF(AU332="","",T332-AV332)</f>
        <v/>
      </c>
      <c r="AY332" s="45">
        <f>IF(AU332="","",AH332-AV332)</f>
        <v/>
      </c>
      <c r="AZ332" s="54">
        <f>(AL332-AM332)-T332*AT332</f>
        <v/>
      </c>
      <c r="BA332" s="43">
        <f>IF(AU332="",0,(AH332-T332)*AF332)</f>
        <v/>
      </c>
      <c r="BB332" s="43">
        <f>IF(AU332="",0,T332*(AF332-AT332))</f>
        <v/>
      </c>
      <c r="BC332" s="51" t="n">
        <v>0.03493265993265993</v>
      </c>
      <c r="BD332" s="51" t="n">
        <v>0.03998316498316498</v>
      </c>
      <c r="BE332" s="51" t="n">
        <v>0.2738707833047456</v>
      </c>
      <c r="BF332" s="43" t="n">
        <v>2376</v>
      </c>
    </row>
    <row r="333">
      <c r="A333" s="42" t="inlineStr">
        <is>
          <t>KS</t>
        </is>
      </c>
      <c r="B333" s="42" t="inlineStr">
        <is>
          <t>20067</t>
        </is>
      </c>
      <c r="C333" s="42" t="inlineStr">
        <is>
          <t>Grant</t>
        </is>
      </c>
      <c r="D333" s="42" t="inlineStr">
        <is>
          <t>Hispanic</t>
        </is>
      </c>
      <c r="E333" s="42" t="inlineStr"/>
      <c r="F333" s="43" t="n">
        <v>395</v>
      </c>
      <c r="G333" s="43" t="n">
        <v>1793</v>
      </c>
      <c r="H333" s="43" t="n">
        <v>2220</v>
      </c>
      <c r="I333" s="43" t="n">
        <v>497</v>
      </c>
      <c r="J333" s="43" t="n">
        <v>1910</v>
      </c>
      <c r="K333" s="42" t="inlineStr">
        <is>
          <t>US Senate</t>
        </is>
      </c>
      <c r="L333" s="43" t="n">
        <v>206</v>
      </c>
      <c r="M333" s="43" t="n">
        <v>1362</v>
      </c>
      <c r="N333" s="43" t="n">
        <v>1606</v>
      </c>
      <c r="O333" s="44">
        <f>IFERROR((F333-G333)/(F333+G333),"")</f>
        <v/>
      </c>
      <c r="P333" s="44">
        <f>IFERROR((I333-J333)/(I333+J333),"")</f>
        <v/>
      </c>
      <c r="Q333" s="45">
        <f>IFERROR(O333-P333,"")</f>
        <v/>
      </c>
      <c r="R333" s="44">
        <f>IFERROR((L333-M333)/(L333+M333),"")</f>
        <v/>
      </c>
      <c r="S333" s="46">
        <f>H333/SUMIFS(Counties!$H$2:$H$1583,Counties!$A$2:$A$1583,$A333)</f>
        <v/>
      </c>
      <c r="T333" s="44">
        <f>O333+INDEX(Dashboard!$F$6:$F$22,MATCH($A333,Dashboard!$A$6:$A$22,0))</f>
        <v/>
      </c>
      <c r="U333" s="43">
        <f>AQ333*INDEX(Dashboard!$G$6:$G$22,MATCH($A333,Dashboard!$A$6:$A$22,0))</f>
        <v/>
      </c>
      <c r="V333" s="47" t="n"/>
      <c r="W333" s="47" t="n"/>
      <c r="X333" s="47" t="n"/>
      <c r="Y333" s="48" t="n"/>
      <c r="Z333" s="49" t="n"/>
      <c r="AA333" s="49" t="n"/>
      <c r="AB333" s="49" t="n"/>
      <c r="AC333" s="50" t="n"/>
      <c r="AD333" s="43">
        <f>IF(Z333&lt;&gt;"",Z333,N(V333))</f>
        <v/>
      </c>
      <c r="AE333" s="43">
        <f>IF(AA333&lt;&gt;"",AA333,N(W333))</f>
        <v/>
      </c>
      <c r="AF333" s="43">
        <f>AD333+AE333</f>
        <v/>
      </c>
      <c r="AG333" s="42">
        <f>IF(UPPER(AC333)="Y",1,IF(AF333=0,0,IF(AND(Z333="",Y333&lt;&gt;""),IF(Y333&gt;=0.999,1,0),IF(AF333&gt;=U333,1,0))))</f>
        <v/>
      </c>
      <c r="AH333" s="44">
        <f>IF(AF333&gt;0,(AD333-AE333)/AF333,"")</f>
        <v/>
      </c>
      <c r="AI333" s="45">
        <f>IF(AG333=1,AH333-O333,"")</f>
        <v/>
      </c>
      <c r="AJ333" s="44">
        <f>IF(AG333=1,AH333,MAX(-1,MIN(1,O333+INDEX(Types!$H:$H,MATCH($A333&amp;"|"&amp;$D333,Types!$A:$A,0)))))</f>
        <v/>
      </c>
      <c r="AK333" s="43">
        <f>IF(AG333=1,AF333,MAX(AQ333*AS333,AF333))</f>
        <v/>
      </c>
      <c r="AL333" s="43">
        <f>IF(AG333=1,AD333,AK333*(1+AJ333)/2)</f>
        <v/>
      </c>
      <c r="AM333" s="43">
        <f>IF(AG333=1,AE333,AK333*(1-AJ333)/2)</f>
        <v/>
      </c>
      <c r="AN333" s="45">
        <f>IF(AH333="","",AH333-T333)</f>
        <v/>
      </c>
      <c r="AO333" s="51">
        <f>IF(AG333=1,1,IF(U333&gt;0,MIN(AF333/U333,0.99),0))</f>
        <v/>
      </c>
      <c r="AP333" s="43">
        <f>IF(AG333=1,AI333*AF333,0)</f>
        <v/>
      </c>
      <c r="AQ333" s="43">
        <f>N333*(F333+G333)/H333</f>
        <v/>
      </c>
      <c r="AR333" s="43">
        <f>O333*AQ333</f>
        <v/>
      </c>
      <c r="AS333" s="52">
        <f>IF(AG333=1,IF(AQ333&gt;0,AF333/AQ333,1),IFERROR(INDEX(Types!$K:$K,MATCH($A333&amp;"|"&amp;$D333,Types!$A:$A,0)),INDEX(Dashboard!$X$6:$X$22,MATCH($A333,Dashboard!$A$6:$A$22,0))))</f>
        <v/>
      </c>
      <c r="AT333" s="43">
        <f>AQ333*INDEX(Dashboard!$Y$6:$Y$22,MATCH($A333,Dashboard!$A$6:$A$22,0))</f>
        <v/>
      </c>
      <c r="AU333" s="53">
        <f>IF(AND(AG333=1,AT333&gt;0,AF333&gt;0),100*AF333/AT333,"")</f>
        <v/>
      </c>
      <c r="AV333" s="44">
        <f>IF(AU333="","",T333/(AU333/100))</f>
        <v/>
      </c>
      <c r="AW333" s="53">
        <f>IF(AU333="","",IF(AND(ABS(AH333)&gt;=0.1,ABS(T333)&gt;=0.05,SIGN(AH333)=SIGN(T333)),100*T333/AH333,""))</f>
        <v/>
      </c>
      <c r="AX333" s="45">
        <f>IF(AU333="","",T333-AV333)</f>
        <v/>
      </c>
      <c r="AY333" s="45">
        <f>IF(AU333="","",AH333-AV333)</f>
        <v/>
      </c>
      <c r="AZ333" s="54">
        <f>(AL333-AM333)-T333*AT333</f>
        <v/>
      </c>
      <c r="BA333" s="43">
        <f>IF(AU333="",0,(AH333-T333)*AF333)</f>
        <v/>
      </c>
      <c r="BB333" s="43">
        <f>IF(AU333="",0,T333*(AF333-AT333))</f>
        <v/>
      </c>
      <c r="BC333" s="51" t="n">
        <v>0.005736672729816706</v>
      </c>
      <c r="BD333" s="51" t="n">
        <v>0.5372883727438086</v>
      </c>
      <c r="BE333" s="51" t="n">
        <v>0.2557550644567219</v>
      </c>
      <c r="BF333" s="43" t="n">
        <v>7147</v>
      </c>
    </row>
    <row r="334">
      <c r="A334" s="42" t="inlineStr">
        <is>
          <t>KS</t>
        </is>
      </c>
      <c r="B334" s="42" t="inlineStr">
        <is>
          <t>20069</t>
        </is>
      </c>
      <c r="C334" s="42" t="inlineStr">
        <is>
          <t>Gray</t>
        </is>
      </c>
      <c r="D334" s="42" t="inlineStr">
        <is>
          <t>Small town &amp; rural</t>
        </is>
      </c>
      <c r="E334" s="42" t="inlineStr"/>
      <c r="F334" s="43" t="n">
        <v>324</v>
      </c>
      <c r="G334" s="43" t="n">
        <v>1837</v>
      </c>
      <c r="H334" s="43" t="n">
        <v>2193</v>
      </c>
      <c r="I334" s="43" t="n">
        <v>337</v>
      </c>
      <c r="J334" s="43" t="n">
        <v>1871</v>
      </c>
      <c r="K334" s="42" t="inlineStr">
        <is>
          <t>US Senate</t>
        </is>
      </c>
      <c r="L334" s="43" t="n">
        <v>179</v>
      </c>
      <c r="M334" s="43" t="n">
        <v>1476</v>
      </c>
      <c r="N334" s="43" t="n">
        <v>1702</v>
      </c>
      <c r="O334" s="44">
        <f>IFERROR((F334-G334)/(F334+G334),"")</f>
        <v/>
      </c>
      <c r="P334" s="44">
        <f>IFERROR((I334-J334)/(I334+J334),"")</f>
        <v/>
      </c>
      <c r="Q334" s="45">
        <f>IFERROR(O334-P334,"")</f>
        <v/>
      </c>
      <c r="R334" s="44">
        <f>IFERROR((L334-M334)/(L334+M334),"")</f>
        <v/>
      </c>
      <c r="S334" s="46">
        <f>H334/SUMIFS(Counties!$H$2:$H$1583,Counties!$A$2:$A$1583,$A334)</f>
        <v/>
      </c>
      <c r="T334" s="44">
        <f>O334+INDEX(Dashboard!$F$6:$F$22,MATCH($A334,Dashboard!$A$6:$A$22,0))</f>
        <v/>
      </c>
      <c r="U334" s="43">
        <f>AQ334*INDEX(Dashboard!$G$6:$G$22,MATCH($A334,Dashboard!$A$6:$A$22,0))</f>
        <v/>
      </c>
      <c r="V334" s="47" t="n"/>
      <c r="W334" s="47" t="n"/>
      <c r="X334" s="47" t="n"/>
      <c r="Y334" s="48" t="n"/>
      <c r="Z334" s="49" t="n"/>
      <c r="AA334" s="49" t="n"/>
      <c r="AB334" s="49" t="n"/>
      <c r="AC334" s="50" t="n"/>
      <c r="AD334" s="43">
        <f>IF(Z334&lt;&gt;"",Z334,N(V334))</f>
        <v/>
      </c>
      <c r="AE334" s="43">
        <f>IF(AA334&lt;&gt;"",AA334,N(W334))</f>
        <v/>
      </c>
      <c r="AF334" s="43">
        <f>AD334+AE334</f>
        <v/>
      </c>
      <c r="AG334" s="42">
        <f>IF(UPPER(AC334)="Y",1,IF(AF334=0,0,IF(AND(Z334="",Y334&lt;&gt;""),IF(Y334&gt;=0.999,1,0),IF(AF334&gt;=U334,1,0))))</f>
        <v/>
      </c>
      <c r="AH334" s="44">
        <f>IF(AF334&gt;0,(AD334-AE334)/AF334,"")</f>
        <v/>
      </c>
      <c r="AI334" s="45">
        <f>IF(AG334=1,AH334-O334,"")</f>
        <v/>
      </c>
      <c r="AJ334" s="44">
        <f>IF(AG334=1,AH334,MAX(-1,MIN(1,O334+INDEX(Types!$H:$H,MATCH($A334&amp;"|"&amp;$D334,Types!$A:$A,0)))))</f>
        <v/>
      </c>
      <c r="AK334" s="43">
        <f>IF(AG334=1,AF334,MAX(AQ334*AS334,AF334))</f>
        <v/>
      </c>
      <c r="AL334" s="43">
        <f>IF(AG334=1,AD334,AK334*(1+AJ334)/2)</f>
        <v/>
      </c>
      <c r="AM334" s="43">
        <f>IF(AG334=1,AE334,AK334*(1-AJ334)/2)</f>
        <v/>
      </c>
      <c r="AN334" s="45">
        <f>IF(AH334="","",AH334-T334)</f>
        <v/>
      </c>
      <c r="AO334" s="51">
        <f>IF(AG334=1,1,IF(U334&gt;0,MIN(AF334/U334,0.99),0))</f>
        <v/>
      </c>
      <c r="AP334" s="43">
        <f>IF(AG334=1,AI334*AF334,0)</f>
        <v/>
      </c>
      <c r="AQ334" s="43">
        <f>N334*(F334+G334)/H334</f>
        <v/>
      </c>
      <c r="AR334" s="43">
        <f>O334*AQ334</f>
        <v/>
      </c>
      <c r="AS334" s="52">
        <f>IF(AG334=1,IF(AQ334&gt;0,AF334/AQ334,1),IFERROR(INDEX(Types!$K:$K,MATCH($A334&amp;"|"&amp;$D334,Types!$A:$A,0)),INDEX(Dashboard!$X$6:$X$22,MATCH($A334,Dashboard!$A$6:$A$22,0))))</f>
        <v/>
      </c>
      <c r="AT334" s="43">
        <f>AQ334*INDEX(Dashboard!$Y$6:$Y$22,MATCH($A334,Dashboard!$A$6:$A$22,0))</f>
        <v/>
      </c>
      <c r="AU334" s="53">
        <f>IF(AND(AG334=1,AT334&gt;0,AF334&gt;0),100*AF334/AT334,"")</f>
        <v/>
      </c>
      <c r="AV334" s="44">
        <f>IF(AU334="","",T334/(AU334/100))</f>
        <v/>
      </c>
      <c r="AW334" s="53">
        <f>IF(AU334="","",IF(AND(ABS(AH334)&gt;=0.1,ABS(T334)&gt;=0.05,SIGN(AH334)=SIGN(T334)),100*T334/AH334,""))</f>
        <v/>
      </c>
      <c r="AX334" s="45">
        <f>IF(AU334="","",T334-AV334)</f>
        <v/>
      </c>
      <c r="AY334" s="45">
        <f>IF(AU334="","",AH334-AV334)</f>
        <v/>
      </c>
      <c r="AZ334" s="54">
        <f>(AL334-AM334)-T334*AT334</f>
        <v/>
      </c>
      <c r="BA334" s="43">
        <f>IF(AU334="",0,(AH334-T334)*AF334)</f>
        <v/>
      </c>
      <c r="BB334" s="43">
        <f>IF(AU334="",0,T334*(AF334-AT334))</f>
        <v/>
      </c>
      <c r="BC334" s="51" t="n">
        <v>0.008183876022984503</v>
      </c>
      <c r="BD334" s="51" t="n">
        <v>0.175866271983284</v>
      </c>
      <c r="BE334" s="51" t="n">
        <v>0.2493723849372385</v>
      </c>
      <c r="BF334" s="43" t="n">
        <v>5743</v>
      </c>
    </row>
    <row r="335">
      <c r="A335" s="42" t="inlineStr">
        <is>
          <t>KS</t>
        </is>
      </c>
      <c r="B335" s="42" t="inlineStr">
        <is>
          <t>20071</t>
        </is>
      </c>
      <c r="C335" s="42" t="inlineStr">
        <is>
          <t>Greeley</t>
        </is>
      </c>
      <c r="D335" s="42" t="inlineStr">
        <is>
          <t>Small town &amp; rural</t>
        </is>
      </c>
      <c r="E335" s="42" t="inlineStr"/>
      <c r="F335" s="43" t="n">
        <v>75</v>
      </c>
      <c r="G335" s="43" t="n">
        <v>510</v>
      </c>
      <c r="H335" s="43" t="n">
        <v>593</v>
      </c>
      <c r="I335" s="43" t="n">
        <v>77</v>
      </c>
      <c r="J335" s="43" t="n">
        <v>537</v>
      </c>
      <c r="K335" s="42" t="inlineStr">
        <is>
          <t>US Senate</t>
        </is>
      </c>
      <c r="L335" s="43" t="n">
        <v>38</v>
      </c>
      <c r="M335" s="43" t="n">
        <v>402</v>
      </c>
      <c r="N335" s="43" t="n">
        <v>453</v>
      </c>
      <c r="O335" s="44">
        <f>IFERROR((F335-G335)/(F335+G335),"")</f>
        <v/>
      </c>
      <c r="P335" s="44">
        <f>IFERROR((I335-J335)/(I335+J335),"")</f>
        <v/>
      </c>
      <c r="Q335" s="45">
        <f>IFERROR(O335-P335,"")</f>
        <v/>
      </c>
      <c r="R335" s="44">
        <f>IFERROR((L335-M335)/(L335+M335),"")</f>
        <v/>
      </c>
      <c r="S335" s="46">
        <f>H335/SUMIFS(Counties!$H$2:$H$1583,Counties!$A$2:$A$1583,$A335)</f>
        <v/>
      </c>
      <c r="T335" s="44">
        <f>O335+INDEX(Dashboard!$F$6:$F$22,MATCH($A335,Dashboard!$A$6:$A$22,0))</f>
        <v/>
      </c>
      <c r="U335" s="43">
        <f>AQ335*INDEX(Dashboard!$G$6:$G$22,MATCH($A335,Dashboard!$A$6:$A$22,0))</f>
        <v/>
      </c>
      <c r="V335" s="47" t="n"/>
      <c r="W335" s="47" t="n"/>
      <c r="X335" s="47" t="n"/>
      <c r="Y335" s="48" t="n"/>
      <c r="Z335" s="49" t="n"/>
      <c r="AA335" s="49" t="n"/>
      <c r="AB335" s="49" t="n"/>
      <c r="AC335" s="50" t="n"/>
      <c r="AD335" s="43">
        <f>IF(Z335&lt;&gt;"",Z335,N(V335))</f>
        <v/>
      </c>
      <c r="AE335" s="43">
        <f>IF(AA335&lt;&gt;"",AA335,N(W335))</f>
        <v/>
      </c>
      <c r="AF335" s="43">
        <f>AD335+AE335</f>
        <v/>
      </c>
      <c r="AG335" s="42">
        <f>IF(UPPER(AC335)="Y",1,IF(AF335=0,0,IF(AND(Z335="",Y335&lt;&gt;""),IF(Y335&gt;=0.999,1,0),IF(AF335&gt;=U335,1,0))))</f>
        <v/>
      </c>
      <c r="AH335" s="44">
        <f>IF(AF335&gt;0,(AD335-AE335)/AF335,"")</f>
        <v/>
      </c>
      <c r="AI335" s="45">
        <f>IF(AG335=1,AH335-O335,"")</f>
        <v/>
      </c>
      <c r="AJ335" s="44">
        <f>IF(AG335=1,AH335,MAX(-1,MIN(1,O335+INDEX(Types!$H:$H,MATCH($A335&amp;"|"&amp;$D335,Types!$A:$A,0)))))</f>
        <v/>
      </c>
      <c r="AK335" s="43">
        <f>IF(AG335=1,AF335,MAX(AQ335*AS335,AF335))</f>
        <v/>
      </c>
      <c r="AL335" s="43">
        <f>IF(AG335=1,AD335,AK335*(1+AJ335)/2)</f>
        <v/>
      </c>
      <c r="AM335" s="43">
        <f>IF(AG335=1,AE335,AK335*(1-AJ335)/2)</f>
        <v/>
      </c>
      <c r="AN335" s="45">
        <f>IF(AH335="","",AH335-T335)</f>
        <v/>
      </c>
      <c r="AO335" s="51">
        <f>IF(AG335=1,1,IF(U335&gt;0,MIN(AF335/U335,0.99),0))</f>
        <v/>
      </c>
      <c r="AP335" s="43">
        <f>IF(AG335=1,AI335*AF335,0)</f>
        <v/>
      </c>
      <c r="AQ335" s="43">
        <f>N335*(F335+G335)/H335</f>
        <v/>
      </c>
      <c r="AR335" s="43">
        <f>O335*AQ335</f>
        <v/>
      </c>
      <c r="AS335" s="52">
        <f>IF(AG335=1,IF(AQ335&gt;0,AF335/AQ335,1),IFERROR(INDEX(Types!$K:$K,MATCH($A335&amp;"|"&amp;$D335,Types!$A:$A,0)),INDEX(Dashboard!$X$6:$X$22,MATCH($A335,Dashboard!$A$6:$A$22,0))))</f>
        <v/>
      </c>
      <c r="AT335" s="43">
        <f>AQ335*INDEX(Dashboard!$Y$6:$Y$22,MATCH($A335,Dashboard!$A$6:$A$22,0))</f>
        <v/>
      </c>
      <c r="AU335" s="53">
        <f>IF(AND(AG335=1,AT335&gt;0,AF335&gt;0),100*AF335/AT335,"")</f>
        <v/>
      </c>
      <c r="AV335" s="44">
        <f>IF(AU335="","",T335/(AU335/100))</f>
        <v/>
      </c>
      <c r="AW335" s="53">
        <f>IF(AU335="","",IF(AND(ABS(AH335)&gt;=0.1,ABS(T335)&gt;=0.05,SIGN(AH335)=SIGN(T335)),100*T335/AH335,""))</f>
        <v/>
      </c>
      <c r="AX335" s="45">
        <f>IF(AU335="","",T335-AV335)</f>
        <v/>
      </c>
      <c r="AY335" s="45">
        <f>IF(AU335="","",AH335-AV335)</f>
        <v/>
      </c>
      <c r="AZ335" s="54">
        <f>(AL335-AM335)-T335*AT335</f>
        <v/>
      </c>
      <c r="BA335" s="43">
        <f>IF(AU335="",0,(AH335-T335)*AF335)</f>
        <v/>
      </c>
      <c r="BB335" s="43">
        <f>IF(AU335="",0,T335*(AF335-AT335))</f>
        <v/>
      </c>
      <c r="BC335" s="51" t="n">
        <v>0.005080440304826418</v>
      </c>
      <c r="BD335" s="51" t="n">
        <v>0.1752751905165114</v>
      </c>
      <c r="BE335" s="51" t="n">
        <v>0.3349397590361446</v>
      </c>
      <c r="BF335" s="43" t="n">
        <v>1181</v>
      </c>
    </row>
    <row r="336">
      <c r="A336" s="42" t="inlineStr">
        <is>
          <t>KS</t>
        </is>
      </c>
      <c r="B336" s="42" t="inlineStr">
        <is>
          <t>20073</t>
        </is>
      </c>
      <c r="C336" s="42" t="inlineStr">
        <is>
          <t>Greenwood</t>
        </is>
      </c>
      <c r="D336" s="42" t="inlineStr">
        <is>
          <t>Small town &amp; rural</t>
        </is>
      </c>
      <c r="E336" s="42" t="inlineStr"/>
      <c r="F336" s="43" t="n">
        <v>541</v>
      </c>
      <c r="G336" s="43" t="n">
        <v>2299</v>
      </c>
      <c r="H336" s="43" t="n">
        <v>2884</v>
      </c>
      <c r="I336" s="43" t="n">
        <v>562</v>
      </c>
      <c r="J336" s="43" t="n">
        <v>2404</v>
      </c>
      <c r="K336" s="42" t="inlineStr">
        <is>
          <t>US Senate</t>
        </is>
      </c>
      <c r="L336" s="43" t="n">
        <v>371</v>
      </c>
      <c r="M336" s="43" t="n">
        <v>1863</v>
      </c>
      <c r="N336" s="43" t="n">
        <v>2312</v>
      </c>
      <c r="O336" s="44">
        <f>IFERROR((F336-G336)/(F336+G336),"")</f>
        <v/>
      </c>
      <c r="P336" s="44">
        <f>IFERROR((I336-J336)/(I336+J336),"")</f>
        <v/>
      </c>
      <c r="Q336" s="45">
        <f>IFERROR(O336-P336,"")</f>
        <v/>
      </c>
      <c r="R336" s="44">
        <f>IFERROR((L336-M336)/(L336+M336),"")</f>
        <v/>
      </c>
      <c r="S336" s="46">
        <f>H336/SUMIFS(Counties!$H$2:$H$1583,Counties!$A$2:$A$1583,$A336)</f>
        <v/>
      </c>
      <c r="T336" s="44">
        <f>O336+INDEX(Dashboard!$F$6:$F$22,MATCH($A336,Dashboard!$A$6:$A$22,0))</f>
        <v/>
      </c>
      <c r="U336" s="43">
        <f>AQ336*INDEX(Dashboard!$G$6:$G$22,MATCH($A336,Dashboard!$A$6:$A$22,0))</f>
        <v/>
      </c>
      <c r="V336" s="47" t="n"/>
      <c r="W336" s="47" t="n"/>
      <c r="X336" s="47" t="n"/>
      <c r="Y336" s="48" t="n"/>
      <c r="Z336" s="49" t="n"/>
      <c r="AA336" s="49" t="n"/>
      <c r="AB336" s="49" t="n"/>
      <c r="AC336" s="50" t="n"/>
      <c r="AD336" s="43">
        <f>IF(Z336&lt;&gt;"",Z336,N(V336))</f>
        <v/>
      </c>
      <c r="AE336" s="43">
        <f>IF(AA336&lt;&gt;"",AA336,N(W336))</f>
        <v/>
      </c>
      <c r="AF336" s="43">
        <f>AD336+AE336</f>
        <v/>
      </c>
      <c r="AG336" s="42">
        <f>IF(UPPER(AC336)="Y",1,IF(AF336=0,0,IF(AND(Z336="",Y336&lt;&gt;""),IF(Y336&gt;=0.999,1,0),IF(AF336&gt;=U336,1,0))))</f>
        <v/>
      </c>
      <c r="AH336" s="44">
        <f>IF(AF336&gt;0,(AD336-AE336)/AF336,"")</f>
        <v/>
      </c>
      <c r="AI336" s="45">
        <f>IF(AG336=1,AH336-O336,"")</f>
        <v/>
      </c>
      <c r="AJ336" s="44">
        <f>IF(AG336=1,AH336,MAX(-1,MIN(1,O336+INDEX(Types!$H:$H,MATCH($A336&amp;"|"&amp;$D336,Types!$A:$A,0)))))</f>
        <v/>
      </c>
      <c r="AK336" s="43">
        <f>IF(AG336=1,AF336,MAX(AQ336*AS336,AF336))</f>
        <v/>
      </c>
      <c r="AL336" s="43">
        <f>IF(AG336=1,AD336,AK336*(1+AJ336)/2)</f>
        <v/>
      </c>
      <c r="AM336" s="43">
        <f>IF(AG336=1,AE336,AK336*(1-AJ336)/2)</f>
        <v/>
      </c>
      <c r="AN336" s="45">
        <f>IF(AH336="","",AH336-T336)</f>
        <v/>
      </c>
      <c r="AO336" s="51">
        <f>IF(AG336=1,1,IF(U336&gt;0,MIN(AF336/U336,0.99),0))</f>
        <v/>
      </c>
      <c r="AP336" s="43">
        <f>IF(AG336=1,AI336*AF336,0)</f>
        <v/>
      </c>
      <c r="AQ336" s="43">
        <f>N336*(F336+G336)/H336</f>
        <v/>
      </c>
      <c r="AR336" s="43">
        <f>O336*AQ336</f>
        <v/>
      </c>
      <c r="AS336" s="52">
        <f>IF(AG336=1,IF(AQ336&gt;0,AF336/AQ336,1),IFERROR(INDEX(Types!$K:$K,MATCH($A336&amp;"|"&amp;$D336,Types!$A:$A,0)),INDEX(Dashboard!$X$6:$X$22,MATCH($A336,Dashboard!$A$6:$A$22,0))))</f>
        <v/>
      </c>
      <c r="AT336" s="43">
        <f>AQ336*INDEX(Dashboard!$Y$6:$Y$22,MATCH($A336,Dashboard!$A$6:$A$22,0))</f>
        <v/>
      </c>
      <c r="AU336" s="53">
        <f>IF(AND(AG336=1,AT336&gt;0,AF336&gt;0),100*AF336/AT336,"")</f>
        <v/>
      </c>
      <c r="AV336" s="44">
        <f>IF(AU336="","",T336/(AU336/100))</f>
        <v/>
      </c>
      <c r="AW336" s="53">
        <f>IF(AU336="","",IF(AND(ABS(AH336)&gt;=0.1,ABS(T336)&gt;=0.05,SIGN(AH336)=SIGN(T336)),100*T336/AH336,""))</f>
        <v/>
      </c>
      <c r="AX336" s="45">
        <f>IF(AU336="","",T336-AV336)</f>
        <v/>
      </c>
      <c r="AY336" s="45">
        <f>IF(AU336="","",AH336-AV336)</f>
        <v/>
      </c>
      <c r="AZ336" s="54">
        <f>(AL336-AM336)-T336*AT336</f>
        <v/>
      </c>
      <c r="BA336" s="43">
        <f>IF(AU336="",0,(AH336-T336)*AF336)</f>
        <v/>
      </c>
      <c r="BB336" s="43">
        <f>IF(AU336="",0,T336*(AF336-AT336))</f>
        <v/>
      </c>
      <c r="BC336" s="51" t="n">
        <v>0.008858603066439524</v>
      </c>
      <c r="BD336" s="51" t="n">
        <v>0.04275979557069846</v>
      </c>
      <c r="BE336" s="51" t="n">
        <v>0.1898617511520737</v>
      </c>
      <c r="BF336" s="43" t="n">
        <v>5870</v>
      </c>
    </row>
    <row r="337">
      <c r="A337" s="42" t="inlineStr">
        <is>
          <t>KS</t>
        </is>
      </c>
      <c r="B337" s="42" t="inlineStr">
        <is>
          <t>20075</t>
        </is>
      </c>
      <c r="C337" s="42" t="inlineStr">
        <is>
          <t>Hamilton</t>
        </is>
      </c>
      <c r="D337" s="42" t="inlineStr">
        <is>
          <t>Hispanic</t>
        </is>
      </c>
      <c r="E337" s="42" t="inlineStr"/>
      <c r="F337" s="43" t="n">
        <v>131</v>
      </c>
      <c r="G337" s="43" t="n">
        <v>671</v>
      </c>
      <c r="H337" s="43" t="n">
        <v>815</v>
      </c>
      <c r="I337" s="43" t="n">
        <v>134</v>
      </c>
      <c r="J337" s="43" t="n">
        <v>684</v>
      </c>
      <c r="K337" s="42" t="inlineStr">
        <is>
          <t>US Senate</t>
        </is>
      </c>
      <c r="L337" s="43" t="n">
        <v>63</v>
      </c>
      <c r="M337" s="43" t="n">
        <v>529</v>
      </c>
      <c r="N337" s="43" t="n">
        <v>599</v>
      </c>
      <c r="O337" s="44">
        <f>IFERROR((F337-G337)/(F337+G337),"")</f>
        <v/>
      </c>
      <c r="P337" s="44">
        <f>IFERROR((I337-J337)/(I337+J337),"")</f>
        <v/>
      </c>
      <c r="Q337" s="45">
        <f>IFERROR(O337-P337,"")</f>
        <v/>
      </c>
      <c r="R337" s="44">
        <f>IFERROR((L337-M337)/(L337+M337),"")</f>
        <v/>
      </c>
      <c r="S337" s="46">
        <f>H337/SUMIFS(Counties!$H$2:$H$1583,Counties!$A$2:$A$1583,$A337)</f>
        <v/>
      </c>
      <c r="T337" s="44">
        <f>O337+INDEX(Dashboard!$F$6:$F$22,MATCH($A337,Dashboard!$A$6:$A$22,0))</f>
        <v/>
      </c>
      <c r="U337" s="43">
        <f>AQ337*INDEX(Dashboard!$G$6:$G$22,MATCH($A337,Dashboard!$A$6:$A$22,0))</f>
        <v/>
      </c>
      <c r="V337" s="47" t="n"/>
      <c r="W337" s="47" t="n"/>
      <c r="X337" s="47" t="n"/>
      <c r="Y337" s="48" t="n"/>
      <c r="Z337" s="49" t="n"/>
      <c r="AA337" s="49" t="n"/>
      <c r="AB337" s="49" t="n"/>
      <c r="AC337" s="50" t="n"/>
      <c r="AD337" s="43">
        <f>IF(Z337&lt;&gt;"",Z337,N(V337))</f>
        <v/>
      </c>
      <c r="AE337" s="43">
        <f>IF(AA337&lt;&gt;"",AA337,N(W337))</f>
        <v/>
      </c>
      <c r="AF337" s="43">
        <f>AD337+AE337</f>
        <v/>
      </c>
      <c r="AG337" s="42">
        <f>IF(UPPER(AC337)="Y",1,IF(AF337=0,0,IF(AND(Z337="",Y337&lt;&gt;""),IF(Y337&gt;=0.999,1,0),IF(AF337&gt;=U337,1,0))))</f>
        <v/>
      </c>
      <c r="AH337" s="44">
        <f>IF(AF337&gt;0,(AD337-AE337)/AF337,"")</f>
        <v/>
      </c>
      <c r="AI337" s="45">
        <f>IF(AG337=1,AH337-O337,"")</f>
        <v/>
      </c>
      <c r="AJ337" s="44">
        <f>IF(AG337=1,AH337,MAX(-1,MIN(1,O337+INDEX(Types!$H:$H,MATCH($A337&amp;"|"&amp;$D337,Types!$A:$A,0)))))</f>
        <v/>
      </c>
      <c r="AK337" s="43">
        <f>IF(AG337=1,AF337,MAX(AQ337*AS337,AF337))</f>
        <v/>
      </c>
      <c r="AL337" s="43">
        <f>IF(AG337=1,AD337,AK337*(1+AJ337)/2)</f>
        <v/>
      </c>
      <c r="AM337" s="43">
        <f>IF(AG337=1,AE337,AK337*(1-AJ337)/2)</f>
        <v/>
      </c>
      <c r="AN337" s="45">
        <f>IF(AH337="","",AH337-T337)</f>
        <v/>
      </c>
      <c r="AO337" s="51">
        <f>IF(AG337=1,1,IF(U337&gt;0,MIN(AF337/U337,0.99),0))</f>
        <v/>
      </c>
      <c r="AP337" s="43">
        <f>IF(AG337=1,AI337*AF337,0)</f>
        <v/>
      </c>
      <c r="AQ337" s="43">
        <f>N337*(F337+G337)/H337</f>
        <v/>
      </c>
      <c r="AR337" s="43">
        <f>O337*AQ337</f>
        <v/>
      </c>
      <c r="AS337" s="52">
        <f>IF(AG337=1,IF(AQ337&gt;0,AF337/AQ337,1),IFERROR(INDEX(Types!$K:$K,MATCH($A337&amp;"|"&amp;$D337,Types!$A:$A,0)),INDEX(Dashboard!$X$6:$X$22,MATCH($A337,Dashboard!$A$6:$A$22,0))))</f>
        <v/>
      </c>
      <c r="AT337" s="43">
        <f>AQ337*INDEX(Dashboard!$Y$6:$Y$22,MATCH($A337,Dashboard!$A$6:$A$22,0))</f>
        <v/>
      </c>
      <c r="AU337" s="53">
        <f>IF(AND(AG337=1,AT337&gt;0,AF337&gt;0),100*AF337/AT337,"")</f>
        <v/>
      </c>
      <c r="AV337" s="44">
        <f>IF(AU337="","",T337/(AU337/100))</f>
        <v/>
      </c>
      <c r="AW337" s="53">
        <f>IF(AU337="","",IF(AND(ABS(AH337)&gt;=0.1,ABS(T337)&gt;=0.05,SIGN(AH337)=SIGN(T337)),100*T337/AH337,""))</f>
        <v/>
      </c>
      <c r="AX337" s="45">
        <f>IF(AU337="","",T337-AV337)</f>
        <v/>
      </c>
      <c r="AY337" s="45">
        <f>IF(AU337="","",AH337-AV337)</f>
        <v/>
      </c>
      <c r="AZ337" s="54">
        <f>(AL337-AM337)-T337*AT337</f>
        <v/>
      </c>
      <c r="BA337" s="43">
        <f>IF(AU337="",0,(AH337-T337)*AF337)</f>
        <v/>
      </c>
      <c r="BB337" s="43">
        <f>IF(AU337="",0,T337*(AF337-AT337))</f>
        <v/>
      </c>
      <c r="BC337" s="51" t="n">
        <v>0.008206811653672548</v>
      </c>
      <c r="BD337" s="51" t="n">
        <v>0.4357816988100123</v>
      </c>
      <c r="BE337" s="51" t="n">
        <v>0.2081686429512516</v>
      </c>
      <c r="BF337" s="43" t="n">
        <v>2437</v>
      </c>
    </row>
    <row r="338">
      <c r="A338" s="42" t="inlineStr">
        <is>
          <t>KS</t>
        </is>
      </c>
      <c r="B338" s="42" t="inlineStr">
        <is>
          <t>20077</t>
        </is>
      </c>
      <c r="C338" s="42" t="inlineStr">
        <is>
          <t>Harper</t>
        </is>
      </c>
      <c r="D338" s="42" t="inlineStr">
        <is>
          <t>Small town &amp; rural</t>
        </is>
      </c>
      <c r="E338" s="42" t="inlineStr"/>
      <c r="F338" s="43" t="n">
        <v>437</v>
      </c>
      <c r="G338" s="43" t="n">
        <v>2072</v>
      </c>
      <c r="H338" s="43" t="n">
        <v>2555</v>
      </c>
      <c r="I338" s="43" t="n">
        <v>453</v>
      </c>
      <c r="J338" s="43" t="n">
        <v>2128</v>
      </c>
      <c r="K338" s="42" t="inlineStr">
        <is>
          <t>US Senate</t>
        </is>
      </c>
      <c r="L338" s="43" t="n">
        <v>248</v>
      </c>
      <c r="M338" s="43" t="n">
        <v>1665</v>
      </c>
      <c r="N338" s="43" t="n">
        <v>1973</v>
      </c>
      <c r="O338" s="44">
        <f>IFERROR((F338-G338)/(F338+G338),"")</f>
        <v/>
      </c>
      <c r="P338" s="44">
        <f>IFERROR((I338-J338)/(I338+J338),"")</f>
        <v/>
      </c>
      <c r="Q338" s="45">
        <f>IFERROR(O338-P338,"")</f>
        <v/>
      </c>
      <c r="R338" s="44">
        <f>IFERROR((L338-M338)/(L338+M338),"")</f>
        <v/>
      </c>
      <c r="S338" s="46">
        <f>H338/SUMIFS(Counties!$H$2:$H$1583,Counties!$A$2:$A$1583,$A338)</f>
        <v/>
      </c>
      <c r="T338" s="44">
        <f>O338+INDEX(Dashboard!$F$6:$F$22,MATCH($A338,Dashboard!$A$6:$A$22,0))</f>
        <v/>
      </c>
      <c r="U338" s="43">
        <f>AQ338*INDEX(Dashboard!$G$6:$G$22,MATCH($A338,Dashboard!$A$6:$A$22,0))</f>
        <v/>
      </c>
      <c r="V338" s="47" t="n"/>
      <c r="W338" s="47" t="n"/>
      <c r="X338" s="47" t="n"/>
      <c r="Y338" s="48" t="n"/>
      <c r="Z338" s="49" t="n"/>
      <c r="AA338" s="49" t="n"/>
      <c r="AB338" s="49" t="n"/>
      <c r="AC338" s="50" t="n"/>
      <c r="AD338" s="43">
        <f>IF(Z338&lt;&gt;"",Z338,N(V338))</f>
        <v/>
      </c>
      <c r="AE338" s="43">
        <f>IF(AA338&lt;&gt;"",AA338,N(W338))</f>
        <v/>
      </c>
      <c r="AF338" s="43">
        <f>AD338+AE338</f>
        <v/>
      </c>
      <c r="AG338" s="42">
        <f>IF(UPPER(AC338)="Y",1,IF(AF338=0,0,IF(AND(Z338="",Y338&lt;&gt;""),IF(Y338&gt;=0.999,1,0),IF(AF338&gt;=U338,1,0))))</f>
        <v/>
      </c>
      <c r="AH338" s="44">
        <f>IF(AF338&gt;0,(AD338-AE338)/AF338,"")</f>
        <v/>
      </c>
      <c r="AI338" s="45">
        <f>IF(AG338=1,AH338-O338,"")</f>
        <v/>
      </c>
      <c r="AJ338" s="44">
        <f>IF(AG338=1,AH338,MAX(-1,MIN(1,O338+INDEX(Types!$H:$H,MATCH($A338&amp;"|"&amp;$D338,Types!$A:$A,0)))))</f>
        <v/>
      </c>
      <c r="AK338" s="43">
        <f>IF(AG338=1,AF338,MAX(AQ338*AS338,AF338))</f>
        <v/>
      </c>
      <c r="AL338" s="43">
        <f>IF(AG338=1,AD338,AK338*(1+AJ338)/2)</f>
        <v/>
      </c>
      <c r="AM338" s="43">
        <f>IF(AG338=1,AE338,AK338*(1-AJ338)/2)</f>
        <v/>
      </c>
      <c r="AN338" s="45">
        <f>IF(AH338="","",AH338-T338)</f>
        <v/>
      </c>
      <c r="AO338" s="51">
        <f>IF(AG338=1,1,IF(U338&gt;0,MIN(AF338/U338,0.99),0))</f>
        <v/>
      </c>
      <c r="AP338" s="43">
        <f>IF(AG338=1,AI338*AF338,0)</f>
        <v/>
      </c>
      <c r="AQ338" s="43">
        <f>N338*(F338+G338)/H338</f>
        <v/>
      </c>
      <c r="AR338" s="43">
        <f>O338*AQ338</f>
        <v/>
      </c>
      <c r="AS338" s="52">
        <f>IF(AG338=1,IF(AQ338&gt;0,AF338/AQ338,1),IFERROR(INDEX(Types!$K:$K,MATCH($A338&amp;"|"&amp;$D338,Types!$A:$A,0)),INDEX(Dashboard!$X$6:$X$22,MATCH($A338,Dashboard!$A$6:$A$22,0))))</f>
        <v/>
      </c>
      <c r="AT338" s="43">
        <f>AQ338*INDEX(Dashboard!$Y$6:$Y$22,MATCH($A338,Dashboard!$A$6:$A$22,0))</f>
        <v/>
      </c>
      <c r="AU338" s="53">
        <f>IF(AND(AG338=1,AT338&gt;0,AF338&gt;0),100*AF338/AT338,"")</f>
        <v/>
      </c>
      <c r="AV338" s="44">
        <f>IF(AU338="","",T338/(AU338/100))</f>
        <v/>
      </c>
      <c r="AW338" s="53">
        <f>IF(AU338="","",IF(AND(ABS(AH338)&gt;=0.1,ABS(T338)&gt;=0.05,SIGN(AH338)=SIGN(T338)),100*T338/AH338,""))</f>
        <v/>
      </c>
      <c r="AX338" s="45">
        <f>IF(AU338="","",T338-AV338)</f>
        <v/>
      </c>
      <c r="AY338" s="45">
        <f>IF(AU338="","",AH338-AV338)</f>
        <v/>
      </c>
      <c r="AZ338" s="54">
        <f>(AL338-AM338)-T338*AT338</f>
        <v/>
      </c>
      <c r="BA338" s="43">
        <f>IF(AU338="",0,(AH338-T338)*AF338)</f>
        <v/>
      </c>
      <c r="BB338" s="43">
        <f>IF(AU338="",0,T338*(AF338-AT338))</f>
        <v/>
      </c>
      <c r="BC338" s="51" t="n">
        <v>0.00827966881324747</v>
      </c>
      <c r="BD338" s="51" t="n">
        <v>0.07948482060717571</v>
      </c>
      <c r="BE338" s="51" t="n">
        <v>0.2166938553561718</v>
      </c>
      <c r="BF338" s="43" t="n">
        <v>5435</v>
      </c>
    </row>
    <row r="339">
      <c r="A339" s="42" t="inlineStr">
        <is>
          <t>KS</t>
        </is>
      </c>
      <c r="B339" s="42" t="inlineStr">
        <is>
          <t>20079</t>
        </is>
      </c>
      <c r="C339" s="42" t="inlineStr">
        <is>
          <t>Harvey</t>
        </is>
      </c>
      <c r="D339" s="42" t="inlineStr">
        <is>
          <t>Small town &amp; rural</t>
        </is>
      </c>
      <c r="E339" s="42" t="inlineStr"/>
      <c r="F339" s="43" t="n">
        <v>6202</v>
      </c>
      <c r="G339" s="43" t="n">
        <v>9591</v>
      </c>
      <c r="H339" s="43" t="n">
        <v>16086</v>
      </c>
      <c r="I339" s="43" t="n">
        <v>6652</v>
      </c>
      <c r="J339" s="43" t="n">
        <v>10015</v>
      </c>
      <c r="K339" s="42" t="inlineStr">
        <is>
          <t>US Senate</t>
        </is>
      </c>
      <c r="L339" s="43" t="n">
        <v>4325</v>
      </c>
      <c r="M339" s="43" t="n">
        <v>8127</v>
      </c>
      <c r="N339" s="43" t="n">
        <v>12809</v>
      </c>
      <c r="O339" s="44">
        <f>IFERROR((F339-G339)/(F339+G339),"")</f>
        <v/>
      </c>
      <c r="P339" s="44">
        <f>IFERROR((I339-J339)/(I339+J339),"")</f>
        <v/>
      </c>
      <c r="Q339" s="45">
        <f>IFERROR(O339-P339,"")</f>
        <v/>
      </c>
      <c r="R339" s="44">
        <f>IFERROR((L339-M339)/(L339+M339),"")</f>
        <v/>
      </c>
      <c r="S339" s="46">
        <f>H339/SUMIFS(Counties!$H$2:$H$1583,Counties!$A$2:$A$1583,$A339)</f>
        <v/>
      </c>
      <c r="T339" s="44">
        <f>O339+INDEX(Dashboard!$F$6:$F$22,MATCH($A339,Dashboard!$A$6:$A$22,0))</f>
        <v/>
      </c>
      <c r="U339" s="43">
        <f>AQ339*INDEX(Dashboard!$G$6:$G$22,MATCH($A339,Dashboard!$A$6:$A$22,0))</f>
        <v/>
      </c>
      <c r="V339" s="47" t="n"/>
      <c r="W339" s="47" t="n"/>
      <c r="X339" s="47" t="n"/>
      <c r="Y339" s="48" t="n"/>
      <c r="Z339" s="49" t="n"/>
      <c r="AA339" s="49" t="n"/>
      <c r="AB339" s="49" t="n"/>
      <c r="AC339" s="50" t="n"/>
      <c r="AD339" s="43">
        <f>IF(Z339&lt;&gt;"",Z339,N(V339))</f>
        <v/>
      </c>
      <c r="AE339" s="43">
        <f>IF(AA339&lt;&gt;"",AA339,N(W339))</f>
        <v/>
      </c>
      <c r="AF339" s="43">
        <f>AD339+AE339</f>
        <v/>
      </c>
      <c r="AG339" s="42">
        <f>IF(UPPER(AC339)="Y",1,IF(AF339=0,0,IF(AND(Z339="",Y339&lt;&gt;""),IF(Y339&gt;=0.999,1,0),IF(AF339&gt;=U339,1,0))))</f>
        <v/>
      </c>
      <c r="AH339" s="44">
        <f>IF(AF339&gt;0,(AD339-AE339)/AF339,"")</f>
        <v/>
      </c>
      <c r="AI339" s="45">
        <f>IF(AG339=1,AH339-O339,"")</f>
        <v/>
      </c>
      <c r="AJ339" s="44">
        <f>IF(AG339=1,AH339,MAX(-1,MIN(1,O339+INDEX(Types!$H:$H,MATCH($A339&amp;"|"&amp;$D339,Types!$A:$A,0)))))</f>
        <v/>
      </c>
      <c r="AK339" s="43">
        <f>IF(AG339=1,AF339,MAX(AQ339*AS339,AF339))</f>
        <v/>
      </c>
      <c r="AL339" s="43">
        <f>IF(AG339=1,AD339,AK339*(1+AJ339)/2)</f>
        <v/>
      </c>
      <c r="AM339" s="43">
        <f>IF(AG339=1,AE339,AK339*(1-AJ339)/2)</f>
        <v/>
      </c>
      <c r="AN339" s="45">
        <f>IF(AH339="","",AH339-T339)</f>
        <v/>
      </c>
      <c r="AO339" s="51">
        <f>IF(AG339=1,1,IF(U339&gt;0,MIN(AF339/U339,0.99),0))</f>
        <v/>
      </c>
      <c r="AP339" s="43">
        <f>IF(AG339=1,AI339*AF339,0)</f>
        <v/>
      </c>
      <c r="AQ339" s="43">
        <f>N339*(F339+G339)/H339</f>
        <v/>
      </c>
      <c r="AR339" s="43">
        <f>O339*AQ339</f>
        <v/>
      </c>
      <c r="AS339" s="52">
        <f>IF(AG339=1,IF(AQ339&gt;0,AF339/AQ339,1),IFERROR(INDEX(Types!$K:$K,MATCH($A339&amp;"|"&amp;$D339,Types!$A:$A,0)),INDEX(Dashboard!$X$6:$X$22,MATCH($A339,Dashboard!$A$6:$A$22,0))))</f>
        <v/>
      </c>
      <c r="AT339" s="43">
        <f>AQ339*INDEX(Dashboard!$Y$6:$Y$22,MATCH($A339,Dashboard!$A$6:$A$22,0))</f>
        <v/>
      </c>
      <c r="AU339" s="53">
        <f>IF(AND(AG339=1,AT339&gt;0,AF339&gt;0),100*AF339/AT339,"")</f>
        <v/>
      </c>
      <c r="AV339" s="44">
        <f>IF(AU339="","",T339/(AU339/100))</f>
        <v/>
      </c>
      <c r="AW339" s="53">
        <f>IF(AU339="","",IF(AND(ABS(AH339)&gt;=0.1,ABS(T339)&gt;=0.05,SIGN(AH339)=SIGN(T339)),100*T339/AH339,""))</f>
        <v/>
      </c>
      <c r="AX339" s="45">
        <f>IF(AU339="","",T339-AV339)</f>
        <v/>
      </c>
      <c r="AY339" s="45">
        <f>IF(AU339="","",AH339-AV339)</f>
        <v/>
      </c>
      <c r="AZ339" s="54">
        <f>(AL339-AM339)-T339*AT339</f>
        <v/>
      </c>
      <c r="BA339" s="43">
        <f>IF(AU339="",0,(AH339-T339)*AF339)</f>
        <v/>
      </c>
      <c r="BB339" s="43">
        <f>IF(AU339="",0,T339*(AF339-AT339))</f>
        <v/>
      </c>
      <c r="BC339" s="51" t="n">
        <v>0.01581900668576886</v>
      </c>
      <c r="BD339" s="51" t="n">
        <v>0.1231494746895893</v>
      </c>
      <c r="BE339" s="51" t="n">
        <v>0.3148954895489549</v>
      </c>
      <c r="BF339" s="43" t="n">
        <v>33504</v>
      </c>
    </row>
    <row r="340">
      <c r="A340" s="42" t="inlineStr">
        <is>
          <t>KS</t>
        </is>
      </c>
      <c r="B340" s="42" t="inlineStr">
        <is>
          <t>20081</t>
        </is>
      </c>
      <c r="C340" s="42" t="inlineStr">
        <is>
          <t>Haskell</t>
        </is>
      </c>
      <c r="D340" s="42" t="inlineStr">
        <is>
          <t>Small town &amp; rural</t>
        </is>
      </c>
      <c r="E340" s="42" t="inlineStr"/>
      <c r="F340" s="43" t="n">
        <v>221</v>
      </c>
      <c r="G340" s="43" t="n">
        <v>1045</v>
      </c>
      <c r="H340" s="43" t="n">
        <v>1278</v>
      </c>
      <c r="I340" s="43" t="n">
        <v>261</v>
      </c>
      <c r="J340" s="43" t="n">
        <v>1103</v>
      </c>
      <c r="K340" s="42" t="inlineStr">
        <is>
          <t>US Senate</t>
        </is>
      </c>
      <c r="L340" s="43" t="n">
        <v>103</v>
      </c>
      <c r="M340" s="43" t="n">
        <v>862</v>
      </c>
      <c r="N340" s="43" t="n">
        <v>986</v>
      </c>
      <c r="O340" s="44">
        <f>IFERROR((F340-G340)/(F340+G340),"")</f>
        <v/>
      </c>
      <c r="P340" s="44">
        <f>IFERROR((I340-J340)/(I340+J340),"")</f>
        <v/>
      </c>
      <c r="Q340" s="45">
        <f>IFERROR(O340-P340,"")</f>
        <v/>
      </c>
      <c r="R340" s="44">
        <f>IFERROR((L340-M340)/(L340+M340),"")</f>
        <v/>
      </c>
      <c r="S340" s="46">
        <f>H340/SUMIFS(Counties!$H$2:$H$1583,Counties!$A$2:$A$1583,$A340)</f>
        <v/>
      </c>
      <c r="T340" s="44">
        <f>O340+INDEX(Dashboard!$F$6:$F$22,MATCH($A340,Dashboard!$A$6:$A$22,0))</f>
        <v/>
      </c>
      <c r="U340" s="43">
        <f>AQ340*INDEX(Dashboard!$G$6:$G$22,MATCH($A340,Dashboard!$A$6:$A$22,0))</f>
        <v/>
      </c>
      <c r="V340" s="47" t="n"/>
      <c r="W340" s="47" t="n"/>
      <c r="X340" s="47" t="n"/>
      <c r="Y340" s="48" t="n"/>
      <c r="Z340" s="49" t="n"/>
      <c r="AA340" s="49" t="n"/>
      <c r="AB340" s="49" t="n"/>
      <c r="AC340" s="50" t="n"/>
      <c r="AD340" s="43">
        <f>IF(Z340&lt;&gt;"",Z340,N(V340))</f>
        <v/>
      </c>
      <c r="AE340" s="43">
        <f>IF(AA340&lt;&gt;"",AA340,N(W340))</f>
        <v/>
      </c>
      <c r="AF340" s="43">
        <f>AD340+AE340</f>
        <v/>
      </c>
      <c r="AG340" s="42">
        <f>IF(UPPER(AC340)="Y",1,IF(AF340=0,0,IF(AND(Z340="",Y340&lt;&gt;""),IF(Y340&gt;=0.999,1,0),IF(AF340&gt;=U340,1,0))))</f>
        <v/>
      </c>
      <c r="AH340" s="44">
        <f>IF(AF340&gt;0,(AD340-AE340)/AF340,"")</f>
        <v/>
      </c>
      <c r="AI340" s="45">
        <f>IF(AG340=1,AH340-O340,"")</f>
        <v/>
      </c>
      <c r="AJ340" s="44">
        <f>IF(AG340=1,AH340,MAX(-1,MIN(1,O340+INDEX(Types!$H:$H,MATCH($A340&amp;"|"&amp;$D340,Types!$A:$A,0)))))</f>
        <v/>
      </c>
      <c r="AK340" s="43">
        <f>IF(AG340=1,AF340,MAX(AQ340*AS340,AF340))</f>
        <v/>
      </c>
      <c r="AL340" s="43">
        <f>IF(AG340=1,AD340,AK340*(1+AJ340)/2)</f>
        <v/>
      </c>
      <c r="AM340" s="43">
        <f>IF(AG340=1,AE340,AK340*(1-AJ340)/2)</f>
        <v/>
      </c>
      <c r="AN340" s="45">
        <f>IF(AH340="","",AH340-T340)</f>
        <v/>
      </c>
      <c r="AO340" s="51">
        <f>IF(AG340=1,1,IF(U340&gt;0,MIN(AF340/U340,0.99),0))</f>
        <v/>
      </c>
      <c r="AP340" s="43">
        <f>IF(AG340=1,AI340*AF340,0)</f>
        <v/>
      </c>
      <c r="AQ340" s="43">
        <f>N340*(F340+G340)/H340</f>
        <v/>
      </c>
      <c r="AR340" s="43">
        <f>O340*AQ340</f>
        <v/>
      </c>
      <c r="AS340" s="52">
        <f>IF(AG340=1,IF(AQ340&gt;0,AF340/AQ340,1),IFERROR(INDEX(Types!$K:$K,MATCH($A340&amp;"|"&amp;$D340,Types!$A:$A,0)),INDEX(Dashboard!$X$6:$X$22,MATCH($A340,Dashboard!$A$6:$A$22,0))))</f>
        <v/>
      </c>
      <c r="AT340" s="43">
        <f>AQ340*INDEX(Dashboard!$Y$6:$Y$22,MATCH($A340,Dashboard!$A$6:$A$22,0))</f>
        <v/>
      </c>
      <c r="AU340" s="53">
        <f>IF(AND(AG340=1,AT340&gt;0,AF340&gt;0),100*AF340/AT340,"")</f>
        <v/>
      </c>
      <c r="AV340" s="44">
        <f>IF(AU340="","",T340/(AU340/100))</f>
        <v/>
      </c>
      <c r="AW340" s="53">
        <f>IF(AU340="","",IF(AND(ABS(AH340)&gt;=0.1,ABS(T340)&gt;=0.05,SIGN(AH340)=SIGN(T340)),100*T340/AH340,""))</f>
        <v/>
      </c>
      <c r="AX340" s="45">
        <f>IF(AU340="","",T340-AV340)</f>
        <v/>
      </c>
      <c r="AY340" s="45">
        <f>IF(AU340="","",AH340-AV340)</f>
        <v/>
      </c>
      <c r="AZ340" s="54">
        <f>(AL340-AM340)-T340*AT340</f>
        <v/>
      </c>
      <c r="BA340" s="43">
        <f>IF(AU340="",0,(AH340-T340)*AF340)</f>
        <v/>
      </c>
      <c r="BB340" s="43">
        <f>IF(AU340="",0,T340*(AF340-AT340))</f>
        <v/>
      </c>
      <c r="BC340" s="51" t="n">
        <v>0.004132231404958678</v>
      </c>
      <c r="BD340" s="51" t="n">
        <v>0.3107438016528926</v>
      </c>
      <c r="BE340" s="51" t="n">
        <v>0.2221746575342466</v>
      </c>
      <c r="BF340" s="43" t="n">
        <v>3630</v>
      </c>
    </row>
    <row r="341">
      <c r="A341" s="42" t="inlineStr">
        <is>
          <t>KS</t>
        </is>
      </c>
      <c r="B341" s="42" t="inlineStr">
        <is>
          <t>20083</t>
        </is>
      </c>
      <c r="C341" s="42" t="inlineStr">
        <is>
          <t>Hodgeman</t>
        </is>
      </c>
      <c r="D341" s="42" t="inlineStr">
        <is>
          <t>Small town &amp; rural</t>
        </is>
      </c>
      <c r="E341" s="42" t="inlineStr"/>
      <c r="F341" s="43" t="n">
        <v>136</v>
      </c>
      <c r="G341" s="43" t="n">
        <v>817</v>
      </c>
      <c r="H341" s="43" t="n">
        <v>966</v>
      </c>
      <c r="I341" s="43" t="n">
        <v>151</v>
      </c>
      <c r="J341" s="43" t="n">
        <v>866</v>
      </c>
      <c r="K341" s="42" t="inlineStr">
        <is>
          <t>US Senate</t>
        </is>
      </c>
      <c r="L341" s="43" t="n">
        <v>78</v>
      </c>
      <c r="M341" s="43" t="n">
        <v>700</v>
      </c>
      <c r="N341" s="43" t="n">
        <v>794</v>
      </c>
      <c r="O341" s="44">
        <f>IFERROR((F341-G341)/(F341+G341),"")</f>
        <v/>
      </c>
      <c r="P341" s="44">
        <f>IFERROR((I341-J341)/(I341+J341),"")</f>
        <v/>
      </c>
      <c r="Q341" s="45">
        <f>IFERROR(O341-P341,"")</f>
        <v/>
      </c>
      <c r="R341" s="44">
        <f>IFERROR((L341-M341)/(L341+M341),"")</f>
        <v/>
      </c>
      <c r="S341" s="46">
        <f>H341/SUMIFS(Counties!$H$2:$H$1583,Counties!$A$2:$A$1583,$A341)</f>
        <v/>
      </c>
      <c r="T341" s="44">
        <f>O341+INDEX(Dashboard!$F$6:$F$22,MATCH($A341,Dashboard!$A$6:$A$22,0))</f>
        <v/>
      </c>
      <c r="U341" s="43">
        <f>AQ341*INDEX(Dashboard!$G$6:$G$22,MATCH($A341,Dashboard!$A$6:$A$22,0))</f>
        <v/>
      </c>
      <c r="V341" s="47" t="n"/>
      <c r="W341" s="47" t="n"/>
      <c r="X341" s="47" t="n"/>
      <c r="Y341" s="48" t="n"/>
      <c r="Z341" s="49" t="n"/>
      <c r="AA341" s="49" t="n"/>
      <c r="AB341" s="49" t="n"/>
      <c r="AC341" s="50" t="n"/>
      <c r="AD341" s="43">
        <f>IF(Z341&lt;&gt;"",Z341,N(V341))</f>
        <v/>
      </c>
      <c r="AE341" s="43">
        <f>IF(AA341&lt;&gt;"",AA341,N(W341))</f>
        <v/>
      </c>
      <c r="AF341" s="43">
        <f>AD341+AE341</f>
        <v/>
      </c>
      <c r="AG341" s="42">
        <f>IF(UPPER(AC341)="Y",1,IF(AF341=0,0,IF(AND(Z341="",Y341&lt;&gt;""),IF(Y341&gt;=0.999,1,0),IF(AF341&gt;=U341,1,0))))</f>
        <v/>
      </c>
      <c r="AH341" s="44">
        <f>IF(AF341&gt;0,(AD341-AE341)/AF341,"")</f>
        <v/>
      </c>
      <c r="AI341" s="45">
        <f>IF(AG341=1,AH341-O341,"")</f>
        <v/>
      </c>
      <c r="AJ341" s="44">
        <f>IF(AG341=1,AH341,MAX(-1,MIN(1,O341+INDEX(Types!$H:$H,MATCH($A341&amp;"|"&amp;$D341,Types!$A:$A,0)))))</f>
        <v/>
      </c>
      <c r="AK341" s="43">
        <f>IF(AG341=1,AF341,MAX(AQ341*AS341,AF341))</f>
        <v/>
      </c>
      <c r="AL341" s="43">
        <f>IF(AG341=1,AD341,AK341*(1+AJ341)/2)</f>
        <v/>
      </c>
      <c r="AM341" s="43">
        <f>IF(AG341=1,AE341,AK341*(1-AJ341)/2)</f>
        <v/>
      </c>
      <c r="AN341" s="45">
        <f>IF(AH341="","",AH341-T341)</f>
        <v/>
      </c>
      <c r="AO341" s="51">
        <f>IF(AG341=1,1,IF(U341&gt;0,MIN(AF341/U341,0.99),0))</f>
        <v/>
      </c>
      <c r="AP341" s="43">
        <f>IF(AG341=1,AI341*AF341,0)</f>
        <v/>
      </c>
      <c r="AQ341" s="43">
        <f>N341*(F341+G341)/H341</f>
        <v/>
      </c>
      <c r="AR341" s="43">
        <f>O341*AQ341</f>
        <v/>
      </c>
      <c r="AS341" s="52">
        <f>IF(AG341=1,IF(AQ341&gt;0,AF341/AQ341,1),IFERROR(INDEX(Types!$K:$K,MATCH($A341&amp;"|"&amp;$D341,Types!$A:$A,0)),INDEX(Dashboard!$X$6:$X$22,MATCH($A341,Dashboard!$A$6:$A$22,0))))</f>
        <v/>
      </c>
      <c r="AT341" s="43">
        <f>AQ341*INDEX(Dashboard!$Y$6:$Y$22,MATCH($A341,Dashboard!$A$6:$A$22,0))</f>
        <v/>
      </c>
      <c r="AU341" s="53">
        <f>IF(AND(AG341=1,AT341&gt;0,AF341&gt;0),100*AF341/AT341,"")</f>
        <v/>
      </c>
      <c r="AV341" s="44">
        <f>IF(AU341="","",T341/(AU341/100))</f>
        <v/>
      </c>
      <c r="AW341" s="53">
        <f>IF(AU341="","",IF(AND(ABS(AH341)&gt;=0.1,ABS(T341)&gt;=0.05,SIGN(AH341)=SIGN(T341)),100*T341/AH341,""))</f>
        <v/>
      </c>
      <c r="AX341" s="45">
        <f>IF(AU341="","",T341-AV341)</f>
        <v/>
      </c>
      <c r="AY341" s="45">
        <f>IF(AU341="","",AH341-AV341)</f>
        <v/>
      </c>
      <c r="AZ341" s="54">
        <f>(AL341-AM341)-T341*AT341</f>
        <v/>
      </c>
      <c r="BA341" s="43">
        <f>IF(AU341="",0,(AH341-T341)*AF341)</f>
        <v/>
      </c>
      <c r="BB341" s="43">
        <f>IF(AU341="",0,T341*(AF341-AT341))</f>
        <v/>
      </c>
      <c r="BC341" s="51" t="n">
        <v>0.02235649546827794</v>
      </c>
      <c r="BD341" s="51" t="n">
        <v>0.08761329305135952</v>
      </c>
      <c r="BE341" s="51" t="n">
        <v>0.283982683982684</v>
      </c>
      <c r="BF341" s="43" t="n">
        <v>1655</v>
      </c>
    </row>
    <row r="342">
      <c r="A342" s="42" t="inlineStr">
        <is>
          <t>KS</t>
        </is>
      </c>
      <c r="B342" s="42" t="inlineStr">
        <is>
          <t>20085</t>
        </is>
      </c>
      <c r="C342" s="42" t="inlineStr">
        <is>
          <t>Jackson</t>
        </is>
      </c>
      <c r="D342" s="42" t="inlineStr">
        <is>
          <t>Small town &amp; rural</t>
        </is>
      </c>
      <c r="E342" s="42" t="inlineStr"/>
      <c r="F342" s="43" t="n">
        <v>1799</v>
      </c>
      <c r="G342" s="43" t="n">
        <v>4557</v>
      </c>
      <c r="H342" s="43" t="n">
        <v>6474</v>
      </c>
      <c r="I342" s="43" t="n">
        <v>1852</v>
      </c>
      <c r="J342" s="43" t="n">
        <v>4435</v>
      </c>
      <c r="K342" s="42" t="inlineStr">
        <is>
          <t>US Senate</t>
        </is>
      </c>
      <c r="L342" s="43" t="n">
        <v>1122</v>
      </c>
      <c r="M342" s="43" t="n">
        <v>3791</v>
      </c>
      <c r="N342" s="43" t="n">
        <v>5105</v>
      </c>
      <c r="O342" s="44">
        <f>IFERROR((F342-G342)/(F342+G342),"")</f>
        <v/>
      </c>
      <c r="P342" s="44">
        <f>IFERROR((I342-J342)/(I342+J342),"")</f>
        <v/>
      </c>
      <c r="Q342" s="45">
        <f>IFERROR(O342-P342,"")</f>
        <v/>
      </c>
      <c r="R342" s="44">
        <f>IFERROR((L342-M342)/(L342+M342),"")</f>
        <v/>
      </c>
      <c r="S342" s="46">
        <f>H342/SUMIFS(Counties!$H$2:$H$1583,Counties!$A$2:$A$1583,$A342)</f>
        <v/>
      </c>
      <c r="T342" s="44">
        <f>O342+INDEX(Dashboard!$F$6:$F$22,MATCH($A342,Dashboard!$A$6:$A$22,0))</f>
        <v/>
      </c>
      <c r="U342" s="43">
        <f>AQ342*INDEX(Dashboard!$G$6:$G$22,MATCH($A342,Dashboard!$A$6:$A$22,0))</f>
        <v/>
      </c>
      <c r="V342" s="47" t="n"/>
      <c r="W342" s="47" t="n"/>
      <c r="X342" s="47" t="n"/>
      <c r="Y342" s="48" t="n"/>
      <c r="Z342" s="49" t="n"/>
      <c r="AA342" s="49" t="n"/>
      <c r="AB342" s="49" t="n"/>
      <c r="AC342" s="50" t="n"/>
      <c r="AD342" s="43">
        <f>IF(Z342&lt;&gt;"",Z342,N(V342))</f>
        <v/>
      </c>
      <c r="AE342" s="43">
        <f>IF(AA342&lt;&gt;"",AA342,N(W342))</f>
        <v/>
      </c>
      <c r="AF342" s="43">
        <f>AD342+AE342</f>
        <v/>
      </c>
      <c r="AG342" s="42">
        <f>IF(UPPER(AC342)="Y",1,IF(AF342=0,0,IF(AND(Z342="",Y342&lt;&gt;""),IF(Y342&gt;=0.999,1,0),IF(AF342&gt;=U342,1,0))))</f>
        <v/>
      </c>
      <c r="AH342" s="44">
        <f>IF(AF342&gt;0,(AD342-AE342)/AF342,"")</f>
        <v/>
      </c>
      <c r="AI342" s="45">
        <f>IF(AG342=1,AH342-O342,"")</f>
        <v/>
      </c>
      <c r="AJ342" s="44">
        <f>IF(AG342=1,AH342,MAX(-1,MIN(1,O342+INDEX(Types!$H:$H,MATCH($A342&amp;"|"&amp;$D342,Types!$A:$A,0)))))</f>
        <v/>
      </c>
      <c r="AK342" s="43">
        <f>IF(AG342=1,AF342,MAX(AQ342*AS342,AF342))</f>
        <v/>
      </c>
      <c r="AL342" s="43">
        <f>IF(AG342=1,AD342,AK342*(1+AJ342)/2)</f>
        <v/>
      </c>
      <c r="AM342" s="43">
        <f>IF(AG342=1,AE342,AK342*(1-AJ342)/2)</f>
        <v/>
      </c>
      <c r="AN342" s="45">
        <f>IF(AH342="","",AH342-T342)</f>
        <v/>
      </c>
      <c r="AO342" s="51">
        <f>IF(AG342=1,1,IF(U342&gt;0,MIN(AF342/U342,0.99),0))</f>
        <v/>
      </c>
      <c r="AP342" s="43">
        <f>IF(AG342=1,AI342*AF342,0)</f>
        <v/>
      </c>
      <c r="AQ342" s="43">
        <f>N342*(F342+G342)/H342</f>
        <v/>
      </c>
      <c r="AR342" s="43">
        <f>O342*AQ342</f>
        <v/>
      </c>
      <c r="AS342" s="52">
        <f>IF(AG342=1,IF(AQ342&gt;0,AF342/AQ342,1),IFERROR(INDEX(Types!$K:$K,MATCH($A342&amp;"|"&amp;$D342,Types!$A:$A,0)),INDEX(Dashboard!$X$6:$X$22,MATCH($A342,Dashboard!$A$6:$A$22,0))))</f>
        <v/>
      </c>
      <c r="AT342" s="43">
        <f>AQ342*INDEX(Dashboard!$Y$6:$Y$22,MATCH($A342,Dashboard!$A$6:$A$22,0))</f>
        <v/>
      </c>
      <c r="AU342" s="53">
        <f>IF(AND(AG342=1,AT342&gt;0,AF342&gt;0),100*AF342/AT342,"")</f>
        <v/>
      </c>
      <c r="AV342" s="44">
        <f>IF(AU342="","",T342/(AU342/100))</f>
        <v/>
      </c>
      <c r="AW342" s="53">
        <f>IF(AU342="","",IF(AND(ABS(AH342)&gt;=0.1,ABS(T342)&gt;=0.05,SIGN(AH342)=SIGN(T342)),100*T342/AH342,""))</f>
        <v/>
      </c>
      <c r="AX342" s="45">
        <f>IF(AU342="","",T342-AV342)</f>
        <v/>
      </c>
      <c r="AY342" s="45">
        <f>IF(AU342="","",AH342-AV342)</f>
        <v/>
      </c>
      <c r="AZ342" s="54">
        <f>(AL342-AM342)-T342*AT342</f>
        <v/>
      </c>
      <c r="BA342" s="43">
        <f>IF(AU342="",0,(AH342-T342)*AF342)</f>
        <v/>
      </c>
      <c r="BB342" s="43">
        <f>IF(AU342="",0,T342*(AF342-AT342))</f>
        <v/>
      </c>
      <c r="BC342" s="51" t="n">
        <v>0.009949132256134051</v>
      </c>
      <c r="BD342" s="51" t="n">
        <v>0.05947037701974865</v>
      </c>
      <c r="BE342" s="51" t="n">
        <v>0.2102512786301979</v>
      </c>
      <c r="BF342" s="43" t="n">
        <v>13368</v>
      </c>
    </row>
    <row r="343">
      <c r="A343" s="42" t="inlineStr">
        <is>
          <t>KS</t>
        </is>
      </c>
      <c r="B343" s="42" t="inlineStr">
        <is>
          <t>20087</t>
        </is>
      </c>
      <c r="C343" s="42" t="inlineStr">
        <is>
          <t>Jefferson</t>
        </is>
      </c>
      <c r="D343" s="42" t="inlineStr">
        <is>
          <t>Small town &amp; rural</t>
        </is>
      </c>
      <c r="E343" s="42" t="inlineStr"/>
      <c r="F343" s="43" t="n">
        <v>3030</v>
      </c>
      <c r="G343" s="43" t="n">
        <v>6694</v>
      </c>
      <c r="H343" s="43" t="n">
        <v>9927</v>
      </c>
      <c r="I343" s="43" t="n">
        <v>3106</v>
      </c>
      <c r="J343" s="43" t="n">
        <v>6193</v>
      </c>
      <c r="K343" s="42" t="inlineStr">
        <is>
          <t>US Senate</t>
        </is>
      </c>
      <c r="L343" s="43" t="n">
        <v>2160</v>
      </c>
      <c r="M343" s="43" t="n">
        <v>5208</v>
      </c>
      <c r="N343" s="43" t="n">
        <v>7594</v>
      </c>
      <c r="O343" s="44">
        <f>IFERROR((F343-G343)/(F343+G343),"")</f>
        <v/>
      </c>
      <c r="P343" s="44">
        <f>IFERROR((I343-J343)/(I343+J343),"")</f>
        <v/>
      </c>
      <c r="Q343" s="45">
        <f>IFERROR(O343-P343,"")</f>
        <v/>
      </c>
      <c r="R343" s="44">
        <f>IFERROR((L343-M343)/(L343+M343),"")</f>
        <v/>
      </c>
      <c r="S343" s="46">
        <f>H343/SUMIFS(Counties!$H$2:$H$1583,Counties!$A$2:$A$1583,$A343)</f>
        <v/>
      </c>
      <c r="T343" s="44">
        <f>O343+INDEX(Dashboard!$F$6:$F$22,MATCH($A343,Dashboard!$A$6:$A$22,0))</f>
        <v/>
      </c>
      <c r="U343" s="43">
        <f>AQ343*INDEX(Dashboard!$G$6:$G$22,MATCH($A343,Dashboard!$A$6:$A$22,0))</f>
        <v/>
      </c>
      <c r="V343" s="47" t="n"/>
      <c r="W343" s="47" t="n"/>
      <c r="X343" s="47" t="n"/>
      <c r="Y343" s="48" t="n"/>
      <c r="Z343" s="49" t="n"/>
      <c r="AA343" s="49" t="n"/>
      <c r="AB343" s="49" t="n"/>
      <c r="AC343" s="50" t="n"/>
      <c r="AD343" s="43">
        <f>IF(Z343&lt;&gt;"",Z343,N(V343))</f>
        <v/>
      </c>
      <c r="AE343" s="43">
        <f>IF(AA343&lt;&gt;"",AA343,N(W343))</f>
        <v/>
      </c>
      <c r="AF343" s="43">
        <f>AD343+AE343</f>
        <v/>
      </c>
      <c r="AG343" s="42">
        <f>IF(UPPER(AC343)="Y",1,IF(AF343=0,0,IF(AND(Z343="",Y343&lt;&gt;""),IF(Y343&gt;=0.999,1,0),IF(AF343&gt;=U343,1,0))))</f>
        <v/>
      </c>
      <c r="AH343" s="44">
        <f>IF(AF343&gt;0,(AD343-AE343)/AF343,"")</f>
        <v/>
      </c>
      <c r="AI343" s="45">
        <f>IF(AG343=1,AH343-O343,"")</f>
        <v/>
      </c>
      <c r="AJ343" s="44">
        <f>IF(AG343=1,AH343,MAX(-1,MIN(1,O343+INDEX(Types!$H:$H,MATCH($A343&amp;"|"&amp;$D343,Types!$A:$A,0)))))</f>
        <v/>
      </c>
      <c r="AK343" s="43">
        <f>IF(AG343=1,AF343,MAX(AQ343*AS343,AF343))</f>
        <v/>
      </c>
      <c r="AL343" s="43">
        <f>IF(AG343=1,AD343,AK343*(1+AJ343)/2)</f>
        <v/>
      </c>
      <c r="AM343" s="43">
        <f>IF(AG343=1,AE343,AK343*(1-AJ343)/2)</f>
        <v/>
      </c>
      <c r="AN343" s="45">
        <f>IF(AH343="","",AH343-T343)</f>
        <v/>
      </c>
      <c r="AO343" s="51">
        <f>IF(AG343=1,1,IF(U343&gt;0,MIN(AF343/U343,0.99),0))</f>
        <v/>
      </c>
      <c r="AP343" s="43">
        <f>IF(AG343=1,AI343*AF343,0)</f>
        <v/>
      </c>
      <c r="AQ343" s="43">
        <f>N343*(F343+G343)/H343</f>
        <v/>
      </c>
      <c r="AR343" s="43">
        <f>O343*AQ343</f>
        <v/>
      </c>
      <c r="AS343" s="52">
        <f>IF(AG343=1,IF(AQ343&gt;0,AF343/AQ343,1),IFERROR(INDEX(Types!$K:$K,MATCH($A343&amp;"|"&amp;$D343,Types!$A:$A,0)),INDEX(Dashboard!$X$6:$X$22,MATCH($A343,Dashboard!$A$6:$A$22,0))))</f>
        <v/>
      </c>
      <c r="AT343" s="43">
        <f>AQ343*INDEX(Dashboard!$Y$6:$Y$22,MATCH($A343,Dashboard!$A$6:$A$22,0))</f>
        <v/>
      </c>
      <c r="AU343" s="53">
        <f>IF(AND(AG343=1,AT343&gt;0,AF343&gt;0),100*AF343/AT343,"")</f>
        <v/>
      </c>
      <c r="AV343" s="44">
        <f>IF(AU343="","",T343/(AU343/100))</f>
        <v/>
      </c>
      <c r="AW343" s="53">
        <f>IF(AU343="","",IF(AND(ABS(AH343)&gt;=0.1,ABS(T343)&gt;=0.05,SIGN(AH343)=SIGN(T343)),100*T343/AH343,""))</f>
        <v/>
      </c>
      <c r="AX343" s="45">
        <f>IF(AU343="","",T343-AV343)</f>
        <v/>
      </c>
      <c r="AY343" s="45">
        <f>IF(AU343="","",AH343-AV343)</f>
        <v/>
      </c>
      <c r="AZ343" s="54">
        <f>(AL343-AM343)-T343*AT343</f>
        <v/>
      </c>
      <c r="BA343" s="43">
        <f>IF(AU343="",0,(AH343-T343)*AF343)</f>
        <v/>
      </c>
      <c r="BB343" s="43">
        <f>IF(AU343="",0,T343*(AF343-AT343))</f>
        <v/>
      </c>
      <c r="BC343" s="51" t="n">
        <v>0.008130081300813009</v>
      </c>
      <c r="BD343" s="51" t="n">
        <v>0.03628526218148088</v>
      </c>
      <c r="BE343" s="51" t="n">
        <v>0.2456382001836547</v>
      </c>
      <c r="BF343" s="43" t="n">
        <v>18327</v>
      </c>
    </row>
    <row r="344">
      <c r="A344" s="42" t="inlineStr">
        <is>
          <t>KS</t>
        </is>
      </c>
      <c r="B344" s="42" t="inlineStr">
        <is>
          <t>20089</t>
        </is>
      </c>
      <c r="C344" s="42" t="inlineStr">
        <is>
          <t>Jewell</t>
        </is>
      </c>
      <c r="D344" s="42" t="inlineStr">
        <is>
          <t>Small town &amp; rural</t>
        </is>
      </c>
      <c r="E344" s="42" t="inlineStr"/>
      <c r="F344" s="43" t="n">
        <v>176</v>
      </c>
      <c r="G344" s="43" t="n">
        <v>1370</v>
      </c>
      <c r="H344" s="43" t="n">
        <v>1574</v>
      </c>
      <c r="I344" s="43" t="n">
        <v>211</v>
      </c>
      <c r="J344" s="43" t="n">
        <v>1369</v>
      </c>
      <c r="K344" s="42" t="inlineStr">
        <is>
          <t>US Senate</t>
        </is>
      </c>
      <c r="L344" s="43" t="n">
        <v>117</v>
      </c>
      <c r="M344" s="43" t="n">
        <v>1055</v>
      </c>
      <c r="N344" s="43" t="n">
        <v>1205</v>
      </c>
      <c r="O344" s="44">
        <f>IFERROR((F344-G344)/(F344+G344),"")</f>
        <v/>
      </c>
      <c r="P344" s="44">
        <f>IFERROR((I344-J344)/(I344+J344),"")</f>
        <v/>
      </c>
      <c r="Q344" s="45">
        <f>IFERROR(O344-P344,"")</f>
        <v/>
      </c>
      <c r="R344" s="44">
        <f>IFERROR((L344-M344)/(L344+M344),"")</f>
        <v/>
      </c>
      <c r="S344" s="46">
        <f>H344/SUMIFS(Counties!$H$2:$H$1583,Counties!$A$2:$A$1583,$A344)</f>
        <v/>
      </c>
      <c r="T344" s="44">
        <f>O344+INDEX(Dashboard!$F$6:$F$22,MATCH($A344,Dashboard!$A$6:$A$22,0))</f>
        <v/>
      </c>
      <c r="U344" s="43">
        <f>AQ344*INDEX(Dashboard!$G$6:$G$22,MATCH($A344,Dashboard!$A$6:$A$22,0))</f>
        <v/>
      </c>
      <c r="V344" s="47" t="n"/>
      <c r="W344" s="47" t="n"/>
      <c r="X344" s="47" t="n"/>
      <c r="Y344" s="48" t="n"/>
      <c r="Z344" s="49" t="n"/>
      <c r="AA344" s="49" t="n"/>
      <c r="AB344" s="49" t="n"/>
      <c r="AC344" s="50" t="n"/>
      <c r="AD344" s="43">
        <f>IF(Z344&lt;&gt;"",Z344,N(V344))</f>
        <v/>
      </c>
      <c r="AE344" s="43">
        <f>IF(AA344&lt;&gt;"",AA344,N(W344))</f>
        <v/>
      </c>
      <c r="AF344" s="43">
        <f>AD344+AE344</f>
        <v/>
      </c>
      <c r="AG344" s="42">
        <f>IF(UPPER(AC344)="Y",1,IF(AF344=0,0,IF(AND(Z344="",Y344&lt;&gt;""),IF(Y344&gt;=0.999,1,0),IF(AF344&gt;=U344,1,0))))</f>
        <v/>
      </c>
      <c r="AH344" s="44">
        <f>IF(AF344&gt;0,(AD344-AE344)/AF344,"")</f>
        <v/>
      </c>
      <c r="AI344" s="45">
        <f>IF(AG344=1,AH344-O344,"")</f>
        <v/>
      </c>
      <c r="AJ344" s="44">
        <f>IF(AG344=1,AH344,MAX(-1,MIN(1,O344+INDEX(Types!$H:$H,MATCH($A344&amp;"|"&amp;$D344,Types!$A:$A,0)))))</f>
        <v/>
      </c>
      <c r="AK344" s="43">
        <f>IF(AG344=1,AF344,MAX(AQ344*AS344,AF344))</f>
        <v/>
      </c>
      <c r="AL344" s="43">
        <f>IF(AG344=1,AD344,AK344*(1+AJ344)/2)</f>
        <v/>
      </c>
      <c r="AM344" s="43">
        <f>IF(AG344=1,AE344,AK344*(1-AJ344)/2)</f>
        <v/>
      </c>
      <c r="AN344" s="45">
        <f>IF(AH344="","",AH344-T344)</f>
        <v/>
      </c>
      <c r="AO344" s="51">
        <f>IF(AG344=1,1,IF(U344&gt;0,MIN(AF344/U344,0.99),0))</f>
        <v/>
      </c>
      <c r="AP344" s="43">
        <f>IF(AG344=1,AI344*AF344,0)</f>
        <v/>
      </c>
      <c r="AQ344" s="43">
        <f>N344*(F344+G344)/H344</f>
        <v/>
      </c>
      <c r="AR344" s="43">
        <f>O344*AQ344</f>
        <v/>
      </c>
      <c r="AS344" s="52">
        <f>IF(AG344=1,IF(AQ344&gt;0,AF344/AQ344,1),IFERROR(INDEX(Types!$K:$K,MATCH($A344&amp;"|"&amp;$D344,Types!$A:$A,0)),INDEX(Dashboard!$X$6:$X$22,MATCH($A344,Dashboard!$A$6:$A$22,0))))</f>
        <v/>
      </c>
      <c r="AT344" s="43">
        <f>AQ344*INDEX(Dashboard!$Y$6:$Y$22,MATCH($A344,Dashboard!$A$6:$A$22,0))</f>
        <v/>
      </c>
      <c r="AU344" s="53">
        <f>IF(AND(AG344=1,AT344&gt;0,AF344&gt;0),100*AF344/AT344,"")</f>
        <v/>
      </c>
      <c r="AV344" s="44">
        <f>IF(AU344="","",T344/(AU344/100))</f>
        <v/>
      </c>
      <c r="AW344" s="53">
        <f>IF(AU344="","",IF(AND(ABS(AH344)&gt;=0.1,ABS(T344)&gt;=0.05,SIGN(AH344)=SIGN(T344)),100*T344/AH344,""))</f>
        <v/>
      </c>
      <c r="AX344" s="45">
        <f>IF(AU344="","",T344-AV344)</f>
        <v/>
      </c>
      <c r="AY344" s="45">
        <f>IF(AU344="","",AH344-AV344)</f>
        <v/>
      </c>
      <c r="AZ344" s="54">
        <f>(AL344-AM344)-T344*AT344</f>
        <v/>
      </c>
      <c r="BA344" s="43">
        <f>IF(AU344="",0,(AH344-T344)*AF344)</f>
        <v/>
      </c>
      <c r="BB344" s="43">
        <f>IF(AU344="",0,T344*(AF344-AT344))</f>
        <v/>
      </c>
      <c r="BC344" s="51" t="n">
        <v>0.004917456972251493</v>
      </c>
      <c r="BD344" s="51" t="n">
        <v>0.0319634703196347</v>
      </c>
      <c r="BE344" s="51" t="n">
        <v>0.1882086167800454</v>
      </c>
      <c r="BF344" s="43" t="n">
        <v>2847</v>
      </c>
    </row>
    <row r="345">
      <c r="A345" s="42" t="inlineStr">
        <is>
          <t>KS</t>
        </is>
      </c>
      <c r="B345" s="42" t="inlineStr">
        <is>
          <t>20091</t>
        </is>
      </c>
      <c r="C345" s="42" t="inlineStr">
        <is>
          <t>Johnson</t>
        </is>
      </c>
      <c r="D345" s="42" t="inlineStr">
        <is>
          <t>College suburb/metro</t>
        </is>
      </c>
      <c r="E345" s="42" t="inlineStr">
        <is>
          <t>★</t>
        </is>
      </c>
      <c r="F345" s="43" t="n">
        <v>183451</v>
      </c>
      <c r="G345" s="43" t="n">
        <v>154247</v>
      </c>
      <c r="H345" s="43" t="n">
        <v>343780</v>
      </c>
      <c r="I345" s="43" t="n">
        <v>184259</v>
      </c>
      <c r="J345" s="43" t="n">
        <v>155631</v>
      </c>
      <c r="K345" s="42" t="inlineStr">
        <is>
          <t>US Senate</t>
        </is>
      </c>
      <c r="L345" s="43" t="n">
        <v>129199</v>
      </c>
      <c r="M345" s="43" t="n">
        <v>125715</v>
      </c>
      <c r="N345" s="43" t="n">
        <v>262051</v>
      </c>
      <c r="O345" s="44">
        <f>IFERROR((F345-G345)/(F345+G345),"")</f>
        <v/>
      </c>
      <c r="P345" s="44">
        <f>IFERROR((I345-J345)/(I345+J345),"")</f>
        <v/>
      </c>
      <c r="Q345" s="45">
        <f>IFERROR(O345-P345,"")</f>
        <v/>
      </c>
      <c r="R345" s="44">
        <f>IFERROR((L345-M345)/(L345+M345),"")</f>
        <v/>
      </c>
      <c r="S345" s="46">
        <f>H345/SUMIFS(Counties!$H$2:$H$1583,Counties!$A$2:$A$1583,$A345)</f>
        <v/>
      </c>
      <c r="T345" s="44">
        <f>O345+INDEX(Dashboard!$F$6:$F$22,MATCH($A345,Dashboard!$A$6:$A$22,0))</f>
        <v/>
      </c>
      <c r="U345" s="43">
        <f>AQ345*INDEX(Dashboard!$G$6:$G$22,MATCH($A345,Dashboard!$A$6:$A$22,0))</f>
        <v/>
      </c>
      <c r="V345" s="47" t="n"/>
      <c r="W345" s="47" t="n"/>
      <c r="X345" s="47" t="n"/>
      <c r="Y345" s="48" t="n"/>
      <c r="Z345" s="49" t="n"/>
      <c r="AA345" s="49" t="n"/>
      <c r="AB345" s="49" t="n"/>
      <c r="AC345" s="50" t="n"/>
      <c r="AD345" s="43">
        <f>IF(Z345&lt;&gt;"",Z345,N(V345))</f>
        <v/>
      </c>
      <c r="AE345" s="43">
        <f>IF(AA345&lt;&gt;"",AA345,N(W345))</f>
        <v/>
      </c>
      <c r="AF345" s="43">
        <f>AD345+AE345</f>
        <v/>
      </c>
      <c r="AG345" s="42">
        <f>IF(UPPER(AC345)="Y",1,IF(AF345=0,0,IF(AND(Z345="",Y345&lt;&gt;""),IF(Y345&gt;=0.999,1,0),IF(AF345&gt;=U345,1,0))))</f>
        <v/>
      </c>
      <c r="AH345" s="44">
        <f>IF(AF345&gt;0,(AD345-AE345)/AF345,"")</f>
        <v/>
      </c>
      <c r="AI345" s="45">
        <f>IF(AG345=1,AH345-O345,"")</f>
        <v/>
      </c>
      <c r="AJ345" s="44">
        <f>IF(AG345=1,AH345,MAX(-1,MIN(1,O345+INDEX(Types!$H:$H,MATCH($A345&amp;"|"&amp;$D345,Types!$A:$A,0)))))</f>
        <v/>
      </c>
      <c r="AK345" s="43">
        <f>IF(AG345=1,AF345,MAX(AQ345*AS345,AF345))</f>
        <v/>
      </c>
      <c r="AL345" s="43">
        <f>IF(AG345=1,AD345,AK345*(1+AJ345)/2)</f>
        <v/>
      </c>
      <c r="AM345" s="43">
        <f>IF(AG345=1,AE345,AK345*(1-AJ345)/2)</f>
        <v/>
      </c>
      <c r="AN345" s="45">
        <f>IF(AH345="","",AH345-T345)</f>
        <v/>
      </c>
      <c r="AO345" s="51">
        <f>IF(AG345=1,1,IF(U345&gt;0,MIN(AF345/U345,0.99),0))</f>
        <v/>
      </c>
      <c r="AP345" s="43">
        <f>IF(AG345=1,AI345*AF345,0)</f>
        <v/>
      </c>
      <c r="AQ345" s="43">
        <f>N345*(F345+G345)/H345</f>
        <v/>
      </c>
      <c r="AR345" s="43">
        <f>O345*AQ345</f>
        <v/>
      </c>
      <c r="AS345" s="52">
        <f>IF(AG345=1,IF(AQ345&gt;0,AF345/AQ345,1),IFERROR(INDEX(Types!$K:$K,MATCH($A345&amp;"|"&amp;$D345,Types!$A:$A,0)),INDEX(Dashboard!$X$6:$X$22,MATCH($A345,Dashboard!$A$6:$A$22,0))))</f>
        <v/>
      </c>
      <c r="AT345" s="43">
        <f>AQ345*INDEX(Dashboard!$Y$6:$Y$22,MATCH($A345,Dashboard!$A$6:$A$22,0))</f>
        <v/>
      </c>
      <c r="AU345" s="53">
        <f>IF(AND(AG345=1,AT345&gt;0,AF345&gt;0),100*AF345/AT345,"")</f>
        <v/>
      </c>
      <c r="AV345" s="44">
        <f>IF(AU345="","",T345/(AU345/100))</f>
        <v/>
      </c>
      <c r="AW345" s="53">
        <f>IF(AU345="","",IF(AND(ABS(AH345)&gt;=0.1,ABS(T345)&gt;=0.05,SIGN(AH345)=SIGN(T345)),100*T345/AH345,""))</f>
        <v/>
      </c>
      <c r="AX345" s="45">
        <f>IF(AU345="","",T345-AV345)</f>
        <v/>
      </c>
      <c r="AY345" s="45">
        <f>IF(AU345="","",AH345-AV345)</f>
        <v/>
      </c>
      <c r="AZ345" s="54">
        <f>(AL345-AM345)-T345*AT345</f>
        <v/>
      </c>
      <c r="BA345" s="43">
        <f>IF(AU345="",0,(AH345-T345)*AF345)</f>
        <v/>
      </c>
      <c r="BB345" s="43">
        <f>IF(AU345="",0,T345*(AF345-AT345))</f>
        <v/>
      </c>
      <c r="BC345" s="51" t="n">
        <v>0.05071379554735575</v>
      </c>
      <c r="BD345" s="51" t="n">
        <v>0.09431775995320112</v>
      </c>
      <c r="BE345" s="51" t="n">
        <v>0.5687513858522664</v>
      </c>
      <c r="BF345" s="43" t="n">
        <v>622237</v>
      </c>
    </row>
    <row r="346">
      <c r="A346" s="42" t="inlineStr">
        <is>
          <t>KS</t>
        </is>
      </c>
      <c r="B346" s="42" t="inlineStr">
        <is>
          <t>20093</t>
        </is>
      </c>
      <c r="C346" s="42" t="inlineStr">
        <is>
          <t>Kearny</t>
        </is>
      </c>
      <c r="D346" s="42" t="inlineStr">
        <is>
          <t>Small town &amp; rural</t>
        </is>
      </c>
      <c r="E346" s="42" t="inlineStr"/>
      <c r="F346" s="43" t="n">
        <v>192</v>
      </c>
      <c r="G346" s="43" t="n">
        <v>1082</v>
      </c>
      <c r="H346" s="43" t="n">
        <v>1301</v>
      </c>
      <c r="I346" s="43" t="n">
        <v>255</v>
      </c>
      <c r="J346" s="43" t="n">
        <v>1134</v>
      </c>
      <c r="K346" s="42" t="inlineStr">
        <is>
          <t>US Senate</t>
        </is>
      </c>
      <c r="L346" s="43" t="n">
        <v>85</v>
      </c>
      <c r="M346" s="43" t="n">
        <v>847</v>
      </c>
      <c r="N346" s="43" t="n">
        <v>951</v>
      </c>
      <c r="O346" s="44">
        <f>IFERROR((F346-G346)/(F346+G346),"")</f>
        <v/>
      </c>
      <c r="P346" s="44">
        <f>IFERROR((I346-J346)/(I346+J346),"")</f>
        <v/>
      </c>
      <c r="Q346" s="45">
        <f>IFERROR(O346-P346,"")</f>
        <v/>
      </c>
      <c r="R346" s="44">
        <f>IFERROR((L346-M346)/(L346+M346),"")</f>
        <v/>
      </c>
      <c r="S346" s="46">
        <f>H346/SUMIFS(Counties!$H$2:$H$1583,Counties!$A$2:$A$1583,$A346)</f>
        <v/>
      </c>
      <c r="T346" s="44">
        <f>O346+INDEX(Dashboard!$F$6:$F$22,MATCH($A346,Dashboard!$A$6:$A$22,0))</f>
        <v/>
      </c>
      <c r="U346" s="43">
        <f>AQ346*INDEX(Dashboard!$G$6:$G$22,MATCH($A346,Dashboard!$A$6:$A$22,0))</f>
        <v/>
      </c>
      <c r="V346" s="47" t="n"/>
      <c r="W346" s="47" t="n"/>
      <c r="X346" s="47" t="n"/>
      <c r="Y346" s="48" t="n"/>
      <c r="Z346" s="49" t="n"/>
      <c r="AA346" s="49" t="n"/>
      <c r="AB346" s="49" t="n"/>
      <c r="AC346" s="50" t="n"/>
      <c r="AD346" s="43">
        <f>IF(Z346&lt;&gt;"",Z346,N(V346))</f>
        <v/>
      </c>
      <c r="AE346" s="43">
        <f>IF(AA346&lt;&gt;"",AA346,N(W346))</f>
        <v/>
      </c>
      <c r="AF346" s="43">
        <f>AD346+AE346</f>
        <v/>
      </c>
      <c r="AG346" s="42">
        <f>IF(UPPER(AC346)="Y",1,IF(AF346=0,0,IF(AND(Z346="",Y346&lt;&gt;""),IF(Y346&gt;=0.999,1,0),IF(AF346&gt;=U346,1,0))))</f>
        <v/>
      </c>
      <c r="AH346" s="44">
        <f>IF(AF346&gt;0,(AD346-AE346)/AF346,"")</f>
        <v/>
      </c>
      <c r="AI346" s="45">
        <f>IF(AG346=1,AH346-O346,"")</f>
        <v/>
      </c>
      <c r="AJ346" s="44">
        <f>IF(AG346=1,AH346,MAX(-1,MIN(1,O346+INDEX(Types!$H:$H,MATCH($A346&amp;"|"&amp;$D346,Types!$A:$A,0)))))</f>
        <v/>
      </c>
      <c r="AK346" s="43">
        <f>IF(AG346=1,AF346,MAX(AQ346*AS346,AF346))</f>
        <v/>
      </c>
      <c r="AL346" s="43">
        <f>IF(AG346=1,AD346,AK346*(1+AJ346)/2)</f>
        <v/>
      </c>
      <c r="AM346" s="43">
        <f>IF(AG346=1,AE346,AK346*(1-AJ346)/2)</f>
        <v/>
      </c>
      <c r="AN346" s="45">
        <f>IF(AH346="","",AH346-T346)</f>
        <v/>
      </c>
      <c r="AO346" s="51">
        <f>IF(AG346=1,1,IF(U346&gt;0,MIN(AF346/U346,0.99),0))</f>
        <v/>
      </c>
      <c r="AP346" s="43">
        <f>IF(AG346=1,AI346*AF346,0)</f>
        <v/>
      </c>
      <c r="AQ346" s="43">
        <f>N346*(F346+G346)/H346</f>
        <v/>
      </c>
      <c r="AR346" s="43">
        <f>O346*AQ346</f>
        <v/>
      </c>
      <c r="AS346" s="52">
        <f>IF(AG346=1,IF(AQ346&gt;0,AF346/AQ346,1),IFERROR(INDEX(Types!$K:$K,MATCH($A346&amp;"|"&amp;$D346,Types!$A:$A,0)),INDEX(Dashboard!$X$6:$X$22,MATCH($A346,Dashboard!$A$6:$A$22,0))))</f>
        <v/>
      </c>
      <c r="AT346" s="43">
        <f>AQ346*INDEX(Dashboard!$Y$6:$Y$22,MATCH($A346,Dashboard!$A$6:$A$22,0))</f>
        <v/>
      </c>
      <c r="AU346" s="53">
        <f>IF(AND(AG346=1,AT346&gt;0,AF346&gt;0),100*AF346/AT346,"")</f>
        <v/>
      </c>
      <c r="AV346" s="44">
        <f>IF(AU346="","",T346/(AU346/100))</f>
        <v/>
      </c>
      <c r="AW346" s="53">
        <f>IF(AU346="","",IF(AND(ABS(AH346)&gt;=0.1,ABS(T346)&gt;=0.05,SIGN(AH346)=SIGN(T346)),100*T346/AH346,""))</f>
        <v/>
      </c>
      <c r="AX346" s="45">
        <f>IF(AU346="","",T346-AV346)</f>
        <v/>
      </c>
      <c r="AY346" s="45">
        <f>IF(AU346="","",AH346-AV346)</f>
        <v/>
      </c>
      <c r="AZ346" s="54">
        <f>(AL346-AM346)-T346*AT346</f>
        <v/>
      </c>
      <c r="BA346" s="43">
        <f>IF(AU346="",0,(AH346-T346)*AF346)</f>
        <v/>
      </c>
      <c r="BB346" s="43">
        <f>IF(AU346="",0,T346*(AF346-AT346))</f>
        <v/>
      </c>
      <c r="BC346" s="51" t="n">
        <v>0.009155113784985614</v>
      </c>
      <c r="BD346" s="51" t="n">
        <v>0.35731101229401</v>
      </c>
      <c r="BE346" s="51" t="n">
        <v>0.1464315012305168</v>
      </c>
      <c r="BF346" s="43" t="n">
        <v>3823</v>
      </c>
    </row>
    <row r="347">
      <c r="A347" s="42" t="inlineStr">
        <is>
          <t>KS</t>
        </is>
      </c>
      <c r="B347" s="42" t="inlineStr">
        <is>
          <t>20095</t>
        </is>
      </c>
      <c r="C347" s="42" t="inlineStr">
        <is>
          <t>Kingman</t>
        </is>
      </c>
      <c r="D347" s="42" t="inlineStr">
        <is>
          <t>Small town &amp; rural</t>
        </is>
      </c>
      <c r="E347" s="42" t="inlineStr"/>
      <c r="F347" s="43" t="n">
        <v>753</v>
      </c>
      <c r="G347" s="43" t="n">
        <v>3119</v>
      </c>
      <c r="H347" s="43" t="n">
        <v>3947</v>
      </c>
      <c r="I347" s="43" t="n">
        <v>745</v>
      </c>
      <c r="J347" s="43" t="n">
        <v>3102</v>
      </c>
      <c r="K347" s="42" t="inlineStr">
        <is>
          <t>US Senate</t>
        </is>
      </c>
      <c r="L347" s="43" t="n">
        <v>500</v>
      </c>
      <c r="M347" s="43" t="n">
        <v>2527</v>
      </c>
      <c r="N347" s="43" t="n">
        <v>3094</v>
      </c>
      <c r="O347" s="44">
        <f>IFERROR((F347-G347)/(F347+G347),"")</f>
        <v/>
      </c>
      <c r="P347" s="44">
        <f>IFERROR((I347-J347)/(I347+J347),"")</f>
        <v/>
      </c>
      <c r="Q347" s="45">
        <f>IFERROR(O347-P347,"")</f>
        <v/>
      </c>
      <c r="R347" s="44">
        <f>IFERROR((L347-M347)/(L347+M347),"")</f>
        <v/>
      </c>
      <c r="S347" s="46">
        <f>H347/SUMIFS(Counties!$H$2:$H$1583,Counties!$A$2:$A$1583,$A347)</f>
        <v/>
      </c>
      <c r="T347" s="44">
        <f>O347+INDEX(Dashboard!$F$6:$F$22,MATCH($A347,Dashboard!$A$6:$A$22,0))</f>
        <v/>
      </c>
      <c r="U347" s="43">
        <f>AQ347*INDEX(Dashboard!$G$6:$G$22,MATCH($A347,Dashboard!$A$6:$A$22,0))</f>
        <v/>
      </c>
      <c r="V347" s="47" t="n"/>
      <c r="W347" s="47" t="n"/>
      <c r="X347" s="47" t="n"/>
      <c r="Y347" s="48" t="n"/>
      <c r="Z347" s="49" t="n"/>
      <c r="AA347" s="49" t="n"/>
      <c r="AB347" s="49" t="n"/>
      <c r="AC347" s="50" t="n"/>
      <c r="AD347" s="43">
        <f>IF(Z347&lt;&gt;"",Z347,N(V347))</f>
        <v/>
      </c>
      <c r="AE347" s="43">
        <f>IF(AA347&lt;&gt;"",AA347,N(W347))</f>
        <v/>
      </c>
      <c r="AF347" s="43">
        <f>AD347+AE347</f>
        <v/>
      </c>
      <c r="AG347" s="42">
        <f>IF(UPPER(AC347)="Y",1,IF(AF347=0,0,IF(AND(Z347="",Y347&lt;&gt;""),IF(Y347&gt;=0.999,1,0),IF(AF347&gt;=U347,1,0))))</f>
        <v/>
      </c>
      <c r="AH347" s="44">
        <f>IF(AF347&gt;0,(AD347-AE347)/AF347,"")</f>
        <v/>
      </c>
      <c r="AI347" s="45">
        <f>IF(AG347=1,AH347-O347,"")</f>
        <v/>
      </c>
      <c r="AJ347" s="44">
        <f>IF(AG347=1,AH347,MAX(-1,MIN(1,O347+INDEX(Types!$H:$H,MATCH($A347&amp;"|"&amp;$D347,Types!$A:$A,0)))))</f>
        <v/>
      </c>
      <c r="AK347" s="43">
        <f>IF(AG347=1,AF347,MAX(AQ347*AS347,AF347))</f>
        <v/>
      </c>
      <c r="AL347" s="43">
        <f>IF(AG347=1,AD347,AK347*(1+AJ347)/2)</f>
        <v/>
      </c>
      <c r="AM347" s="43">
        <f>IF(AG347=1,AE347,AK347*(1-AJ347)/2)</f>
        <v/>
      </c>
      <c r="AN347" s="45">
        <f>IF(AH347="","",AH347-T347)</f>
        <v/>
      </c>
      <c r="AO347" s="51">
        <f>IF(AG347=1,1,IF(U347&gt;0,MIN(AF347/U347,0.99),0))</f>
        <v/>
      </c>
      <c r="AP347" s="43">
        <f>IF(AG347=1,AI347*AF347,0)</f>
        <v/>
      </c>
      <c r="AQ347" s="43">
        <f>N347*(F347+G347)/H347</f>
        <v/>
      </c>
      <c r="AR347" s="43">
        <f>O347*AQ347</f>
        <v/>
      </c>
      <c r="AS347" s="52">
        <f>IF(AG347=1,IF(AQ347&gt;0,AF347/AQ347,1),IFERROR(INDEX(Types!$K:$K,MATCH($A347&amp;"|"&amp;$D347,Types!$A:$A,0)),INDEX(Dashboard!$X$6:$X$22,MATCH($A347,Dashboard!$A$6:$A$22,0))))</f>
        <v/>
      </c>
      <c r="AT347" s="43">
        <f>AQ347*INDEX(Dashboard!$Y$6:$Y$22,MATCH($A347,Dashboard!$A$6:$A$22,0))</f>
        <v/>
      </c>
      <c r="AU347" s="53">
        <f>IF(AND(AG347=1,AT347&gt;0,AF347&gt;0),100*AF347/AT347,"")</f>
        <v/>
      </c>
      <c r="AV347" s="44">
        <f>IF(AU347="","",T347/(AU347/100))</f>
        <v/>
      </c>
      <c r="AW347" s="53">
        <f>IF(AU347="","",IF(AND(ABS(AH347)&gt;=0.1,ABS(T347)&gt;=0.05,SIGN(AH347)=SIGN(T347)),100*T347/AH347,""))</f>
        <v/>
      </c>
      <c r="AX347" s="45">
        <f>IF(AU347="","",T347-AV347)</f>
        <v/>
      </c>
      <c r="AY347" s="45">
        <f>IF(AU347="","",AH347-AV347)</f>
        <v/>
      </c>
      <c r="AZ347" s="54">
        <f>(AL347-AM347)-T347*AT347</f>
        <v/>
      </c>
      <c r="BA347" s="43">
        <f>IF(AU347="",0,(AH347-T347)*AF347)</f>
        <v/>
      </c>
      <c r="BB347" s="43">
        <f>IF(AU347="",0,T347*(AF347-AT347))</f>
        <v/>
      </c>
      <c r="BC347" s="51" t="n">
        <v>0.005236343051231248</v>
      </c>
      <c r="BD347" s="51" t="n">
        <v>0.04373054061703934</v>
      </c>
      <c r="BE347" s="51" t="n">
        <v>0.2382720875684128</v>
      </c>
      <c r="BF347" s="43" t="n">
        <v>7066</v>
      </c>
    </row>
    <row r="348">
      <c r="A348" s="42" t="inlineStr">
        <is>
          <t>KS</t>
        </is>
      </c>
      <c r="B348" s="42" t="inlineStr">
        <is>
          <t>20097</t>
        </is>
      </c>
      <c r="C348" s="42" t="inlineStr">
        <is>
          <t>Kiowa</t>
        </is>
      </c>
      <c r="D348" s="42" t="inlineStr">
        <is>
          <t>Small town &amp; rural</t>
        </is>
      </c>
      <c r="E348" s="42" t="inlineStr"/>
      <c r="F348" s="43" t="n">
        <v>151</v>
      </c>
      <c r="G348" s="43" t="n">
        <v>941</v>
      </c>
      <c r="H348" s="43" t="n">
        <v>1107</v>
      </c>
      <c r="I348" s="43" t="n">
        <v>153</v>
      </c>
      <c r="J348" s="43" t="n">
        <v>957</v>
      </c>
      <c r="K348" s="42" t="inlineStr">
        <is>
          <t>US Senate</t>
        </is>
      </c>
      <c r="L348" s="43" t="n">
        <v>82</v>
      </c>
      <c r="M348" s="43" t="n">
        <v>825</v>
      </c>
      <c r="N348" s="43" t="n">
        <v>936</v>
      </c>
      <c r="O348" s="44">
        <f>IFERROR((F348-G348)/(F348+G348),"")</f>
        <v/>
      </c>
      <c r="P348" s="44">
        <f>IFERROR((I348-J348)/(I348+J348),"")</f>
        <v/>
      </c>
      <c r="Q348" s="45">
        <f>IFERROR(O348-P348,"")</f>
        <v/>
      </c>
      <c r="R348" s="44">
        <f>IFERROR((L348-M348)/(L348+M348),"")</f>
        <v/>
      </c>
      <c r="S348" s="46">
        <f>H348/SUMIFS(Counties!$H$2:$H$1583,Counties!$A$2:$A$1583,$A348)</f>
        <v/>
      </c>
      <c r="T348" s="44">
        <f>O348+INDEX(Dashboard!$F$6:$F$22,MATCH($A348,Dashboard!$A$6:$A$22,0))</f>
        <v/>
      </c>
      <c r="U348" s="43">
        <f>AQ348*INDEX(Dashboard!$G$6:$G$22,MATCH($A348,Dashboard!$A$6:$A$22,0))</f>
        <v/>
      </c>
      <c r="V348" s="47" t="n"/>
      <c r="W348" s="47" t="n"/>
      <c r="X348" s="47" t="n"/>
      <c r="Y348" s="48" t="n"/>
      <c r="Z348" s="49" t="n"/>
      <c r="AA348" s="49" t="n"/>
      <c r="AB348" s="49" t="n"/>
      <c r="AC348" s="50" t="n"/>
      <c r="AD348" s="43">
        <f>IF(Z348&lt;&gt;"",Z348,N(V348))</f>
        <v/>
      </c>
      <c r="AE348" s="43">
        <f>IF(AA348&lt;&gt;"",AA348,N(W348))</f>
        <v/>
      </c>
      <c r="AF348" s="43">
        <f>AD348+AE348</f>
        <v/>
      </c>
      <c r="AG348" s="42">
        <f>IF(UPPER(AC348)="Y",1,IF(AF348=0,0,IF(AND(Z348="",Y348&lt;&gt;""),IF(Y348&gt;=0.999,1,0),IF(AF348&gt;=U348,1,0))))</f>
        <v/>
      </c>
      <c r="AH348" s="44">
        <f>IF(AF348&gt;0,(AD348-AE348)/AF348,"")</f>
        <v/>
      </c>
      <c r="AI348" s="45">
        <f>IF(AG348=1,AH348-O348,"")</f>
        <v/>
      </c>
      <c r="AJ348" s="44">
        <f>IF(AG348=1,AH348,MAX(-1,MIN(1,O348+INDEX(Types!$H:$H,MATCH($A348&amp;"|"&amp;$D348,Types!$A:$A,0)))))</f>
        <v/>
      </c>
      <c r="AK348" s="43">
        <f>IF(AG348=1,AF348,MAX(AQ348*AS348,AF348))</f>
        <v/>
      </c>
      <c r="AL348" s="43">
        <f>IF(AG348=1,AD348,AK348*(1+AJ348)/2)</f>
        <v/>
      </c>
      <c r="AM348" s="43">
        <f>IF(AG348=1,AE348,AK348*(1-AJ348)/2)</f>
        <v/>
      </c>
      <c r="AN348" s="45">
        <f>IF(AH348="","",AH348-T348)</f>
        <v/>
      </c>
      <c r="AO348" s="51">
        <f>IF(AG348=1,1,IF(U348&gt;0,MIN(AF348/U348,0.99),0))</f>
        <v/>
      </c>
      <c r="AP348" s="43">
        <f>IF(AG348=1,AI348*AF348,0)</f>
        <v/>
      </c>
      <c r="AQ348" s="43">
        <f>N348*(F348+G348)/H348</f>
        <v/>
      </c>
      <c r="AR348" s="43">
        <f>O348*AQ348</f>
        <v/>
      </c>
      <c r="AS348" s="52">
        <f>IF(AG348=1,IF(AQ348&gt;0,AF348/AQ348,1),IFERROR(INDEX(Types!$K:$K,MATCH($A348&amp;"|"&amp;$D348,Types!$A:$A,0)),INDEX(Dashboard!$X$6:$X$22,MATCH($A348,Dashboard!$A$6:$A$22,0))))</f>
        <v/>
      </c>
      <c r="AT348" s="43">
        <f>AQ348*INDEX(Dashboard!$Y$6:$Y$22,MATCH($A348,Dashboard!$A$6:$A$22,0))</f>
        <v/>
      </c>
      <c r="AU348" s="53">
        <f>IF(AND(AG348=1,AT348&gt;0,AF348&gt;0),100*AF348/AT348,"")</f>
        <v/>
      </c>
      <c r="AV348" s="44">
        <f>IF(AU348="","",T348/(AU348/100))</f>
        <v/>
      </c>
      <c r="AW348" s="53">
        <f>IF(AU348="","",IF(AND(ABS(AH348)&gt;=0.1,ABS(T348)&gt;=0.05,SIGN(AH348)=SIGN(T348)),100*T348/AH348,""))</f>
        <v/>
      </c>
      <c r="AX348" s="45">
        <f>IF(AU348="","",T348-AV348)</f>
        <v/>
      </c>
      <c r="AY348" s="45">
        <f>IF(AU348="","",AH348-AV348)</f>
        <v/>
      </c>
      <c r="AZ348" s="54">
        <f>(AL348-AM348)-T348*AT348</f>
        <v/>
      </c>
      <c r="BA348" s="43">
        <f>IF(AU348="",0,(AH348-T348)*AF348)</f>
        <v/>
      </c>
      <c r="BB348" s="43">
        <f>IF(AU348="",0,T348*(AF348-AT348))</f>
        <v/>
      </c>
      <c r="BC348" s="51" t="n">
        <v>0.01642796967144061</v>
      </c>
      <c r="BD348" s="51" t="n">
        <v>0.04970513900589722</v>
      </c>
      <c r="BE348" s="51" t="n">
        <v>0.2759036144578313</v>
      </c>
      <c r="BF348" s="43" t="n">
        <v>2374</v>
      </c>
    </row>
    <row r="349">
      <c r="A349" s="42" t="inlineStr">
        <is>
          <t>KS</t>
        </is>
      </c>
      <c r="B349" s="42" t="inlineStr">
        <is>
          <t>20099</t>
        </is>
      </c>
      <c r="C349" s="42" t="inlineStr">
        <is>
          <t>Labette</t>
        </is>
      </c>
      <c r="D349" s="42" t="inlineStr">
        <is>
          <t>Small town &amp; rural</t>
        </is>
      </c>
      <c r="E349" s="42" t="inlineStr"/>
      <c r="F349" s="43" t="n">
        <v>2385</v>
      </c>
      <c r="G349" s="43" t="n">
        <v>5410</v>
      </c>
      <c r="H349" s="43" t="n">
        <v>7921</v>
      </c>
      <c r="I349" s="43" t="n">
        <v>2607</v>
      </c>
      <c r="J349" s="43" t="n">
        <v>5639</v>
      </c>
      <c r="K349" s="42" t="inlineStr">
        <is>
          <t>US Senate</t>
        </is>
      </c>
      <c r="L349" s="43" t="n">
        <v>1725</v>
      </c>
      <c r="M349" s="43" t="n">
        <v>4021</v>
      </c>
      <c r="N349" s="43" t="n">
        <v>5932</v>
      </c>
      <c r="O349" s="44">
        <f>IFERROR((F349-G349)/(F349+G349),"")</f>
        <v/>
      </c>
      <c r="P349" s="44">
        <f>IFERROR((I349-J349)/(I349+J349),"")</f>
        <v/>
      </c>
      <c r="Q349" s="45">
        <f>IFERROR(O349-P349,"")</f>
        <v/>
      </c>
      <c r="R349" s="44">
        <f>IFERROR((L349-M349)/(L349+M349),"")</f>
        <v/>
      </c>
      <c r="S349" s="46">
        <f>H349/SUMIFS(Counties!$H$2:$H$1583,Counties!$A$2:$A$1583,$A349)</f>
        <v/>
      </c>
      <c r="T349" s="44">
        <f>O349+INDEX(Dashboard!$F$6:$F$22,MATCH($A349,Dashboard!$A$6:$A$22,0))</f>
        <v/>
      </c>
      <c r="U349" s="43">
        <f>AQ349*INDEX(Dashboard!$G$6:$G$22,MATCH($A349,Dashboard!$A$6:$A$22,0))</f>
        <v/>
      </c>
      <c r="V349" s="47" t="n"/>
      <c r="W349" s="47" t="n"/>
      <c r="X349" s="47" t="n"/>
      <c r="Y349" s="48" t="n"/>
      <c r="Z349" s="49" t="n"/>
      <c r="AA349" s="49" t="n"/>
      <c r="AB349" s="49" t="n"/>
      <c r="AC349" s="50" t="n"/>
      <c r="AD349" s="43">
        <f>IF(Z349&lt;&gt;"",Z349,N(V349))</f>
        <v/>
      </c>
      <c r="AE349" s="43">
        <f>IF(AA349&lt;&gt;"",AA349,N(W349))</f>
        <v/>
      </c>
      <c r="AF349" s="43">
        <f>AD349+AE349</f>
        <v/>
      </c>
      <c r="AG349" s="42">
        <f>IF(UPPER(AC349)="Y",1,IF(AF349=0,0,IF(AND(Z349="",Y349&lt;&gt;""),IF(Y349&gt;=0.999,1,0),IF(AF349&gt;=U349,1,0))))</f>
        <v/>
      </c>
      <c r="AH349" s="44">
        <f>IF(AF349&gt;0,(AD349-AE349)/AF349,"")</f>
        <v/>
      </c>
      <c r="AI349" s="45">
        <f>IF(AG349=1,AH349-O349,"")</f>
        <v/>
      </c>
      <c r="AJ349" s="44">
        <f>IF(AG349=1,AH349,MAX(-1,MIN(1,O349+INDEX(Types!$H:$H,MATCH($A349&amp;"|"&amp;$D349,Types!$A:$A,0)))))</f>
        <v/>
      </c>
      <c r="AK349" s="43">
        <f>IF(AG349=1,AF349,MAX(AQ349*AS349,AF349))</f>
        <v/>
      </c>
      <c r="AL349" s="43">
        <f>IF(AG349=1,AD349,AK349*(1+AJ349)/2)</f>
        <v/>
      </c>
      <c r="AM349" s="43">
        <f>IF(AG349=1,AE349,AK349*(1-AJ349)/2)</f>
        <v/>
      </c>
      <c r="AN349" s="45">
        <f>IF(AH349="","",AH349-T349)</f>
        <v/>
      </c>
      <c r="AO349" s="51">
        <f>IF(AG349=1,1,IF(U349&gt;0,MIN(AF349/U349,0.99),0))</f>
        <v/>
      </c>
      <c r="AP349" s="43">
        <f>IF(AG349=1,AI349*AF349,0)</f>
        <v/>
      </c>
      <c r="AQ349" s="43">
        <f>N349*(F349+G349)/H349</f>
        <v/>
      </c>
      <c r="AR349" s="43">
        <f>O349*AQ349</f>
        <v/>
      </c>
      <c r="AS349" s="52">
        <f>IF(AG349=1,IF(AQ349&gt;0,AF349/AQ349,1),IFERROR(INDEX(Types!$K:$K,MATCH($A349&amp;"|"&amp;$D349,Types!$A:$A,0)),INDEX(Dashboard!$X$6:$X$22,MATCH($A349,Dashboard!$A$6:$A$22,0))))</f>
        <v/>
      </c>
      <c r="AT349" s="43">
        <f>AQ349*INDEX(Dashboard!$Y$6:$Y$22,MATCH($A349,Dashboard!$A$6:$A$22,0))</f>
        <v/>
      </c>
      <c r="AU349" s="53">
        <f>IF(AND(AG349=1,AT349&gt;0,AF349&gt;0),100*AF349/AT349,"")</f>
        <v/>
      </c>
      <c r="AV349" s="44">
        <f>IF(AU349="","",T349/(AU349/100))</f>
        <v/>
      </c>
      <c r="AW349" s="53">
        <f>IF(AU349="","",IF(AND(ABS(AH349)&gt;=0.1,ABS(T349)&gt;=0.05,SIGN(AH349)=SIGN(T349)),100*T349/AH349,""))</f>
        <v/>
      </c>
      <c r="AX349" s="45">
        <f>IF(AU349="","",T349-AV349)</f>
        <v/>
      </c>
      <c r="AY349" s="45">
        <f>IF(AU349="","",AH349-AV349)</f>
        <v/>
      </c>
      <c r="AZ349" s="54">
        <f>(AL349-AM349)-T349*AT349</f>
        <v/>
      </c>
      <c r="BA349" s="43">
        <f>IF(AU349="",0,(AH349-T349)*AF349)</f>
        <v/>
      </c>
      <c r="BB349" s="43">
        <f>IF(AU349="",0,T349*(AF349-AT349))</f>
        <v/>
      </c>
      <c r="BC349" s="51" t="n">
        <v>0.03974047039740471</v>
      </c>
      <c r="BD349" s="51" t="n">
        <v>0.05210867802108678</v>
      </c>
      <c r="BE349" s="51" t="n">
        <v>0.2107038123167155</v>
      </c>
      <c r="BF349" s="43" t="n">
        <v>19728</v>
      </c>
    </row>
    <row r="350">
      <c r="A350" s="42" t="inlineStr">
        <is>
          <t>KS</t>
        </is>
      </c>
      <c r="B350" s="42" t="inlineStr">
        <is>
          <t>20101</t>
        </is>
      </c>
      <c r="C350" s="42" t="inlineStr">
        <is>
          <t>Lane</t>
        </is>
      </c>
      <c r="D350" s="42" t="inlineStr">
        <is>
          <t>Small town &amp; rural</t>
        </is>
      </c>
      <c r="E350" s="42" t="inlineStr"/>
      <c r="F350" s="43" t="n">
        <v>111</v>
      </c>
      <c r="G350" s="43" t="n">
        <v>709</v>
      </c>
      <c r="H350" s="43" t="n">
        <v>843</v>
      </c>
      <c r="I350" s="43" t="n">
        <v>114</v>
      </c>
      <c r="J350" s="43" t="n">
        <v>757</v>
      </c>
      <c r="K350" s="42" t="inlineStr">
        <is>
          <t>US Senate</t>
        </is>
      </c>
      <c r="L350" s="43" t="n">
        <v>57</v>
      </c>
      <c r="M350" s="43" t="n">
        <v>596</v>
      </c>
      <c r="N350" s="43" t="n">
        <v>672</v>
      </c>
      <c r="O350" s="44">
        <f>IFERROR((F350-G350)/(F350+G350),"")</f>
        <v/>
      </c>
      <c r="P350" s="44">
        <f>IFERROR((I350-J350)/(I350+J350),"")</f>
        <v/>
      </c>
      <c r="Q350" s="45">
        <f>IFERROR(O350-P350,"")</f>
        <v/>
      </c>
      <c r="R350" s="44">
        <f>IFERROR((L350-M350)/(L350+M350),"")</f>
        <v/>
      </c>
      <c r="S350" s="46">
        <f>H350/SUMIFS(Counties!$H$2:$H$1583,Counties!$A$2:$A$1583,$A350)</f>
        <v/>
      </c>
      <c r="T350" s="44">
        <f>O350+INDEX(Dashboard!$F$6:$F$22,MATCH($A350,Dashboard!$A$6:$A$22,0))</f>
        <v/>
      </c>
      <c r="U350" s="43">
        <f>AQ350*INDEX(Dashboard!$G$6:$G$22,MATCH($A350,Dashboard!$A$6:$A$22,0))</f>
        <v/>
      </c>
      <c r="V350" s="47" t="n"/>
      <c r="W350" s="47" t="n"/>
      <c r="X350" s="47" t="n"/>
      <c r="Y350" s="48" t="n"/>
      <c r="Z350" s="49" t="n"/>
      <c r="AA350" s="49" t="n"/>
      <c r="AB350" s="49" t="n"/>
      <c r="AC350" s="50" t="n"/>
      <c r="AD350" s="43">
        <f>IF(Z350&lt;&gt;"",Z350,N(V350))</f>
        <v/>
      </c>
      <c r="AE350" s="43">
        <f>IF(AA350&lt;&gt;"",AA350,N(W350))</f>
        <v/>
      </c>
      <c r="AF350" s="43">
        <f>AD350+AE350</f>
        <v/>
      </c>
      <c r="AG350" s="42">
        <f>IF(UPPER(AC350)="Y",1,IF(AF350=0,0,IF(AND(Z350="",Y350&lt;&gt;""),IF(Y350&gt;=0.999,1,0),IF(AF350&gt;=U350,1,0))))</f>
        <v/>
      </c>
      <c r="AH350" s="44">
        <f>IF(AF350&gt;0,(AD350-AE350)/AF350,"")</f>
        <v/>
      </c>
      <c r="AI350" s="45">
        <f>IF(AG350=1,AH350-O350,"")</f>
        <v/>
      </c>
      <c r="AJ350" s="44">
        <f>IF(AG350=1,AH350,MAX(-1,MIN(1,O350+INDEX(Types!$H:$H,MATCH($A350&amp;"|"&amp;$D350,Types!$A:$A,0)))))</f>
        <v/>
      </c>
      <c r="AK350" s="43">
        <f>IF(AG350=1,AF350,MAX(AQ350*AS350,AF350))</f>
        <v/>
      </c>
      <c r="AL350" s="43">
        <f>IF(AG350=1,AD350,AK350*(1+AJ350)/2)</f>
        <v/>
      </c>
      <c r="AM350" s="43">
        <f>IF(AG350=1,AE350,AK350*(1-AJ350)/2)</f>
        <v/>
      </c>
      <c r="AN350" s="45">
        <f>IF(AH350="","",AH350-T350)</f>
        <v/>
      </c>
      <c r="AO350" s="51">
        <f>IF(AG350=1,1,IF(U350&gt;0,MIN(AF350/U350,0.99),0))</f>
        <v/>
      </c>
      <c r="AP350" s="43">
        <f>IF(AG350=1,AI350*AF350,0)</f>
        <v/>
      </c>
      <c r="AQ350" s="43">
        <f>N350*(F350+G350)/H350</f>
        <v/>
      </c>
      <c r="AR350" s="43">
        <f>O350*AQ350</f>
        <v/>
      </c>
      <c r="AS350" s="52">
        <f>IF(AG350=1,IF(AQ350&gt;0,AF350/AQ350,1),IFERROR(INDEX(Types!$K:$K,MATCH($A350&amp;"|"&amp;$D350,Types!$A:$A,0)),INDEX(Dashboard!$X$6:$X$22,MATCH($A350,Dashboard!$A$6:$A$22,0))))</f>
        <v/>
      </c>
      <c r="AT350" s="43">
        <f>AQ350*INDEX(Dashboard!$Y$6:$Y$22,MATCH($A350,Dashboard!$A$6:$A$22,0))</f>
        <v/>
      </c>
      <c r="AU350" s="53">
        <f>IF(AND(AG350=1,AT350&gt;0,AF350&gt;0),100*AF350/AT350,"")</f>
        <v/>
      </c>
      <c r="AV350" s="44">
        <f>IF(AU350="","",T350/(AU350/100))</f>
        <v/>
      </c>
      <c r="AW350" s="53">
        <f>IF(AU350="","",IF(AND(ABS(AH350)&gt;=0.1,ABS(T350)&gt;=0.05,SIGN(AH350)=SIGN(T350)),100*T350/AH350,""))</f>
        <v/>
      </c>
      <c r="AX350" s="45">
        <f>IF(AU350="","",T350-AV350)</f>
        <v/>
      </c>
      <c r="AY350" s="45">
        <f>IF(AU350="","",AH350-AV350)</f>
        <v/>
      </c>
      <c r="AZ350" s="54">
        <f>(AL350-AM350)-T350*AT350</f>
        <v/>
      </c>
      <c r="BA350" s="43">
        <f>IF(AU350="",0,(AH350-T350)*AF350)</f>
        <v/>
      </c>
      <c r="BB350" s="43">
        <f>IF(AU350="",0,T350*(AF350-AT350))</f>
        <v/>
      </c>
      <c r="BC350" s="51" t="n">
        <v>0.0104643557880968</v>
      </c>
      <c r="BD350" s="51" t="n">
        <v>0.1209941137998692</v>
      </c>
      <c r="BE350" s="51" t="n">
        <v>0.2462546816479401</v>
      </c>
      <c r="BF350" s="43" t="n">
        <v>1529</v>
      </c>
    </row>
    <row r="351">
      <c r="A351" s="42" t="inlineStr">
        <is>
          <t>KS</t>
        </is>
      </c>
      <c r="B351" s="42" t="inlineStr">
        <is>
          <t>20103</t>
        </is>
      </c>
      <c r="C351" s="42" t="inlineStr">
        <is>
          <t>Leavenworth</t>
        </is>
      </c>
      <c r="D351" s="42" t="inlineStr">
        <is>
          <t>Small town &amp; rural</t>
        </is>
      </c>
      <c r="E351" s="42" t="inlineStr"/>
      <c r="F351" s="43" t="n">
        <v>13732</v>
      </c>
      <c r="G351" s="43" t="n">
        <v>22055</v>
      </c>
      <c r="H351" s="43" t="n">
        <v>36547</v>
      </c>
      <c r="I351" s="43" t="n">
        <v>13753</v>
      </c>
      <c r="J351" s="43" t="n">
        <v>21378</v>
      </c>
      <c r="K351" s="42" t="inlineStr">
        <is>
          <t>US Senate</t>
        </is>
      </c>
      <c r="L351" s="43" t="n">
        <v>9444</v>
      </c>
      <c r="M351" s="43" t="n">
        <v>16570</v>
      </c>
      <c r="N351" s="43" t="n">
        <v>26857</v>
      </c>
      <c r="O351" s="44">
        <f>IFERROR((F351-G351)/(F351+G351),"")</f>
        <v/>
      </c>
      <c r="P351" s="44">
        <f>IFERROR((I351-J351)/(I351+J351),"")</f>
        <v/>
      </c>
      <c r="Q351" s="45">
        <f>IFERROR(O351-P351,"")</f>
        <v/>
      </c>
      <c r="R351" s="44">
        <f>IFERROR((L351-M351)/(L351+M351),"")</f>
        <v/>
      </c>
      <c r="S351" s="46">
        <f>H351/SUMIFS(Counties!$H$2:$H$1583,Counties!$A$2:$A$1583,$A351)</f>
        <v/>
      </c>
      <c r="T351" s="44">
        <f>O351+INDEX(Dashboard!$F$6:$F$22,MATCH($A351,Dashboard!$A$6:$A$22,0))</f>
        <v/>
      </c>
      <c r="U351" s="43">
        <f>AQ351*INDEX(Dashboard!$G$6:$G$22,MATCH($A351,Dashboard!$A$6:$A$22,0))</f>
        <v/>
      </c>
      <c r="V351" s="47" t="n"/>
      <c r="W351" s="47" t="n"/>
      <c r="X351" s="47" t="n"/>
      <c r="Y351" s="48" t="n"/>
      <c r="Z351" s="49" t="n"/>
      <c r="AA351" s="49" t="n"/>
      <c r="AB351" s="49" t="n"/>
      <c r="AC351" s="50" t="n"/>
      <c r="AD351" s="43">
        <f>IF(Z351&lt;&gt;"",Z351,N(V351))</f>
        <v/>
      </c>
      <c r="AE351" s="43">
        <f>IF(AA351&lt;&gt;"",AA351,N(W351))</f>
        <v/>
      </c>
      <c r="AF351" s="43">
        <f>AD351+AE351</f>
        <v/>
      </c>
      <c r="AG351" s="42">
        <f>IF(UPPER(AC351)="Y",1,IF(AF351=0,0,IF(AND(Z351="",Y351&lt;&gt;""),IF(Y351&gt;=0.999,1,0),IF(AF351&gt;=U351,1,0))))</f>
        <v/>
      </c>
      <c r="AH351" s="44">
        <f>IF(AF351&gt;0,(AD351-AE351)/AF351,"")</f>
        <v/>
      </c>
      <c r="AI351" s="45">
        <f>IF(AG351=1,AH351-O351,"")</f>
        <v/>
      </c>
      <c r="AJ351" s="44">
        <f>IF(AG351=1,AH351,MAX(-1,MIN(1,O351+INDEX(Types!$H:$H,MATCH($A351&amp;"|"&amp;$D351,Types!$A:$A,0)))))</f>
        <v/>
      </c>
      <c r="AK351" s="43">
        <f>IF(AG351=1,AF351,MAX(AQ351*AS351,AF351))</f>
        <v/>
      </c>
      <c r="AL351" s="43">
        <f>IF(AG351=1,AD351,AK351*(1+AJ351)/2)</f>
        <v/>
      </c>
      <c r="AM351" s="43">
        <f>IF(AG351=1,AE351,AK351*(1-AJ351)/2)</f>
        <v/>
      </c>
      <c r="AN351" s="45">
        <f>IF(AH351="","",AH351-T351)</f>
        <v/>
      </c>
      <c r="AO351" s="51">
        <f>IF(AG351=1,1,IF(U351&gt;0,MIN(AF351/U351,0.99),0))</f>
        <v/>
      </c>
      <c r="AP351" s="43">
        <f>IF(AG351=1,AI351*AF351,0)</f>
        <v/>
      </c>
      <c r="AQ351" s="43">
        <f>N351*(F351+G351)/H351</f>
        <v/>
      </c>
      <c r="AR351" s="43">
        <f>O351*AQ351</f>
        <v/>
      </c>
      <c r="AS351" s="52">
        <f>IF(AG351=1,IF(AQ351&gt;0,AF351/AQ351,1),IFERROR(INDEX(Types!$K:$K,MATCH($A351&amp;"|"&amp;$D351,Types!$A:$A,0)),INDEX(Dashboard!$X$6:$X$22,MATCH($A351,Dashboard!$A$6:$A$22,0))))</f>
        <v/>
      </c>
      <c r="AT351" s="43">
        <f>AQ351*INDEX(Dashboard!$Y$6:$Y$22,MATCH($A351,Dashboard!$A$6:$A$22,0))</f>
        <v/>
      </c>
      <c r="AU351" s="53">
        <f>IF(AND(AG351=1,AT351&gt;0,AF351&gt;0),100*AF351/AT351,"")</f>
        <v/>
      </c>
      <c r="AV351" s="44">
        <f>IF(AU351="","",T351/(AU351/100))</f>
        <v/>
      </c>
      <c r="AW351" s="53">
        <f>IF(AU351="","",IF(AND(ABS(AH351)&gt;=0.1,ABS(T351)&gt;=0.05,SIGN(AH351)=SIGN(T351)),100*T351/AH351,""))</f>
        <v/>
      </c>
      <c r="AX351" s="45">
        <f>IF(AU351="","",T351-AV351)</f>
        <v/>
      </c>
      <c r="AY351" s="45">
        <f>IF(AU351="","",AH351-AV351)</f>
        <v/>
      </c>
      <c r="AZ351" s="54">
        <f>(AL351-AM351)-T351*AT351</f>
        <v/>
      </c>
      <c r="BA351" s="43">
        <f>IF(AU351="",0,(AH351-T351)*AF351)</f>
        <v/>
      </c>
      <c r="BB351" s="43">
        <f>IF(AU351="",0,T351*(AF351-AT351))</f>
        <v/>
      </c>
      <c r="BC351" s="51" t="n">
        <v>0.08077300701645154</v>
      </c>
      <c r="BD351" s="51" t="n">
        <v>0.07775569338346225</v>
      </c>
      <c r="BE351" s="51" t="n">
        <v>0.3661451736625221</v>
      </c>
      <c r="BF351" s="43" t="n">
        <v>83518</v>
      </c>
    </row>
    <row r="352">
      <c r="A352" s="42" t="inlineStr">
        <is>
          <t>KS</t>
        </is>
      </c>
      <c r="B352" s="42" t="inlineStr">
        <is>
          <t>20105</t>
        </is>
      </c>
      <c r="C352" s="42" t="inlineStr">
        <is>
          <t>Lincoln</t>
        </is>
      </c>
      <c r="D352" s="42" t="inlineStr">
        <is>
          <t>Small town &amp; rural</t>
        </is>
      </c>
      <c r="E352" s="42" t="inlineStr"/>
      <c r="F352" s="43" t="n">
        <v>250</v>
      </c>
      <c r="G352" s="43" t="n">
        <v>1233</v>
      </c>
      <c r="H352" s="43" t="n">
        <v>1507</v>
      </c>
      <c r="I352" s="43" t="n">
        <v>266</v>
      </c>
      <c r="J352" s="43" t="n">
        <v>1273</v>
      </c>
      <c r="K352" s="42" t="inlineStr">
        <is>
          <t>US Senate</t>
        </is>
      </c>
      <c r="L352" s="43" t="n">
        <v>128</v>
      </c>
      <c r="M352" s="43" t="n">
        <v>1020</v>
      </c>
      <c r="N352" s="43" t="n">
        <v>1198</v>
      </c>
      <c r="O352" s="44">
        <f>IFERROR((F352-G352)/(F352+G352),"")</f>
        <v/>
      </c>
      <c r="P352" s="44">
        <f>IFERROR((I352-J352)/(I352+J352),"")</f>
        <v/>
      </c>
      <c r="Q352" s="45">
        <f>IFERROR(O352-P352,"")</f>
        <v/>
      </c>
      <c r="R352" s="44">
        <f>IFERROR((L352-M352)/(L352+M352),"")</f>
        <v/>
      </c>
      <c r="S352" s="46">
        <f>H352/SUMIFS(Counties!$H$2:$H$1583,Counties!$A$2:$A$1583,$A352)</f>
        <v/>
      </c>
      <c r="T352" s="44">
        <f>O352+INDEX(Dashboard!$F$6:$F$22,MATCH($A352,Dashboard!$A$6:$A$22,0))</f>
        <v/>
      </c>
      <c r="U352" s="43">
        <f>AQ352*INDEX(Dashboard!$G$6:$G$22,MATCH($A352,Dashboard!$A$6:$A$22,0))</f>
        <v/>
      </c>
      <c r="V352" s="47" t="n"/>
      <c r="W352" s="47" t="n"/>
      <c r="X352" s="47" t="n"/>
      <c r="Y352" s="48" t="n"/>
      <c r="Z352" s="49" t="n"/>
      <c r="AA352" s="49" t="n"/>
      <c r="AB352" s="49" t="n"/>
      <c r="AC352" s="50" t="n"/>
      <c r="AD352" s="43">
        <f>IF(Z352&lt;&gt;"",Z352,N(V352))</f>
        <v/>
      </c>
      <c r="AE352" s="43">
        <f>IF(AA352&lt;&gt;"",AA352,N(W352))</f>
        <v/>
      </c>
      <c r="AF352" s="43">
        <f>AD352+AE352</f>
        <v/>
      </c>
      <c r="AG352" s="42">
        <f>IF(UPPER(AC352)="Y",1,IF(AF352=0,0,IF(AND(Z352="",Y352&lt;&gt;""),IF(Y352&gt;=0.999,1,0),IF(AF352&gt;=U352,1,0))))</f>
        <v/>
      </c>
      <c r="AH352" s="44">
        <f>IF(AF352&gt;0,(AD352-AE352)/AF352,"")</f>
        <v/>
      </c>
      <c r="AI352" s="45">
        <f>IF(AG352=1,AH352-O352,"")</f>
        <v/>
      </c>
      <c r="AJ352" s="44">
        <f>IF(AG352=1,AH352,MAX(-1,MIN(1,O352+INDEX(Types!$H:$H,MATCH($A352&amp;"|"&amp;$D352,Types!$A:$A,0)))))</f>
        <v/>
      </c>
      <c r="AK352" s="43">
        <f>IF(AG352=1,AF352,MAX(AQ352*AS352,AF352))</f>
        <v/>
      </c>
      <c r="AL352" s="43">
        <f>IF(AG352=1,AD352,AK352*(1+AJ352)/2)</f>
        <v/>
      </c>
      <c r="AM352" s="43">
        <f>IF(AG352=1,AE352,AK352*(1-AJ352)/2)</f>
        <v/>
      </c>
      <c r="AN352" s="45">
        <f>IF(AH352="","",AH352-T352)</f>
        <v/>
      </c>
      <c r="AO352" s="51">
        <f>IF(AG352=1,1,IF(U352&gt;0,MIN(AF352/U352,0.99),0))</f>
        <v/>
      </c>
      <c r="AP352" s="43">
        <f>IF(AG352=1,AI352*AF352,0)</f>
        <v/>
      </c>
      <c r="AQ352" s="43">
        <f>N352*(F352+G352)/H352</f>
        <v/>
      </c>
      <c r="AR352" s="43">
        <f>O352*AQ352</f>
        <v/>
      </c>
      <c r="AS352" s="52">
        <f>IF(AG352=1,IF(AQ352&gt;0,AF352/AQ352,1),IFERROR(INDEX(Types!$K:$K,MATCH($A352&amp;"|"&amp;$D352,Types!$A:$A,0)),INDEX(Dashboard!$X$6:$X$22,MATCH($A352,Dashboard!$A$6:$A$22,0))))</f>
        <v/>
      </c>
      <c r="AT352" s="43">
        <f>AQ352*INDEX(Dashboard!$Y$6:$Y$22,MATCH($A352,Dashboard!$A$6:$A$22,0))</f>
        <v/>
      </c>
      <c r="AU352" s="53">
        <f>IF(AND(AG352=1,AT352&gt;0,AF352&gt;0),100*AF352/AT352,"")</f>
        <v/>
      </c>
      <c r="AV352" s="44">
        <f>IF(AU352="","",T352/(AU352/100))</f>
        <v/>
      </c>
      <c r="AW352" s="53">
        <f>IF(AU352="","",IF(AND(ABS(AH352)&gt;=0.1,ABS(T352)&gt;=0.05,SIGN(AH352)=SIGN(T352)),100*T352/AH352,""))</f>
        <v/>
      </c>
      <c r="AX352" s="45">
        <f>IF(AU352="","",T352-AV352)</f>
        <v/>
      </c>
      <c r="AY352" s="45">
        <f>IF(AU352="","",AH352-AV352)</f>
        <v/>
      </c>
      <c r="AZ352" s="54">
        <f>(AL352-AM352)-T352*AT352</f>
        <v/>
      </c>
      <c r="BA352" s="43">
        <f>IF(AU352="",0,(AH352-T352)*AF352)</f>
        <v/>
      </c>
      <c r="BB352" s="43">
        <f>IF(AU352="",0,T352*(AF352-AT352))</f>
        <v/>
      </c>
      <c r="BC352" s="51" t="n">
        <v>0.007534246575342466</v>
      </c>
      <c r="BD352" s="51" t="n">
        <v>0.04383561643835616</v>
      </c>
      <c r="BE352" s="51" t="n">
        <v>0.2153406383992377</v>
      </c>
      <c r="BF352" s="43" t="n">
        <v>2920</v>
      </c>
    </row>
    <row r="353">
      <c r="A353" s="42" t="inlineStr">
        <is>
          <t>KS</t>
        </is>
      </c>
      <c r="B353" s="42" t="inlineStr">
        <is>
          <t>20107</t>
        </is>
      </c>
      <c r="C353" s="42" t="inlineStr">
        <is>
          <t>Linn</t>
        </is>
      </c>
      <c r="D353" s="42" t="inlineStr">
        <is>
          <t>Small town &amp; rural</t>
        </is>
      </c>
      <c r="E353" s="42" t="inlineStr"/>
      <c r="F353" s="43" t="n">
        <v>854</v>
      </c>
      <c r="G353" s="43" t="n">
        <v>4093</v>
      </c>
      <c r="H353" s="43" t="n">
        <v>5016</v>
      </c>
      <c r="I353" s="43" t="n">
        <v>863</v>
      </c>
      <c r="J353" s="43" t="n">
        <v>3940</v>
      </c>
      <c r="K353" s="42" t="inlineStr">
        <is>
          <t>US Senate</t>
        </is>
      </c>
      <c r="L353" s="43" t="n">
        <v>593</v>
      </c>
      <c r="M353" s="43" t="n">
        <v>3017</v>
      </c>
      <c r="N353" s="43" t="n">
        <v>3715</v>
      </c>
      <c r="O353" s="44">
        <f>IFERROR((F353-G353)/(F353+G353),"")</f>
        <v/>
      </c>
      <c r="P353" s="44">
        <f>IFERROR((I353-J353)/(I353+J353),"")</f>
        <v/>
      </c>
      <c r="Q353" s="45">
        <f>IFERROR(O353-P353,"")</f>
        <v/>
      </c>
      <c r="R353" s="44">
        <f>IFERROR((L353-M353)/(L353+M353),"")</f>
        <v/>
      </c>
      <c r="S353" s="46">
        <f>H353/SUMIFS(Counties!$H$2:$H$1583,Counties!$A$2:$A$1583,$A353)</f>
        <v/>
      </c>
      <c r="T353" s="44">
        <f>O353+INDEX(Dashboard!$F$6:$F$22,MATCH($A353,Dashboard!$A$6:$A$22,0))</f>
        <v/>
      </c>
      <c r="U353" s="43">
        <f>AQ353*INDEX(Dashboard!$G$6:$G$22,MATCH($A353,Dashboard!$A$6:$A$22,0))</f>
        <v/>
      </c>
      <c r="V353" s="47" t="n"/>
      <c r="W353" s="47" t="n"/>
      <c r="X353" s="47" t="n"/>
      <c r="Y353" s="48" t="n"/>
      <c r="Z353" s="49" t="n"/>
      <c r="AA353" s="49" t="n"/>
      <c r="AB353" s="49" t="n"/>
      <c r="AC353" s="50" t="n"/>
      <c r="AD353" s="43">
        <f>IF(Z353&lt;&gt;"",Z353,N(V353))</f>
        <v/>
      </c>
      <c r="AE353" s="43">
        <f>IF(AA353&lt;&gt;"",AA353,N(W353))</f>
        <v/>
      </c>
      <c r="AF353" s="43">
        <f>AD353+AE353</f>
        <v/>
      </c>
      <c r="AG353" s="42">
        <f>IF(UPPER(AC353)="Y",1,IF(AF353=0,0,IF(AND(Z353="",Y353&lt;&gt;""),IF(Y353&gt;=0.999,1,0),IF(AF353&gt;=U353,1,0))))</f>
        <v/>
      </c>
      <c r="AH353" s="44">
        <f>IF(AF353&gt;0,(AD353-AE353)/AF353,"")</f>
        <v/>
      </c>
      <c r="AI353" s="45">
        <f>IF(AG353=1,AH353-O353,"")</f>
        <v/>
      </c>
      <c r="AJ353" s="44">
        <f>IF(AG353=1,AH353,MAX(-1,MIN(1,O353+INDEX(Types!$H:$H,MATCH($A353&amp;"|"&amp;$D353,Types!$A:$A,0)))))</f>
        <v/>
      </c>
      <c r="AK353" s="43">
        <f>IF(AG353=1,AF353,MAX(AQ353*AS353,AF353))</f>
        <v/>
      </c>
      <c r="AL353" s="43">
        <f>IF(AG353=1,AD353,AK353*(1+AJ353)/2)</f>
        <v/>
      </c>
      <c r="AM353" s="43">
        <f>IF(AG353=1,AE353,AK353*(1-AJ353)/2)</f>
        <v/>
      </c>
      <c r="AN353" s="45">
        <f>IF(AH353="","",AH353-T353)</f>
        <v/>
      </c>
      <c r="AO353" s="51">
        <f>IF(AG353=1,1,IF(U353&gt;0,MIN(AF353/U353,0.99),0))</f>
        <v/>
      </c>
      <c r="AP353" s="43">
        <f>IF(AG353=1,AI353*AF353,0)</f>
        <v/>
      </c>
      <c r="AQ353" s="43">
        <f>N353*(F353+G353)/H353</f>
        <v/>
      </c>
      <c r="AR353" s="43">
        <f>O353*AQ353</f>
        <v/>
      </c>
      <c r="AS353" s="52">
        <f>IF(AG353=1,IF(AQ353&gt;0,AF353/AQ353,1),IFERROR(INDEX(Types!$K:$K,MATCH($A353&amp;"|"&amp;$D353,Types!$A:$A,0)),INDEX(Dashboard!$X$6:$X$22,MATCH($A353,Dashboard!$A$6:$A$22,0))))</f>
        <v/>
      </c>
      <c r="AT353" s="43">
        <f>AQ353*INDEX(Dashboard!$Y$6:$Y$22,MATCH($A353,Dashboard!$A$6:$A$22,0))</f>
        <v/>
      </c>
      <c r="AU353" s="53">
        <f>IF(AND(AG353=1,AT353&gt;0,AF353&gt;0),100*AF353/AT353,"")</f>
        <v/>
      </c>
      <c r="AV353" s="44">
        <f>IF(AU353="","",T353/(AU353/100))</f>
        <v/>
      </c>
      <c r="AW353" s="53">
        <f>IF(AU353="","",IF(AND(ABS(AH353)&gt;=0.1,ABS(T353)&gt;=0.05,SIGN(AH353)=SIGN(T353)),100*T353/AH353,""))</f>
        <v/>
      </c>
      <c r="AX353" s="45">
        <f>IF(AU353="","",T353-AV353)</f>
        <v/>
      </c>
      <c r="AY353" s="45">
        <f>IF(AU353="","",AH353-AV353)</f>
        <v/>
      </c>
      <c r="AZ353" s="54">
        <f>(AL353-AM353)-T353*AT353</f>
        <v/>
      </c>
      <c r="BA353" s="43">
        <f>IF(AU353="",0,(AH353-T353)*AF353)</f>
        <v/>
      </c>
      <c r="BB353" s="43">
        <f>IF(AU353="",0,T353*(AF353-AT353))</f>
        <v/>
      </c>
      <c r="BC353" s="51" t="n">
        <v>0.0114604462474645</v>
      </c>
      <c r="BD353" s="51" t="n">
        <v>0.03417849898580122</v>
      </c>
      <c r="BE353" s="51" t="n">
        <v>0.2248589205614238</v>
      </c>
      <c r="BF353" s="43" t="n">
        <v>9860</v>
      </c>
    </row>
    <row r="354">
      <c r="A354" s="42" t="inlineStr">
        <is>
          <t>KS</t>
        </is>
      </c>
      <c r="B354" s="42" t="inlineStr">
        <is>
          <t>20109</t>
        </is>
      </c>
      <c r="C354" s="42" t="inlineStr">
        <is>
          <t>Logan</t>
        </is>
      </c>
      <c r="D354" s="42" t="inlineStr">
        <is>
          <t>Small town &amp; rural</t>
        </is>
      </c>
      <c r="E354" s="42" t="inlineStr"/>
      <c r="F354" s="43" t="n">
        <v>183</v>
      </c>
      <c r="G354" s="43" t="n">
        <v>1186</v>
      </c>
      <c r="H354" s="43" t="n">
        <v>1400</v>
      </c>
      <c r="I354" s="43" t="n">
        <v>185</v>
      </c>
      <c r="J354" s="43" t="n">
        <v>1231</v>
      </c>
      <c r="K354" s="42" t="inlineStr">
        <is>
          <t>US Senate</t>
        </is>
      </c>
      <c r="L354" s="43" t="n">
        <v>82</v>
      </c>
      <c r="M354" s="43" t="n">
        <v>979</v>
      </c>
      <c r="N354" s="43" t="n">
        <v>1086</v>
      </c>
      <c r="O354" s="44">
        <f>IFERROR((F354-G354)/(F354+G354),"")</f>
        <v/>
      </c>
      <c r="P354" s="44">
        <f>IFERROR((I354-J354)/(I354+J354),"")</f>
        <v/>
      </c>
      <c r="Q354" s="45">
        <f>IFERROR(O354-P354,"")</f>
        <v/>
      </c>
      <c r="R354" s="44">
        <f>IFERROR((L354-M354)/(L354+M354),"")</f>
        <v/>
      </c>
      <c r="S354" s="46">
        <f>H354/SUMIFS(Counties!$H$2:$H$1583,Counties!$A$2:$A$1583,$A354)</f>
        <v/>
      </c>
      <c r="T354" s="44">
        <f>O354+INDEX(Dashboard!$F$6:$F$22,MATCH($A354,Dashboard!$A$6:$A$22,0))</f>
        <v/>
      </c>
      <c r="U354" s="43">
        <f>AQ354*INDEX(Dashboard!$G$6:$G$22,MATCH($A354,Dashboard!$A$6:$A$22,0))</f>
        <v/>
      </c>
      <c r="V354" s="47" t="n"/>
      <c r="W354" s="47" t="n"/>
      <c r="X354" s="47" t="n"/>
      <c r="Y354" s="48" t="n"/>
      <c r="Z354" s="49" t="n"/>
      <c r="AA354" s="49" t="n"/>
      <c r="AB354" s="49" t="n"/>
      <c r="AC354" s="50" t="n"/>
      <c r="AD354" s="43">
        <f>IF(Z354&lt;&gt;"",Z354,N(V354))</f>
        <v/>
      </c>
      <c r="AE354" s="43">
        <f>IF(AA354&lt;&gt;"",AA354,N(W354))</f>
        <v/>
      </c>
      <c r="AF354" s="43">
        <f>AD354+AE354</f>
        <v/>
      </c>
      <c r="AG354" s="42">
        <f>IF(UPPER(AC354)="Y",1,IF(AF354=0,0,IF(AND(Z354="",Y354&lt;&gt;""),IF(Y354&gt;=0.999,1,0),IF(AF354&gt;=U354,1,0))))</f>
        <v/>
      </c>
      <c r="AH354" s="44">
        <f>IF(AF354&gt;0,(AD354-AE354)/AF354,"")</f>
        <v/>
      </c>
      <c r="AI354" s="45">
        <f>IF(AG354=1,AH354-O354,"")</f>
        <v/>
      </c>
      <c r="AJ354" s="44">
        <f>IF(AG354=1,AH354,MAX(-1,MIN(1,O354+INDEX(Types!$H:$H,MATCH($A354&amp;"|"&amp;$D354,Types!$A:$A,0)))))</f>
        <v/>
      </c>
      <c r="AK354" s="43">
        <f>IF(AG354=1,AF354,MAX(AQ354*AS354,AF354))</f>
        <v/>
      </c>
      <c r="AL354" s="43">
        <f>IF(AG354=1,AD354,AK354*(1+AJ354)/2)</f>
        <v/>
      </c>
      <c r="AM354" s="43">
        <f>IF(AG354=1,AE354,AK354*(1-AJ354)/2)</f>
        <v/>
      </c>
      <c r="AN354" s="45">
        <f>IF(AH354="","",AH354-T354)</f>
        <v/>
      </c>
      <c r="AO354" s="51">
        <f>IF(AG354=1,1,IF(U354&gt;0,MIN(AF354/U354,0.99),0))</f>
        <v/>
      </c>
      <c r="AP354" s="43">
        <f>IF(AG354=1,AI354*AF354,0)</f>
        <v/>
      </c>
      <c r="AQ354" s="43">
        <f>N354*(F354+G354)/H354</f>
        <v/>
      </c>
      <c r="AR354" s="43">
        <f>O354*AQ354</f>
        <v/>
      </c>
      <c r="AS354" s="52">
        <f>IF(AG354=1,IF(AQ354&gt;0,AF354/AQ354,1),IFERROR(INDEX(Types!$K:$K,MATCH($A354&amp;"|"&amp;$D354,Types!$A:$A,0)),INDEX(Dashboard!$X$6:$X$22,MATCH($A354,Dashboard!$A$6:$A$22,0))))</f>
        <v/>
      </c>
      <c r="AT354" s="43">
        <f>AQ354*INDEX(Dashboard!$Y$6:$Y$22,MATCH($A354,Dashboard!$A$6:$A$22,0))</f>
        <v/>
      </c>
      <c r="AU354" s="53">
        <f>IF(AND(AG354=1,AT354&gt;0,AF354&gt;0),100*AF354/AT354,"")</f>
        <v/>
      </c>
      <c r="AV354" s="44">
        <f>IF(AU354="","",T354/(AU354/100))</f>
        <v/>
      </c>
      <c r="AW354" s="53">
        <f>IF(AU354="","",IF(AND(ABS(AH354)&gt;=0.1,ABS(T354)&gt;=0.05,SIGN(AH354)=SIGN(T354)),100*T354/AH354,""))</f>
        <v/>
      </c>
      <c r="AX354" s="45">
        <f>IF(AU354="","",T354-AV354)</f>
        <v/>
      </c>
      <c r="AY354" s="45">
        <f>IF(AU354="","",AH354-AV354)</f>
        <v/>
      </c>
      <c r="AZ354" s="54">
        <f>(AL354-AM354)-T354*AT354</f>
        <v/>
      </c>
      <c r="BA354" s="43">
        <f>IF(AU354="",0,(AH354-T354)*AF354)</f>
        <v/>
      </c>
      <c r="BB354" s="43">
        <f>IF(AU354="",0,T354*(AF354-AT354))</f>
        <v/>
      </c>
      <c r="BC354" s="51" t="n">
        <v>0.00900562851782364</v>
      </c>
      <c r="BD354" s="51" t="n">
        <v>0.07317073170731707</v>
      </c>
      <c r="BE354" s="51" t="n">
        <v>0.2665623369848722</v>
      </c>
      <c r="BF354" s="43" t="n">
        <v>2665</v>
      </c>
    </row>
    <row r="355">
      <c r="A355" s="42" t="inlineStr">
        <is>
          <t>KS</t>
        </is>
      </c>
      <c r="B355" s="42" t="inlineStr">
        <is>
          <t>20111</t>
        </is>
      </c>
      <c r="C355" s="42" t="inlineStr">
        <is>
          <t>Lyon</t>
        </is>
      </c>
      <c r="D355" s="42" t="inlineStr">
        <is>
          <t>Small town &amp; rural</t>
        </is>
      </c>
      <c r="E355" s="42" t="inlineStr"/>
      <c r="F355" s="43" t="n">
        <v>5515</v>
      </c>
      <c r="G355" s="43" t="n">
        <v>7462</v>
      </c>
      <c r="H355" s="43" t="n">
        <v>13256</v>
      </c>
      <c r="I355" s="43" t="n">
        <v>5878</v>
      </c>
      <c r="J355" s="43" t="n">
        <v>7381</v>
      </c>
      <c r="K355" s="42" t="inlineStr">
        <is>
          <t>US Senate</t>
        </is>
      </c>
      <c r="L355" s="43" t="n">
        <v>3549</v>
      </c>
      <c r="M355" s="43" t="n">
        <v>6203</v>
      </c>
      <c r="N355" s="43" t="n">
        <v>10052</v>
      </c>
      <c r="O355" s="44">
        <f>IFERROR((F355-G355)/(F355+G355),"")</f>
        <v/>
      </c>
      <c r="P355" s="44">
        <f>IFERROR((I355-J355)/(I355+J355),"")</f>
        <v/>
      </c>
      <c r="Q355" s="45">
        <f>IFERROR(O355-P355,"")</f>
        <v/>
      </c>
      <c r="R355" s="44">
        <f>IFERROR((L355-M355)/(L355+M355),"")</f>
        <v/>
      </c>
      <c r="S355" s="46">
        <f>H355/SUMIFS(Counties!$H$2:$H$1583,Counties!$A$2:$A$1583,$A355)</f>
        <v/>
      </c>
      <c r="T355" s="44">
        <f>O355+INDEX(Dashboard!$F$6:$F$22,MATCH($A355,Dashboard!$A$6:$A$22,0))</f>
        <v/>
      </c>
      <c r="U355" s="43">
        <f>AQ355*INDEX(Dashboard!$G$6:$G$22,MATCH($A355,Dashboard!$A$6:$A$22,0))</f>
        <v/>
      </c>
      <c r="V355" s="47" t="n"/>
      <c r="W355" s="47" t="n"/>
      <c r="X355" s="47" t="n"/>
      <c r="Y355" s="48" t="n"/>
      <c r="Z355" s="49" t="n"/>
      <c r="AA355" s="49" t="n"/>
      <c r="AB355" s="49" t="n"/>
      <c r="AC355" s="50" t="n"/>
      <c r="AD355" s="43">
        <f>IF(Z355&lt;&gt;"",Z355,N(V355))</f>
        <v/>
      </c>
      <c r="AE355" s="43">
        <f>IF(AA355&lt;&gt;"",AA355,N(W355))</f>
        <v/>
      </c>
      <c r="AF355" s="43">
        <f>AD355+AE355</f>
        <v/>
      </c>
      <c r="AG355" s="42">
        <f>IF(UPPER(AC355)="Y",1,IF(AF355=0,0,IF(AND(Z355="",Y355&lt;&gt;""),IF(Y355&gt;=0.999,1,0),IF(AF355&gt;=U355,1,0))))</f>
        <v/>
      </c>
      <c r="AH355" s="44">
        <f>IF(AF355&gt;0,(AD355-AE355)/AF355,"")</f>
        <v/>
      </c>
      <c r="AI355" s="45">
        <f>IF(AG355=1,AH355-O355,"")</f>
        <v/>
      </c>
      <c r="AJ355" s="44">
        <f>IF(AG355=1,AH355,MAX(-1,MIN(1,O355+INDEX(Types!$H:$H,MATCH($A355&amp;"|"&amp;$D355,Types!$A:$A,0)))))</f>
        <v/>
      </c>
      <c r="AK355" s="43">
        <f>IF(AG355=1,AF355,MAX(AQ355*AS355,AF355))</f>
        <v/>
      </c>
      <c r="AL355" s="43">
        <f>IF(AG355=1,AD355,AK355*(1+AJ355)/2)</f>
        <v/>
      </c>
      <c r="AM355" s="43">
        <f>IF(AG355=1,AE355,AK355*(1-AJ355)/2)</f>
        <v/>
      </c>
      <c r="AN355" s="45">
        <f>IF(AH355="","",AH355-T355)</f>
        <v/>
      </c>
      <c r="AO355" s="51">
        <f>IF(AG355=1,1,IF(U355&gt;0,MIN(AF355/U355,0.99),0))</f>
        <v/>
      </c>
      <c r="AP355" s="43">
        <f>IF(AG355=1,AI355*AF355,0)</f>
        <v/>
      </c>
      <c r="AQ355" s="43">
        <f>N355*(F355+G355)/H355</f>
        <v/>
      </c>
      <c r="AR355" s="43">
        <f>O355*AQ355</f>
        <v/>
      </c>
      <c r="AS355" s="52">
        <f>IF(AG355=1,IF(AQ355&gt;0,AF355/AQ355,1),IFERROR(INDEX(Types!$K:$K,MATCH($A355&amp;"|"&amp;$D355,Types!$A:$A,0)),INDEX(Dashboard!$X$6:$X$22,MATCH($A355,Dashboard!$A$6:$A$22,0))))</f>
        <v/>
      </c>
      <c r="AT355" s="43">
        <f>AQ355*INDEX(Dashboard!$Y$6:$Y$22,MATCH($A355,Dashboard!$A$6:$A$22,0))</f>
        <v/>
      </c>
      <c r="AU355" s="53">
        <f>IF(AND(AG355=1,AT355&gt;0,AF355&gt;0),100*AF355/AT355,"")</f>
        <v/>
      </c>
      <c r="AV355" s="44">
        <f>IF(AU355="","",T355/(AU355/100))</f>
        <v/>
      </c>
      <c r="AW355" s="53">
        <f>IF(AU355="","",IF(AND(ABS(AH355)&gt;=0.1,ABS(T355)&gt;=0.05,SIGN(AH355)=SIGN(T355)),100*T355/AH355,""))</f>
        <v/>
      </c>
      <c r="AX355" s="45">
        <f>IF(AU355="","",T355-AV355)</f>
        <v/>
      </c>
      <c r="AY355" s="45">
        <f>IF(AU355="","",AH355-AV355)</f>
        <v/>
      </c>
      <c r="AZ355" s="54">
        <f>(AL355-AM355)-T355*AT355</f>
        <v/>
      </c>
      <c r="BA355" s="43">
        <f>IF(AU355="",0,(AH355-T355)*AF355)</f>
        <v/>
      </c>
      <c r="BB355" s="43">
        <f>IF(AU355="",0,T355*(AF355-AT355))</f>
        <v/>
      </c>
      <c r="BC355" s="51" t="n">
        <v>0.01933358199676738</v>
      </c>
      <c r="BD355" s="51" t="n">
        <v>0.2493783414148949</v>
      </c>
      <c r="BE355" s="51" t="n">
        <v>0.277143738433066</v>
      </c>
      <c r="BF355" s="43" t="n">
        <v>32172</v>
      </c>
    </row>
    <row r="356">
      <c r="A356" s="42" t="inlineStr">
        <is>
          <t>KS</t>
        </is>
      </c>
      <c r="B356" s="42" t="inlineStr">
        <is>
          <t>20115</t>
        </is>
      </c>
      <c r="C356" s="42" t="inlineStr">
        <is>
          <t>Marion</t>
        </is>
      </c>
      <c r="D356" s="42" t="inlineStr">
        <is>
          <t>Small town &amp; rural</t>
        </is>
      </c>
      <c r="E356" s="42" t="inlineStr"/>
      <c r="F356" s="43" t="n">
        <v>1429</v>
      </c>
      <c r="G356" s="43" t="n">
        <v>4312</v>
      </c>
      <c r="H356" s="43" t="n">
        <v>5870</v>
      </c>
      <c r="I356" s="43" t="n">
        <v>1463</v>
      </c>
      <c r="J356" s="43" t="n">
        <v>4377</v>
      </c>
      <c r="K356" s="42" t="inlineStr">
        <is>
          <t>US Senate</t>
        </is>
      </c>
      <c r="L356" s="43" t="n">
        <v>901</v>
      </c>
      <c r="M356" s="43" t="n">
        <v>3801</v>
      </c>
      <c r="N356" s="43" t="n">
        <v>4813</v>
      </c>
      <c r="O356" s="44">
        <f>IFERROR((F356-G356)/(F356+G356),"")</f>
        <v/>
      </c>
      <c r="P356" s="44">
        <f>IFERROR((I356-J356)/(I356+J356),"")</f>
        <v/>
      </c>
      <c r="Q356" s="45">
        <f>IFERROR(O356-P356,"")</f>
        <v/>
      </c>
      <c r="R356" s="44">
        <f>IFERROR((L356-M356)/(L356+M356),"")</f>
        <v/>
      </c>
      <c r="S356" s="46">
        <f>H356/SUMIFS(Counties!$H$2:$H$1583,Counties!$A$2:$A$1583,$A356)</f>
        <v/>
      </c>
      <c r="T356" s="44">
        <f>O356+INDEX(Dashboard!$F$6:$F$22,MATCH($A356,Dashboard!$A$6:$A$22,0))</f>
        <v/>
      </c>
      <c r="U356" s="43">
        <f>AQ356*INDEX(Dashboard!$G$6:$G$22,MATCH($A356,Dashboard!$A$6:$A$22,0))</f>
        <v/>
      </c>
      <c r="V356" s="47" t="n"/>
      <c r="W356" s="47" t="n"/>
      <c r="X356" s="47" t="n"/>
      <c r="Y356" s="48" t="n"/>
      <c r="Z356" s="49" t="n"/>
      <c r="AA356" s="49" t="n"/>
      <c r="AB356" s="49" t="n"/>
      <c r="AC356" s="50" t="n"/>
      <c r="AD356" s="43">
        <f>IF(Z356&lt;&gt;"",Z356,N(V356))</f>
        <v/>
      </c>
      <c r="AE356" s="43">
        <f>IF(AA356&lt;&gt;"",AA356,N(W356))</f>
        <v/>
      </c>
      <c r="AF356" s="43">
        <f>AD356+AE356</f>
        <v/>
      </c>
      <c r="AG356" s="42">
        <f>IF(UPPER(AC356)="Y",1,IF(AF356=0,0,IF(AND(Z356="",Y356&lt;&gt;""),IF(Y356&gt;=0.999,1,0),IF(AF356&gt;=U356,1,0))))</f>
        <v/>
      </c>
      <c r="AH356" s="44">
        <f>IF(AF356&gt;0,(AD356-AE356)/AF356,"")</f>
        <v/>
      </c>
      <c r="AI356" s="45">
        <f>IF(AG356=1,AH356-O356,"")</f>
        <v/>
      </c>
      <c r="AJ356" s="44">
        <f>IF(AG356=1,AH356,MAX(-1,MIN(1,O356+INDEX(Types!$H:$H,MATCH($A356&amp;"|"&amp;$D356,Types!$A:$A,0)))))</f>
        <v/>
      </c>
      <c r="AK356" s="43">
        <f>IF(AG356=1,AF356,MAX(AQ356*AS356,AF356))</f>
        <v/>
      </c>
      <c r="AL356" s="43">
        <f>IF(AG356=1,AD356,AK356*(1+AJ356)/2)</f>
        <v/>
      </c>
      <c r="AM356" s="43">
        <f>IF(AG356=1,AE356,AK356*(1-AJ356)/2)</f>
        <v/>
      </c>
      <c r="AN356" s="45">
        <f>IF(AH356="","",AH356-T356)</f>
        <v/>
      </c>
      <c r="AO356" s="51">
        <f>IF(AG356=1,1,IF(U356&gt;0,MIN(AF356/U356,0.99),0))</f>
        <v/>
      </c>
      <c r="AP356" s="43">
        <f>IF(AG356=1,AI356*AF356,0)</f>
        <v/>
      </c>
      <c r="AQ356" s="43">
        <f>N356*(F356+G356)/H356</f>
        <v/>
      </c>
      <c r="AR356" s="43">
        <f>O356*AQ356</f>
        <v/>
      </c>
      <c r="AS356" s="52">
        <f>IF(AG356=1,IF(AQ356&gt;0,AF356/AQ356,1),IFERROR(INDEX(Types!$K:$K,MATCH($A356&amp;"|"&amp;$D356,Types!$A:$A,0)),INDEX(Dashboard!$X$6:$X$22,MATCH($A356,Dashboard!$A$6:$A$22,0))))</f>
        <v/>
      </c>
      <c r="AT356" s="43">
        <f>AQ356*INDEX(Dashboard!$Y$6:$Y$22,MATCH($A356,Dashboard!$A$6:$A$22,0))</f>
        <v/>
      </c>
      <c r="AU356" s="53">
        <f>IF(AND(AG356=1,AT356&gt;0,AF356&gt;0),100*AF356/AT356,"")</f>
        <v/>
      </c>
      <c r="AV356" s="44">
        <f>IF(AU356="","",T356/(AU356/100))</f>
        <v/>
      </c>
      <c r="AW356" s="53">
        <f>IF(AU356="","",IF(AND(ABS(AH356)&gt;=0.1,ABS(T356)&gt;=0.05,SIGN(AH356)=SIGN(T356)),100*T356/AH356,""))</f>
        <v/>
      </c>
      <c r="AX356" s="45">
        <f>IF(AU356="","",T356-AV356)</f>
        <v/>
      </c>
      <c r="AY356" s="45">
        <f>IF(AU356="","",AH356-AV356)</f>
        <v/>
      </c>
      <c r="AZ356" s="54">
        <f>(AL356-AM356)-T356*AT356</f>
        <v/>
      </c>
      <c r="BA356" s="43">
        <f>IF(AU356="",0,(AH356-T356)*AF356)</f>
        <v/>
      </c>
      <c r="BB356" s="43">
        <f>IF(AU356="",0,T356*(AF356-AT356))</f>
        <v/>
      </c>
      <c r="BC356" s="51" t="n">
        <v>0.01077844311377246</v>
      </c>
      <c r="BD356" s="51" t="n">
        <v>0.04285714285714286</v>
      </c>
      <c r="BE356" s="51" t="n">
        <v>0.2876729402966471</v>
      </c>
      <c r="BF356" s="43" t="n">
        <v>11690</v>
      </c>
    </row>
    <row r="357">
      <c r="A357" s="42" t="inlineStr">
        <is>
          <t>KS</t>
        </is>
      </c>
      <c r="B357" s="42" t="inlineStr">
        <is>
          <t>20117</t>
        </is>
      </c>
      <c r="C357" s="42" t="inlineStr">
        <is>
          <t>Marshall</t>
        </is>
      </c>
      <c r="D357" s="42" t="inlineStr">
        <is>
          <t>Small town &amp; rural</t>
        </is>
      </c>
      <c r="E357" s="42" t="inlineStr"/>
      <c r="F357" s="43" t="n">
        <v>1205</v>
      </c>
      <c r="G357" s="43" t="n">
        <v>3644</v>
      </c>
      <c r="H357" s="43" t="n">
        <v>4968</v>
      </c>
      <c r="I357" s="43" t="n">
        <v>1239</v>
      </c>
      <c r="J357" s="43" t="n">
        <v>3662</v>
      </c>
      <c r="K357" s="42" t="inlineStr">
        <is>
          <t>US Senate</t>
        </is>
      </c>
      <c r="L357" s="43" t="n">
        <v>755</v>
      </c>
      <c r="M357" s="43" t="n">
        <v>3043</v>
      </c>
      <c r="N357" s="43" t="n">
        <v>3885</v>
      </c>
      <c r="O357" s="44">
        <f>IFERROR((F357-G357)/(F357+G357),"")</f>
        <v/>
      </c>
      <c r="P357" s="44">
        <f>IFERROR((I357-J357)/(I357+J357),"")</f>
        <v/>
      </c>
      <c r="Q357" s="45">
        <f>IFERROR(O357-P357,"")</f>
        <v/>
      </c>
      <c r="R357" s="44">
        <f>IFERROR((L357-M357)/(L357+M357),"")</f>
        <v/>
      </c>
      <c r="S357" s="46">
        <f>H357/SUMIFS(Counties!$H$2:$H$1583,Counties!$A$2:$A$1583,$A357)</f>
        <v/>
      </c>
      <c r="T357" s="44">
        <f>O357+INDEX(Dashboard!$F$6:$F$22,MATCH($A357,Dashboard!$A$6:$A$22,0))</f>
        <v/>
      </c>
      <c r="U357" s="43">
        <f>AQ357*INDEX(Dashboard!$G$6:$G$22,MATCH($A357,Dashboard!$A$6:$A$22,0))</f>
        <v/>
      </c>
      <c r="V357" s="47" t="n"/>
      <c r="W357" s="47" t="n"/>
      <c r="X357" s="47" t="n"/>
      <c r="Y357" s="48" t="n"/>
      <c r="Z357" s="49" t="n"/>
      <c r="AA357" s="49" t="n"/>
      <c r="AB357" s="49" t="n"/>
      <c r="AC357" s="50" t="n"/>
      <c r="AD357" s="43">
        <f>IF(Z357&lt;&gt;"",Z357,N(V357))</f>
        <v/>
      </c>
      <c r="AE357" s="43">
        <f>IF(AA357&lt;&gt;"",AA357,N(W357))</f>
        <v/>
      </c>
      <c r="AF357" s="43">
        <f>AD357+AE357</f>
        <v/>
      </c>
      <c r="AG357" s="42">
        <f>IF(UPPER(AC357)="Y",1,IF(AF357=0,0,IF(AND(Z357="",Y357&lt;&gt;""),IF(Y357&gt;=0.999,1,0),IF(AF357&gt;=U357,1,0))))</f>
        <v/>
      </c>
      <c r="AH357" s="44">
        <f>IF(AF357&gt;0,(AD357-AE357)/AF357,"")</f>
        <v/>
      </c>
      <c r="AI357" s="45">
        <f>IF(AG357=1,AH357-O357,"")</f>
        <v/>
      </c>
      <c r="AJ357" s="44">
        <f>IF(AG357=1,AH357,MAX(-1,MIN(1,O357+INDEX(Types!$H:$H,MATCH($A357&amp;"|"&amp;$D357,Types!$A:$A,0)))))</f>
        <v/>
      </c>
      <c r="AK357" s="43">
        <f>IF(AG357=1,AF357,MAX(AQ357*AS357,AF357))</f>
        <v/>
      </c>
      <c r="AL357" s="43">
        <f>IF(AG357=1,AD357,AK357*(1+AJ357)/2)</f>
        <v/>
      </c>
      <c r="AM357" s="43">
        <f>IF(AG357=1,AE357,AK357*(1-AJ357)/2)</f>
        <v/>
      </c>
      <c r="AN357" s="45">
        <f>IF(AH357="","",AH357-T357)</f>
        <v/>
      </c>
      <c r="AO357" s="51">
        <f>IF(AG357=1,1,IF(U357&gt;0,MIN(AF357/U357,0.99),0))</f>
        <v/>
      </c>
      <c r="AP357" s="43">
        <f>IF(AG357=1,AI357*AF357,0)</f>
        <v/>
      </c>
      <c r="AQ357" s="43">
        <f>N357*(F357+G357)/H357</f>
        <v/>
      </c>
      <c r="AR357" s="43">
        <f>O357*AQ357</f>
        <v/>
      </c>
      <c r="AS357" s="52">
        <f>IF(AG357=1,IF(AQ357&gt;0,AF357/AQ357,1),IFERROR(INDEX(Types!$K:$K,MATCH($A357&amp;"|"&amp;$D357,Types!$A:$A,0)),INDEX(Dashboard!$X$6:$X$22,MATCH($A357,Dashboard!$A$6:$A$22,0))))</f>
        <v/>
      </c>
      <c r="AT357" s="43">
        <f>AQ357*INDEX(Dashboard!$Y$6:$Y$22,MATCH($A357,Dashboard!$A$6:$A$22,0))</f>
        <v/>
      </c>
      <c r="AU357" s="53">
        <f>IF(AND(AG357=1,AT357&gt;0,AF357&gt;0),100*AF357/AT357,"")</f>
        <v/>
      </c>
      <c r="AV357" s="44">
        <f>IF(AU357="","",T357/(AU357/100))</f>
        <v/>
      </c>
      <c r="AW357" s="53">
        <f>IF(AU357="","",IF(AND(ABS(AH357)&gt;=0.1,ABS(T357)&gt;=0.05,SIGN(AH357)=SIGN(T357)),100*T357/AH357,""))</f>
        <v/>
      </c>
      <c r="AX357" s="45">
        <f>IF(AU357="","",T357-AV357)</f>
        <v/>
      </c>
      <c r="AY357" s="45">
        <f>IF(AU357="","",AH357-AV357)</f>
        <v/>
      </c>
      <c r="AZ357" s="54">
        <f>(AL357-AM357)-T357*AT357</f>
        <v/>
      </c>
      <c r="BA357" s="43">
        <f>IF(AU357="",0,(AH357-T357)*AF357)</f>
        <v/>
      </c>
      <c r="BB357" s="43">
        <f>IF(AU357="",0,T357*(AF357-AT357))</f>
        <v/>
      </c>
      <c r="BC357" s="51" t="n">
        <v>0.007047216349541931</v>
      </c>
      <c r="BD357" s="51" t="n">
        <v>0.02798751635960938</v>
      </c>
      <c r="BE357" s="51" t="n">
        <v>0.1887909865665174</v>
      </c>
      <c r="BF357" s="43" t="n">
        <v>9933</v>
      </c>
    </row>
    <row r="358">
      <c r="A358" s="42" t="inlineStr">
        <is>
          <t>KS</t>
        </is>
      </c>
      <c r="B358" s="42" t="inlineStr">
        <is>
          <t>20113</t>
        </is>
      </c>
      <c r="C358" s="42" t="inlineStr">
        <is>
          <t>McPherson</t>
        </is>
      </c>
      <c r="D358" s="42" t="inlineStr">
        <is>
          <t>Small town &amp; rural</t>
        </is>
      </c>
      <c r="E358" s="42" t="inlineStr"/>
      <c r="F358" s="43" t="n">
        <v>4021</v>
      </c>
      <c r="G358" s="43" t="n">
        <v>9816</v>
      </c>
      <c r="H358" s="43" t="n">
        <v>14104</v>
      </c>
      <c r="I358" s="43" t="n">
        <v>3977</v>
      </c>
      <c r="J358" s="43" t="n">
        <v>9562</v>
      </c>
      <c r="K358" s="42" t="inlineStr">
        <is>
          <t>US Senate</t>
        </is>
      </c>
      <c r="L358" s="43" t="n">
        <v>2593</v>
      </c>
      <c r="M358" s="43" t="n">
        <v>8268</v>
      </c>
      <c r="N358" s="43" t="n">
        <v>11154</v>
      </c>
      <c r="O358" s="44">
        <f>IFERROR((F358-G358)/(F358+G358),"")</f>
        <v/>
      </c>
      <c r="P358" s="44">
        <f>IFERROR((I358-J358)/(I358+J358),"")</f>
        <v/>
      </c>
      <c r="Q358" s="45">
        <f>IFERROR(O358-P358,"")</f>
        <v/>
      </c>
      <c r="R358" s="44">
        <f>IFERROR((L358-M358)/(L358+M358),"")</f>
        <v/>
      </c>
      <c r="S358" s="46">
        <f>H358/SUMIFS(Counties!$H$2:$H$1583,Counties!$A$2:$A$1583,$A358)</f>
        <v/>
      </c>
      <c r="T358" s="44">
        <f>O358+INDEX(Dashboard!$F$6:$F$22,MATCH($A358,Dashboard!$A$6:$A$22,0))</f>
        <v/>
      </c>
      <c r="U358" s="43">
        <f>AQ358*INDEX(Dashboard!$G$6:$G$22,MATCH($A358,Dashboard!$A$6:$A$22,0))</f>
        <v/>
      </c>
      <c r="V358" s="47" t="n"/>
      <c r="W358" s="47" t="n"/>
      <c r="X358" s="47" t="n"/>
      <c r="Y358" s="48" t="n"/>
      <c r="Z358" s="49" t="n"/>
      <c r="AA358" s="49" t="n"/>
      <c r="AB358" s="49" t="n"/>
      <c r="AC358" s="50" t="n"/>
      <c r="AD358" s="43">
        <f>IF(Z358&lt;&gt;"",Z358,N(V358))</f>
        <v/>
      </c>
      <c r="AE358" s="43">
        <f>IF(AA358&lt;&gt;"",AA358,N(W358))</f>
        <v/>
      </c>
      <c r="AF358" s="43">
        <f>AD358+AE358</f>
        <v/>
      </c>
      <c r="AG358" s="42">
        <f>IF(UPPER(AC358)="Y",1,IF(AF358=0,0,IF(AND(Z358="",Y358&lt;&gt;""),IF(Y358&gt;=0.999,1,0),IF(AF358&gt;=U358,1,0))))</f>
        <v/>
      </c>
      <c r="AH358" s="44">
        <f>IF(AF358&gt;0,(AD358-AE358)/AF358,"")</f>
        <v/>
      </c>
      <c r="AI358" s="45">
        <f>IF(AG358=1,AH358-O358,"")</f>
        <v/>
      </c>
      <c r="AJ358" s="44">
        <f>IF(AG358=1,AH358,MAX(-1,MIN(1,O358+INDEX(Types!$H:$H,MATCH($A358&amp;"|"&amp;$D358,Types!$A:$A,0)))))</f>
        <v/>
      </c>
      <c r="AK358" s="43">
        <f>IF(AG358=1,AF358,MAX(AQ358*AS358,AF358))</f>
        <v/>
      </c>
      <c r="AL358" s="43">
        <f>IF(AG358=1,AD358,AK358*(1+AJ358)/2)</f>
        <v/>
      </c>
      <c r="AM358" s="43">
        <f>IF(AG358=1,AE358,AK358*(1-AJ358)/2)</f>
        <v/>
      </c>
      <c r="AN358" s="45">
        <f>IF(AH358="","",AH358-T358)</f>
        <v/>
      </c>
      <c r="AO358" s="51">
        <f>IF(AG358=1,1,IF(U358&gt;0,MIN(AF358/U358,0.99),0))</f>
        <v/>
      </c>
      <c r="AP358" s="43">
        <f>IF(AG358=1,AI358*AF358,0)</f>
        <v/>
      </c>
      <c r="AQ358" s="43">
        <f>N358*(F358+G358)/H358</f>
        <v/>
      </c>
      <c r="AR358" s="43">
        <f>O358*AQ358</f>
        <v/>
      </c>
      <c r="AS358" s="52">
        <f>IF(AG358=1,IF(AQ358&gt;0,AF358/AQ358,1),IFERROR(INDEX(Types!$K:$K,MATCH($A358&amp;"|"&amp;$D358,Types!$A:$A,0)),INDEX(Dashboard!$X$6:$X$22,MATCH($A358,Dashboard!$A$6:$A$22,0))))</f>
        <v/>
      </c>
      <c r="AT358" s="43">
        <f>AQ358*INDEX(Dashboard!$Y$6:$Y$22,MATCH($A358,Dashboard!$A$6:$A$22,0))</f>
        <v/>
      </c>
      <c r="AU358" s="53">
        <f>IF(AND(AG358=1,AT358&gt;0,AF358&gt;0),100*AF358/AT358,"")</f>
        <v/>
      </c>
      <c r="AV358" s="44">
        <f>IF(AU358="","",T358/(AU358/100))</f>
        <v/>
      </c>
      <c r="AW358" s="53">
        <f>IF(AU358="","",IF(AND(ABS(AH358)&gt;=0.1,ABS(T358)&gt;=0.05,SIGN(AH358)=SIGN(T358)),100*T358/AH358,""))</f>
        <v/>
      </c>
      <c r="AX358" s="45">
        <f>IF(AU358="","",T358-AV358)</f>
        <v/>
      </c>
      <c r="AY358" s="45">
        <f>IF(AU358="","",AH358-AV358)</f>
        <v/>
      </c>
      <c r="AZ358" s="54">
        <f>(AL358-AM358)-T358*AT358</f>
        <v/>
      </c>
      <c r="BA358" s="43">
        <f>IF(AU358="",0,(AH358-T358)*AF358)</f>
        <v/>
      </c>
      <c r="BB358" s="43">
        <f>IF(AU358="",0,T358*(AF358-AT358))</f>
        <v/>
      </c>
      <c r="BC358" s="51" t="n">
        <v>0.01535342793526303</v>
      </c>
      <c r="BD358" s="51" t="n">
        <v>0.0569937855172643</v>
      </c>
      <c r="BE358" s="51" t="n">
        <v>0.3308540907502621</v>
      </c>
      <c r="BF358" s="43" t="n">
        <v>30091</v>
      </c>
    </row>
    <row r="359">
      <c r="A359" s="42" t="inlineStr">
        <is>
          <t>KS</t>
        </is>
      </c>
      <c r="B359" s="42" t="inlineStr">
        <is>
          <t>20119</t>
        </is>
      </c>
      <c r="C359" s="42" t="inlineStr">
        <is>
          <t>Meade</t>
        </is>
      </c>
      <c r="D359" s="42" t="inlineStr">
        <is>
          <t>Small town &amp; rural</t>
        </is>
      </c>
      <c r="E359" s="42" t="inlineStr"/>
      <c r="F359" s="43" t="n">
        <v>247</v>
      </c>
      <c r="G359" s="43" t="n">
        <v>1427</v>
      </c>
      <c r="H359" s="43" t="n">
        <v>1695</v>
      </c>
      <c r="I359" s="43" t="n">
        <v>261</v>
      </c>
      <c r="J359" s="43" t="n">
        <v>1508</v>
      </c>
      <c r="K359" s="42" t="inlineStr">
        <is>
          <t>US Senate</t>
        </is>
      </c>
      <c r="L359" s="43" t="n">
        <v>123</v>
      </c>
      <c r="M359" s="43" t="n">
        <v>1154</v>
      </c>
      <c r="N359" s="43" t="n">
        <v>1311</v>
      </c>
      <c r="O359" s="44">
        <f>IFERROR((F359-G359)/(F359+G359),"")</f>
        <v/>
      </c>
      <c r="P359" s="44">
        <f>IFERROR((I359-J359)/(I359+J359),"")</f>
        <v/>
      </c>
      <c r="Q359" s="45">
        <f>IFERROR(O359-P359,"")</f>
        <v/>
      </c>
      <c r="R359" s="44">
        <f>IFERROR((L359-M359)/(L359+M359),"")</f>
        <v/>
      </c>
      <c r="S359" s="46">
        <f>H359/SUMIFS(Counties!$H$2:$H$1583,Counties!$A$2:$A$1583,$A359)</f>
        <v/>
      </c>
      <c r="T359" s="44">
        <f>O359+INDEX(Dashboard!$F$6:$F$22,MATCH($A359,Dashboard!$A$6:$A$22,0))</f>
        <v/>
      </c>
      <c r="U359" s="43">
        <f>AQ359*INDEX(Dashboard!$G$6:$G$22,MATCH($A359,Dashboard!$A$6:$A$22,0))</f>
        <v/>
      </c>
      <c r="V359" s="47" t="n"/>
      <c r="W359" s="47" t="n"/>
      <c r="X359" s="47" t="n"/>
      <c r="Y359" s="48" t="n"/>
      <c r="Z359" s="49" t="n"/>
      <c r="AA359" s="49" t="n"/>
      <c r="AB359" s="49" t="n"/>
      <c r="AC359" s="50" t="n"/>
      <c r="AD359" s="43">
        <f>IF(Z359&lt;&gt;"",Z359,N(V359))</f>
        <v/>
      </c>
      <c r="AE359" s="43">
        <f>IF(AA359&lt;&gt;"",AA359,N(W359))</f>
        <v/>
      </c>
      <c r="AF359" s="43">
        <f>AD359+AE359</f>
        <v/>
      </c>
      <c r="AG359" s="42">
        <f>IF(UPPER(AC359)="Y",1,IF(AF359=0,0,IF(AND(Z359="",Y359&lt;&gt;""),IF(Y359&gt;=0.999,1,0),IF(AF359&gt;=U359,1,0))))</f>
        <v/>
      </c>
      <c r="AH359" s="44">
        <f>IF(AF359&gt;0,(AD359-AE359)/AF359,"")</f>
        <v/>
      </c>
      <c r="AI359" s="45">
        <f>IF(AG359=1,AH359-O359,"")</f>
        <v/>
      </c>
      <c r="AJ359" s="44">
        <f>IF(AG359=1,AH359,MAX(-1,MIN(1,O359+INDEX(Types!$H:$H,MATCH($A359&amp;"|"&amp;$D359,Types!$A:$A,0)))))</f>
        <v/>
      </c>
      <c r="AK359" s="43">
        <f>IF(AG359=1,AF359,MAX(AQ359*AS359,AF359))</f>
        <v/>
      </c>
      <c r="AL359" s="43">
        <f>IF(AG359=1,AD359,AK359*(1+AJ359)/2)</f>
        <v/>
      </c>
      <c r="AM359" s="43">
        <f>IF(AG359=1,AE359,AK359*(1-AJ359)/2)</f>
        <v/>
      </c>
      <c r="AN359" s="45">
        <f>IF(AH359="","",AH359-T359)</f>
        <v/>
      </c>
      <c r="AO359" s="51">
        <f>IF(AG359=1,1,IF(U359&gt;0,MIN(AF359/U359,0.99),0))</f>
        <v/>
      </c>
      <c r="AP359" s="43">
        <f>IF(AG359=1,AI359*AF359,0)</f>
        <v/>
      </c>
      <c r="AQ359" s="43">
        <f>N359*(F359+G359)/H359</f>
        <v/>
      </c>
      <c r="AR359" s="43">
        <f>O359*AQ359</f>
        <v/>
      </c>
      <c r="AS359" s="52">
        <f>IF(AG359=1,IF(AQ359&gt;0,AF359/AQ359,1),IFERROR(INDEX(Types!$K:$K,MATCH($A359&amp;"|"&amp;$D359,Types!$A:$A,0)),INDEX(Dashboard!$X$6:$X$22,MATCH($A359,Dashboard!$A$6:$A$22,0))))</f>
        <v/>
      </c>
      <c r="AT359" s="43">
        <f>AQ359*INDEX(Dashboard!$Y$6:$Y$22,MATCH($A359,Dashboard!$A$6:$A$22,0))</f>
        <v/>
      </c>
      <c r="AU359" s="53">
        <f>IF(AND(AG359=1,AT359&gt;0,AF359&gt;0),100*AF359/AT359,"")</f>
        <v/>
      </c>
      <c r="AV359" s="44">
        <f>IF(AU359="","",T359/(AU359/100))</f>
        <v/>
      </c>
      <c r="AW359" s="53">
        <f>IF(AU359="","",IF(AND(ABS(AH359)&gt;=0.1,ABS(T359)&gt;=0.05,SIGN(AH359)=SIGN(T359)),100*T359/AH359,""))</f>
        <v/>
      </c>
      <c r="AX359" s="45">
        <f>IF(AU359="","",T359-AV359)</f>
        <v/>
      </c>
      <c r="AY359" s="45">
        <f>IF(AU359="","",AH359-AV359)</f>
        <v/>
      </c>
      <c r="AZ359" s="54">
        <f>(AL359-AM359)-T359*AT359</f>
        <v/>
      </c>
      <c r="BA359" s="43">
        <f>IF(AU359="",0,(AH359-T359)*AF359)</f>
        <v/>
      </c>
      <c r="BB359" s="43">
        <f>IF(AU359="",0,T359*(AF359-AT359))</f>
        <v/>
      </c>
      <c r="BC359" s="51" t="n">
        <v>0.01764254666325748</v>
      </c>
      <c r="BD359" s="51" t="n">
        <v>0.2122219381232421</v>
      </c>
      <c r="BE359" s="51" t="n">
        <v>0.2275049115913556</v>
      </c>
      <c r="BF359" s="43" t="n">
        <v>3911</v>
      </c>
    </row>
    <row r="360">
      <c r="A360" s="42" t="inlineStr">
        <is>
          <t>KS</t>
        </is>
      </c>
      <c r="B360" s="42" t="inlineStr">
        <is>
          <t>20121</t>
        </is>
      </c>
      <c r="C360" s="42" t="inlineStr">
        <is>
          <t>Miami</t>
        </is>
      </c>
      <c r="D360" s="42" t="inlineStr">
        <is>
          <t>Small town &amp; rural</t>
        </is>
      </c>
      <c r="E360" s="42" t="inlineStr"/>
      <c r="F360" s="43" t="n">
        <v>5472</v>
      </c>
      <c r="G360" s="43" t="n">
        <v>12854</v>
      </c>
      <c r="H360" s="43" t="n">
        <v>18685</v>
      </c>
      <c r="I360" s="43" t="n">
        <v>5133</v>
      </c>
      <c r="J360" s="43" t="n">
        <v>12116</v>
      </c>
      <c r="K360" s="42" t="inlineStr">
        <is>
          <t>US Senate</t>
        </is>
      </c>
      <c r="L360" s="43" t="n">
        <v>3574</v>
      </c>
      <c r="M360" s="43" t="n">
        <v>9475</v>
      </c>
      <c r="N360" s="43" t="n">
        <v>13453</v>
      </c>
      <c r="O360" s="44">
        <f>IFERROR((F360-G360)/(F360+G360),"")</f>
        <v/>
      </c>
      <c r="P360" s="44">
        <f>IFERROR((I360-J360)/(I360+J360),"")</f>
        <v/>
      </c>
      <c r="Q360" s="45">
        <f>IFERROR(O360-P360,"")</f>
        <v/>
      </c>
      <c r="R360" s="44">
        <f>IFERROR((L360-M360)/(L360+M360),"")</f>
        <v/>
      </c>
      <c r="S360" s="46">
        <f>H360/SUMIFS(Counties!$H$2:$H$1583,Counties!$A$2:$A$1583,$A360)</f>
        <v/>
      </c>
      <c r="T360" s="44">
        <f>O360+INDEX(Dashboard!$F$6:$F$22,MATCH($A360,Dashboard!$A$6:$A$22,0))</f>
        <v/>
      </c>
      <c r="U360" s="43">
        <f>AQ360*INDEX(Dashboard!$G$6:$G$22,MATCH($A360,Dashboard!$A$6:$A$22,0))</f>
        <v/>
      </c>
      <c r="V360" s="47" t="n"/>
      <c r="W360" s="47" t="n"/>
      <c r="X360" s="47" t="n"/>
      <c r="Y360" s="48" t="n"/>
      <c r="Z360" s="49" t="n"/>
      <c r="AA360" s="49" t="n"/>
      <c r="AB360" s="49" t="n"/>
      <c r="AC360" s="50" t="n"/>
      <c r="AD360" s="43">
        <f>IF(Z360&lt;&gt;"",Z360,N(V360))</f>
        <v/>
      </c>
      <c r="AE360" s="43">
        <f>IF(AA360&lt;&gt;"",AA360,N(W360))</f>
        <v/>
      </c>
      <c r="AF360" s="43">
        <f>AD360+AE360</f>
        <v/>
      </c>
      <c r="AG360" s="42">
        <f>IF(UPPER(AC360)="Y",1,IF(AF360=0,0,IF(AND(Z360="",Y360&lt;&gt;""),IF(Y360&gt;=0.999,1,0),IF(AF360&gt;=U360,1,0))))</f>
        <v/>
      </c>
      <c r="AH360" s="44">
        <f>IF(AF360&gt;0,(AD360-AE360)/AF360,"")</f>
        <v/>
      </c>
      <c r="AI360" s="45">
        <f>IF(AG360=1,AH360-O360,"")</f>
        <v/>
      </c>
      <c r="AJ360" s="44">
        <f>IF(AG360=1,AH360,MAX(-1,MIN(1,O360+INDEX(Types!$H:$H,MATCH($A360&amp;"|"&amp;$D360,Types!$A:$A,0)))))</f>
        <v/>
      </c>
      <c r="AK360" s="43">
        <f>IF(AG360=1,AF360,MAX(AQ360*AS360,AF360))</f>
        <v/>
      </c>
      <c r="AL360" s="43">
        <f>IF(AG360=1,AD360,AK360*(1+AJ360)/2)</f>
        <v/>
      </c>
      <c r="AM360" s="43">
        <f>IF(AG360=1,AE360,AK360*(1-AJ360)/2)</f>
        <v/>
      </c>
      <c r="AN360" s="45">
        <f>IF(AH360="","",AH360-T360)</f>
        <v/>
      </c>
      <c r="AO360" s="51">
        <f>IF(AG360=1,1,IF(U360&gt;0,MIN(AF360/U360,0.99),0))</f>
        <v/>
      </c>
      <c r="AP360" s="43">
        <f>IF(AG360=1,AI360*AF360,0)</f>
        <v/>
      </c>
      <c r="AQ360" s="43">
        <f>N360*(F360+G360)/H360</f>
        <v/>
      </c>
      <c r="AR360" s="43">
        <f>O360*AQ360</f>
        <v/>
      </c>
      <c r="AS360" s="52">
        <f>IF(AG360=1,IF(AQ360&gt;0,AF360/AQ360,1),IFERROR(INDEX(Types!$K:$K,MATCH($A360&amp;"|"&amp;$D360,Types!$A:$A,0)),INDEX(Dashboard!$X$6:$X$22,MATCH($A360,Dashboard!$A$6:$A$22,0))))</f>
        <v/>
      </c>
      <c r="AT360" s="43">
        <f>AQ360*INDEX(Dashboard!$Y$6:$Y$22,MATCH($A360,Dashboard!$A$6:$A$22,0))</f>
        <v/>
      </c>
      <c r="AU360" s="53">
        <f>IF(AND(AG360=1,AT360&gt;0,AF360&gt;0),100*AF360/AT360,"")</f>
        <v/>
      </c>
      <c r="AV360" s="44">
        <f>IF(AU360="","",T360/(AU360/100))</f>
        <v/>
      </c>
      <c r="AW360" s="53">
        <f>IF(AU360="","",IF(AND(ABS(AH360)&gt;=0.1,ABS(T360)&gt;=0.05,SIGN(AH360)=SIGN(T360)),100*T360/AH360,""))</f>
        <v/>
      </c>
      <c r="AX360" s="45">
        <f>IF(AU360="","",T360-AV360)</f>
        <v/>
      </c>
      <c r="AY360" s="45">
        <f>IF(AU360="","",AH360-AV360)</f>
        <v/>
      </c>
      <c r="AZ360" s="54">
        <f>(AL360-AM360)-T360*AT360</f>
        <v/>
      </c>
      <c r="BA360" s="43">
        <f>IF(AU360="",0,(AH360-T360)*AF360)</f>
        <v/>
      </c>
      <c r="BB360" s="43">
        <f>IF(AU360="",0,T360*(AF360-AT360))</f>
        <v/>
      </c>
      <c r="BC360" s="51" t="n">
        <v>0.01231596828992072</v>
      </c>
      <c r="BD360" s="51" t="n">
        <v>0.04351642129105323</v>
      </c>
      <c r="BE360" s="51" t="n">
        <v>0.3214693808455711</v>
      </c>
      <c r="BF360" s="43" t="n">
        <v>35320</v>
      </c>
    </row>
    <row r="361">
      <c r="A361" s="42" t="inlineStr">
        <is>
          <t>KS</t>
        </is>
      </c>
      <c r="B361" s="42" t="inlineStr">
        <is>
          <t>20123</t>
        </is>
      </c>
      <c r="C361" s="42" t="inlineStr">
        <is>
          <t>Mitchell</t>
        </is>
      </c>
      <c r="D361" s="42" t="inlineStr">
        <is>
          <t>Small town &amp; rural</t>
        </is>
      </c>
      <c r="E361" s="42" t="inlineStr"/>
      <c r="F361" s="43" t="n">
        <v>528</v>
      </c>
      <c r="G361" s="43" t="n">
        <v>2608</v>
      </c>
      <c r="H361" s="43" t="n">
        <v>3172</v>
      </c>
      <c r="I361" s="43" t="n">
        <v>547</v>
      </c>
      <c r="J361" s="43" t="n">
        <v>2454</v>
      </c>
      <c r="K361" s="42" t="inlineStr">
        <is>
          <t>US Senate</t>
        </is>
      </c>
      <c r="L361" s="43" t="n">
        <v>291</v>
      </c>
      <c r="M361" s="43" t="n">
        <v>2023</v>
      </c>
      <c r="N361" s="43" t="n">
        <v>2372</v>
      </c>
      <c r="O361" s="44">
        <f>IFERROR((F361-G361)/(F361+G361),"")</f>
        <v/>
      </c>
      <c r="P361" s="44">
        <f>IFERROR((I361-J361)/(I361+J361),"")</f>
        <v/>
      </c>
      <c r="Q361" s="45">
        <f>IFERROR(O361-P361,"")</f>
        <v/>
      </c>
      <c r="R361" s="44">
        <f>IFERROR((L361-M361)/(L361+M361),"")</f>
        <v/>
      </c>
      <c r="S361" s="46">
        <f>H361/SUMIFS(Counties!$H$2:$H$1583,Counties!$A$2:$A$1583,$A361)</f>
        <v/>
      </c>
      <c r="T361" s="44">
        <f>O361+INDEX(Dashboard!$F$6:$F$22,MATCH($A361,Dashboard!$A$6:$A$22,0))</f>
        <v/>
      </c>
      <c r="U361" s="43">
        <f>AQ361*INDEX(Dashboard!$G$6:$G$22,MATCH($A361,Dashboard!$A$6:$A$22,0))</f>
        <v/>
      </c>
      <c r="V361" s="47" t="n"/>
      <c r="W361" s="47" t="n"/>
      <c r="X361" s="47" t="n"/>
      <c r="Y361" s="48" t="n"/>
      <c r="Z361" s="49" t="n"/>
      <c r="AA361" s="49" t="n"/>
      <c r="AB361" s="49" t="n"/>
      <c r="AC361" s="50" t="n"/>
      <c r="AD361" s="43">
        <f>IF(Z361&lt;&gt;"",Z361,N(V361))</f>
        <v/>
      </c>
      <c r="AE361" s="43">
        <f>IF(AA361&lt;&gt;"",AA361,N(W361))</f>
        <v/>
      </c>
      <c r="AF361" s="43">
        <f>AD361+AE361</f>
        <v/>
      </c>
      <c r="AG361" s="42">
        <f>IF(UPPER(AC361)="Y",1,IF(AF361=0,0,IF(AND(Z361="",Y361&lt;&gt;""),IF(Y361&gt;=0.999,1,0),IF(AF361&gt;=U361,1,0))))</f>
        <v/>
      </c>
      <c r="AH361" s="44">
        <f>IF(AF361&gt;0,(AD361-AE361)/AF361,"")</f>
        <v/>
      </c>
      <c r="AI361" s="45">
        <f>IF(AG361=1,AH361-O361,"")</f>
        <v/>
      </c>
      <c r="AJ361" s="44">
        <f>IF(AG361=1,AH361,MAX(-1,MIN(1,O361+INDEX(Types!$H:$H,MATCH($A361&amp;"|"&amp;$D361,Types!$A:$A,0)))))</f>
        <v/>
      </c>
      <c r="AK361" s="43">
        <f>IF(AG361=1,AF361,MAX(AQ361*AS361,AF361))</f>
        <v/>
      </c>
      <c r="AL361" s="43">
        <f>IF(AG361=1,AD361,AK361*(1+AJ361)/2)</f>
        <v/>
      </c>
      <c r="AM361" s="43">
        <f>IF(AG361=1,AE361,AK361*(1-AJ361)/2)</f>
        <v/>
      </c>
      <c r="AN361" s="45">
        <f>IF(AH361="","",AH361-T361)</f>
        <v/>
      </c>
      <c r="AO361" s="51">
        <f>IF(AG361=1,1,IF(U361&gt;0,MIN(AF361/U361,0.99),0))</f>
        <v/>
      </c>
      <c r="AP361" s="43">
        <f>IF(AG361=1,AI361*AF361,0)</f>
        <v/>
      </c>
      <c r="AQ361" s="43">
        <f>N361*(F361+G361)/H361</f>
        <v/>
      </c>
      <c r="AR361" s="43">
        <f>O361*AQ361</f>
        <v/>
      </c>
      <c r="AS361" s="52">
        <f>IF(AG361=1,IF(AQ361&gt;0,AF361/AQ361,1),IFERROR(INDEX(Types!$K:$K,MATCH($A361&amp;"|"&amp;$D361,Types!$A:$A,0)),INDEX(Dashboard!$X$6:$X$22,MATCH($A361,Dashboard!$A$6:$A$22,0))))</f>
        <v/>
      </c>
      <c r="AT361" s="43">
        <f>AQ361*INDEX(Dashboard!$Y$6:$Y$22,MATCH($A361,Dashboard!$A$6:$A$22,0))</f>
        <v/>
      </c>
      <c r="AU361" s="53">
        <f>IF(AND(AG361=1,AT361&gt;0,AF361&gt;0),100*AF361/AT361,"")</f>
        <v/>
      </c>
      <c r="AV361" s="44">
        <f>IF(AU361="","",T361/(AU361/100))</f>
        <v/>
      </c>
      <c r="AW361" s="53">
        <f>IF(AU361="","",IF(AND(ABS(AH361)&gt;=0.1,ABS(T361)&gt;=0.05,SIGN(AH361)=SIGN(T361)),100*T361/AH361,""))</f>
        <v/>
      </c>
      <c r="AX361" s="45">
        <f>IF(AU361="","",T361-AV361)</f>
        <v/>
      </c>
      <c r="AY361" s="45">
        <f>IF(AU361="","",AH361-AV361)</f>
        <v/>
      </c>
      <c r="AZ361" s="54">
        <f>(AL361-AM361)-T361*AT361</f>
        <v/>
      </c>
      <c r="BA361" s="43">
        <f>IF(AU361="",0,(AH361-T361)*AF361)</f>
        <v/>
      </c>
      <c r="BB361" s="43">
        <f>IF(AU361="",0,T361*(AF361-AT361))</f>
        <v/>
      </c>
      <c r="BC361" s="51" t="n">
        <v>0.003671970624235006</v>
      </c>
      <c r="BD361" s="51" t="n">
        <v>0.03287287987410387</v>
      </c>
      <c r="BE361" s="51" t="n">
        <v>0.2543191056910569</v>
      </c>
      <c r="BF361" s="43" t="n">
        <v>5719</v>
      </c>
    </row>
    <row r="362">
      <c r="A362" s="42" t="inlineStr">
        <is>
          <t>KS</t>
        </is>
      </c>
      <c r="B362" s="42" t="inlineStr">
        <is>
          <t>20125</t>
        </is>
      </c>
      <c r="C362" s="42" t="inlineStr">
        <is>
          <t>Montgomery</t>
        </is>
      </c>
      <c r="D362" s="42" t="inlineStr">
        <is>
          <t>Small town &amp; rural</t>
        </is>
      </c>
      <c r="E362" s="42" t="inlineStr"/>
      <c r="F362" s="43" t="n">
        <v>2934</v>
      </c>
      <c r="G362" s="43" t="n">
        <v>9287</v>
      </c>
      <c r="H362" s="43" t="n">
        <v>12441</v>
      </c>
      <c r="I362" s="43" t="n">
        <v>3147</v>
      </c>
      <c r="J362" s="43" t="n">
        <v>9768</v>
      </c>
      <c r="K362" s="42" t="inlineStr">
        <is>
          <t>US Senate</t>
        </is>
      </c>
      <c r="L362" s="43" t="n">
        <v>2105</v>
      </c>
      <c r="M362" s="43" t="n">
        <v>7117</v>
      </c>
      <c r="N362" s="43" t="n">
        <v>9516</v>
      </c>
      <c r="O362" s="44">
        <f>IFERROR((F362-G362)/(F362+G362),"")</f>
        <v/>
      </c>
      <c r="P362" s="44">
        <f>IFERROR((I362-J362)/(I362+J362),"")</f>
        <v/>
      </c>
      <c r="Q362" s="45">
        <f>IFERROR(O362-P362,"")</f>
        <v/>
      </c>
      <c r="R362" s="44">
        <f>IFERROR((L362-M362)/(L362+M362),"")</f>
        <v/>
      </c>
      <c r="S362" s="46">
        <f>H362/SUMIFS(Counties!$H$2:$H$1583,Counties!$A$2:$A$1583,$A362)</f>
        <v/>
      </c>
      <c r="T362" s="44">
        <f>O362+INDEX(Dashboard!$F$6:$F$22,MATCH($A362,Dashboard!$A$6:$A$22,0))</f>
        <v/>
      </c>
      <c r="U362" s="43">
        <f>AQ362*INDEX(Dashboard!$G$6:$G$22,MATCH($A362,Dashboard!$A$6:$A$22,0))</f>
        <v/>
      </c>
      <c r="V362" s="47" t="n"/>
      <c r="W362" s="47" t="n"/>
      <c r="X362" s="47" t="n"/>
      <c r="Y362" s="48" t="n"/>
      <c r="Z362" s="49" t="n"/>
      <c r="AA362" s="49" t="n"/>
      <c r="AB362" s="49" t="n"/>
      <c r="AC362" s="50" t="n"/>
      <c r="AD362" s="43">
        <f>IF(Z362&lt;&gt;"",Z362,N(V362))</f>
        <v/>
      </c>
      <c r="AE362" s="43">
        <f>IF(AA362&lt;&gt;"",AA362,N(W362))</f>
        <v/>
      </c>
      <c r="AF362" s="43">
        <f>AD362+AE362</f>
        <v/>
      </c>
      <c r="AG362" s="42">
        <f>IF(UPPER(AC362)="Y",1,IF(AF362=0,0,IF(AND(Z362="",Y362&lt;&gt;""),IF(Y362&gt;=0.999,1,0),IF(AF362&gt;=U362,1,0))))</f>
        <v/>
      </c>
      <c r="AH362" s="44">
        <f>IF(AF362&gt;0,(AD362-AE362)/AF362,"")</f>
        <v/>
      </c>
      <c r="AI362" s="45">
        <f>IF(AG362=1,AH362-O362,"")</f>
        <v/>
      </c>
      <c r="AJ362" s="44">
        <f>IF(AG362=1,AH362,MAX(-1,MIN(1,O362+INDEX(Types!$H:$H,MATCH($A362&amp;"|"&amp;$D362,Types!$A:$A,0)))))</f>
        <v/>
      </c>
      <c r="AK362" s="43">
        <f>IF(AG362=1,AF362,MAX(AQ362*AS362,AF362))</f>
        <v/>
      </c>
      <c r="AL362" s="43">
        <f>IF(AG362=1,AD362,AK362*(1+AJ362)/2)</f>
        <v/>
      </c>
      <c r="AM362" s="43">
        <f>IF(AG362=1,AE362,AK362*(1-AJ362)/2)</f>
        <v/>
      </c>
      <c r="AN362" s="45">
        <f>IF(AH362="","",AH362-T362)</f>
        <v/>
      </c>
      <c r="AO362" s="51">
        <f>IF(AG362=1,1,IF(U362&gt;0,MIN(AF362/U362,0.99),0))</f>
        <v/>
      </c>
      <c r="AP362" s="43">
        <f>IF(AG362=1,AI362*AF362,0)</f>
        <v/>
      </c>
      <c r="AQ362" s="43">
        <f>N362*(F362+G362)/H362</f>
        <v/>
      </c>
      <c r="AR362" s="43">
        <f>O362*AQ362</f>
        <v/>
      </c>
      <c r="AS362" s="52">
        <f>IF(AG362=1,IF(AQ362&gt;0,AF362/AQ362,1),IFERROR(INDEX(Types!$K:$K,MATCH($A362&amp;"|"&amp;$D362,Types!$A:$A,0)),INDEX(Dashboard!$X$6:$X$22,MATCH($A362,Dashboard!$A$6:$A$22,0))))</f>
        <v/>
      </c>
      <c r="AT362" s="43">
        <f>AQ362*INDEX(Dashboard!$Y$6:$Y$22,MATCH($A362,Dashboard!$A$6:$A$22,0))</f>
        <v/>
      </c>
      <c r="AU362" s="53">
        <f>IF(AND(AG362=1,AT362&gt;0,AF362&gt;0),100*AF362/AT362,"")</f>
        <v/>
      </c>
      <c r="AV362" s="44">
        <f>IF(AU362="","",T362/(AU362/100))</f>
        <v/>
      </c>
      <c r="AW362" s="53">
        <f>IF(AU362="","",IF(AND(ABS(AH362)&gt;=0.1,ABS(T362)&gt;=0.05,SIGN(AH362)=SIGN(T362)),100*T362/AH362,""))</f>
        <v/>
      </c>
      <c r="AX362" s="45">
        <f>IF(AU362="","",T362-AV362)</f>
        <v/>
      </c>
      <c r="AY362" s="45">
        <f>IF(AU362="","",AH362-AV362)</f>
        <v/>
      </c>
      <c r="AZ362" s="54">
        <f>(AL362-AM362)-T362*AT362</f>
        <v/>
      </c>
      <c r="BA362" s="43">
        <f>IF(AU362="",0,(AH362-T362)*AF362)</f>
        <v/>
      </c>
      <c r="BB362" s="43">
        <f>IF(AU362="",0,T362*(AF362-AT362))</f>
        <v/>
      </c>
      <c r="BC362" s="51" t="n">
        <v>0.04458911279769694</v>
      </c>
      <c r="BD362" s="51" t="n">
        <v>0.08243915205443601</v>
      </c>
      <c r="BE362" s="51" t="n">
        <v>0.2130756382724887</v>
      </c>
      <c r="BF362" s="43" t="n">
        <v>30568</v>
      </c>
    </row>
    <row r="363">
      <c r="A363" s="42" t="inlineStr">
        <is>
          <t>KS</t>
        </is>
      </c>
      <c r="B363" s="42" t="inlineStr">
        <is>
          <t>20127</t>
        </is>
      </c>
      <c r="C363" s="42" t="inlineStr">
        <is>
          <t>Morris</t>
        </is>
      </c>
      <c r="D363" s="42" t="inlineStr">
        <is>
          <t>Small town &amp; rural</t>
        </is>
      </c>
      <c r="E363" s="42" t="inlineStr"/>
      <c r="F363" s="43" t="n">
        <v>721</v>
      </c>
      <c r="G363" s="43" t="n">
        <v>2021</v>
      </c>
      <c r="H363" s="43" t="n">
        <v>2792</v>
      </c>
      <c r="I363" s="43" t="n">
        <v>721</v>
      </c>
      <c r="J363" s="43" t="n">
        <v>2085</v>
      </c>
      <c r="K363" s="42" t="inlineStr">
        <is>
          <t>US Senate</t>
        </is>
      </c>
      <c r="L363" s="43" t="n">
        <v>436</v>
      </c>
      <c r="M363" s="43" t="n">
        <v>1724</v>
      </c>
      <c r="N363" s="43" t="n">
        <v>2229</v>
      </c>
      <c r="O363" s="44">
        <f>IFERROR((F363-G363)/(F363+G363),"")</f>
        <v/>
      </c>
      <c r="P363" s="44">
        <f>IFERROR((I363-J363)/(I363+J363),"")</f>
        <v/>
      </c>
      <c r="Q363" s="45">
        <f>IFERROR(O363-P363,"")</f>
        <v/>
      </c>
      <c r="R363" s="44">
        <f>IFERROR((L363-M363)/(L363+M363),"")</f>
        <v/>
      </c>
      <c r="S363" s="46">
        <f>H363/SUMIFS(Counties!$H$2:$H$1583,Counties!$A$2:$A$1583,$A363)</f>
        <v/>
      </c>
      <c r="T363" s="44">
        <f>O363+INDEX(Dashboard!$F$6:$F$22,MATCH($A363,Dashboard!$A$6:$A$22,0))</f>
        <v/>
      </c>
      <c r="U363" s="43">
        <f>AQ363*INDEX(Dashboard!$G$6:$G$22,MATCH($A363,Dashboard!$A$6:$A$22,0))</f>
        <v/>
      </c>
      <c r="V363" s="47" t="n"/>
      <c r="W363" s="47" t="n"/>
      <c r="X363" s="47" t="n"/>
      <c r="Y363" s="48" t="n"/>
      <c r="Z363" s="49" t="n"/>
      <c r="AA363" s="49" t="n"/>
      <c r="AB363" s="49" t="n"/>
      <c r="AC363" s="50" t="n"/>
      <c r="AD363" s="43">
        <f>IF(Z363&lt;&gt;"",Z363,N(V363))</f>
        <v/>
      </c>
      <c r="AE363" s="43">
        <f>IF(AA363&lt;&gt;"",AA363,N(W363))</f>
        <v/>
      </c>
      <c r="AF363" s="43">
        <f>AD363+AE363</f>
        <v/>
      </c>
      <c r="AG363" s="42">
        <f>IF(UPPER(AC363)="Y",1,IF(AF363=0,0,IF(AND(Z363="",Y363&lt;&gt;""),IF(Y363&gt;=0.999,1,0),IF(AF363&gt;=U363,1,0))))</f>
        <v/>
      </c>
      <c r="AH363" s="44">
        <f>IF(AF363&gt;0,(AD363-AE363)/AF363,"")</f>
        <v/>
      </c>
      <c r="AI363" s="45">
        <f>IF(AG363=1,AH363-O363,"")</f>
        <v/>
      </c>
      <c r="AJ363" s="44">
        <f>IF(AG363=1,AH363,MAX(-1,MIN(1,O363+INDEX(Types!$H:$H,MATCH($A363&amp;"|"&amp;$D363,Types!$A:$A,0)))))</f>
        <v/>
      </c>
      <c r="AK363" s="43">
        <f>IF(AG363=1,AF363,MAX(AQ363*AS363,AF363))</f>
        <v/>
      </c>
      <c r="AL363" s="43">
        <f>IF(AG363=1,AD363,AK363*(1+AJ363)/2)</f>
        <v/>
      </c>
      <c r="AM363" s="43">
        <f>IF(AG363=1,AE363,AK363*(1-AJ363)/2)</f>
        <v/>
      </c>
      <c r="AN363" s="45">
        <f>IF(AH363="","",AH363-T363)</f>
        <v/>
      </c>
      <c r="AO363" s="51">
        <f>IF(AG363=1,1,IF(U363&gt;0,MIN(AF363/U363,0.99),0))</f>
        <v/>
      </c>
      <c r="AP363" s="43">
        <f>IF(AG363=1,AI363*AF363,0)</f>
        <v/>
      </c>
      <c r="AQ363" s="43">
        <f>N363*(F363+G363)/H363</f>
        <v/>
      </c>
      <c r="AR363" s="43">
        <f>O363*AQ363</f>
        <v/>
      </c>
      <c r="AS363" s="52">
        <f>IF(AG363=1,IF(AQ363&gt;0,AF363/AQ363,1),IFERROR(INDEX(Types!$K:$K,MATCH($A363&amp;"|"&amp;$D363,Types!$A:$A,0)),INDEX(Dashboard!$X$6:$X$22,MATCH($A363,Dashboard!$A$6:$A$22,0))))</f>
        <v/>
      </c>
      <c r="AT363" s="43">
        <f>AQ363*INDEX(Dashboard!$Y$6:$Y$22,MATCH($A363,Dashboard!$A$6:$A$22,0))</f>
        <v/>
      </c>
      <c r="AU363" s="53">
        <f>IF(AND(AG363=1,AT363&gt;0,AF363&gt;0),100*AF363/AT363,"")</f>
        <v/>
      </c>
      <c r="AV363" s="44">
        <f>IF(AU363="","",T363/(AU363/100))</f>
        <v/>
      </c>
      <c r="AW363" s="53">
        <f>IF(AU363="","",IF(AND(ABS(AH363)&gt;=0.1,ABS(T363)&gt;=0.05,SIGN(AH363)=SIGN(T363)),100*T363/AH363,""))</f>
        <v/>
      </c>
      <c r="AX363" s="45">
        <f>IF(AU363="","",T363-AV363)</f>
        <v/>
      </c>
      <c r="AY363" s="45">
        <f>IF(AU363="","",AH363-AV363)</f>
        <v/>
      </c>
      <c r="AZ363" s="54">
        <f>(AL363-AM363)-T363*AT363</f>
        <v/>
      </c>
      <c r="BA363" s="43">
        <f>IF(AU363="",0,(AH363-T363)*AF363)</f>
        <v/>
      </c>
      <c r="BB363" s="43">
        <f>IF(AU363="",0,T363*(AF363-AT363))</f>
        <v/>
      </c>
      <c r="BC363" s="51" t="n">
        <v>0.006561679790026247</v>
      </c>
      <c r="BD363" s="51" t="n">
        <v>0.04443194600674916</v>
      </c>
      <c r="BE363" s="51" t="n">
        <v>0.2731597396094141</v>
      </c>
      <c r="BF363" s="43" t="n">
        <v>5334</v>
      </c>
    </row>
    <row r="364">
      <c r="A364" s="42" t="inlineStr">
        <is>
          <t>KS</t>
        </is>
      </c>
      <c r="B364" s="42" t="inlineStr">
        <is>
          <t>20129</t>
        </is>
      </c>
      <c r="C364" s="42" t="inlineStr">
        <is>
          <t>Morton</t>
        </is>
      </c>
      <c r="D364" s="42" t="inlineStr">
        <is>
          <t>Small town &amp; rural</t>
        </is>
      </c>
      <c r="E364" s="42" t="inlineStr"/>
      <c r="F364" s="43" t="n">
        <v>131</v>
      </c>
      <c r="G364" s="43" t="n">
        <v>909</v>
      </c>
      <c r="H364" s="43" t="n">
        <v>1060</v>
      </c>
      <c r="I364" s="43" t="n">
        <v>147</v>
      </c>
      <c r="J364" s="43" t="n">
        <v>1004</v>
      </c>
      <c r="K364" s="42" t="inlineStr">
        <is>
          <t>US Senate</t>
        </is>
      </c>
      <c r="L364" s="43" t="n">
        <v>62</v>
      </c>
      <c r="M364" s="43" t="n">
        <v>696</v>
      </c>
      <c r="N364" s="43" t="n">
        <v>792</v>
      </c>
      <c r="O364" s="44">
        <f>IFERROR((F364-G364)/(F364+G364),"")</f>
        <v/>
      </c>
      <c r="P364" s="44">
        <f>IFERROR((I364-J364)/(I364+J364),"")</f>
        <v/>
      </c>
      <c r="Q364" s="45">
        <f>IFERROR(O364-P364,"")</f>
        <v/>
      </c>
      <c r="R364" s="44">
        <f>IFERROR((L364-M364)/(L364+M364),"")</f>
        <v/>
      </c>
      <c r="S364" s="46">
        <f>H364/SUMIFS(Counties!$H$2:$H$1583,Counties!$A$2:$A$1583,$A364)</f>
        <v/>
      </c>
      <c r="T364" s="44">
        <f>O364+INDEX(Dashboard!$F$6:$F$22,MATCH($A364,Dashboard!$A$6:$A$22,0))</f>
        <v/>
      </c>
      <c r="U364" s="43">
        <f>AQ364*INDEX(Dashboard!$G$6:$G$22,MATCH($A364,Dashboard!$A$6:$A$22,0))</f>
        <v/>
      </c>
      <c r="V364" s="47" t="n"/>
      <c r="W364" s="47" t="n"/>
      <c r="X364" s="47" t="n"/>
      <c r="Y364" s="48" t="n"/>
      <c r="Z364" s="49" t="n"/>
      <c r="AA364" s="49" t="n"/>
      <c r="AB364" s="49" t="n"/>
      <c r="AC364" s="50" t="n"/>
      <c r="AD364" s="43">
        <f>IF(Z364&lt;&gt;"",Z364,N(V364))</f>
        <v/>
      </c>
      <c r="AE364" s="43">
        <f>IF(AA364&lt;&gt;"",AA364,N(W364))</f>
        <v/>
      </c>
      <c r="AF364" s="43">
        <f>AD364+AE364</f>
        <v/>
      </c>
      <c r="AG364" s="42">
        <f>IF(UPPER(AC364)="Y",1,IF(AF364=0,0,IF(AND(Z364="",Y364&lt;&gt;""),IF(Y364&gt;=0.999,1,0),IF(AF364&gt;=U364,1,0))))</f>
        <v/>
      </c>
      <c r="AH364" s="44">
        <f>IF(AF364&gt;0,(AD364-AE364)/AF364,"")</f>
        <v/>
      </c>
      <c r="AI364" s="45">
        <f>IF(AG364=1,AH364-O364,"")</f>
        <v/>
      </c>
      <c r="AJ364" s="44">
        <f>IF(AG364=1,AH364,MAX(-1,MIN(1,O364+INDEX(Types!$H:$H,MATCH($A364&amp;"|"&amp;$D364,Types!$A:$A,0)))))</f>
        <v/>
      </c>
      <c r="AK364" s="43">
        <f>IF(AG364=1,AF364,MAX(AQ364*AS364,AF364))</f>
        <v/>
      </c>
      <c r="AL364" s="43">
        <f>IF(AG364=1,AD364,AK364*(1+AJ364)/2)</f>
        <v/>
      </c>
      <c r="AM364" s="43">
        <f>IF(AG364=1,AE364,AK364*(1-AJ364)/2)</f>
        <v/>
      </c>
      <c r="AN364" s="45">
        <f>IF(AH364="","",AH364-T364)</f>
        <v/>
      </c>
      <c r="AO364" s="51">
        <f>IF(AG364=1,1,IF(U364&gt;0,MIN(AF364/U364,0.99),0))</f>
        <v/>
      </c>
      <c r="AP364" s="43">
        <f>IF(AG364=1,AI364*AF364,0)</f>
        <v/>
      </c>
      <c r="AQ364" s="43">
        <f>N364*(F364+G364)/H364</f>
        <v/>
      </c>
      <c r="AR364" s="43">
        <f>O364*AQ364</f>
        <v/>
      </c>
      <c r="AS364" s="52">
        <f>IF(AG364=1,IF(AQ364&gt;0,AF364/AQ364,1),IFERROR(INDEX(Types!$K:$K,MATCH($A364&amp;"|"&amp;$D364,Types!$A:$A,0)),INDEX(Dashboard!$X$6:$X$22,MATCH($A364,Dashboard!$A$6:$A$22,0))))</f>
        <v/>
      </c>
      <c r="AT364" s="43">
        <f>AQ364*INDEX(Dashboard!$Y$6:$Y$22,MATCH($A364,Dashboard!$A$6:$A$22,0))</f>
        <v/>
      </c>
      <c r="AU364" s="53">
        <f>IF(AND(AG364=1,AT364&gt;0,AF364&gt;0),100*AF364/AT364,"")</f>
        <v/>
      </c>
      <c r="AV364" s="44">
        <f>IF(AU364="","",T364/(AU364/100))</f>
        <v/>
      </c>
      <c r="AW364" s="53">
        <f>IF(AU364="","",IF(AND(ABS(AH364)&gt;=0.1,ABS(T364)&gt;=0.05,SIGN(AH364)=SIGN(T364)),100*T364/AH364,""))</f>
        <v/>
      </c>
      <c r="AX364" s="45">
        <f>IF(AU364="","",T364-AV364)</f>
        <v/>
      </c>
      <c r="AY364" s="45">
        <f>IF(AU364="","",AH364-AV364)</f>
        <v/>
      </c>
      <c r="AZ364" s="54">
        <f>(AL364-AM364)-T364*AT364</f>
        <v/>
      </c>
      <c r="BA364" s="43">
        <f>IF(AU364="",0,(AH364-T364)*AF364)</f>
        <v/>
      </c>
      <c r="BB364" s="43">
        <f>IF(AU364="",0,T364*(AF364-AT364))</f>
        <v/>
      </c>
      <c r="BC364" s="51" t="n">
        <v>0.01124031007751938</v>
      </c>
      <c r="BD364" s="51" t="n">
        <v>0.2581395348837209</v>
      </c>
      <c r="BE364" s="51" t="n">
        <v>0.1658589122240172</v>
      </c>
      <c r="BF364" s="43" t="n">
        <v>2580</v>
      </c>
    </row>
    <row r="365">
      <c r="A365" s="42" t="inlineStr">
        <is>
          <t>KS</t>
        </is>
      </c>
      <c r="B365" s="42" t="inlineStr">
        <is>
          <t>20131</t>
        </is>
      </c>
      <c r="C365" s="42" t="inlineStr">
        <is>
          <t>Nemaha</t>
        </is>
      </c>
      <c r="D365" s="42" t="inlineStr">
        <is>
          <t>Small town &amp; rural</t>
        </is>
      </c>
      <c r="E365" s="42" t="inlineStr"/>
      <c r="F365" s="43" t="n">
        <v>888</v>
      </c>
      <c r="G365" s="43" t="n">
        <v>4655</v>
      </c>
      <c r="H365" s="43" t="n">
        <v>5620</v>
      </c>
      <c r="I365" s="43" t="n">
        <v>920</v>
      </c>
      <c r="J365" s="43" t="n">
        <v>4612</v>
      </c>
      <c r="K365" s="42" t="inlineStr">
        <is>
          <t>US Senate</t>
        </is>
      </c>
      <c r="L365" s="43" t="n">
        <v>543</v>
      </c>
      <c r="M365" s="43" t="n">
        <v>3931</v>
      </c>
      <c r="N365" s="43" t="n">
        <v>4579</v>
      </c>
      <c r="O365" s="44">
        <f>IFERROR((F365-G365)/(F365+G365),"")</f>
        <v/>
      </c>
      <c r="P365" s="44">
        <f>IFERROR((I365-J365)/(I365+J365),"")</f>
        <v/>
      </c>
      <c r="Q365" s="45">
        <f>IFERROR(O365-P365,"")</f>
        <v/>
      </c>
      <c r="R365" s="44">
        <f>IFERROR((L365-M365)/(L365+M365),"")</f>
        <v/>
      </c>
      <c r="S365" s="46">
        <f>H365/SUMIFS(Counties!$H$2:$H$1583,Counties!$A$2:$A$1583,$A365)</f>
        <v/>
      </c>
      <c r="T365" s="44">
        <f>O365+INDEX(Dashboard!$F$6:$F$22,MATCH($A365,Dashboard!$A$6:$A$22,0))</f>
        <v/>
      </c>
      <c r="U365" s="43">
        <f>AQ365*INDEX(Dashboard!$G$6:$G$22,MATCH($A365,Dashboard!$A$6:$A$22,0))</f>
        <v/>
      </c>
      <c r="V365" s="47" t="n"/>
      <c r="W365" s="47" t="n"/>
      <c r="X365" s="47" t="n"/>
      <c r="Y365" s="48" t="n"/>
      <c r="Z365" s="49" t="n"/>
      <c r="AA365" s="49" t="n"/>
      <c r="AB365" s="49" t="n"/>
      <c r="AC365" s="50" t="n"/>
      <c r="AD365" s="43">
        <f>IF(Z365&lt;&gt;"",Z365,N(V365))</f>
        <v/>
      </c>
      <c r="AE365" s="43">
        <f>IF(AA365&lt;&gt;"",AA365,N(W365))</f>
        <v/>
      </c>
      <c r="AF365" s="43">
        <f>AD365+AE365</f>
        <v/>
      </c>
      <c r="AG365" s="42">
        <f>IF(UPPER(AC365)="Y",1,IF(AF365=0,0,IF(AND(Z365="",Y365&lt;&gt;""),IF(Y365&gt;=0.999,1,0),IF(AF365&gt;=U365,1,0))))</f>
        <v/>
      </c>
      <c r="AH365" s="44">
        <f>IF(AF365&gt;0,(AD365-AE365)/AF365,"")</f>
        <v/>
      </c>
      <c r="AI365" s="45">
        <f>IF(AG365=1,AH365-O365,"")</f>
        <v/>
      </c>
      <c r="AJ365" s="44">
        <f>IF(AG365=1,AH365,MAX(-1,MIN(1,O365+INDEX(Types!$H:$H,MATCH($A365&amp;"|"&amp;$D365,Types!$A:$A,0)))))</f>
        <v/>
      </c>
      <c r="AK365" s="43">
        <f>IF(AG365=1,AF365,MAX(AQ365*AS365,AF365))</f>
        <v/>
      </c>
      <c r="AL365" s="43">
        <f>IF(AG365=1,AD365,AK365*(1+AJ365)/2)</f>
        <v/>
      </c>
      <c r="AM365" s="43">
        <f>IF(AG365=1,AE365,AK365*(1-AJ365)/2)</f>
        <v/>
      </c>
      <c r="AN365" s="45">
        <f>IF(AH365="","",AH365-T365)</f>
        <v/>
      </c>
      <c r="AO365" s="51">
        <f>IF(AG365=1,1,IF(U365&gt;0,MIN(AF365/U365,0.99),0))</f>
        <v/>
      </c>
      <c r="AP365" s="43">
        <f>IF(AG365=1,AI365*AF365,0)</f>
        <v/>
      </c>
      <c r="AQ365" s="43">
        <f>N365*(F365+G365)/H365</f>
        <v/>
      </c>
      <c r="AR365" s="43">
        <f>O365*AQ365</f>
        <v/>
      </c>
      <c r="AS365" s="52">
        <f>IF(AG365=1,IF(AQ365&gt;0,AF365/AQ365,1),IFERROR(INDEX(Types!$K:$K,MATCH($A365&amp;"|"&amp;$D365,Types!$A:$A,0)),INDEX(Dashboard!$X$6:$X$22,MATCH($A365,Dashboard!$A$6:$A$22,0))))</f>
        <v/>
      </c>
      <c r="AT365" s="43">
        <f>AQ365*INDEX(Dashboard!$Y$6:$Y$22,MATCH($A365,Dashboard!$A$6:$A$22,0))</f>
        <v/>
      </c>
      <c r="AU365" s="53">
        <f>IF(AND(AG365=1,AT365&gt;0,AF365&gt;0),100*AF365/AT365,"")</f>
        <v/>
      </c>
      <c r="AV365" s="44">
        <f>IF(AU365="","",T365/(AU365/100))</f>
        <v/>
      </c>
      <c r="AW365" s="53">
        <f>IF(AU365="","",IF(AND(ABS(AH365)&gt;=0.1,ABS(T365)&gt;=0.05,SIGN(AH365)=SIGN(T365)),100*T365/AH365,""))</f>
        <v/>
      </c>
      <c r="AX365" s="45">
        <f>IF(AU365="","",T365-AV365)</f>
        <v/>
      </c>
      <c r="AY365" s="45">
        <f>IF(AU365="","",AH365-AV365)</f>
        <v/>
      </c>
      <c r="AZ365" s="54">
        <f>(AL365-AM365)-T365*AT365</f>
        <v/>
      </c>
      <c r="BA365" s="43">
        <f>IF(AU365="",0,(AH365-T365)*AF365)</f>
        <v/>
      </c>
      <c r="BB365" s="43">
        <f>IF(AU365="",0,T365*(AF365-AT365))</f>
        <v/>
      </c>
      <c r="BC365" s="51" t="n">
        <v>0.007712082262210797</v>
      </c>
      <c r="BD365" s="51" t="n">
        <v>0.02827763496143959</v>
      </c>
      <c r="BE365" s="51" t="n">
        <v>0.3012975256487628</v>
      </c>
      <c r="BF365" s="43" t="n">
        <v>10114</v>
      </c>
    </row>
    <row r="366">
      <c r="A366" s="42" t="inlineStr">
        <is>
          <t>KS</t>
        </is>
      </c>
      <c r="B366" s="42" t="inlineStr">
        <is>
          <t>20133</t>
        </is>
      </c>
      <c r="C366" s="42" t="inlineStr">
        <is>
          <t>Neosho</t>
        </is>
      </c>
      <c r="D366" s="42" t="inlineStr">
        <is>
          <t>Small town &amp; rural</t>
        </is>
      </c>
      <c r="E366" s="42" t="inlineStr"/>
      <c r="F366" s="43" t="n">
        <v>1696</v>
      </c>
      <c r="G366" s="43" t="n">
        <v>4961</v>
      </c>
      <c r="H366" s="43" t="n">
        <v>6784</v>
      </c>
      <c r="I366" s="43" t="n">
        <v>1727</v>
      </c>
      <c r="J366" s="43" t="n">
        <v>4795</v>
      </c>
      <c r="K366" s="42" t="inlineStr">
        <is>
          <t>US Senate</t>
        </is>
      </c>
      <c r="L366" s="43" t="n">
        <v>1194</v>
      </c>
      <c r="M366" s="43" t="n">
        <v>3751</v>
      </c>
      <c r="N366" s="43" t="n">
        <v>5100</v>
      </c>
      <c r="O366" s="44">
        <f>IFERROR((F366-G366)/(F366+G366),"")</f>
        <v/>
      </c>
      <c r="P366" s="44">
        <f>IFERROR((I366-J366)/(I366+J366),"")</f>
        <v/>
      </c>
      <c r="Q366" s="45">
        <f>IFERROR(O366-P366,"")</f>
        <v/>
      </c>
      <c r="R366" s="44">
        <f>IFERROR((L366-M366)/(L366+M366),"")</f>
        <v/>
      </c>
      <c r="S366" s="46">
        <f>H366/SUMIFS(Counties!$H$2:$H$1583,Counties!$A$2:$A$1583,$A366)</f>
        <v/>
      </c>
      <c r="T366" s="44">
        <f>O366+INDEX(Dashboard!$F$6:$F$22,MATCH($A366,Dashboard!$A$6:$A$22,0))</f>
        <v/>
      </c>
      <c r="U366" s="43">
        <f>AQ366*INDEX(Dashboard!$G$6:$G$22,MATCH($A366,Dashboard!$A$6:$A$22,0))</f>
        <v/>
      </c>
      <c r="V366" s="47" t="n"/>
      <c r="W366" s="47" t="n"/>
      <c r="X366" s="47" t="n"/>
      <c r="Y366" s="48" t="n"/>
      <c r="Z366" s="49" t="n"/>
      <c r="AA366" s="49" t="n"/>
      <c r="AB366" s="49" t="n"/>
      <c r="AC366" s="50" t="n"/>
      <c r="AD366" s="43">
        <f>IF(Z366&lt;&gt;"",Z366,N(V366))</f>
        <v/>
      </c>
      <c r="AE366" s="43">
        <f>IF(AA366&lt;&gt;"",AA366,N(W366))</f>
        <v/>
      </c>
      <c r="AF366" s="43">
        <f>AD366+AE366</f>
        <v/>
      </c>
      <c r="AG366" s="42">
        <f>IF(UPPER(AC366)="Y",1,IF(AF366=0,0,IF(AND(Z366="",Y366&lt;&gt;""),IF(Y366&gt;=0.999,1,0),IF(AF366&gt;=U366,1,0))))</f>
        <v/>
      </c>
      <c r="AH366" s="44">
        <f>IF(AF366&gt;0,(AD366-AE366)/AF366,"")</f>
        <v/>
      </c>
      <c r="AI366" s="45">
        <f>IF(AG366=1,AH366-O366,"")</f>
        <v/>
      </c>
      <c r="AJ366" s="44">
        <f>IF(AG366=1,AH366,MAX(-1,MIN(1,O366+INDEX(Types!$H:$H,MATCH($A366&amp;"|"&amp;$D366,Types!$A:$A,0)))))</f>
        <v/>
      </c>
      <c r="AK366" s="43">
        <f>IF(AG366=1,AF366,MAX(AQ366*AS366,AF366))</f>
        <v/>
      </c>
      <c r="AL366" s="43">
        <f>IF(AG366=1,AD366,AK366*(1+AJ366)/2)</f>
        <v/>
      </c>
      <c r="AM366" s="43">
        <f>IF(AG366=1,AE366,AK366*(1-AJ366)/2)</f>
        <v/>
      </c>
      <c r="AN366" s="45">
        <f>IF(AH366="","",AH366-T366)</f>
        <v/>
      </c>
      <c r="AO366" s="51">
        <f>IF(AG366=1,1,IF(U366&gt;0,MIN(AF366/U366,0.99),0))</f>
        <v/>
      </c>
      <c r="AP366" s="43">
        <f>IF(AG366=1,AI366*AF366,0)</f>
        <v/>
      </c>
      <c r="AQ366" s="43">
        <f>N366*(F366+G366)/H366</f>
        <v/>
      </c>
      <c r="AR366" s="43">
        <f>O366*AQ366</f>
        <v/>
      </c>
      <c r="AS366" s="52">
        <f>IF(AG366=1,IF(AQ366&gt;0,AF366/AQ366,1),IFERROR(INDEX(Types!$K:$K,MATCH($A366&amp;"|"&amp;$D366,Types!$A:$A,0)),INDEX(Dashboard!$X$6:$X$22,MATCH($A366,Dashboard!$A$6:$A$22,0))))</f>
        <v/>
      </c>
      <c r="AT366" s="43">
        <f>AQ366*INDEX(Dashboard!$Y$6:$Y$22,MATCH($A366,Dashboard!$A$6:$A$22,0))</f>
        <v/>
      </c>
      <c r="AU366" s="53">
        <f>IF(AND(AG366=1,AT366&gt;0,AF366&gt;0),100*AF366/AT366,"")</f>
        <v/>
      </c>
      <c r="AV366" s="44">
        <f>IF(AU366="","",T366/(AU366/100))</f>
        <v/>
      </c>
      <c r="AW366" s="53">
        <f>IF(AU366="","",IF(AND(ABS(AH366)&gt;=0.1,ABS(T366)&gt;=0.05,SIGN(AH366)=SIGN(T366)),100*T366/AH366,""))</f>
        <v/>
      </c>
      <c r="AX366" s="45">
        <f>IF(AU366="","",T366-AV366)</f>
        <v/>
      </c>
      <c r="AY366" s="45">
        <f>IF(AU366="","",AH366-AV366)</f>
        <v/>
      </c>
      <c r="AZ366" s="54">
        <f>(AL366-AM366)-T366*AT366</f>
        <v/>
      </c>
      <c r="BA366" s="43">
        <f>IF(AU366="",0,(AH366-T366)*AF366)</f>
        <v/>
      </c>
      <c r="BB366" s="43">
        <f>IF(AU366="",0,T366*(AF366-AT366))</f>
        <v/>
      </c>
      <c r="BC366" s="51" t="n">
        <v>0.01485084306095979</v>
      </c>
      <c r="BD366" s="51" t="n">
        <v>0.06160830090791181</v>
      </c>
      <c r="BE366" s="51" t="n">
        <v>0.2180616740088106</v>
      </c>
      <c r="BF366" s="43" t="n">
        <v>15420</v>
      </c>
    </row>
    <row r="367">
      <c r="A367" s="42" t="inlineStr">
        <is>
          <t>KS</t>
        </is>
      </c>
      <c r="B367" s="42" t="inlineStr">
        <is>
          <t>20135</t>
        </is>
      </c>
      <c r="C367" s="42" t="inlineStr">
        <is>
          <t>Ness</t>
        </is>
      </c>
      <c r="D367" s="42" t="inlineStr">
        <is>
          <t>Small town &amp; rural</t>
        </is>
      </c>
      <c r="E367" s="42" t="inlineStr"/>
      <c r="F367" s="43" t="n">
        <v>129</v>
      </c>
      <c r="G367" s="43" t="n">
        <v>1205</v>
      </c>
      <c r="H367" s="43" t="n">
        <v>1363</v>
      </c>
      <c r="I367" s="43" t="n">
        <v>147</v>
      </c>
      <c r="J367" s="43" t="n">
        <v>1315</v>
      </c>
      <c r="K367" s="42" t="inlineStr">
        <is>
          <t>US Senate</t>
        </is>
      </c>
      <c r="L367" s="43" t="n">
        <v>64</v>
      </c>
      <c r="M367" s="43" t="n">
        <v>1057</v>
      </c>
      <c r="N367" s="43" t="n">
        <v>1152</v>
      </c>
      <c r="O367" s="44">
        <f>IFERROR((F367-G367)/(F367+G367),"")</f>
        <v/>
      </c>
      <c r="P367" s="44">
        <f>IFERROR((I367-J367)/(I367+J367),"")</f>
        <v/>
      </c>
      <c r="Q367" s="45">
        <f>IFERROR(O367-P367,"")</f>
        <v/>
      </c>
      <c r="R367" s="44">
        <f>IFERROR((L367-M367)/(L367+M367),"")</f>
        <v/>
      </c>
      <c r="S367" s="46">
        <f>H367/SUMIFS(Counties!$H$2:$H$1583,Counties!$A$2:$A$1583,$A367)</f>
        <v/>
      </c>
      <c r="T367" s="44">
        <f>O367+INDEX(Dashboard!$F$6:$F$22,MATCH($A367,Dashboard!$A$6:$A$22,0))</f>
        <v/>
      </c>
      <c r="U367" s="43">
        <f>AQ367*INDEX(Dashboard!$G$6:$G$22,MATCH($A367,Dashboard!$A$6:$A$22,0))</f>
        <v/>
      </c>
      <c r="V367" s="47" t="n"/>
      <c r="W367" s="47" t="n"/>
      <c r="X367" s="47" t="n"/>
      <c r="Y367" s="48" t="n"/>
      <c r="Z367" s="49" t="n"/>
      <c r="AA367" s="49" t="n"/>
      <c r="AB367" s="49" t="n"/>
      <c r="AC367" s="50" t="n"/>
      <c r="AD367" s="43">
        <f>IF(Z367&lt;&gt;"",Z367,N(V367))</f>
        <v/>
      </c>
      <c r="AE367" s="43">
        <f>IF(AA367&lt;&gt;"",AA367,N(W367))</f>
        <v/>
      </c>
      <c r="AF367" s="43">
        <f>AD367+AE367</f>
        <v/>
      </c>
      <c r="AG367" s="42">
        <f>IF(UPPER(AC367)="Y",1,IF(AF367=0,0,IF(AND(Z367="",Y367&lt;&gt;""),IF(Y367&gt;=0.999,1,0),IF(AF367&gt;=U367,1,0))))</f>
        <v/>
      </c>
      <c r="AH367" s="44">
        <f>IF(AF367&gt;0,(AD367-AE367)/AF367,"")</f>
        <v/>
      </c>
      <c r="AI367" s="45">
        <f>IF(AG367=1,AH367-O367,"")</f>
        <v/>
      </c>
      <c r="AJ367" s="44">
        <f>IF(AG367=1,AH367,MAX(-1,MIN(1,O367+INDEX(Types!$H:$H,MATCH($A367&amp;"|"&amp;$D367,Types!$A:$A,0)))))</f>
        <v/>
      </c>
      <c r="AK367" s="43">
        <f>IF(AG367=1,AF367,MAX(AQ367*AS367,AF367))</f>
        <v/>
      </c>
      <c r="AL367" s="43">
        <f>IF(AG367=1,AD367,AK367*(1+AJ367)/2)</f>
        <v/>
      </c>
      <c r="AM367" s="43">
        <f>IF(AG367=1,AE367,AK367*(1-AJ367)/2)</f>
        <v/>
      </c>
      <c r="AN367" s="45">
        <f>IF(AH367="","",AH367-T367)</f>
        <v/>
      </c>
      <c r="AO367" s="51">
        <f>IF(AG367=1,1,IF(U367&gt;0,MIN(AF367/U367,0.99),0))</f>
        <v/>
      </c>
      <c r="AP367" s="43">
        <f>IF(AG367=1,AI367*AF367,0)</f>
        <v/>
      </c>
      <c r="AQ367" s="43">
        <f>N367*(F367+G367)/H367</f>
        <v/>
      </c>
      <c r="AR367" s="43">
        <f>O367*AQ367</f>
        <v/>
      </c>
      <c r="AS367" s="52">
        <f>IF(AG367=1,IF(AQ367&gt;0,AF367/AQ367,1),IFERROR(INDEX(Types!$K:$K,MATCH($A367&amp;"|"&amp;$D367,Types!$A:$A,0)),INDEX(Dashboard!$X$6:$X$22,MATCH($A367,Dashboard!$A$6:$A$22,0))))</f>
        <v/>
      </c>
      <c r="AT367" s="43">
        <f>AQ367*INDEX(Dashboard!$Y$6:$Y$22,MATCH($A367,Dashboard!$A$6:$A$22,0))</f>
        <v/>
      </c>
      <c r="AU367" s="53">
        <f>IF(AND(AG367=1,AT367&gt;0,AF367&gt;0),100*AF367/AT367,"")</f>
        <v/>
      </c>
      <c r="AV367" s="44">
        <f>IF(AU367="","",T367/(AU367/100))</f>
        <v/>
      </c>
      <c r="AW367" s="53">
        <f>IF(AU367="","",IF(AND(ABS(AH367)&gt;=0.1,ABS(T367)&gt;=0.05,SIGN(AH367)=SIGN(T367)),100*T367/AH367,""))</f>
        <v/>
      </c>
      <c r="AX367" s="45">
        <f>IF(AU367="","",T367-AV367)</f>
        <v/>
      </c>
      <c r="AY367" s="45">
        <f>IF(AU367="","",AH367-AV367)</f>
        <v/>
      </c>
      <c r="AZ367" s="54">
        <f>(AL367-AM367)-T367*AT367</f>
        <v/>
      </c>
      <c r="BA367" s="43">
        <f>IF(AU367="",0,(AH367-T367)*AF367)</f>
        <v/>
      </c>
      <c r="BB367" s="43">
        <f>IF(AU367="",0,T367*(AF367-AT367))</f>
        <v/>
      </c>
      <c r="BC367" s="51" t="n">
        <v>0.00878533231474408</v>
      </c>
      <c r="BD367" s="51" t="n">
        <v>0.1390374331550802</v>
      </c>
      <c r="BE367" s="51" t="n">
        <v>0.2300981461286805</v>
      </c>
      <c r="BF367" s="43" t="n">
        <v>2618</v>
      </c>
    </row>
    <row r="368">
      <c r="A368" s="42" t="inlineStr">
        <is>
          <t>KS</t>
        </is>
      </c>
      <c r="B368" s="42" t="inlineStr">
        <is>
          <t>20137</t>
        </is>
      </c>
      <c r="C368" s="42" t="inlineStr">
        <is>
          <t>Norton</t>
        </is>
      </c>
      <c r="D368" s="42" t="inlineStr">
        <is>
          <t>Small town &amp; rural</t>
        </is>
      </c>
      <c r="E368" s="42" t="inlineStr"/>
      <c r="F368" s="43" t="n">
        <v>346</v>
      </c>
      <c r="G368" s="43" t="n">
        <v>1882</v>
      </c>
      <c r="H368" s="43" t="n">
        <v>2270</v>
      </c>
      <c r="I368" s="43" t="n">
        <v>361</v>
      </c>
      <c r="J368" s="43" t="n">
        <v>1977</v>
      </c>
      <c r="K368" s="42" t="inlineStr">
        <is>
          <t>US Senate</t>
        </is>
      </c>
      <c r="L368" s="43" t="n">
        <v>200</v>
      </c>
      <c r="M368" s="43" t="n">
        <v>1551</v>
      </c>
      <c r="N368" s="43" t="n">
        <v>1792</v>
      </c>
      <c r="O368" s="44">
        <f>IFERROR((F368-G368)/(F368+G368),"")</f>
        <v/>
      </c>
      <c r="P368" s="44">
        <f>IFERROR((I368-J368)/(I368+J368),"")</f>
        <v/>
      </c>
      <c r="Q368" s="45">
        <f>IFERROR(O368-P368,"")</f>
        <v/>
      </c>
      <c r="R368" s="44">
        <f>IFERROR((L368-M368)/(L368+M368),"")</f>
        <v/>
      </c>
      <c r="S368" s="46">
        <f>H368/SUMIFS(Counties!$H$2:$H$1583,Counties!$A$2:$A$1583,$A368)</f>
        <v/>
      </c>
      <c r="T368" s="44">
        <f>O368+INDEX(Dashboard!$F$6:$F$22,MATCH($A368,Dashboard!$A$6:$A$22,0))</f>
        <v/>
      </c>
      <c r="U368" s="43">
        <f>AQ368*INDEX(Dashboard!$G$6:$G$22,MATCH($A368,Dashboard!$A$6:$A$22,0))</f>
        <v/>
      </c>
      <c r="V368" s="47" t="n"/>
      <c r="W368" s="47" t="n"/>
      <c r="X368" s="47" t="n"/>
      <c r="Y368" s="48" t="n"/>
      <c r="Z368" s="49" t="n"/>
      <c r="AA368" s="49" t="n"/>
      <c r="AB368" s="49" t="n"/>
      <c r="AC368" s="50" t="n"/>
      <c r="AD368" s="43">
        <f>IF(Z368&lt;&gt;"",Z368,N(V368))</f>
        <v/>
      </c>
      <c r="AE368" s="43">
        <f>IF(AA368&lt;&gt;"",AA368,N(W368))</f>
        <v/>
      </c>
      <c r="AF368" s="43">
        <f>AD368+AE368</f>
        <v/>
      </c>
      <c r="AG368" s="42">
        <f>IF(UPPER(AC368)="Y",1,IF(AF368=0,0,IF(AND(Z368="",Y368&lt;&gt;""),IF(Y368&gt;=0.999,1,0),IF(AF368&gt;=U368,1,0))))</f>
        <v/>
      </c>
      <c r="AH368" s="44">
        <f>IF(AF368&gt;0,(AD368-AE368)/AF368,"")</f>
        <v/>
      </c>
      <c r="AI368" s="45">
        <f>IF(AG368=1,AH368-O368,"")</f>
        <v/>
      </c>
      <c r="AJ368" s="44">
        <f>IF(AG368=1,AH368,MAX(-1,MIN(1,O368+INDEX(Types!$H:$H,MATCH($A368&amp;"|"&amp;$D368,Types!$A:$A,0)))))</f>
        <v/>
      </c>
      <c r="AK368" s="43">
        <f>IF(AG368=1,AF368,MAX(AQ368*AS368,AF368))</f>
        <v/>
      </c>
      <c r="AL368" s="43">
        <f>IF(AG368=1,AD368,AK368*(1+AJ368)/2)</f>
        <v/>
      </c>
      <c r="AM368" s="43">
        <f>IF(AG368=1,AE368,AK368*(1-AJ368)/2)</f>
        <v/>
      </c>
      <c r="AN368" s="45">
        <f>IF(AH368="","",AH368-T368)</f>
        <v/>
      </c>
      <c r="AO368" s="51">
        <f>IF(AG368=1,1,IF(U368&gt;0,MIN(AF368/U368,0.99),0))</f>
        <v/>
      </c>
      <c r="AP368" s="43">
        <f>IF(AG368=1,AI368*AF368,0)</f>
        <v/>
      </c>
      <c r="AQ368" s="43">
        <f>N368*(F368+G368)/H368</f>
        <v/>
      </c>
      <c r="AR368" s="43">
        <f>O368*AQ368</f>
        <v/>
      </c>
      <c r="AS368" s="52">
        <f>IF(AG368=1,IF(AQ368&gt;0,AF368/AQ368,1),IFERROR(INDEX(Types!$K:$K,MATCH($A368&amp;"|"&amp;$D368,Types!$A:$A,0)),INDEX(Dashboard!$X$6:$X$22,MATCH($A368,Dashboard!$A$6:$A$22,0))))</f>
        <v/>
      </c>
      <c r="AT368" s="43">
        <f>AQ368*INDEX(Dashboard!$Y$6:$Y$22,MATCH($A368,Dashboard!$A$6:$A$22,0))</f>
        <v/>
      </c>
      <c r="AU368" s="53">
        <f>IF(AND(AG368=1,AT368&gt;0,AF368&gt;0),100*AF368/AT368,"")</f>
        <v/>
      </c>
      <c r="AV368" s="44">
        <f>IF(AU368="","",T368/(AU368/100))</f>
        <v/>
      </c>
      <c r="AW368" s="53">
        <f>IF(AU368="","",IF(AND(ABS(AH368)&gt;=0.1,ABS(T368)&gt;=0.05,SIGN(AH368)=SIGN(T368)),100*T368/AH368,""))</f>
        <v/>
      </c>
      <c r="AX368" s="45">
        <f>IF(AU368="","",T368-AV368)</f>
        <v/>
      </c>
      <c r="AY368" s="45">
        <f>IF(AU368="","",AH368-AV368)</f>
        <v/>
      </c>
      <c r="AZ368" s="54">
        <f>(AL368-AM368)-T368*AT368</f>
        <v/>
      </c>
      <c r="BA368" s="43">
        <f>IF(AU368="",0,(AH368-T368)*AF368)</f>
        <v/>
      </c>
      <c r="BB368" s="43">
        <f>IF(AU368="",0,T368*(AF368-AT368))</f>
        <v/>
      </c>
      <c r="BC368" s="51" t="n">
        <v>0.03883677298311445</v>
      </c>
      <c r="BD368" s="51" t="n">
        <v>0.06097560975609756</v>
      </c>
      <c r="BE368" s="51" t="n">
        <v>0.1942828231722742</v>
      </c>
      <c r="BF368" s="43" t="n">
        <v>5330</v>
      </c>
    </row>
    <row r="369">
      <c r="A369" s="42" t="inlineStr">
        <is>
          <t>KS</t>
        </is>
      </c>
      <c r="B369" s="42" t="inlineStr">
        <is>
          <t>20139</t>
        </is>
      </c>
      <c r="C369" s="42" t="inlineStr">
        <is>
          <t>Osage</t>
        </is>
      </c>
      <c r="D369" s="42" t="inlineStr">
        <is>
          <t>Small town &amp; rural</t>
        </is>
      </c>
      <c r="E369" s="42" t="inlineStr"/>
      <c r="F369" s="43" t="n">
        <v>1946</v>
      </c>
      <c r="G369" s="43" t="n">
        <v>5736</v>
      </c>
      <c r="H369" s="43" t="n">
        <v>7892</v>
      </c>
      <c r="I369" s="43" t="n">
        <v>2099</v>
      </c>
      <c r="J369" s="43" t="n">
        <v>5591</v>
      </c>
      <c r="K369" s="42" t="inlineStr">
        <is>
          <t>US Senate</t>
        </is>
      </c>
      <c r="L369" s="43" t="n">
        <v>1320</v>
      </c>
      <c r="M369" s="43" t="n">
        <v>4716</v>
      </c>
      <c r="N369" s="43" t="n">
        <v>6250</v>
      </c>
      <c r="O369" s="44">
        <f>IFERROR((F369-G369)/(F369+G369),"")</f>
        <v/>
      </c>
      <c r="P369" s="44">
        <f>IFERROR((I369-J369)/(I369+J369),"")</f>
        <v/>
      </c>
      <c r="Q369" s="45">
        <f>IFERROR(O369-P369,"")</f>
        <v/>
      </c>
      <c r="R369" s="44">
        <f>IFERROR((L369-M369)/(L369+M369),"")</f>
        <v/>
      </c>
      <c r="S369" s="46">
        <f>H369/SUMIFS(Counties!$H$2:$H$1583,Counties!$A$2:$A$1583,$A369)</f>
        <v/>
      </c>
      <c r="T369" s="44">
        <f>O369+INDEX(Dashboard!$F$6:$F$22,MATCH($A369,Dashboard!$A$6:$A$22,0))</f>
        <v/>
      </c>
      <c r="U369" s="43">
        <f>AQ369*INDEX(Dashboard!$G$6:$G$22,MATCH($A369,Dashboard!$A$6:$A$22,0))</f>
        <v/>
      </c>
      <c r="V369" s="47" t="n"/>
      <c r="W369" s="47" t="n"/>
      <c r="X369" s="47" t="n"/>
      <c r="Y369" s="48" t="n"/>
      <c r="Z369" s="49" t="n"/>
      <c r="AA369" s="49" t="n"/>
      <c r="AB369" s="49" t="n"/>
      <c r="AC369" s="50" t="n"/>
      <c r="AD369" s="43">
        <f>IF(Z369&lt;&gt;"",Z369,N(V369))</f>
        <v/>
      </c>
      <c r="AE369" s="43">
        <f>IF(AA369&lt;&gt;"",AA369,N(W369))</f>
        <v/>
      </c>
      <c r="AF369" s="43">
        <f>AD369+AE369</f>
        <v/>
      </c>
      <c r="AG369" s="42">
        <f>IF(UPPER(AC369)="Y",1,IF(AF369=0,0,IF(AND(Z369="",Y369&lt;&gt;""),IF(Y369&gt;=0.999,1,0),IF(AF369&gt;=U369,1,0))))</f>
        <v/>
      </c>
      <c r="AH369" s="44">
        <f>IF(AF369&gt;0,(AD369-AE369)/AF369,"")</f>
        <v/>
      </c>
      <c r="AI369" s="45">
        <f>IF(AG369=1,AH369-O369,"")</f>
        <v/>
      </c>
      <c r="AJ369" s="44">
        <f>IF(AG369=1,AH369,MAX(-1,MIN(1,O369+INDEX(Types!$H:$H,MATCH($A369&amp;"|"&amp;$D369,Types!$A:$A,0)))))</f>
        <v/>
      </c>
      <c r="AK369" s="43">
        <f>IF(AG369=1,AF369,MAX(AQ369*AS369,AF369))</f>
        <v/>
      </c>
      <c r="AL369" s="43">
        <f>IF(AG369=1,AD369,AK369*(1+AJ369)/2)</f>
        <v/>
      </c>
      <c r="AM369" s="43">
        <f>IF(AG369=1,AE369,AK369*(1-AJ369)/2)</f>
        <v/>
      </c>
      <c r="AN369" s="45">
        <f>IF(AH369="","",AH369-T369)</f>
        <v/>
      </c>
      <c r="AO369" s="51">
        <f>IF(AG369=1,1,IF(U369&gt;0,MIN(AF369/U369,0.99),0))</f>
        <v/>
      </c>
      <c r="AP369" s="43">
        <f>IF(AG369=1,AI369*AF369,0)</f>
        <v/>
      </c>
      <c r="AQ369" s="43">
        <f>N369*(F369+G369)/H369</f>
        <v/>
      </c>
      <c r="AR369" s="43">
        <f>O369*AQ369</f>
        <v/>
      </c>
      <c r="AS369" s="52">
        <f>IF(AG369=1,IF(AQ369&gt;0,AF369/AQ369,1),IFERROR(INDEX(Types!$K:$K,MATCH($A369&amp;"|"&amp;$D369,Types!$A:$A,0)),INDEX(Dashboard!$X$6:$X$22,MATCH($A369,Dashboard!$A$6:$A$22,0))))</f>
        <v/>
      </c>
      <c r="AT369" s="43">
        <f>AQ369*INDEX(Dashboard!$Y$6:$Y$22,MATCH($A369,Dashboard!$A$6:$A$22,0))</f>
        <v/>
      </c>
      <c r="AU369" s="53">
        <f>IF(AND(AG369=1,AT369&gt;0,AF369&gt;0),100*AF369/AT369,"")</f>
        <v/>
      </c>
      <c r="AV369" s="44">
        <f>IF(AU369="","",T369/(AU369/100))</f>
        <v/>
      </c>
      <c r="AW369" s="53">
        <f>IF(AU369="","",IF(AND(ABS(AH369)&gt;=0.1,ABS(T369)&gt;=0.05,SIGN(AH369)=SIGN(T369)),100*T369/AH369,""))</f>
        <v/>
      </c>
      <c r="AX369" s="45">
        <f>IF(AU369="","",T369-AV369)</f>
        <v/>
      </c>
      <c r="AY369" s="45">
        <f>IF(AU369="","",AH369-AV369)</f>
        <v/>
      </c>
      <c r="AZ369" s="54">
        <f>(AL369-AM369)-T369*AT369</f>
        <v/>
      </c>
      <c r="BA369" s="43">
        <f>IF(AU369="",0,(AH369-T369)*AF369)</f>
        <v/>
      </c>
      <c r="BB369" s="43">
        <f>IF(AU369="",0,T369*(AF369-AT369))</f>
        <v/>
      </c>
      <c r="BC369" s="51" t="n">
        <v>0.008720930232558139</v>
      </c>
      <c r="BD369" s="51" t="n">
        <v>0.03583164812942366</v>
      </c>
      <c r="BE369" s="51" t="n">
        <v>0.2099763765218972</v>
      </c>
      <c r="BF369" s="43" t="n">
        <v>15824</v>
      </c>
    </row>
    <row r="370">
      <c r="A370" s="42" t="inlineStr">
        <is>
          <t>KS</t>
        </is>
      </c>
      <c r="B370" s="42" t="inlineStr">
        <is>
          <t>20141</t>
        </is>
      </c>
      <c r="C370" s="42" t="inlineStr">
        <is>
          <t>Osborne</t>
        </is>
      </c>
      <c r="D370" s="42" t="inlineStr">
        <is>
          <t>Small town &amp; rural</t>
        </is>
      </c>
      <c r="E370" s="42" t="inlineStr"/>
      <c r="F370" s="43" t="n">
        <v>261</v>
      </c>
      <c r="G370" s="43" t="n">
        <v>1477</v>
      </c>
      <c r="H370" s="43" t="n">
        <v>1774</v>
      </c>
      <c r="I370" s="43" t="n">
        <v>275</v>
      </c>
      <c r="J370" s="43" t="n">
        <v>1590</v>
      </c>
      <c r="K370" s="42" t="inlineStr">
        <is>
          <t>US Senate</t>
        </is>
      </c>
      <c r="L370" s="43" t="n">
        <v>133</v>
      </c>
      <c r="M370" s="43" t="n">
        <v>1245</v>
      </c>
      <c r="N370" s="43" t="n">
        <v>1439</v>
      </c>
      <c r="O370" s="44">
        <f>IFERROR((F370-G370)/(F370+G370),"")</f>
        <v/>
      </c>
      <c r="P370" s="44">
        <f>IFERROR((I370-J370)/(I370+J370),"")</f>
        <v/>
      </c>
      <c r="Q370" s="45">
        <f>IFERROR(O370-P370,"")</f>
        <v/>
      </c>
      <c r="R370" s="44">
        <f>IFERROR((L370-M370)/(L370+M370),"")</f>
        <v/>
      </c>
      <c r="S370" s="46">
        <f>H370/SUMIFS(Counties!$H$2:$H$1583,Counties!$A$2:$A$1583,$A370)</f>
        <v/>
      </c>
      <c r="T370" s="44">
        <f>O370+INDEX(Dashboard!$F$6:$F$22,MATCH($A370,Dashboard!$A$6:$A$22,0))</f>
        <v/>
      </c>
      <c r="U370" s="43">
        <f>AQ370*INDEX(Dashboard!$G$6:$G$22,MATCH($A370,Dashboard!$A$6:$A$22,0))</f>
        <v/>
      </c>
      <c r="V370" s="47" t="n"/>
      <c r="W370" s="47" t="n"/>
      <c r="X370" s="47" t="n"/>
      <c r="Y370" s="48" t="n"/>
      <c r="Z370" s="49" t="n"/>
      <c r="AA370" s="49" t="n"/>
      <c r="AB370" s="49" t="n"/>
      <c r="AC370" s="50" t="n"/>
      <c r="AD370" s="43">
        <f>IF(Z370&lt;&gt;"",Z370,N(V370))</f>
        <v/>
      </c>
      <c r="AE370" s="43">
        <f>IF(AA370&lt;&gt;"",AA370,N(W370))</f>
        <v/>
      </c>
      <c r="AF370" s="43">
        <f>AD370+AE370</f>
        <v/>
      </c>
      <c r="AG370" s="42">
        <f>IF(UPPER(AC370)="Y",1,IF(AF370=0,0,IF(AND(Z370="",Y370&lt;&gt;""),IF(Y370&gt;=0.999,1,0),IF(AF370&gt;=U370,1,0))))</f>
        <v/>
      </c>
      <c r="AH370" s="44">
        <f>IF(AF370&gt;0,(AD370-AE370)/AF370,"")</f>
        <v/>
      </c>
      <c r="AI370" s="45">
        <f>IF(AG370=1,AH370-O370,"")</f>
        <v/>
      </c>
      <c r="AJ370" s="44">
        <f>IF(AG370=1,AH370,MAX(-1,MIN(1,O370+INDEX(Types!$H:$H,MATCH($A370&amp;"|"&amp;$D370,Types!$A:$A,0)))))</f>
        <v/>
      </c>
      <c r="AK370" s="43">
        <f>IF(AG370=1,AF370,MAX(AQ370*AS370,AF370))</f>
        <v/>
      </c>
      <c r="AL370" s="43">
        <f>IF(AG370=1,AD370,AK370*(1+AJ370)/2)</f>
        <v/>
      </c>
      <c r="AM370" s="43">
        <f>IF(AG370=1,AE370,AK370*(1-AJ370)/2)</f>
        <v/>
      </c>
      <c r="AN370" s="45">
        <f>IF(AH370="","",AH370-T370)</f>
        <v/>
      </c>
      <c r="AO370" s="51">
        <f>IF(AG370=1,1,IF(U370&gt;0,MIN(AF370/U370,0.99),0))</f>
        <v/>
      </c>
      <c r="AP370" s="43">
        <f>IF(AG370=1,AI370*AF370,0)</f>
        <v/>
      </c>
      <c r="AQ370" s="43">
        <f>N370*(F370+G370)/H370</f>
        <v/>
      </c>
      <c r="AR370" s="43">
        <f>O370*AQ370</f>
        <v/>
      </c>
      <c r="AS370" s="52">
        <f>IF(AG370=1,IF(AQ370&gt;0,AF370/AQ370,1),IFERROR(INDEX(Types!$K:$K,MATCH($A370&amp;"|"&amp;$D370,Types!$A:$A,0)),INDEX(Dashboard!$X$6:$X$22,MATCH($A370,Dashboard!$A$6:$A$22,0))))</f>
        <v/>
      </c>
      <c r="AT370" s="43">
        <f>AQ370*INDEX(Dashboard!$Y$6:$Y$22,MATCH($A370,Dashboard!$A$6:$A$22,0))</f>
        <v/>
      </c>
      <c r="AU370" s="53">
        <f>IF(AND(AG370=1,AT370&gt;0,AF370&gt;0),100*AF370/AT370,"")</f>
        <v/>
      </c>
      <c r="AV370" s="44">
        <f>IF(AU370="","",T370/(AU370/100))</f>
        <v/>
      </c>
      <c r="AW370" s="53">
        <f>IF(AU370="","",IF(AND(ABS(AH370)&gt;=0.1,ABS(T370)&gt;=0.05,SIGN(AH370)=SIGN(T370)),100*T370/AH370,""))</f>
        <v/>
      </c>
      <c r="AX370" s="45">
        <f>IF(AU370="","",T370-AV370)</f>
        <v/>
      </c>
      <c r="AY370" s="45">
        <f>IF(AU370="","",AH370-AV370)</f>
        <v/>
      </c>
      <c r="AZ370" s="54">
        <f>(AL370-AM370)-T370*AT370</f>
        <v/>
      </c>
      <c r="BA370" s="43">
        <f>IF(AU370="",0,(AH370-T370)*AF370)</f>
        <v/>
      </c>
      <c r="BB370" s="43">
        <f>IF(AU370="",0,T370*(AF370-AT370))</f>
        <v/>
      </c>
      <c r="BC370" s="51" t="n">
        <v>0.006711409395973154</v>
      </c>
      <c r="BD370" s="51" t="n">
        <v>0.0312226437117012</v>
      </c>
      <c r="BE370" s="51" t="n">
        <v>0.2304313099041534</v>
      </c>
      <c r="BF370" s="43" t="n">
        <v>3427</v>
      </c>
    </row>
    <row r="371">
      <c r="A371" s="42" t="inlineStr">
        <is>
          <t>KS</t>
        </is>
      </c>
      <c r="B371" s="42" t="inlineStr">
        <is>
          <t>20143</t>
        </is>
      </c>
      <c r="C371" s="42" t="inlineStr">
        <is>
          <t>Ottawa</t>
        </is>
      </c>
      <c r="D371" s="42" t="inlineStr">
        <is>
          <t>Small town &amp; rural</t>
        </is>
      </c>
      <c r="E371" s="42" t="inlineStr"/>
      <c r="F371" s="43" t="n">
        <v>476</v>
      </c>
      <c r="G371" s="43" t="n">
        <v>2475</v>
      </c>
      <c r="H371" s="43" t="n">
        <v>3003</v>
      </c>
      <c r="I371" s="43" t="n">
        <v>504</v>
      </c>
      <c r="J371" s="43" t="n">
        <v>2581</v>
      </c>
      <c r="K371" s="42" t="inlineStr">
        <is>
          <t>US Senate</t>
        </is>
      </c>
      <c r="L371" s="43" t="n">
        <v>280</v>
      </c>
      <c r="M371" s="43" t="n">
        <v>1986</v>
      </c>
      <c r="N371" s="43" t="n">
        <v>2375</v>
      </c>
      <c r="O371" s="44">
        <f>IFERROR((F371-G371)/(F371+G371),"")</f>
        <v/>
      </c>
      <c r="P371" s="44">
        <f>IFERROR((I371-J371)/(I371+J371),"")</f>
        <v/>
      </c>
      <c r="Q371" s="45">
        <f>IFERROR(O371-P371,"")</f>
        <v/>
      </c>
      <c r="R371" s="44">
        <f>IFERROR((L371-M371)/(L371+M371),"")</f>
        <v/>
      </c>
      <c r="S371" s="46">
        <f>H371/SUMIFS(Counties!$H$2:$H$1583,Counties!$A$2:$A$1583,$A371)</f>
        <v/>
      </c>
      <c r="T371" s="44">
        <f>O371+INDEX(Dashboard!$F$6:$F$22,MATCH($A371,Dashboard!$A$6:$A$22,0))</f>
        <v/>
      </c>
      <c r="U371" s="43">
        <f>AQ371*INDEX(Dashboard!$G$6:$G$22,MATCH($A371,Dashboard!$A$6:$A$22,0))</f>
        <v/>
      </c>
      <c r="V371" s="47" t="n"/>
      <c r="W371" s="47" t="n"/>
      <c r="X371" s="47" t="n"/>
      <c r="Y371" s="48" t="n"/>
      <c r="Z371" s="49" t="n"/>
      <c r="AA371" s="49" t="n"/>
      <c r="AB371" s="49" t="n"/>
      <c r="AC371" s="50" t="n"/>
      <c r="AD371" s="43">
        <f>IF(Z371&lt;&gt;"",Z371,N(V371))</f>
        <v/>
      </c>
      <c r="AE371" s="43">
        <f>IF(AA371&lt;&gt;"",AA371,N(W371))</f>
        <v/>
      </c>
      <c r="AF371" s="43">
        <f>AD371+AE371</f>
        <v/>
      </c>
      <c r="AG371" s="42">
        <f>IF(UPPER(AC371)="Y",1,IF(AF371=0,0,IF(AND(Z371="",Y371&lt;&gt;""),IF(Y371&gt;=0.999,1,0),IF(AF371&gt;=U371,1,0))))</f>
        <v/>
      </c>
      <c r="AH371" s="44">
        <f>IF(AF371&gt;0,(AD371-AE371)/AF371,"")</f>
        <v/>
      </c>
      <c r="AI371" s="45">
        <f>IF(AG371=1,AH371-O371,"")</f>
        <v/>
      </c>
      <c r="AJ371" s="44">
        <f>IF(AG371=1,AH371,MAX(-1,MIN(1,O371+INDEX(Types!$H:$H,MATCH($A371&amp;"|"&amp;$D371,Types!$A:$A,0)))))</f>
        <v/>
      </c>
      <c r="AK371" s="43">
        <f>IF(AG371=1,AF371,MAX(AQ371*AS371,AF371))</f>
        <v/>
      </c>
      <c r="AL371" s="43">
        <f>IF(AG371=1,AD371,AK371*(1+AJ371)/2)</f>
        <v/>
      </c>
      <c r="AM371" s="43">
        <f>IF(AG371=1,AE371,AK371*(1-AJ371)/2)</f>
        <v/>
      </c>
      <c r="AN371" s="45">
        <f>IF(AH371="","",AH371-T371)</f>
        <v/>
      </c>
      <c r="AO371" s="51">
        <f>IF(AG371=1,1,IF(U371&gt;0,MIN(AF371/U371,0.99),0))</f>
        <v/>
      </c>
      <c r="AP371" s="43">
        <f>IF(AG371=1,AI371*AF371,0)</f>
        <v/>
      </c>
      <c r="AQ371" s="43">
        <f>N371*(F371+G371)/H371</f>
        <v/>
      </c>
      <c r="AR371" s="43">
        <f>O371*AQ371</f>
        <v/>
      </c>
      <c r="AS371" s="52">
        <f>IF(AG371=1,IF(AQ371&gt;0,AF371/AQ371,1),IFERROR(INDEX(Types!$K:$K,MATCH($A371&amp;"|"&amp;$D371,Types!$A:$A,0)),INDEX(Dashboard!$X$6:$X$22,MATCH($A371,Dashboard!$A$6:$A$22,0))))</f>
        <v/>
      </c>
      <c r="AT371" s="43">
        <f>AQ371*INDEX(Dashboard!$Y$6:$Y$22,MATCH($A371,Dashboard!$A$6:$A$22,0))</f>
        <v/>
      </c>
      <c r="AU371" s="53">
        <f>IF(AND(AG371=1,AT371&gt;0,AF371&gt;0),100*AF371/AT371,"")</f>
        <v/>
      </c>
      <c r="AV371" s="44">
        <f>IF(AU371="","",T371/(AU371/100))</f>
        <v/>
      </c>
      <c r="AW371" s="53">
        <f>IF(AU371="","",IF(AND(ABS(AH371)&gt;=0.1,ABS(T371)&gt;=0.05,SIGN(AH371)=SIGN(T371)),100*T371/AH371,""))</f>
        <v/>
      </c>
      <c r="AX371" s="45">
        <f>IF(AU371="","",T371-AV371)</f>
        <v/>
      </c>
      <c r="AY371" s="45">
        <f>IF(AU371="","",AH371-AV371)</f>
        <v/>
      </c>
      <c r="AZ371" s="54">
        <f>(AL371-AM371)-T371*AT371</f>
        <v/>
      </c>
      <c r="BA371" s="43">
        <f>IF(AU371="",0,(AH371-T371)*AF371)</f>
        <v/>
      </c>
      <c r="BB371" s="43">
        <f>IF(AU371="",0,T371*(AF371-AT371))</f>
        <v/>
      </c>
      <c r="BC371" s="51" t="n">
        <v>0.01478171192849777</v>
      </c>
      <c r="BD371" s="51" t="n">
        <v>0.03437607425232039</v>
      </c>
      <c r="BE371" s="51" t="n">
        <v>0.2427232363098175</v>
      </c>
      <c r="BF371" s="43" t="n">
        <v>5818</v>
      </c>
    </row>
    <row r="372">
      <c r="A372" s="42" t="inlineStr">
        <is>
          <t>KS</t>
        </is>
      </c>
      <c r="B372" s="42" t="inlineStr">
        <is>
          <t>20145</t>
        </is>
      </c>
      <c r="C372" s="42" t="inlineStr">
        <is>
          <t>Pawnee</t>
        </is>
      </c>
      <c r="D372" s="42" t="inlineStr">
        <is>
          <t>Small town &amp; rural</t>
        </is>
      </c>
      <c r="E372" s="42" t="inlineStr"/>
      <c r="F372" s="43" t="n">
        <v>625</v>
      </c>
      <c r="G372" s="43" t="n">
        <v>2003</v>
      </c>
      <c r="H372" s="43" t="n">
        <v>2675</v>
      </c>
      <c r="I372" s="43" t="n">
        <v>635</v>
      </c>
      <c r="J372" s="43" t="n">
        <v>2028</v>
      </c>
      <c r="K372" s="42" t="inlineStr">
        <is>
          <t>US Senate</t>
        </is>
      </c>
      <c r="L372" s="43" t="n">
        <v>376</v>
      </c>
      <c r="M372" s="43" t="n">
        <v>1691</v>
      </c>
      <c r="N372" s="43" t="n">
        <v>2145</v>
      </c>
      <c r="O372" s="44">
        <f>IFERROR((F372-G372)/(F372+G372),"")</f>
        <v/>
      </c>
      <c r="P372" s="44">
        <f>IFERROR((I372-J372)/(I372+J372),"")</f>
        <v/>
      </c>
      <c r="Q372" s="45">
        <f>IFERROR(O372-P372,"")</f>
        <v/>
      </c>
      <c r="R372" s="44">
        <f>IFERROR((L372-M372)/(L372+M372),"")</f>
        <v/>
      </c>
      <c r="S372" s="46">
        <f>H372/SUMIFS(Counties!$H$2:$H$1583,Counties!$A$2:$A$1583,$A372)</f>
        <v/>
      </c>
      <c r="T372" s="44">
        <f>O372+INDEX(Dashboard!$F$6:$F$22,MATCH($A372,Dashboard!$A$6:$A$22,0))</f>
        <v/>
      </c>
      <c r="U372" s="43">
        <f>AQ372*INDEX(Dashboard!$G$6:$G$22,MATCH($A372,Dashboard!$A$6:$A$22,0))</f>
        <v/>
      </c>
      <c r="V372" s="47" t="n"/>
      <c r="W372" s="47" t="n"/>
      <c r="X372" s="47" t="n"/>
      <c r="Y372" s="48" t="n"/>
      <c r="Z372" s="49" t="n"/>
      <c r="AA372" s="49" t="n"/>
      <c r="AB372" s="49" t="n"/>
      <c r="AC372" s="50" t="n"/>
      <c r="AD372" s="43">
        <f>IF(Z372&lt;&gt;"",Z372,N(V372))</f>
        <v/>
      </c>
      <c r="AE372" s="43">
        <f>IF(AA372&lt;&gt;"",AA372,N(W372))</f>
        <v/>
      </c>
      <c r="AF372" s="43">
        <f>AD372+AE372</f>
        <v/>
      </c>
      <c r="AG372" s="42">
        <f>IF(UPPER(AC372)="Y",1,IF(AF372=0,0,IF(AND(Z372="",Y372&lt;&gt;""),IF(Y372&gt;=0.999,1,0),IF(AF372&gt;=U372,1,0))))</f>
        <v/>
      </c>
      <c r="AH372" s="44">
        <f>IF(AF372&gt;0,(AD372-AE372)/AF372,"")</f>
        <v/>
      </c>
      <c r="AI372" s="45">
        <f>IF(AG372=1,AH372-O372,"")</f>
        <v/>
      </c>
      <c r="AJ372" s="44">
        <f>IF(AG372=1,AH372,MAX(-1,MIN(1,O372+INDEX(Types!$H:$H,MATCH($A372&amp;"|"&amp;$D372,Types!$A:$A,0)))))</f>
        <v/>
      </c>
      <c r="AK372" s="43">
        <f>IF(AG372=1,AF372,MAX(AQ372*AS372,AF372))</f>
        <v/>
      </c>
      <c r="AL372" s="43">
        <f>IF(AG372=1,AD372,AK372*(1+AJ372)/2)</f>
        <v/>
      </c>
      <c r="AM372" s="43">
        <f>IF(AG372=1,AE372,AK372*(1-AJ372)/2)</f>
        <v/>
      </c>
      <c r="AN372" s="45">
        <f>IF(AH372="","",AH372-T372)</f>
        <v/>
      </c>
      <c r="AO372" s="51">
        <f>IF(AG372=1,1,IF(U372&gt;0,MIN(AF372/U372,0.99),0))</f>
        <v/>
      </c>
      <c r="AP372" s="43">
        <f>IF(AG372=1,AI372*AF372,0)</f>
        <v/>
      </c>
      <c r="AQ372" s="43">
        <f>N372*(F372+G372)/H372</f>
        <v/>
      </c>
      <c r="AR372" s="43">
        <f>O372*AQ372</f>
        <v/>
      </c>
      <c r="AS372" s="52">
        <f>IF(AG372=1,IF(AQ372&gt;0,AF372/AQ372,1),IFERROR(INDEX(Types!$K:$K,MATCH($A372&amp;"|"&amp;$D372,Types!$A:$A,0)),INDEX(Dashboard!$X$6:$X$22,MATCH($A372,Dashboard!$A$6:$A$22,0))))</f>
        <v/>
      </c>
      <c r="AT372" s="43">
        <f>AQ372*INDEX(Dashboard!$Y$6:$Y$22,MATCH($A372,Dashboard!$A$6:$A$22,0))</f>
        <v/>
      </c>
      <c r="AU372" s="53">
        <f>IF(AND(AG372=1,AT372&gt;0,AF372&gt;0),100*AF372/AT372,"")</f>
        <v/>
      </c>
      <c r="AV372" s="44">
        <f>IF(AU372="","",T372/(AU372/100))</f>
        <v/>
      </c>
      <c r="AW372" s="53">
        <f>IF(AU372="","",IF(AND(ABS(AH372)&gt;=0.1,ABS(T372)&gt;=0.05,SIGN(AH372)=SIGN(T372)),100*T372/AH372,""))</f>
        <v/>
      </c>
      <c r="AX372" s="45">
        <f>IF(AU372="","",T372-AV372)</f>
        <v/>
      </c>
      <c r="AY372" s="45">
        <f>IF(AU372="","",AH372-AV372)</f>
        <v/>
      </c>
      <c r="AZ372" s="54">
        <f>(AL372-AM372)-T372*AT372</f>
        <v/>
      </c>
      <c r="BA372" s="43">
        <f>IF(AU372="",0,(AH372-T372)*AF372)</f>
        <v/>
      </c>
      <c r="BB372" s="43">
        <f>IF(AU372="",0,T372*(AF372-AT372))</f>
        <v/>
      </c>
      <c r="BC372" s="51" t="n">
        <v>0.05811296114920013</v>
      </c>
      <c r="BD372" s="51" t="n">
        <v>0.09843290891283056</v>
      </c>
      <c r="BE372" s="51" t="n">
        <v>0.1877567789646672</v>
      </c>
      <c r="BF372" s="43" t="n">
        <v>6126</v>
      </c>
    </row>
    <row r="373">
      <c r="A373" s="42" t="inlineStr">
        <is>
          <t>KS</t>
        </is>
      </c>
      <c r="B373" s="42" t="inlineStr">
        <is>
          <t>20147</t>
        </is>
      </c>
      <c r="C373" s="42" t="inlineStr">
        <is>
          <t>Phillips</t>
        </is>
      </c>
      <c r="D373" s="42" t="inlineStr">
        <is>
          <t>Small town &amp; rural</t>
        </is>
      </c>
      <c r="E373" s="42" t="inlineStr"/>
      <c r="F373" s="43" t="n">
        <v>331</v>
      </c>
      <c r="G373" s="43" t="n">
        <v>2356</v>
      </c>
      <c r="H373" s="43" t="n">
        <v>2747</v>
      </c>
      <c r="I373" s="43" t="n">
        <v>318</v>
      </c>
      <c r="J373" s="43" t="n">
        <v>2388</v>
      </c>
      <c r="K373" s="42" t="inlineStr">
        <is>
          <t>US Senate</t>
        </is>
      </c>
      <c r="L373" s="43" t="n">
        <v>156</v>
      </c>
      <c r="M373" s="43" t="n">
        <v>1988</v>
      </c>
      <c r="N373" s="43" t="n">
        <v>2199</v>
      </c>
      <c r="O373" s="44">
        <f>IFERROR((F373-G373)/(F373+G373),"")</f>
        <v/>
      </c>
      <c r="P373" s="44">
        <f>IFERROR((I373-J373)/(I373+J373),"")</f>
        <v/>
      </c>
      <c r="Q373" s="45">
        <f>IFERROR(O373-P373,"")</f>
        <v/>
      </c>
      <c r="R373" s="44">
        <f>IFERROR((L373-M373)/(L373+M373),"")</f>
        <v/>
      </c>
      <c r="S373" s="46">
        <f>H373/SUMIFS(Counties!$H$2:$H$1583,Counties!$A$2:$A$1583,$A373)</f>
        <v/>
      </c>
      <c r="T373" s="44">
        <f>O373+INDEX(Dashboard!$F$6:$F$22,MATCH($A373,Dashboard!$A$6:$A$22,0))</f>
        <v/>
      </c>
      <c r="U373" s="43">
        <f>AQ373*INDEX(Dashboard!$G$6:$G$22,MATCH($A373,Dashboard!$A$6:$A$22,0))</f>
        <v/>
      </c>
      <c r="V373" s="47" t="n"/>
      <c r="W373" s="47" t="n"/>
      <c r="X373" s="47" t="n"/>
      <c r="Y373" s="48" t="n"/>
      <c r="Z373" s="49" t="n"/>
      <c r="AA373" s="49" t="n"/>
      <c r="AB373" s="49" t="n"/>
      <c r="AC373" s="50" t="n"/>
      <c r="AD373" s="43">
        <f>IF(Z373&lt;&gt;"",Z373,N(V373))</f>
        <v/>
      </c>
      <c r="AE373" s="43">
        <f>IF(AA373&lt;&gt;"",AA373,N(W373))</f>
        <v/>
      </c>
      <c r="AF373" s="43">
        <f>AD373+AE373</f>
        <v/>
      </c>
      <c r="AG373" s="42">
        <f>IF(UPPER(AC373)="Y",1,IF(AF373=0,0,IF(AND(Z373="",Y373&lt;&gt;""),IF(Y373&gt;=0.999,1,0),IF(AF373&gt;=U373,1,0))))</f>
        <v/>
      </c>
      <c r="AH373" s="44">
        <f>IF(AF373&gt;0,(AD373-AE373)/AF373,"")</f>
        <v/>
      </c>
      <c r="AI373" s="45">
        <f>IF(AG373=1,AH373-O373,"")</f>
        <v/>
      </c>
      <c r="AJ373" s="44">
        <f>IF(AG373=1,AH373,MAX(-1,MIN(1,O373+INDEX(Types!$H:$H,MATCH($A373&amp;"|"&amp;$D373,Types!$A:$A,0)))))</f>
        <v/>
      </c>
      <c r="AK373" s="43">
        <f>IF(AG373=1,AF373,MAX(AQ373*AS373,AF373))</f>
        <v/>
      </c>
      <c r="AL373" s="43">
        <f>IF(AG373=1,AD373,AK373*(1+AJ373)/2)</f>
        <v/>
      </c>
      <c r="AM373" s="43">
        <f>IF(AG373=1,AE373,AK373*(1-AJ373)/2)</f>
        <v/>
      </c>
      <c r="AN373" s="45">
        <f>IF(AH373="","",AH373-T373)</f>
        <v/>
      </c>
      <c r="AO373" s="51">
        <f>IF(AG373=1,1,IF(U373&gt;0,MIN(AF373/U373,0.99),0))</f>
        <v/>
      </c>
      <c r="AP373" s="43">
        <f>IF(AG373=1,AI373*AF373,0)</f>
        <v/>
      </c>
      <c r="AQ373" s="43">
        <f>N373*(F373+G373)/H373</f>
        <v/>
      </c>
      <c r="AR373" s="43">
        <f>O373*AQ373</f>
        <v/>
      </c>
      <c r="AS373" s="52">
        <f>IF(AG373=1,IF(AQ373&gt;0,AF373/AQ373,1),IFERROR(INDEX(Types!$K:$K,MATCH($A373&amp;"|"&amp;$D373,Types!$A:$A,0)),INDEX(Dashboard!$X$6:$X$22,MATCH($A373,Dashboard!$A$6:$A$22,0))))</f>
        <v/>
      </c>
      <c r="AT373" s="43">
        <f>AQ373*INDEX(Dashboard!$Y$6:$Y$22,MATCH($A373,Dashboard!$A$6:$A$22,0))</f>
        <v/>
      </c>
      <c r="AU373" s="53">
        <f>IF(AND(AG373=1,AT373&gt;0,AF373&gt;0),100*AF373/AT373,"")</f>
        <v/>
      </c>
      <c r="AV373" s="44">
        <f>IF(AU373="","",T373/(AU373/100))</f>
        <v/>
      </c>
      <c r="AW373" s="53">
        <f>IF(AU373="","",IF(AND(ABS(AH373)&gt;=0.1,ABS(T373)&gt;=0.05,SIGN(AH373)=SIGN(T373)),100*T373/AH373,""))</f>
        <v/>
      </c>
      <c r="AX373" s="45">
        <f>IF(AU373="","",T373-AV373)</f>
        <v/>
      </c>
      <c r="AY373" s="45">
        <f>IF(AU373="","",AH373-AV373)</f>
        <v/>
      </c>
      <c r="AZ373" s="54">
        <f>(AL373-AM373)-T373*AT373</f>
        <v/>
      </c>
      <c r="BA373" s="43">
        <f>IF(AU373="",0,(AH373-T373)*AF373)</f>
        <v/>
      </c>
      <c r="BB373" s="43">
        <f>IF(AU373="",0,T373*(AF373-AT373))</f>
        <v/>
      </c>
      <c r="BC373" s="51" t="n">
        <v>0.005461037597143457</v>
      </c>
      <c r="BD373" s="51" t="n">
        <v>0.03759714345725688</v>
      </c>
      <c r="BE373" s="51" t="n">
        <v>0.2232639906240844</v>
      </c>
      <c r="BF373" s="43" t="n">
        <v>4761</v>
      </c>
    </row>
    <row r="374">
      <c r="A374" s="42" t="inlineStr">
        <is>
          <t>KS</t>
        </is>
      </c>
      <c r="B374" s="42" t="inlineStr">
        <is>
          <t>20149</t>
        </is>
      </c>
      <c r="C374" s="42" t="inlineStr">
        <is>
          <t>Pottawatomie</t>
        </is>
      </c>
      <c r="D374" s="42" t="inlineStr">
        <is>
          <t>Small town &amp; rural</t>
        </is>
      </c>
      <c r="E374" s="42" t="inlineStr"/>
      <c r="F374" s="43" t="n">
        <v>3394</v>
      </c>
      <c r="G374" s="43" t="n">
        <v>9811</v>
      </c>
      <c r="H374" s="43" t="n">
        <v>13472</v>
      </c>
      <c r="I374" s="43" t="n">
        <v>3257</v>
      </c>
      <c r="J374" s="43" t="n">
        <v>9247</v>
      </c>
      <c r="K374" s="42" t="inlineStr">
        <is>
          <t>US Senate</t>
        </is>
      </c>
      <c r="L374" s="43" t="n">
        <v>2073</v>
      </c>
      <c r="M374" s="43" t="n">
        <v>8113</v>
      </c>
      <c r="N374" s="43" t="n">
        <v>10452</v>
      </c>
      <c r="O374" s="44">
        <f>IFERROR((F374-G374)/(F374+G374),"")</f>
        <v/>
      </c>
      <c r="P374" s="44">
        <f>IFERROR((I374-J374)/(I374+J374),"")</f>
        <v/>
      </c>
      <c r="Q374" s="45">
        <f>IFERROR(O374-P374,"")</f>
        <v/>
      </c>
      <c r="R374" s="44">
        <f>IFERROR((L374-M374)/(L374+M374),"")</f>
        <v/>
      </c>
      <c r="S374" s="46">
        <f>H374/SUMIFS(Counties!$H$2:$H$1583,Counties!$A$2:$A$1583,$A374)</f>
        <v/>
      </c>
      <c r="T374" s="44">
        <f>O374+INDEX(Dashboard!$F$6:$F$22,MATCH($A374,Dashboard!$A$6:$A$22,0))</f>
        <v/>
      </c>
      <c r="U374" s="43">
        <f>AQ374*INDEX(Dashboard!$G$6:$G$22,MATCH($A374,Dashboard!$A$6:$A$22,0))</f>
        <v/>
      </c>
      <c r="V374" s="47" t="n"/>
      <c r="W374" s="47" t="n"/>
      <c r="X374" s="47" t="n"/>
      <c r="Y374" s="48" t="n"/>
      <c r="Z374" s="49" t="n"/>
      <c r="AA374" s="49" t="n"/>
      <c r="AB374" s="49" t="n"/>
      <c r="AC374" s="50" t="n"/>
      <c r="AD374" s="43">
        <f>IF(Z374&lt;&gt;"",Z374,N(V374))</f>
        <v/>
      </c>
      <c r="AE374" s="43">
        <f>IF(AA374&lt;&gt;"",AA374,N(W374))</f>
        <v/>
      </c>
      <c r="AF374" s="43">
        <f>AD374+AE374</f>
        <v/>
      </c>
      <c r="AG374" s="42">
        <f>IF(UPPER(AC374)="Y",1,IF(AF374=0,0,IF(AND(Z374="",Y374&lt;&gt;""),IF(Y374&gt;=0.999,1,0),IF(AF374&gt;=U374,1,0))))</f>
        <v/>
      </c>
      <c r="AH374" s="44">
        <f>IF(AF374&gt;0,(AD374-AE374)/AF374,"")</f>
        <v/>
      </c>
      <c r="AI374" s="45">
        <f>IF(AG374=1,AH374-O374,"")</f>
        <v/>
      </c>
      <c r="AJ374" s="44">
        <f>IF(AG374=1,AH374,MAX(-1,MIN(1,O374+INDEX(Types!$H:$H,MATCH($A374&amp;"|"&amp;$D374,Types!$A:$A,0)))))</f>
        <v/>
      </c>
      <c r="AK374" s="43">
        <f>IF(AG374=1,AF374,MAX(AQ374*AS374,AF374))</f>
        <v/>
      </c>
      <c r="AL374" s="43">
        <f>IF(AG374=1,AD374,AK374*(1+AJ374)/2)</f>
        <v/>
      </c>
      <c r="AM374" s="43">
        <f>IF(AG374=1,AE374,AK374*(1-AJ374)/2)</f>
        <v/>
      </c>
      <c r="AN374" s="45">
        <f>IF(AH374="","",AH374-T374)</f>
        <v/>
      </c>
      <c r="AO374" s="51">
        <f>IF(AG374=1,1,IF(U374&gt;0,MIN(AF374/U374,0.99),0))</f>
        <v/>
      </c>
      <c r="AP374" s="43">
        <f>IF(AG374=1,AI374*AF374,0)</f>
        <v/>
      </c>
      <c r="AQ374" s="43">
        <f>N374*(F374+G374)/H374</f>
        <v/>
      </c>
      <c r="AR374" s="43">
        <f>O374*AQ374</f>
        <v/>
      </c>
      <c r="AS374" s="52">
        <f>IF(AG374=1,IF(AQ374&gt;0,AF374/AQ374,1),IFERROR(INDEX(Types!$K:$K,MATCH($A374&amp;"|"&amp;$D374,Types!$A:$A,0)),INDEX(Dashboard!$X$6:$X$22,MATCH($A374,Dashboard!$A$6:$A$22,0))))</f>
        <v/>
      </c>
      <c r="AT374" s="43">
        <f>AQ374*INDEX(Dashboard!$Y$6:$Y$22,MATCH($A374,Dashboard!$A$6:$A$22,0))</f>
        <v/>
      </c>
      <c r="AU374" s="53">
        <f>IF(AND(AG374=1,AT374&gt;0,AF374&gt;0),100*AF374/AT374,"")</f>
        <v/>
      </c>
      <c r="AV374" s="44">
        <f>IF(AU374="","",T374/(AU374/100))</f>
        <v/>
      </c>
      <c r="AW374" s="53">
        <f>IF(AU374="","",IF(AND(ABS(AH374)&gt;=0.1,ABS(T374)&gt;=0.05,SIGN(AH374)=SIGN(T374)),100*T374/AH374,""))</f>
        <v/>
      </c>
      <c r="AX374" s="45">
        <f>IF(AU374="","",T374-AV374)</f>
        <v/>
      </c>
      <c r="AY374" s="45">
        <f>IF(AU374="","",AH374-AV374)</f>
        <v/>
      </c>
      <c r="AZ374" s="54">
        <f>(AL374-AM374)-T374*AT374</f>
        <v/>
      </c>
      <c r="BA374" s="43">
        <f>IF(AU374="",0,(AH374-T374)*AF374)</f>
        <v/>
      </c>
      <c r="BB374" s="43">
        <f>IF(AU374="",0,T374*(AF374-AT374))</f>
        <v/>
      </c>
      <c r="BC374" s="51" t="n">
        <v>0.0133803350769464</v>
      </c>
      <c r="BD374" s="51" t="n">
        <v>0.06250473807899325</v>
      </c>
      <c r="BE374" s="51" t="n">
        <v>0.3654196526175149</v>
      </c>
      <c r="BF374" s="43" t="n">
        <v>26382</v>
      </c>
    </row>
    <row r="375">
      <c r="A375" s="42" t="inlineStr">
        <is>
          <t>KS</t>
        </is>
      </c>
      <c r="B375" s="42" t="inlineStr">
        <is>
          <t>20151</t>
        </is>
      </c>
      <c r="C375" s="42" t="inlineStr">
        <is>
          <t>Pratt</t>
        </is>
      </c>
      <c r="D375" s="42" t="inlineStr">
        <is>
          <t>Small town &amp; rural</t>
        </is>
      </c>
      <c r="E375" s="42" t="inlineStr"/>
      <c r="F375" s="43" t="n">
        <v>954</v>
      </c>
      <c r="G375" s="43" t="n">
        <v>3054</v>
      </c>
      <c r="H375" s="43" t="n">
        <v>4082</v>
      </c>
      <c r="I375" s="43" t="n">
        <v>924</v>
      </c>
      <c r="J375" s="43" t="n">
        <v>3087</v>
      </c>
      <c r="K375" s="42" t="inlineStr">
        <is>
          <t>US Senate</t>
        </is>
      </c>
      <c r="L375" s="43" t="n">
        <v>591</v>
      </c>
      <c r="M375" s="43" t="n">
        <v>2419</v>
      </c>
      <c r="N375" s="43" t="n">
        <v>3109</v>
      </c>
      <c r="O375" s="44">
        <f>IFERROR((F375-G375)/(F375+G375),"")</f>
        <v/>
      </c>
      <c r="P375" s="44">
        <f>IFERROR((I375-J375)/(I375+J375),"")</f>
        <v/>
      </c>
      <c r="Q375" s="45">
        <f>IFERROR(O375-P375,"")</f>
        <v/>
      </c>
      <c r="R375" s="44">
        <f>IFERROR((L375-M375)/(L375+M375),"")</f>
        <v/>
      </c>
      <c r="S375" s="46">
        <f>H375/SUMIFS(Counties!$H$2:$H$1583,Counties!$A$2:$A$1583,$A375)</f>
        <v/>
      </c>
      <c r="T375" s="44">
        <f>O375+INDEX(Dashboard!$F$6:$F$22,MATCH($A375,Dashboard!$A$6:$A$22,0))</f>
        <v/>
      </c>
      <c r="U375" s="43">
        <f>AQ375*INDEX(Dashboard!$G$6:$G$22,MATCH($A375,Dashboard!$A$6:$A$22,0))</f>
        <v/>
      </c>
      <c r="V375" s="47" t="n"/>
      <c r="W375" s="47" t="n"/>
      <c r="X375" s="47" t="n"/>
      <c r="Y375" s="48" t="n"/>
      <c r="Z375" s="49" t="n"/>
      <c r="AA375" s="49" t="n"/>
      <c r="AB375" s="49" t="n"/>
      <c r="AC375" s="50" t="n"/>
      <c r="AD375" s="43">
        <f>IF(Z375&lt;&gt;"",Z375,N(V375))</f>
        <v/>
      </c>
      <c r="AE375" s="43">
        <f>IF(AA375&lt;&gt;"",AA375,N(W375))</f>
        <v/>
      </c>
      <c r="AF375" s="43">
        <f>AD375+AE375</f>
        <v/>
      </c>
      <c r="AG375" s="42">
        <f>IF(UPPER(AC375)="Y",1,IF(AF375=0,0,IF(AND(Z375="",Y375&lt;&gt;""),IF(Y375&gt;=0.999,1,0),IF(AF375&gt;=U375,1,0))))</f>
        <v/>
      </c>
      <c r="AH375" s="44">
        <f>IF(AF375&gt;0,(AD375-AE375)/AF375,"")</f>
        <v/>
      </c>
      <c r="AI375" s="45">
        <f>IF(AG375=1,AH375-O375,"")</f>
        <v/>
      </c>
      <c r="AJ375" s="44">
        <f>IF(AG375=1,AH375,MAX(-1,MIN(1,O375+INDEX(Types!$H:$H,MATCH($A375&amp;"|"&amp;$D375,Types!$A:$A,0)))))</f>
        <v/>
      </c>
      <c r="AK375" s="43">
        <f>IF(AG375=1,AF375,MAX(AQ375*AS375,AF375))</f>
        <v/>
      </c>
      <c r="AL375" s="43">
        <f>IF(AG375=1,AD375,AK375*(1+AJ375)/2)</f>
        <v/>
      </c>
      <c r="AM375" s="43">
        <f>IF(AG375=1,AE375,AK375*(1-AJ375)/2)</f>
        <v/>
      </c>
      <c r="AN375" s="45">
        <f>IF(AH375="","",AH375-T375)</f>
        <v/>
      </c>
      <c r="AO375" s="51">
        <f>IF(AG375=1,1,IF(U375&gt;0,MIN(AF375/U375,0.99),0))</f>
        <v/>
      </c>
      <c r="AP375" s="43">
        <f>IF(AG375=1,AI375*AF375,0)</f>
        <v/>
      </c>
      <c r="AQ375" s="43">
        <f>N375*(F375+G375)/H375</f>
        <v/>
      </c>
      <c r="AR375" s="43">
        <f>O375*AQ375</f>
        <v/>
      </c>
      <c r="AS375" s="52">
        <f>IF(AG375=1,IF(AQ375&gt;0,AF375/AQ375,1),IFERROR(INDEX(Types!$K:$K,MATCH($A375&amp;"|"&amp;$D375,Types!$A:$A,0)),INDEX(Dashboard!$X$6:$X$22,MATCH($A375,Dashboard!$A$6:$A$22,0))))</f>
        <v/>
      </c>
      <c r="AT375" s="43">
        <f>AQ375*INDEX(Dashboard!$Y$6:$Y$22,MATCH($A375,Dashboard!$A$6:$A$22,0))</f>
        <v/>
      </c>
      <c r="AU375" s="53">
        <f>IF(AND(AG375=1,AT375&gt;0,AF375&gt;0),100*AF375/AT375,"")</f>
        <v/>
      </c>
      <c r="AV375" s="44">
        <f>IF(AU375="","",T375/(AU375/100))</f>
        <v/>
      </c>
      <c r="AW375" s="53">
        <f>IF(AU375="","",IF(AND(ABS(AH375)&gt;=0.1,ABS(T375)&gt;=0.05,SIGN(AH375)=SIGN(T375)),100*T375/AH375,""))</f>
        <v/>
      </c>
      <c r="AX375" s="45">
        <f>IF(AU375="","",T375-AV375)</f>
        <v/>
      </c>
      <c r="AY375" s="45">
        <f>IF(AU375="","",AH375-AV375)</f>
        <v/>
      </c>
      <c r="AZ375" s="54">
        <f>(AL375-AM375)-T375*AT375</f>
        <v/>
      </c>
      <c r="BA375" s="43">
        <f>IF(AU375="",0,(AH375-T375)*AF375)</f>
        <v/>
      </c>
      <c r="BB375" s="43">
        <f>IF(AU375="",0,T375*(AF375-AT375))</f>
        <v/>
      </c>
      <c r="BC375" s="51" t="n">
        <v>0.01772737282536886</v>
      </c>
      <c r="BD375" s="51" t="n">
        <v>0.08896718784408721</v>
      </c>
      <c r="BE375" s="51" t="n">
        <v>0.2655928718300206</v>
      </c>
      <c r="BF375" s="43" t="n">
        <v>9082</v>
      </c>
    </row>
    <row r="376">
      <c r="A376" s="42" t="inlineStr">
        <is>
          <t>KS</t>
        </is>
      </c>
      <c r="B376" s="42" t="inlineStr">
        <is>
          <t>20153</t>
        </is>
      </c>
      <c r="C376" s="42" t="inlineStr">
        <is>
          <t>Rawlins</t>
        </is>
      </c>
      <c r="D376" s="42" t="inlineStr">
        <is>
          <t>Small town &amp; rural</t>
        </is>
      </c>
      <c r="E376" s="42" t="inlineStr"/>
      <c r="F376" s="43" t="n">
        <v>176</v>
      </c>
      <c r="G376" s="43" t="n">
        <v>1194</v>
      </c>
      <c r="H376" s="43" t="n">
        <v>1403</v>
      </c>
      <c r="I376" s="43" t="n">
        <v>214</v>
      </c>
      <c r="J376" s="43" t="n">
        <v>1253</v>
      </c>
      <c r="K376" s="42" t="inlineStr">
        <is>
          <t>US Senate</t>
        </is>
      </c>
      <c r="L376" s="43" t="n">
        <v>109</v>
      </c>
      <c r="M376" s="43" t="n">
        <v>1010</v>
      </c>
      <c r="N376" s="43" t="n">
        <v>1155</v>
      </c>
      <c r="O376" s="44">
        <f>IFERROR((F376-G376)/(F376+G376),"")</f>
        <v/>
      </c>
      <c r="P376" s="44">
        <f>IFERROR((I376-J376)/(I376+J376),"")</f>
        <v/>
      </c>
      <c r="Q376" s="45">
        <f>IFERROR(O376-P376,"")</f>
        <v/>
      </c>
      <c r="R376" s="44">
        <f>IFERROR((L376-M376)/(L376+M376),"")</f>
        <v/>
      </c>
      <c r="S376" s="46">
        <f>H376/SUMIFS(Counties!$H$2:$H$1583,Counties!$A$2:$A$1583,$A376)</f>
        <v/>
      </c>
      <c r="T376" s="44">
        <f>O376+INDEX(Dashboard!$F$6:$F$22,MATCH($A376,Dashboard!$A$6:$A$22,0))</f>
        <v/>
      </c>
      <c r="U376" s="43">
        <f>AQ376*INDEX(Dashboard!$G$6:$G$22,MATCH($A376,Dashboard!$A$6:$A$22,0))</f>
        <v/>
      </c>
      <c r="V376" s="47" t="n"/>
      <c r="W376" s="47" t="n"/>
      <c r="X376" s="47" t="n"/>
      <c r="Y376" s="48" t="n"/>
      <c r="Z376" s="49" t="n"/>
      <c r="AA376" s="49" t="n"/>
      <c r="AB376" s="49" t="n"/>
      <c r="AC376" s="50" t="n"/>
      <c r="AD376" s="43">
        <f>IF(Z376&lt;&gt;"",Z376,N(V376))</f>
        <v/>
      </c>
      <c r="AE376" s="43">
        <f>IF(AA376&lt;&gt;"",AA376,N(W376))</f>
        <v/>
      </c>
      <c r="AF376" s="43">
        <f>AD376+AE376</f>
        <v/>
      </c>
      <c r="AG376" s="42">
        <f>IF(UPPER(AC376)="Y",1,IF(AF376=0,0,IF(AND(Z376="",Y376&lt;&gt;""),IF(Y376&gt;=0.999,1,0),IF(AF376&gt;=U376,1,0))))</f>
        <v/>
      </c>
      <c r="AH376" s="44">
        <f>IF(AF376&gt;0,(AD376-AE376)/AF376,"")</f>
        <v/>
      </c>
      <c r="AI376" s="45">
        <f>IF(AG376=1,AH376-O376,"")</f>
        <v/>
      </c>
      <c r="AJ376" s="44">
        <f>IF(AG376=1,AH376,MAX(-1,MIN(1,O376+INDEX(Types!$H:$H,MATCH($A376&amp;"|"&amp;$D376,Types!$A:$A,0)))))</f>
        <v/>
      </c>
      <c r="AK376" s="43">
        <f>IF(AG376=1,AF376,MAX(AQ376*AS376,AF376))</f>
        <v/>
      </c>
      <c r="AL376" s="43">
        <f>IF(AG376=1,AD376,AK376*(1+AJ376)/2)</f>
        <v/>
      </c>
      <c r="AM376" s="43">
        <f>IF(AG376=1,AE376,AK376*(1-AJ376)/2)</f>
        <v/>
      </c>
      <c r="AN376" s="45">
        <f>IF(AH376="","",AH376-T376)</f>
        <v/>
      </c>
      <c r="AO376" s="51">
        <f>IF(AG376=1,1,IF(U376&gt;0,MIN(AF376/U376,0.99),0))</f>
        <v/>
      </c>
      <c r="AP376" s="43">
        <f>IF(AG376=1,AI376*AF376,0)</f>
        <v/>
      </c>
      <c r="AQ376" s="43">
        <f>N376*(F376+G376)/H376</f>
        <v/>
      </c>
      <c r="AR376" s="43">
        <f>O376*AQ376</f>
        <v/>
      </c>
      <c r="AS376" s="52">
        <f>IF(AG376=1,IF(AQ376&gt;0,AF376/AQ376,1),IFERROR(INDEX(Types!$K:$K,MATCH($A376&amp;"|"&amp;$D376,Types!$A:$A,0)),INDEX(Dashboard!$X$6:$X$22,MATCH($A376,Dashboard!$A$6:$A$22,0))))</f>
        <v/>
      </c>
      <c r="AT376" s="43">
        <f>AQ376*INDEX(Dashboard!$Y$6:$Y$22,MATCH($A376,Dashboard!$A$6:$A$22,0))</f>
        <v/>
      </c>
      <c r="AU376" s="53">
        <f>IF(AND(AG376=1,AT376&gt;0,AF376&gt;0),100*AF376/AT376,"")</f>
        <v/>
      </c>
      <c r="AV376" s="44">
        <f>IF(AU376="","",T376/(AU376/100))</f>
        <v/>
      </c>
      <c r="AW376" s="53">
        <f>IF(AU376="","",IF(AND(ABS(AH376)&gt;=0.1,ABS(T376)&gt;=0.05,SIGN(AH376)=SIGN(T376)),100*T376/AH376,""))</f>
        <v/>
      </c>
      <c r="AX376" s="45">
        <f>IF(AU376="","",T376-AV376)</f>
        <v/>
      </c>
      <c r="AY376" s="45">
        <f>IF(AU376="","",AH376-AV376)</f>
        <v/>
      </c>
      <c r="AZ376" s="54">
        <f>(AL376-AM376)-T376*AT376</f>
        <v/>
      </c>
      <c r="BA376" s="43">
        <f>IF(AU376="",0,(AH376-T376)*AF376)</f>
        <v/>
      </c>
      <c r="BB376" s="43">
        <f>IF(AU376="",0,T376*(AF376-AT376))</f>
        <v/>
      </c>
      <c r="BC376" s="51" t="n">
        <v>0.006090133982947625</v>
      </c>
      <c r="BD376" s="51" t="n">
        <v>0.08079577750710516</v>
      </c>
      <c r="BE376" s="51" t="n">
        <v>0.1729405346426623</v>
      </c>
      <c r="BF376" s="43" t="n">
        <v>2463</v>
      </c>
    </row>
    <row r="377">
      <c r="A377" s="42" t="inlineStr">
        <is>
          <t>KS</t>
        </is>
      </c>
      <c r="B377" s="42" t="inlineStr">
        <is>
          <t>20155</t>
        </is>
      </c>
      <c r="C377" s="42" t="inlineStr">
        <is>
          <t>Reno</t>
        </is>
      </c>
      <c r="D377" s="42" t="inlineStr">
        <is>
          <t>Small town &amp; rural</t>
        </is>
      </c>
      <c r="E377" s="42" t="inlineStr">
        <is>
          <t>★</t>
        </is>
      </c>
      <c r="F377" s="43" t="n">
        <v>8554</v>
      </c>
      <c r="G377" s="43" t="n">
        <v>17847</v>
      </c>
      <c r="H377" s="43" t="n">
        <v>26940</v>
      </c>
      <c r="I377" s="43" t="n">
        <v>8602</v>
      </c>
      <c r="J377" s="43" t="n">
        <v>17948</v>
      </c>
      <c r="K377" s="42" t="inlineStr">
        <is>
          <t>US Senate</t>
        </is>
      </c>
      <c r="L377" s="43" t="n">
        <v>5467</v>
      </c>
      <c r="M377" s="43" t="n">
        <v>14459</v>
      </c>
      <c r="N377" s="43" t="n">
        <v>20643</v>
      </c>
      <c r="O377" s="44">
        <f>IFERROR((F377-G377)/(F377+G377),"")</f>
        <v/>
      </c>
      <c r="P377" s="44">
        <f>IFERROR((I377-J377)/(I377+J377),"")</f>
        <v/>
      </c>
      <c r="Q377" s="45">
        <f>IFERROR(O377-P377,"")</f>
        <v/>
      </c>
      <c r="R377" s="44">
        <f>IFERROR((L377-M377)/(L377+M377),"")</f>
        <v/>
      </c>
      <c r="S377" s="46">
        <f>H377/SUMIFS(Counties!$H$2:$H$1583,Counties!$A$2:$A$1583,$A377)</f>
        <v/>
      </c>
      <c r="T377" s="44">
        <f>O377+INDEX(Dashboard!$F$6:$F$22,MATCH($A377,Dashboard!$A$6:$A$22,0))</f>
        <v/>
      </c>
      <c r="U377" s="43">
        <f>AQ377*INDEX(Dashboard!$G$6:$G$22,MATCH($A377,Dashboard!$A$6:$A$22,0))</f>
        <v/>
      </c>
      <c r="V377" s="47" t="n"/>
      <c r="W377" s="47" t="n"/>
      <c r="X377" s="47" t="n"/>
      <c r="Y377" s="48" t="n"/>
      <c r="Z377" s="49" t="n"/>
      <c r="AA377" s="49" t="n"/>
      <c r="AB377" s="49" t="n"/>
      <c r="AC377" s="50" t="n"/>
      <c r="AD377" s="43">
        <f>IF(Z377&lt;&gt;"",Z377,N(V377))</f>
        <v/>
      </c>
      <c r="AE377" s="43">
        <f>IF(AA377&lt;&gt;"",AA377,N(W377))</f>
        <v/>
      </c>
      <c r="AF377" s="43">
        <f>AD377+AE377</f>
        <v/>
      </c>
      <c r="AG377" s="42">
        <f>IF(UPPER(AC377)="Y",1,IF(AF377=0,0,IF(AND(Z377="",Y377&lt;&gt;""),IF(Y377&gt;=0.999,1,0),IF(AF377&gt;=U377,1,0))))</f>
        <v/>
      </c>
      <c r="AH377" s="44">
        <f>IF(AF377&gt;0,(AD377-AE377)/AF377,"")</f>
        <v/>
      </c>
      <c r="AI377" s="45">
        <f>IF(AG377=1,AH377-O377,"")</f>
        <v/>
      </c>
      <c r="AJ377" s="44">
        <f>IF(AG377=1,AH377,MAX(-1,MIN(1,O377+INDEX(Types!$H:$H,MATCH($A377&amp;"|"&amp;$D377,Types!$A:$A,0)))))</f>
        <v/>
      </c>
      <c r="AK377" s="43">
        <f>IF(AG377=1,AF377,MAX(AQ377*AS377,AF377))</f>
        <v/>
      </c>
      <c r="AL377" s="43">
        <f>IF(AG377=1,AD377,AK377*(1+AJ377)/2)</f>
        <v/>
      </c>
      <c r="AM377" s="43">
        <f>IF(AG377=1,AE377,AK377*(1-AJ377)/2)</f>
        <v/>
      </c>
      <c r="AN377" s="45">
        <f>IF(AH377="","",AH377-T377)</f>
        <v/>
      </c>
      <c r="AO377" s="51">
        <f>IF(AG377=1,1,IF(U377&gt;0,MIN(AF377/U377,0.99),0))</f>
        <v/>
      </c>
      <c r="AP377" s="43">
        <f>IF(AG377=1,AI377*AF377,0)</f>
        <v/>
      </c>
      <c r="AQ377" s="43">
        <f>N377*(F377+G377)/H377</f>
        <v/>
      </c>
      <c r="AR377" s="43">
        <f>O377*AQ377</f>
        <v/>
      </c>
      <c r="AS377" s="52">
        <f>IF(AG377=1,IF(AQ377&gt;0,AF377/AQ377,1),IFERROR(INDEX(Types!$K:$K,MATCH($A377&amp;"|"&amp;$D377,Types!$A:$A,0)),INDEX(Dashboard!$X$6:$X$22,MATCH($A377,Dashboard!$A$6:$A$22,0))))</f>
        <v/>
      </c>
      <c r="AT377" s="43">
        <f>AQ377*INDEX(Dashboard!$Y$6:$Y$22,MATCH($A377,Dashboard!$A$6:$A$22,0))</f>
        <v/>
      </c>
      <c r="AU377" s="53">
        <f>IF(AND(AG377=1,AT377&gt;0,AF377&gt;0),100*AF377/AT377,"")</f>
        <v/>
      </c>
      <c r="AV377" s="44">
        <f>IF(AU377="","",T377/(AU377/100))</f>
        <v/>
      </c>
      <c r="AW377" s="53">
        <f>IF(AU377="","",IF(AND(ABS(AH377)&gt;=0.1,ABS(T377)&gt;=0.05,SIGN(AH377)=SIGN(T377)),100*T377/AH377,""))</f>
        <v/>
      </c>
      <c r="AX377" s="45">
        <f>IF(AU377="","",T377-AV377)</f>
        <v/>
      </c>
      <c r="AY377" s="45">
        <f>IF(AU377="","",AH377-AV377)</f>
        <v/>
      </c>
      <c r="AZ377" s="54">
        <f>(AL377-AM377)-T377*AT377</f>
        <v/>
      </c>
      <c r="BA377" s="43">
        <f>IF(AU377="",0,(AH377-T377)*AF377)</f>
        <v/>
      </c>
      <c r="BB377" s="43">
        <f>IF(AU377="",0,T377*(AF377-AT377))</f>
        <v/>
      </c>
      <c r="BC377" s="51" t="n">
        <v>0.02949737385563523</v>
      </c>
      <c r="BD377" s="51" t="n">
        <v>0.1056799518675708</v>
      </c>
      <c r="BE377" s="51" t="n">
        <v>0.2054897891807763</v>
      </c>
      <c r="BF377" s="43" t="n">
        <v>61497</v>
      </c>
    </row>
    <row r="378">
      <c r="A378" s="42" t="inlineStr">
        <is>
          <t>KS</t>
        </is>
      </c>
      <c r="B378" s="42" t="inlineStr">
        <is>
          <t>20157</t>
        </is>
      </c>
      <c r="C378" s="42" t="inlineStr">
        <is>
          <t>Republic</t>
        </is>
      </c>
      <c r="D378" s="42" t="inlineStr">
        <is>
          <t>Small town &amp; rural</t>
        </is>
      </c>
      <c r="E378" s="42" t="inlineStr"/>
      <c r="F378" s="43" t="n">
        <v>396</v>
      </c>
      <c r="G378" s="43" t="n">
        <v>2001</v>
      </c>
      <c r="H378" s="43" t="n">
        <v>2443</v>
      </c>
      <c r="I378" s="43" t="n">
        <v>420</v>
      </c>
      <c r="J378" s="43" t="n">
        <v>2172</v>
      </c>
      <c r="K378" s="42" t="inlineStr">
        <is>
          <t>US Senate</t>
        </is>
      </c>
      <c r="L378" s="43" t="n">
        <v>244</v>
      </c>
      <c r="M378" s="43" t="n">
        <v>1647</v>
      </c>
      <c r="N378" s="43" t="n">
        <v>1966</v>
      </c>
      <c r="O378" s="44">
        <f>IFERROR((F378-G378)/(F378+G378),"")</f>
        <v/>
      </c>
      <c r="P378" s="44">
        <f>IFERROR((I378-J378)/(I378+J378),"")</f>
        <v/>
      </c>
      <c r="Q378" s="45">
        <f>IFERROR(O378-P378,"")</f>
        <v/>
      </c>
      <c r="R378" s="44">
        <f>IFERROR((L378-M378)/(L378+M378),"")</f>
        <v/>
      </c>
      <c r="S378" s="46">
        <f>H378/SUMIFS(Counties!$H$2:$H$1583,Counties!$A$2:$A$1583,$A378)</f>
        <v/>
      </c>
      <c r="T378" s="44">
        <f>O378+INDEX(Dashboard!$F$6:$F$22,MATCH($A378,Dashboard!$A$6:$A$22,0))</f>
        <v/>
      </c>
      <c r="U378" s="43">
        <f>AQ378*INDEX(Dashboard!$G$6:$G$22,MATCH($A378,Dashboard!$A$6:$A$22,0))</f>
        <v/>
      </c>
      <c r="V378" s="47" t="n"/>
      <c r="W378" s="47" t="n"/>
      <c r="X378" s="47" t="n"/>
      <c r="Y378" s="48" t="n"/>
      <c r="Z378" s="49" t="n"/>
      <c r="AA378" s="49" t="n"/>
      <c r="AB378" s="49" t="n"/>
      <c r="AC378" s="50" t="n"/>
      <c r="AD378" s="43">
        <f>IF(Z378&lt;&gt;"",Z378,N(V378))</f>
        <v/>
      </c>
      <c r="AE378" s="43">
        <f>IF(AA378&lt;&gt;"",AA378,N(W378))</f>
        <v/>
      </c>
      <c r="AF378" s="43">
        <f>AD378+AE378</f>
        <v/>
      </c>
      <c r="AG378" s="42">
        <f>IF(UPPER(AC378)="Y",1,IF(AF378=0,0,IF(AND(Z378="",Y378&lt;&gt;""),IF(Y378&gt;=0.999,1,0),IF(AF378&gt;=U378,1,0))))</f>
        <v/>
      </c>
      <c r="AH378" s="44">
        <f>IF(AF378&gt;0,(AD378-AE378)/AF378,"")</f>
        <v/>
      </c>
      <c r="AI378" s="45">
        <f>IF(AG378=1,AH378-O378,"")</f>
        <v/>
      </c>
      <c r="AJ378" s="44">
        <f>IF(AG378=1,AH378,MAX(-1,MIN(1,O378+INDEX(Types!$H:$H,MATCH($A378&amp;"|"&amp;$D378,Types!$A:$A,0)))))</f>
        <v/>
      </c>
      <c r="AK378" s="43">
        <f>IF(AG378=1,AF378,MAX(AQ378*AS378,AF378))</f>
        <v/>
      </c>
      <c r="AL378" s="43">
        <f>IF(AG378=1,AD378,AK378*(1+AJ378)/2)</f>
        <v/>
      </c>
      <c r="AM378" s="43">
        <f>IF(AG378=1,AE378,AK378*(1-AJ378)/2)</f>
        <v/>
      </c>
      <c r="AN378" s="45">
        <f>IF(AH378="","",AH378-T378)</f>
        <v/>
      </c>
      <c r="AO378" s="51">
        <f>IF(AG378=1,1,IF(U378&gt;0,MIN(AF378/U378,0.99),0))</f>
        <v/>
      </c>
      <c r="AP378" s="43">
        <f>IF(AG378=1,AI378*AF378,0)</f>
        <v/>
      </c>
      <c r="AQ378" s="43">
        <f>N378*(F378+G378)/H378</f>
        <v/>
      </c>
      <c r="AR378" s="43">
        <f>O378*AQ378</f>
        <v/>
      </c>
      <c r="AS378" s="52">
        <f>IF(AG378=1,IF(AQ378&gt;0,AF378/AQ378,1),IFERROR(INDEX(Types!$K:$K,MATCH($A378&amp;"|"&amp;$D378,Types!$A:$A,0)),INDEX(Dashboard!$X$6:$X$22,MATCH($A378,Dashboard!$A$6:$A$22,0))))</f>
        <v/>
      </c>
      <c r="AT378" s="43">
        <f>AQ378*INDEX(Dashboard!$Y$6:$Y$22,MATCH($A378,Dashboard!$A$6:$A$22,0))</f>
        <v/>
      </c>
      <c r="AU378" s="53">
        <f>IF(AND(AG378=1,AT378&gt;0,AF378&gt;0),100*AF378/AT378,"")</f>
        <v/>
      </c>
      <c r="AV378" s="44">
        <f>IF(AU378="","",T378/(AU378/100))</f>
        <v/>
      </c>
      <c r="AW378" s="53">
        <f>IF(AU378="","",IF(AND(ABS(AH378)&gt;=0.1,ABS(T378)&gt;=0.05,SIGN(AH378)=SIGN(T378)),100*T378/AH378,""))</f>
        <v/>
      </c>
      <c r="AX378" s="45">
        <f>IF(AU378="","",T378-AV378)</f>
        <v/>
      </c>
      <c r="AY378" s="45">
        <f>IF(AU378="","",AH378-AV378)</f>
        <v/>
      </c>
      <c r="AZ378" s="54">
        <f>(AL378-AM378)-T378*AT378</f>
        <v/>
      </c>
      <c r="BA378" s="43">
        <f>IF(AU378="",0,(AH378-T378)*AF378)</f>
        <v/>
      </c>
      <c r="BB378" s="43">
        <f>IF(AU378="",0,T378*(AF378-AT378))</f>
        <v/>
      </c>
      <c r="BC378" s="51" t="n">
        <v>0.008212664793602767</v>
      </c>
      <c r="BD378" s="51" t="n">
        <v>0.02939269505078885</v>
      </c>
      <c r="BE378" s="51" t="n">
        <v>0.2537268025555218</v>
      </c>
      <c r="BF378" s="43" t="n">
        <v>4627</v>
      </c>
    </row>
    <row r="379">
      <c r="A379" s="42" t="inlineStr">
        <is>
          <t>KS</t>
        </is>
      </c>
      <c r="B379" s="42" t="inlineStr">
        <is>
          <t>20159</t>
        </is>
      </c>
      <c r="C379" s="42" t="inlineStr">
        <is>
          <t>Rice</t>
        </is>
      </c>
      <c r="D379" s="42" t="inlineStr">
        <is>
          <t>Small town &amp; rural</t>
        </is>
      </c>
      <c r="E379" s="42" t="inlineStr"/>
      <c r="F379" s="43" t="n">
        <v>825</v>
      </c>
      <c r="G379" s="43" t="n">
        <v>3073</v>
      </c>
      <c r="H379" s="43" t="n">
        <v>3966</v>
      </c>
      <c r="I379" s="43" t="n">
        <v>953</v>
      </c>
      <c r="J379" s="43" t="n">
        <v>3187</v>
      </c>
      <c r="K379" s="42" t="inlineStr">
        <is>
          <t>US Senate</t>
        </is>
      </c>
      <c r="L379" s="43" t="n">
        <v>494</v>
      </c>
      <c r="M379" s="43" t="n">
        <v>2510</v>
      </c>
      <c r="N379" s="43" t="n">
        <v>3096</v>
      </c>
      <c r="O379" s="44">
        <f>IFERROR((F379-G379)/(F379+G379),"")</f>
        <v/>
      </c>
      <c r="P379" s="44">
        <f>IFERROR((I379-J379)/(I379+J379),"")</f>
        <v/>
      </c>
      <c r="Q379" s="45">
        <f>IFERROR(O379-P379,"")</f>
        <v/>
      </c>
      <c r="R379" s="44">
        <f>IFERROR((L379-M379)/(L379+M379),"")</f>
        <v/>
      </c>
      <c r="S379" s="46">
        <f>H379/SUMIFS(Counties!$H$2:$H$1583,Counties!$A$2:$A$1583,$A379)</f>
        <v/>
      </c>
      <c r="T379" s="44">
        <f>O379+INDEX(Dashboard!$F$6:$F$22,MATCH($A379,Dashboard!$A$6:$A$22,0))</f>
        <v/>
      </c>
      <c r="U379" s="43">
        <f>AQ379*INDEX(Dashboard!$G$6:$G$22,MATCH($A379,Dashboard!$A$6:$A$22,0))</f>
        <v/>
      </c>
      <c r="V379" s="47" t="n"/>
      <c r="W379" s="47" t="n"/>
      <c r="X379" s="47" t="n"/>
      <c r="Y379" s="48" t="n"/>
      <c r="Z379" s="49" t="n"/>
      <c r="AA379" s="49" t="n"/>
      <c r="AB379" s="49" t="n"/>
      <c r="AC379" s="50" t="n"/>
      <c r="AD379" s="43">
        <f>IF(Z379&lt;&gt;"",Z379,N(V379))</f>
        <v/>
      </c>
      <c r="AE379" s="43">
        <f>IF(AA379&lt;&gt;"",AA379,N(W379))</f>
        <v/>
      </c>
      <c r="AF379" s="43">
        <f>AD379+AE379</f>
        <v/>
      </c>
      <c r="AG379" s="42">
        <f>IF(UPPER(AC379)="Y",1,IF(AF379=0,0,IF(AND(Z379="",Y379&lt;&gt;""),IF(Y379&gt;=0.999,1,0),IF(AF379&gt;=U379,1,0))))</f>
        <v/>
      </c>
      <c r="AH379" s="44">
        <f>IF(AF379&gt;0,(AD379-AE379)/AF379,"")</f>
        <v/>
      </c>
      <c r="AI379" s="45">
        <f>IF(AG379=1,AH379-O379,"")</f>
        <v/>
      </c>
      <c r="AJ379" s="44">
        <f>IF(AG379=1,AH379,MAX(-1,MIN(1,O379+INDEX(Types!$H:$H,MATCH($A379&amp;"|"&amp;$D379,Types!$A:$A,0)))))</f>
        <v/>
      </c>
      <c r="AK379" s="43">
        <f>IF(AG379=1,AF379,MAX(AQ379*AS379,AF379))</f>
        <v/>
      </c>
      <c r="AL379" s="43">
        <f>IF(AG379=1,AD379,AK379*(1+AJ379)/2)</f>
        <v/>
      </c>
      <c r="AM379" s="43">
        <f>IF(AG379=1,AE379,AK379*(1-AJ379)/2)</f>
        <v/>
      </c>
      <c r="AN379" s="45">
        <f>IF(AH379="","",AH379-T379)</f>
        <v/>
      </c>
      <c r="AO379" s="51">
        <f>IF(AG379=1,1,IF(U379&gt;0,MIN(AF379/U379,0.99),0))</f>
        <v/>
      </c>
      <c r="AP379" s="43">
        <f>IF(AG379=1,AI379*AF379,0)</f>
        <v/>
      </c>
      <c r="AQ379" s="43">
        <f>N379*(F379+G379)/H379</f>
        <v/>
      </c>
      <c r="AR379" s="43">
        <f>O379*AQ379</f>
        <v/>
      </c>
      <c r="AS379" s="52">
        <f>IF(AG379=1,IF(AQ379&gt;0,AF379/AQ379,1),IFERROR(INDEX(Types!$K:$K,MATCH($A379&amp;"|"&amp;$D379,Types!$A:$A,0)),INDEX(Dashboard!$X$6:$X$22,MATCH($A379,Dashboard!$A$6:$A$22,0))))</f>
        <v/>
      </c>
      <c r="AT379" s="43">
        <f>AQ379*INDEX(Dashboard!$Y$6:$Y$22,MATCH($A379,Dashboard!$A$6:$A$22,0))</f>
        <v/>
      </c>
      <c r="AU379" s="53">
        <f>IF(AND(AG379=1,AT379&gt;0,AF379&gt;0),100*AF379/AT379,"")</f>
        <v/>
      </c>
      <c r="AV379" s="44">
        <f>IF(AU379="","",T379/(AU379/100))</f>
        <v/>
      </c>
      <c r="AW379" s="53">
        <f>IF(AU379="","",IF(AND(ABS(AH379)&gt;=0.1,ABS(T379)&gt;=0.05,SIGN(AH379)=SIGN(T379)),100*T379/AH379,""))</f>
        <v/>
      </c>
      <c r="AX379" s="45">
        <f>IF(AU379="","",T379-AV379)</f>
        <v/>
      </c>
      <c r="AY379" s="45">
        <f>IF(AU379="","",AH379-AV379)</f>
        <v/>
      </c>
      <c r="AZ379" s="54">
        <f>(AL379-AM379)-T379*AT379</f>
        <v/>
      </c>
      <c r="BA379" s="43">
        <f>IF(AU379="",0,(AH379-T379)*AF379)</f>
        <v/>
      </c>
      <c r="BB379" s="43">
        <f>IF(AU379="",0,T379*(AF379-AT379))</f>
        <v/>
      </c>
      <c r="BC379" s="51" t="n">
        <v>0.01576673866090713</v>
      </c>
      <c r="BD379" s="51" t="n">
        <v>0.1408207343412527</v>
      </c>
      <c r="BE379" s="51" t="n">
        <v>0.2426929392446634</v>
      </c>
      <c r="BF379" s="43" t="n">
        <v>9260</v>
      </c>
    </row>
    <row r="380">
      <c r="A380" s="42" t="inlineStr">
        <is>
          <t>KS</t>
        </is>
      </c>
      <c r="B380" s="42" t="inlineStr">
        <is>
          <t>20161</t>
        </is>
      </c>
      <c r="C380" s="42" t="inlineStr">
        <is>
          <t>Riley</t>
        </is>
      </c>
      <c r="D380" s="42" t="inlineStr">
        <is>
          <t>Small town &amp; rural</t>
        </is>
      </c>
      <c r="E380" s="42" t="inlineStr">
        <is>
          <t>★</t>
        </is>
      </c>
      <c r="F380" s="43" t="n">
        <v>12063</v>
      </c>
      <c r="G380" s="43" t="n">
        <v>11630</v>
      </c>
      <c r="H380" s="43" t="n">
        <v>24313</v>
      </c>
      <c r="I380" s="43" t="n">
        <v>11940</v>
      </c>
      <c r="J380" s="43" t="n">
        <v>11174</v>
      </c>
      <c r="K380" s="42" t="inlineStr">
        <is>
          <t>US Senate</t>
        </is>
      </c>
      <c r="L380" s="43" t="n">
        <v>7950</v>
      </c>
      <c r="M380" s="43" t="n">
        <v>9761</v>
      </c>
      <c r="N380" s="43" t="n">
        <v>18150</v>
      </c>
      <c r="O380" s="44">
        <f>IFERROR((F380-G380)/(F380+G380),"")</f>
        <v/>
      </c>
      <c r="P380" s="44">
        <f>IFERROR((I380-J380)/(I380+J380),"")</f>
        <v/>
      </c>
      <c r="Q380" s="45">
        <f>IFERROR(O380-P380,"")</f>
        <v/>
      </c>
      <c r="R380" s="44">
        <f>IFERROR((L380-M380)/(L380+M380),"")</f>
        <v/>
      </c>
      <c r="S380" s="46">
        <f>H380/SUMIFS(Counties!$H$2:$H$1583,Counties!$A$2:$A$1583,$A380)</f>
        <v/>
      </c>
      <c r="T380" s="44">
        <f>O380+INDEX(Dashboard!$F$6:$F$22,MATCH($A380,Dashboard!$A$6:$A$22,0))</f>
        <v/>
      </c>
      <c r="U380" s="43">
        <f>AQ380*INDEX(Dashboard!$G$6:$G$22,MATCH($A380,Dashboard!$A$6:$A$22,0))</f>
        <v/>
      </c>
      <c r="V380" s="47" t="n"/>
      <c r="W380" s="47" t="n"/>
      <c r="X380" s="47" t="n"/>
      <c r="Y380" s="48" t="n"/>
      <c r="Z380" s="49" t="n"/>
      <c r="AA380" s="49" t="n"/>
      <c r="AB380" s="49" t="n"/>
      <c r="AC380" s="50" t="n"/>
      <c r="AD380" s="43">
        <f>IF(Z380&lt;&gt;"",Z380,N(V380))</f>
        <v/>
      </c>
      <c r="AE380" s="43">
        <f>IF(AA380&lt;&gt;"",AA380,N(W380))</f>
        <v/>
      </c>
      <c r="AF380" s="43">
        <f>AD380+AE380</f>
        <v/>
      </c>
      <c r="AG380" s="42">
        <f>IF(UPPER(AC380)="Y",1,IF(AF380=0,0,IF(AND(Z380="",Y380&lt;&gt;""),IF(Y380&gt;=0.999,1,0),IF(AF380&gt;=U380,1,0))))</f>
        <v/>
      </c>
      <c r="AH380" s="44">
        <f>IF(AF380&gt;0,(AD380-AE380)/AF380,"")</f>
        <v/>
      </c>
      <c r="AI380" s="45">
        <f>IF(AG380=1,AH380-O380,"")</f>
        <v/>
      </c>
      <c r="AJ380" s="44">
        <f>IF(AG380=1,AH380,MAX(-1,MIN(1,O380+INDEX(Types!$H:$H,MATCH($A380&amp;"|"&amp;$D380,Types!$A:$A,0)))))</f>
        <v/>
      </c>
      <c r="AK380" s="43">
        <f>IF(AG380=1,AF380,MAX(AQ380*AS380,AF380))</f>
        <v/>
      </c>
      <c r="AL380" s="43">
        <f>IF(AG380=1,AD380,AK380*(1+AJ380)/2)</f>
        <v/>
      </c>
      <c r="AM380" s="43">
        <f>IF(AG380=1,AE380,AK380*(1-AJ380)/2)</f>
        <v/>
      </c>
      <c r="AN380" s="45">
        <f>IF(AH380="","",AH380-T380)</f>
        <v/>
      </c>
      <c r="AO380" s="51">
        <f>IF(AG380=1,1,IF(U380&gt;0,MIN(AF380/U380,0.99),0))</f>
        <v/>
      </c>
      <c r="AP380" s="43">
        <f>IF(AG380=1,AI380*AF380,0)</f>
        <v/>
      </c>
      <c r="AQ380" s="43">
        <f>N380*(F380+G380)/H380</f>
        <v/>
      </c>
      <c r="AR380" s="43">
        <f>O380*AQ380</f>
        <v/>
      </c>
      <c r="AS380" s="52">
        <f>IF(AG380=1,IF(AQ380&gt;0,AF380/AQ380,1),IFERROR(INDEX(Types!$K:$K,MATCH($A380&amp;"|"&amp;$D380,Types!$A:$A,0)),INDEX(Dashboard!$X$6:$X$22,MATCH($A380,Dashboard!$A$6:$A$22,0))))</f>
        <v/>
      </c>
      <c r="AT380" s="43">
        <f>AQ380*INDEX(Dashboard!$Y$6:$Y$22,MATCH($A380,Dashboard!$A$6:$A$22,0))</f>
        <v/>
      </c>
      <c r="AU380" s="53">
        <f>IF(AND(AG380=1,AT380&gt;0,AF380&gt;0),100*AF380/AT380,"")</f>
        <v/>
      </c>
      <c r="AV380" s="44">
        <f>IF(AU380="","",T380/(AU380/100))</f>
        <v/>
      </c>
      <c r="AW380" s="53">
        <f>IF(AU380="","",IF(AND(ABS(AH380)&gt;=0.1,ABS(T380)&gt;=0.05,SIGN(AH380)=SIGN(T380)),100*T380/AH380,""))</f>
        <v/>
      </c>
      <c r="AX380" s="45">
        <f>IF(AU380="","",T380-AV380)</f>
        <v/>
      </c>
      <c r="AY380" s="45">
        <f>IF(AU380="","",AH380-AV380)</f>
        <v/>
      </c>
      <c r="AZ380" s="54">
        <f>(AL380-AM380)-T380*AT380</f>
        <v/>
      </c>
      <c r="BA380" s="43">
        <f>IF(AU380="",0,(AH380-T380)*AF380)</f>
        <v/>
      </c>
      <c r="BB380" s="43">
        <f>IF(AU380="",0,T380*(AF380-AT380))</f>
        <v/>
      </c>
      <c r="BC380" s="51" t="n">
        <v>0.0656844346096748</v>
      </c>
      <c r="BD380" s="51" t="n">
        <v>0.09635584437410717</v>
      </c>
      <c r="BE380" s="51" t="n">
        <v>0.4797643088328861</v>
      </c>
      <c r="BF380" s="43" t="n">
        <v>71402</v>
      </c>
    </row>
    <row r="381">
      <c r="A381" s="42" t="inlineStr">
        <is>
          <t>KS</t>
        </is>
      </c>
      <c r="B381" s="42" t="inlineStr">
        <is>
          <t>20163</t>
        </is>
      </c>
      <c r="C381" s="42" t="inlineStr">
        <is>
          <t>Rooks</t>
        </is>
      </c>
      <c r="D381" s="42" t="inlineStr">
        <is>
          <t>Small town &amp; rural</t>
        </is>
      </c>
      <c r="E381" s="42" t="inlineStr"/>
      <c r="F381" s="43" t="n">
        <v>349</v>
      </c>
      <c r="G381" s="43" t="n">
        <v>2153</v>
      </c>
      <c r="H381" s="43" t="n">
        <v>2534</v>
      </c>
      <c r="I381" s="43" t="n">
        <v>332</v>
      </c>
      <c r="J381" s="43" t="n">
        <v>2294</v>
      </c>
      <c r="K381" s="42" t="inlineStr">
        <is>
          <t>US Senate</t>
        </is>
      </c>
      <c r="L381" s="43" t="n">
        <v>183</v>
      </c>
      <c r="M381" s="43" t="n">
        <v>1775</v>
      </c>
      <c r="N381" s="43" t="n">
        <v>2085</v>
      </c>
      <c r="O381" s="44">
        <f>IFERROR((F381-G381)/(F381+G381),"")</f>
        <v/>
      </c>
      <c r="P381" s="44">
        <f>IFERROR((I381-J381)/(I381+J381),"")</f>
        <v/>
      </c>
      <c r="Q381" s="45">
        <f>IFERROR(O381-P381,"")</f>
        <v/>
      </c>
      <c r="R381" s="44">
        <f>IFERROR((L381-M381)/(L381+M381),"")</f>
        <v/>
      </c>
      <c r="S381" s="46">
        <f>H381/SUMIFS(Counties!$H$2:$H$1583,Counties!$A$2:$A$1583,$A381)</f>
        <v/>
      </c>
      <c r="T381" s="44">
        <f>O381+INDEX(Dashboard!$F$6:$F$22,MATCH($A381,Dashboard!$A$6:$A$22,0))</f>
        <v/>
      </c>
      <c r="U381" s="43">
        <f>AQ381*INDEX(Dashboard!$G$6:$G$22,MATCH($A381,Dashboard!$A$6:$A$22,0))</f>
        <v/>
      </c>
      <c r="V381" s="47" t="n"/>
      <c r="W381" s="47" t="n"/>
      <c r="X381" s="47" t="n"/>
      <c r="Y381" s="48" t="n"/>
      <c r="Z381" s="49" t="n"/>
      <c r="AA381" s="49" t="n"/>
      <c r="AB381" s="49" t="n"/>
      <c r="AC381" s="50" t="n"/>
      <c r="AD381" s="43">
        <f>IF(Z381&lt;&gt;"",Z381,N(V381))</f>
        <v/>
      </c>
      <c r="AE381" s="43">
        <f>IF(AA381&lt;&gt;"",AA381,N(W381))</f>
        <v/>
      </c>
      <c r="AF381" s="43">
        <f>AD381+AE381</f>
        <v/>
      </c>
      <c r="AG381" s="42">
        <f>IF(UPPER(AC381)="Y",1,IF(AF381=0,0,IF(AND(Z381="",Y381&lt;&gt;""),IF(Y381&gt;=0.999,1,0),IF(AF381&gt;=U381,1,0))))</f>
        <v/>
      </c>
      <c r="AH381" s="44">
        <f>IF(AF381&gt;0,(AD381-AE381)/AF381,"")</f>
        <v/>
      </c>
      <c r="AI381" s="45">
        <f>IF(AG381=1,AH381-O381,"")</f>
        <v/>
      </c>
      <c r="AJ381" s="44">
        <f>IF(AG381=1,AH381,MAX(-1,MIN(1,O381+INDEX(Types!$H:$H,MATCH($A381&amp;"|"&amp;$D381,Types!$A:$A,0)))))</f>
        <v/>
      </c>
      <c r="AK381" s="43">
        <f>IF(AG381=1,AF381,MAX(AQ381*AS381,AF381))</f>
        <v/>
      </c>
      <c r="AL381" s="43">
        <f>IF(AG381=1,AD381,AK381*(1+AJ381)/2)</f>
        <v/>
      </c>
      <c r="AM381" s="43">
        <f>IF(AG381=1,AE381,AK381*(1-AJ381)/2)</f>
        <v/>
      </c>
      <c r="AN381" s="45">
        <f>IF(AH381="","",AH381-T381)</f>
        <v/>
      </c>
      <c r="AO381" s="51">
        <f>IF(AG381=1,1,IF(U381&gt;0,MIN(AF381/U381,0.99),0))</f>
        <v/>
      </c>
      <c r="AP381" s="43">
        <f>IF(AG381=1,AI381*AF381,0)</f>
        <v/>
      </c>
      <c r="AQ381" s="43">
        <f>N381*(F381+G381)/H381</f>
        <v/>
      </c>
      <c r="AR381" s="43">
        <f>O381*AQ381</f>
        <v/>
      </c>
      <c r="AS381" s="52">
        <f>IF(AG381=1,IF(AQ381&gt;0,AF381/AQ381,1),IFERROR(INDEX(Types!$K:$K,MATCH($A381&amp;"|"&amp;$D381,Types!$A:$A,0)),INDEX(Dashboard!$X$6:$X$22,MATCH($A381,Dashboard!$A$6:$A$22,0))))</f>
        <v/>
      </c>
      <c r="AT381" s="43">
        <f>AQ381*INDEX(Dashboard!$Y$6:$Y$22,MATCH($A381,Dashboard!$A$6:$A$22,0))</f>
        <v/>
      </c>
      <c r="AU381" s="53">
        <f>IF(AND(AG381=1,AT381&gt;0,AF381&gt;0),100*AF381/AT381,"")</f>
        <v/>
      </c>
      <c r="AV381" s="44">
        <f>IF(AU381="","",T381/(AU381/100))</f>
        <v/>
      </c>
      <c r="AW381" s="53">
        <f>IF(AU381="","",IF(AND(ABS(AH381)&gt;=0.1,ABS(T381)&gt;=0.05,SIGN(AH381)=SIGN(T381)),100*T381/AH381,""))</f>
        <v/>
      </c>
      <c r="AX381" s="45">
        <f>IF(AU381="","",T381-AV381)</f>
        <v/>
      </c>
      <c r="AY381" s="45">
        <f>IF(AU381="","",AH381-AV381)</f>
        <v/>
      </c>
      <c r="AZ381" s="54">
        <f>(AL381-AM381)-T381*AT381</f>
        <v/>
      </c>
      <c r="BA381" s="43">
        <f>IF(AU381="",0,(AH381-T381)*AF381)</f>
        <v/>
      </c>
      <c r="BB381" s="43">
        <f>IF(AU381="",0,T381*(AF381-AT381))</f>
        <v/>
      </c>
      <c r="BC381" s="51" t="n">
        <v>0.02030138133110088</v>
      </c>
      <c r="BD381" s="51" t="n">
        <v>0.03537044788614483</v>
      </c>
      <c r="BE381" s="51" t="n">
        <v>0.2402015677491601</v>
      </c>
      <c r="BF381" s="43" t="n">
        <v>4778</v>
      </c>
    </row>
    <row r="382">
      <c r="A382" s="42" t="inlineStr">
        <is>
          <t>KS</t>
        </is>
      </c>
      <c r="B382" s="42" t="inlineStr">
        <is>
          <t>20165</t>
        </is>
      </c>
      <c r="C382" s="42" t="inlineStr">
        <is>
          <t>Rush</t>
        </is>
      </c>
      <c r="D382" s="42" t="inlineStr">
        <is>
          <t>Small town &amp; rural</t>
        </is>
      </c>
      <c r="E382" s="42" t="inlineStr"/>
      <c r="F382" s="43" t="n">
        <v>264</v>
      </c>
      <c r="G382" s="43" t="n">
        <v>1315</v>
      </c>
      <c r="H382" s="43" t="n">
        <v>1606</v>
      </c>
      <c r="I382" s="43" t="n">
        <v>291</v>
      </c>
      <c r="J382" s="43" t="n">
        <v>1425</v>
      </c>
      <c r="K382" s="42" t="inlineStr">
        <is>
          <t>US Senate</t>
        </is>
      </c>
      <c r="L382" s="43" t="n">
        <v>130</v>
      </c>
      <c r="M382" s="43" t="n">
        <v>1157</v>
      </c>
      <c r="N382" s="43" t="n">
        <v>1334</v>
      </c>
      <c r="O382" s="44">
        <f>IFERROR((F382-G382)/(F382+G382),"")</f>
        <v/>
      </c>
      <c r="P382" s="44">
        <f>IFERROR((I382-J382)/(I382+J382),"")</f>
        <v/>
      </c>
      <c r="Q382" s="45">
        <f>IFERROR(O382-P382,"")</f>
        <v/>
      </c>
      <c r="R382" s="44">
        <f>IFERROR((L382-M382)/(L382+M382),"")</f>
        <v/>
      </c>
      <c r="S382" s="46">
        <f>H382/SUMIFS(Counties!$H$2:$H$1583,Counties!$A$2:$A$1583,$A382)</f>
        <v/>
      </c>
      <c r="T382" s="44">
        <f>O382+INDEX(Dashboard!$F$6:$F$22,MATCH($A382,Dashboard!$A$6:$A$22,0))</f>
        <v/>
      </c>
      <c r="U382" s="43">
        <f>AQ382*INDEX(Dashboard!$G$6:$G$22,MATCH($A382,Dashboard!$A$6:$A$22,0))</f>
        <v/>
      </c>
      <c r="V382" s="47" t="n"/>
      <c r="W382" s="47" t="n"/>
      <c r="X382" s="47" t="n"/>
      <c r="Y382" s="48" t="n"/>
      <c r="Z382" s="49" t="n"/>
      <c r="AA382" s="49" t="n"/>
      <c r="AB382" s="49" t="n"/>
      <c r="AC382" s="50" t="n"/>
      <c r="AD382" s="43">
        <f>IF(Z382&lt;&gt;"",Z382,N(V382))</f>
        <v/>
      </c>
      <c r="AE382" s="43">
        <f>IF(AA382&lt;&gt;"",AA382,N(W382))</f>
        <v/>
      </c>
      <c r="AF382" s="43">
        <f>AD382+AE382</f>
        <v/>
      </c>
      <c r="AG382" s="42">
        <f>IF(UPPER(AC382)="Y",1,IF(AF382=0,0,IF(AND(Z382="",Y382&lt;&gt;""),IF(Y382&gt;=0.999,1,0),IF(AF382&gt;=U382,1,0))))</f>
        <v/>
      </c>
      <c r="AH382" s="44">
        <f>IF(AF382&gt;0,(AD382-AE382)/AF382,"")</f>
        <v/>
      </c>
      <c r="AI382" s="45">
        <f>IF(AG382=1,AH382-O382,"")</f>
        <v/>
      </c>
      <c r="AJ382" s="44">
        <f>IF(AG382=1,AH382,MAX(-1,MIN(1,O382+INDEX(Types!$H:$H,MATCH($A382&amp;"|"&amp;$D382,Types!$A:$A,0)))))</f>
        <v/>
      </c>
      <c r="AK382" s="43">
        <f>IF(AG382=1,AF382,MAX(AQ382*AS382,AF382))</f>
        <v/>
      </c>
      <c r="AL382" s="43">
        <f>IF(AG382=1,AD382,AK382*(1+AJ382)/2)</f>
        <v/>
      </c>
      <c r="AM382" s="43">
        <f>IF(AG382=1,AE382,AK382*(1-AJ382)/2)</f>
        <v/>
      </c>
      <c r="AN382" s="45">
        <f>IF(AH382="","",AH382-T382)</f>
        <v/>
      </c>
      <c r="AO382" s="51">
        <f>IF(AG382=1,1,IF(U382&gt;0,MIN(AF382/U382,0.99),0))</f>
        <v/>
      </c>
      <c r="AP382" s="43">
        <f>IF(AG382=1,AI382*AF382,0)</f>
        <v/>
      </c>
      <c r="AQ382" s="43">
        <f>N382*(F382+G382)/H382</f>
        <v/>
      </c>
      <c r="AR382" s="43">
        <f>O382*AQ382</f>
        <v/>
      </c>
      <c r="AS382" s="52">
        <f>IF(AG382=1,IF(AQ382&gt;0,AF382/AQ382,1),IFERROR(INDEX(Types!$K:$K,MATCH($A382&amp;"|"&amp;$D382,Types!$A:$A,0)),INDEX(Dashboard!$X$6:$X$22,MATCH($A382,Dashboard!$A$6:$A$22,0))))</f>
        <v/>
      </c>
      <c r="AT382" s="43">
        <f>AQ382*INDEX(Dashboard!$Y$6:$Y$22,MATCH($A382,Dashboard!$A$6:$A$22,0))</f>
        <v/>
      </c>
      <c r="AU382" s="53">
        <f>IF(AND(AG382=1,AT382&gt;0,AF382&gt;0),100*AF382/AT382,"")</f>
        <v/>
      </c>
      <c r="AV382" s="44">
        <f>IF(AU382="","",T382/(AU382/100))</f>
        <v/>
      </c>
      <c r="AW382" s="53">
        <f>IF(AU382="","",IF(AND(ABS(AH382)&gt;=0.1,ABS(T382)&gt;=0.05,SIGN(AH382)=SIGN(T382)),100*T382/AH382,""))</f>
        <v/>
      </c>
      <c r="AX382" s="45">
        <f>IF(AU382="","",T382-AV382)</f>
        <v/>
      </c>
      <c r="AY382" s="45">
        <f>IF(AU382="","",AH382-AV382)</f>
        <v/>
      </c>
      <c r="AZ382" s="54">
        <f>(AL382-AM382)-T382*AT382</f>
        <v/>
      </c>
      <c r="BA382" s="43">
        <f>IF(AU382="",0,(AH382-T382)*AF382)</f>
        <v/>
      </c>
      <c r="BB382" s="43">
        <f>IF(AU382="",0,T382*(AF382-AT382))</f>
        <v/>
      </c>
      <c r="BC382" s="51" t="n">
        <v>0.006360424028268552</v>
      </c>
      <c r="BD382" s="51" t="n">
        <v>0.05229681978798587</v>
      </c>
      <c r="BE382" s="51" t="n">
        <v>0.2151600753295669</v>
      </c>
      <c r="BF382" s="43" t="n">
        <v>2830</v>
      </c>
    </row>
    <row r="383">
      <c r="A383" s="42" t="inlineStr">
        <is>
          <t>KS</t>
        </is>
      </c>
      <c r="B383" s="42" t="inlineStr">
        <is>
          <t>20167</t>
        </is>
      </c>
      <c r="C383" s="42" t="inlineStr">
        <is>
          <t>Russell</t>
        </is>
      </c>
      <c r="D383" s="42" t="inlineStr">
        <is>
          <t>Small town &amp; rural</t>
        </is>
      </c>
      <c r="E383" s="42" t="inlineStr"/>
      <c r="F383" s="43" t="n">
        <v>608</v>
      </c>
      <c r="G383" s="43" t="n">
        <v>2632</v>
      </c>
      <c r="H383" s="43" t="n">
        <v>3301</v>
      </c>
      <c r="I383" s="43" t="n">
        <v>591</v>
      </c>
      <c r="J383" s="43" t="n">
        <v>2765</v>
      </c>
      <c r="K383" s="42" t="inlineStr">
        <is>
          <t>US Senate</t>
        </is>
      </c>
      <c r="L383" s="43" t="n">
        <v>327</v>
      </c>
      <c r="M383" s="43" t="n">
        <v>2263</v>
      </c>
      <c r="N383" s="43" t="n">
        <v>2691</v>
      </c>
      <c r="O383" s="44">
        <f>IFERROR((F383-G383)/(F383+G383),"")</f>
        <v/>
      </c>
      <c r="P383" s="44">
        <f>IFERROR((I383-J383)/(I383+J383),"")</f>
        <v/>
      </c>
      <c r="Q383" s="45">
        <f>IFERROR(O383-P383,"")</f>
        <v/>
      </c>
      <c r="R383" s="44">
        <f>IFERROR((L383-M383)/(L383+M383),"")</f>
        <v/>
      </c>
      <c r="S383" s="46">
        <f>H383/SUMIFS(Counties!$H$2:$H$1583,Counties!$A$2:$A$1583,$A383)</f>
        <v/>
      </c>
      <c r="T383" s="44">
        <f>O383+INDEX(Dashboard!$F$6:$F$22,MATCH($A383,Dashboard!$A$6:$A$22,0))</f>
        <v/>
      </c>
      <c r="U383" s="43">
        <f>AQ383*INDEX(Dashboard!$G$6:$G$22,MATCH($A383,Dashboard!$A$6:$A$22,0))</f>
        <v/>
      </c>
      <c r="V383" s="47" t="n"/>
      <c r="W383" s="47" t="n"/>
      <c r="X383" s="47" t="n"/>
      <c r="Y383" s="48" t="n"/>
      <c r="Z383" s="49" t="n"/>
      <c r="AA383" s="49" t="n"/>
      <c r="AB383" s="49" t="n"/>
      <c r="AC383" s="50" t="n"/>
      <c r="AD383" s="43">
        <f>IF(Z383&lt;&gt;"",Z383,N(V383))</f>
        <v/>
      </c>
      <c r="AE383" s="43">
        <f>IF(AA383&lt;&gt;"",AA383,N(W383))</f>
        <v/>
      </c>
      <c r="AF383" s="43">
        <f>AD383+AE383</f>
        <v/>
      </c>
      <c r="AG383" s="42">
        <f>IF(UPPER(AC383)="Y",1,IF(AF383=0,0,IF(AND(Z383="",Y383&lt;&gt;""),IF(Y383&gt;=0.999,1,0),IF(AF383&gt;=U383,1,0))))</f>
        <v/>
      </c>
      <c r="AH383" s="44">
        <f>IF(AF383&gt;0,(AD383-AE383)/AF383,"")</f>
        <v/>
      </c>
      <c r="AI383" s="45">
        <f>IF(AG383=1,AH383-O383,"")</f>
        <v/>
      </c>
      <c r="AJ383" s="44">
        <f>IF(AG383=1,AH383,MAX(-1,MIN(1,O383+INDEX(Types!$H:$H,MATCH($A383&amp;"|"&amp;$D383,Types!$A:$A,0)))))</f>
        <v/>
      </c>
      <c r="AK383" s="43">
        <f>IF(AG383=1,AF383,MAX(AQ383*AS383,AF383))</f>
        <v/>
      </c>
      <c r="AL383" s="43">
        <f>IF(AG383=1,AD383,AK383*(1+AJ383)/2)</f>
        <v/>
      </c>
      <c r="AM383" s="43">
        <f>IF(AG383=1,AE383,AK383*(1-AJ383)/2)</f>
        <v/>
      </c>
      <c r="AN383" s="45">
        <f>IF(AH383="","",AH383-T383)</f>
        <v/>
      </c>
      <c r="AO383" s="51">
        <f>IF(AG383=1,1,IF(U383&gt;0,MIN(AF383/U383,0.99),0))</f>
        <v/>
      </c>
      <c r="AP383" s="43">
        <f>IF(AG383=1,AI383*AF383,0)</f>
        <v/>
      </c>
      <c r="AQ383" s="43">
        <f>N383*(F383+G383)/H383</f>
        <v/>
      </c>
      <c r="AR383" s="43">
        <f>O383*AQ383</f>
        <v/>
      </c>
      <c r="AS383" s="52">
        <f>IF(AG383=1,IF(AQ383&gt;0,AF383/AQ383,1),IFERROR(INDEX(Types!$K:$K,MATCH($A383&amp;"|"&amp;$D383,Types!$A:$A,0)),INDEX(Dashboard!$X$6:$X$22,MATCH($A383,Dashboard!$A$6:$A$22,0))))</f>
        <v/>
      </c>
      <c r="AT383" s="43">
        <f>AQ383*INDEX(Dashboard!$Y$6:$Y$22,MATCH($A383,Dashboard!$A$6:$A$22,0))</f>
        <v/>
      </c>
      <c r="AU383" s="53">
        <f>IF(AND(AG383=1,AT383&gt;0,AF383&gt;0),100*AF383/AT383,"")</f>
        <v/>
      </c>
      <c r="AV383" s="44">
        <f>IF(AU383="","",T383/(AU383/100))</f>
        <v/>
      </c>
      <c r="AW383" s="53">
        <f>IF(AU383="","",IF(AND(ABS(AH383)&gt;=0.1,ABS(T383)&gt;=0.05,SIGN(AH383)=SIGN(T383)),100*T383/AH383,""))</f>
        <v/>
      </c>
      <c r="AX383" s="45">
        <f>IF(AU383="","",T383-AV383)</f>
        <v/>
      </c>
      <c r="AY383" s="45">
        <f>IF(AU383="","",AH383-AV383)</f>
        <v/>
      </c>
      <c r="AZ383" s="54">
        <f>(AL383-AM383)-T383*AT383</f>
        <v/>
      </c>
      <c r="BA383" s="43">
        <f>IF(AU383="",0,(AH383-T383)*AF383)</f>
        <v/>
      </c>
      <c r="BB383" s="43">
        <f>IF(AU383="",0,T383*(AF383-AT383))</f>
        <v/>
      </c>
      <c r="BC383" s="51" t="n">
        <v>0.0142793395805444</v>
      </c>
      <c r="BD383" s="51" t="n">
        <v>0.04268927562100253</v>
      </c>
      <c r="BE383" s="51" t="n">
        <v>0.1807580174927114</v>
      </c>
      <c r="BF383" s="43" t="n">
        <v>6723</v>
      </c>
    </row>
    <row r="384">
      <c r="A384" s="42" t="inlineStr">
        <is>
          <t>KS</t>
        </is>
      </c>
      <c r="B384" s="42" t="inlineStr">
        <is>
          <t>20169</t>
        </is>
      </c>
      <c r="C384" s="42" t="inlineStr">
        <is>
          <t>Saline</t>
        </is>
      </c>
      <c r="D384" s="42" t="inlineStr">
        <is>
          <t>Small town &amp; rural</t>
        </is>
      </c>
      <c r="E384" s="42" t="inlineStr"/>
      <c r="F384" s="43" t="n">
        <v>7734</v>
      </c>
      <c r="G384" s="43" t="n">
        <v>15069</v>
      </c>
      <c r="H384" s="43" t="n">
        <v>23226</v>
      </c>
      <c r="I384" s="43" t="n">
        <v>8022</v>
      </c>
      <c r="J384" s="43" t="n">
        <v>15313</v>
      </c>
      <c r="K384" s="42" t="inlineStr">
        <is>
          <t>US Senate</t>
        </is>
      </c>
      <c r="L384" s="43" t="n">
        <v>4780</v>
      </c>
      <c r="M384" s="43" t="n">
        <v>12174</v>
      </c>
      <c r="N384" s="43" t="n">
        <v>17620</v>
      </c>
      <c r="O384" s="44">
        <f>IFERROR((F384-G384)/(F384+G384),"")</f>
        <v/>
      </c>
      <c r="P384" s="44">
        <f>IFERROR((I384-J384)/(I384+J384),"")</f>
        <v/>
      </c>
      <c r="Q384" s="45">
        <f>IFERROR(O384-P384,"")</f>
        <v/>
      </c>
      <c r="R384" s="44">
        <f>IFERROR((L384-M384)/(L384+M384),"")</f>
        <v/>
      </c>
      <c r="S384" s="46">
        <f>H384/SUMIFS(Counties!$H$2:$H$1583,Counties!$A$2:$A$1583,$A384)</f>
        <v/>
      </c>
      <c r="T384" s="44">
        <f>O384+INDEX(Dashboard!$F$6:$F$22,MATCH($A384,Dashboard!$A$6:$A$22,0))</f>
        <v/>
      </c>
      <c r="U384" s="43">
        <f>AQ384*INDEX(Dashboard!$G$6:$G$22,MATCH($A384,Dashboard!$A$6:$A$22,0))</f>
        <v/>
      </c>
      <c r="V384" s="47" t="n"/>
      <c r="W384" s="47" t="n"/>
      <c r="X384" s="47" t="n"/>
      <c r="Y384" s="48" t="n"/>
      <c r="Z384" s="49" t="n"/>
      <c r="AA384" s="49" t="n"/>
      <c r="AB384" s="49" t="n"/>
      <c r="AC384" s="50" t="n"/>
      <c r="AD384" s="43">
        <f>IF(Z384&lt;&gt;"",Z384,N(V384))</f>
        <v/>
      </c>
      <c r="AE384" s="43">
        <f>IF(AA384&lt;&gt;"",AA384,N(W384))</f>
        <v/>
      </c>
      <c r="AF384" s="43">
        <f>AD384+AE384</f>
        <v/>
      </c>
      <c r="AG384" s="42">
        <f>IF(UPPER(AC384)="Y",1,IF(AF384=0,0,IF(AND(Z384="",Y384&lt;&gt;""),IF(Y384&gt;=0.999,1,0),IF(AF384&gt;=U384,1,0))))</f>
        <v/>
      </c>
      <c r="AH384" s="44">
        <f>IF(AF384&gt;0,(AD384-AE384)/AF384,"")</f>
        <v/>
      </c>
      <c r="AI384" s="45">
        <f>IF(AG384=1,AH384-O384,"")</f>
        <v/>
      </c>
      <c r="AJ384" s="44">
        <f>IF(AG384=1,AH384,MAX(-1,MIN(1,O384+INDEX(Types!$H:$H,MATCH($A384&amp;"|"&amp;$D384,Types!$A:$A,0)))))</f>
        <v/>
      </c>
      <c r="AK384" s="43">
        <f>IF(AG384=1,AF384,MAX(AQ384*AS384,AF384))</f>
        <v/>
      </c>
      <c r="AL384" s="43">
        <f>IF(AG384=1,AD384,AK384*(1+AJ384)/2)</f>
        <v/>
      </c>
      <c r="AM384" s="43">
        <f>IF(AG384=1,AE384,AK384*(1-AJ384)/2)</f>
        <v/>
      </c>
      <c r="AN384" s="45">
        <f>IF(AH384="","",AH384-T384)</f>
        <v/>
      </c>
      <c r="AO384" s="51">
        <f>IF(AG384=1,1,IF(U384&gt;0,MIN(AF384/U384,0.99),0))</f>
        <v/>
      </c>
      <c r="AP384" s="43">
        <f>IF(AG384=1,AI384*AF384,0)</f>
        <v/>
      </c>
      <c r="AQ384" s="43">
        <f>N384*(F384+G384)/H384</f>
        <v/>
      </c>
      <c r="AR384" s="43">
        <f>O384*AQ384</f>
        <v/>
      </c>
      <c r="AS384" s="52">
        <f>IF(AG384=1,IF(AQ384&gt;0,AF384/AQ384,1),IFERROR(INDEX(Types!$K:$K,MATCH($A384&amp;"|"&amp;$D384,Types!$A:$A,0)),INDEX(Dashboard!$X$6:$X$22,MATCH($A384,Dashboard!$A$6:$A$22,0))))</f>
        <v/>
      </c>
      <c r="AT384" s="43">
        <f>AQ384*INDEX(Dashboard!$Y$6:$Y$22,MATCH($A384,Dashboard!$A$6:$A$22,0))</f>
        <v/>
      </c>
      <c r="AU384" s="53">
        <f>IF(AND(AG384=1,AT384&gt;0,AF384&gt;0),100*AF384/AT384,"")</f>
        <v/>
      </c>
      <c r="AV384" s="44">
        <f>IF(AU384="","",T384/(AU384/100))</f>
        <v/>
      </c>
      <c r="AW384" s="53">
        <f>IF(AU384="","",IF(AND(ABS(AH384)&gt;=0.1,ABS(T384)&gt;=0.05,SIGN(AH384)=SIGN(T384)),100*T384/AH384,""))</f>
        <v/>
      </c>
      <c r="AX384" s="45">
        <f>IF(AU384="","",T384-AV384)</f>
        <v/>
      </c>
      <c r="AY384" s="45">
        <f>IF(AU384="","",AH384-AV384)</f>
        <v/>
      </c>
      <c r="AZ384" s="54">
        <f>(AL384-AM384)-T384*AT384</f>
        <v/>
      </c>
      <c r="BA384" s="43">
        <f>IF(AU384="",0,(AH384-T384)*AF384)</f>
        <v/>
      </c>
      <c r="BB384" s="43">
        <f>IF(AU384="",0,T384*(AF384-AT384))</f>
        <v/>
      </c>
      <c r="BC384" s="51" t="n">
        <v>0.03227993521413236</v>
      </c>
      <c r="BD384" s="51" t="n">
        <v>0.1288372443406531</v>
      </c>
      <c r="BE384" s="51" t="n">
        <v>0.2908643998361327</v>
      </c>
      <c r="BF384" s="43" t="n">
        <v>53098</v>
      </c>
    </row>
    <row r="385">
      <c r="A385" s="42" t="inlineStr">
        <is>
          <t>KS</t>
        </is>
      </c>
      <c r="B385" s="42" t="inlineStr">
        <is>
          <t>20171</t>
        </is>
      </c>
      <c r="C385" s="42" t="inlineStr">
        <is>
          <t>Scott</t>
        </is>
      </c>
      <c r="D385" s="42" t="inlineStr">
        <is>
          <t>Small town &amp; rural</t>
        </is>
      </c>
      <c r="E385" s="42" t="inlineStr"/>
      <c r="F385" s="43" t="n">
        <v>248</v>
      </c>
      <c r="G385" s="43" t="n">
        <v>1843</v>
      </c>
      <c r="H385" s="43" t="n">
        <v>2135</v>
      </c>
      <c r="I385" s="43" t="n">
        <v>290</v>
      </c>
      <c r="J385" s="43" t="n">
        <v>1991</v>
      </c>
      <c r="K385" s="42" t="inlineStr">
        <is>
          <t>US Senate</t>
        </is>
      </c>
      <c r="L385" s="43" t="n">
        <v>131</v>
      </c>
      <c r="M385" s="43" t="n">
        <v>1517</v>
      </c>
      <c r="N385" s="43" t="n">
        <v>1703</v>
      </c>
      <c r="O385" s="44">
        <f>IFERROR((F385-G385)/(F385+G385),"")</f>
        <v/>
      </c>
      <c r="P385" s="44">
        <f>IFERROR((I385-J385)/(I385+J385),"")</f>
        <v/>
      </c>
      <c r="Q385" s="45">
        <f>IFERROR(O385-P385,"")</f>
        <v/>
      </c>
      <c r="R385" s="44">
        <f>IFERROR((L385-M385)/(L385+M385),"")</f>
        <v/>
      </c>
      <c r="S385" s="46">
        <f>H385/SUMIFS(Counties!$H$2:$H$1583,Counties!$A$2:$A$1583,$A385)</f>
        <v/>
      </c>
      <c r="T385" s="44">
        <f>O385+INDEX(Dashboard!$F$6:$F$22,MATCH($A385,Dashboard!$A$6:$A$22,0))</f>
        <v/>
      </c>
      <c r="U385" s="43">
        <f>AQ385*INDEX(Dashboard!$G$6:$G$22,MATCH($A385,Dashboard!$A$6:$A$22,0))</f>
        <v/>
      </c>
      <c r="V385" s="47" t="n"/>
      <c r="W385" s="47" t="n"/>
      <c r="X385" s="47" t="n"/>
      <c r="Y385" s="48" t="n"/>
      <c r="Z385" s="49" t="n"/>
      <c r="AA385" s="49" t="n"/>
      <c r="AB385" s="49" t="n"/>
      <c r="AC385" s="50" t="n"/>
      <c r="AD385" s="43">
        <f>IF(Z385&lt;&gt;"",Z385,N(V385))</f>
        <v/>
      </c>
      <c r="AE385" s="43">
        <f>IF(AA385&lt;&gt;"",AA385,N(W385))</f>
        <v/>
      </c>
      <c r="AF385" s="43">
        <f>AD385+AE385</f>
        <v/>
      </c>
      <c r="AG385" s="42">
        <f>IF(UPPER(AC385)="Y",1,IF(AF385=0,0,IF(AND(Z385="",Y385&lt;&gt;""),IF(Y385&gt;=0.999,1,0),IF(AF385&gt;=U385,1,0))))</f>
        <v/>
      </c>
      <c r="AH385" s="44">
        <f>IF(AF385&gt;0,(AD385-AE385)/AF385,"")</f>
        <v/>
      </c>
      <c r="AI385" s="45">
        <f>IF(AG385=1,AH385-O385,"")</f>
        <v/>
      </c>
      <c r="AJ385" s="44">
        <f>IF(AG385=1,AH385,MAX(-1,MIN(1,O385+INDEX(Types!$H:$H,MATCH($A385&amp;"|"&amp;$D385,Types!$A:$A,0)))))</f>
        <v/>
      </c>
      <c r="AK385" s="43">
        <f>IF(AG385=1,AF385,MAX(AQ385*AS385,AF385))</f>
        <v/>
      </c>
      <c r="AL385" s="43">
        <f>IF(AG385=1,AD385,AK385*(1+AJ385)/2)</f>
        <v/>
      </c>
      <c r="AM385" s="43">
        <f>IF(AG385=1,AE385,AK385*(1-AJ385)/2)</f>
        <v/>
      </c>
      <c r="AN385" s="45">
        <f>IF(AH385="","",AH385-T385)</f>
        <v/>
      </c>
      <c r="AO385" s="51">
        <f>IF(AG385=1,1,IF(U385&gt;0,MIN(AF385/U385,0.99),0))</f>
        <v/>
      </c>
      <c r="AP385" s="43">
        <f>IF(AG385=1,AI385*AF385,0)</f>
        <v/>
      </c>
      <c r="AQ385" s="43">
        <f>N385*(F385+G385)/H385</f>
        <v/>
      </c>
      <c r="AR385" s="43">
        <f>O385*AQ385</f>
        <v/>
      </c>
      <c r="AS385" s="52">
        <f>IF(AG385=1,IF(AQ385&gt;0,AF385/AQ385,1),IFERROR(INDEX(Types!$K:$K,MATCH($A385&amp;"|"&amp;$D385,Types!$A:$A,0)),INDEX(Dashboard!$X$6:$X$22,MATCH($A385,Dashboard!$A$6:$A$22,0))))</f>
        <v/>
      </c>
      <c r="AT385" s="43">
        <f>AQ385*INDEX(Dashboard!$Y$6:$Y$22,MATCH($A385,Dashboard!$A$6:$A$22,0))</f>
        <v/>
      </c>
      <c r="AU385" s="53">
        <f>IF(AND(AG385=1,AT385&gt;0,AF385&gt;0),100*AF385/AT385,"")</f>
        <v/>
      </c>
      <c r="AV385" s="44">
        <f>IF(AU385="","",T385/(AU385/100))</f>
        <v/>
      </c>
      <c r="AW385" s="53">
        <f>IF(AU385="","",IF(AND(ABS(AH385)&gt;=0.1,ABS(T385)&gt;=0.05,SIGN(AH385)=SIGN(T385)),100*T385/AH385,""))</f>
        <v/>
      </c>
      <c r="AX385" s="45">
        <f>IF(AU385="","",T385-AV385)</f>
        <v/>
      </c>
      <c r="AY385" s="45">
        <f>IF(AU385="","",AH385-AV385)</f>
        <v/>
      </c>
      <c r="AZ385" s="54">
        <f>(AL385-AM385)-T385*AT385</f>
        <v/>
      </c>
      <c r="BA385" s="43">
        <f>IF(AU385="",0,(AH385-T385)*AF385)</f>
        <v/>
      </c>
      <c r="BB385" s="43">
        <f>IF(AU385="",0,T385*(AF385-AT385))</f>
        <v/>
      </c>
      <c r="BC385" s="51" t="n">
        <v>0.005688744412840309</v>
      </c>
      <c r="BD385" s="51" t="n">
        <v>0.2129215765948801</v>
      </c>
      <c r="BE385" s="51" t="n">
        <v>0.3339155749636099</v>
      </c>
      <c r="BF385" s="43" t="n">
        <v>4922</v>
      </c>
    </row>
    <row r="386">
      <c r="A386" s="42" t="inlineStr">
        <is>
          <t>KS</t>
        </is>
      </c>
      <c r="B386" s="42" t="inlineStr">
        <is>
          <t>20173</t>
        </is>
      </c>
      <c r="C386" s="42" t="inlineStr">
        <is>
          <t>Sedgwick</t>
        </is>
      </c>
      <c r="D386" s="42" t="inlineStr">
        <is>
          <t>Mid-size/working metro</t>
        </is>
      </c>
      <c r="E386" s="42" t="inlineStr">
        <is>
          <t>★</t>
        </is>
      </c>
      <c r="F386" s="43" t="n">
        <v>90506</v>
      </c>
      <c r="G386" s="43" t="n">
        <v>120118</v>
      </c>
      <c r="H386" s="43" t="n">
        <v>214152</v>
      </c>
      <c r="I386" s="43" t="n">
        <v>90820</v>
      </c>
      <c r="J386" s="43" t="n">
        <v>117653</v>
      </c>
      <c r="K386" s="42" t="inlineStr">
        <is>
          <t>US Senate</t>
        </is>
      </c>
      <c r="L386" s="43" t="n">
        <v>58815</v>
      </c>
      <c r="M386" s="43" t="n">
        <v>90856</v>
      </c>
      <c r="N386" s="43" t="n">
        <v>154117</v>
      </c>
      <c r="O386" s="44">
        <f>IFERROR((F386-G386)/(F386+G386),"")</f>
        <v/>
      </c>
      <c r="P386" s="44">
        <f>IFERROR((I386-J386)/(I386+J386),"")</f>
        <v/>
      </c>
      <c r="Q386" s="45">
        <f>IFERROR(O386-P386,"")</f>
        <v/>
      </c>
      <c r="R386" s="44">
        <f>IFERROR((L386-M386)/(L386+M386),"")</f>
        <v/>
      </c>
      <c r="S386" s="46">
        <f>H386/SUMIFS(Counties!$H$2:$H$1583,Counties!$A$2:$A$1583,$A386)</f>
        <v/>
      </c>
      <c r="T386" s="44">
        <f>O386+INDEX(Dashboard!$F$6:$F$22,MATCH($A386,Dashboard!$A$6:$A$22,0))</f>
        <v/>
      </c>
      <c r="U386" s="43">
        <f>AQ386*INDEX(Dashboard!$G$6:$G$22,MATCH($A386,Dashboard!$A$6:$A$22,0))</f>
        <v/>
      </c>
      <c r="V386" s="47" t="n"/>
      <c r="W386" s="47" t="n"/>
      <c r="X386" s="47" t="n"/>
      <c r="Y386" s="48" t="n"/>
      <c r="Z386" s="49" t="n"/>
      <c r="AA386" s="49" t="n"/>
      <c r="AB386" s="49" t="n"/>
      <c r="AC386" s="50" t="n"/>
      <c r="AD386" s="43">
        <f>IF(Z386&lt;&gt;"",Z386,N(V386))</f>
        <v/>
      </c>
      <c r="AE386" s="43">
        <f>IF(AA386&lt;&gt;"",AA386,N(W386))</f>
        <v/>
      </c>
      <c r="AF386" s="43">
        <f>AD386+AE386</f>
        <v/>
      </c>
      <c r="AG386" s="42">
        <f>IF(UPPER(AC386)="Y",1,IF(AF386=0,0,IF(AND(Z386="",Y386&lt;&gt;""),IF(Y386&gt;=0.999,1,0),IF(AF386&gt;=U386,1,0))))</f>
        <v/>
      </c>
      <c r="AH386" s="44">
        <f>IF(AF386&gt;0,(AD386-AE386)/AF386,"")</f>
        <v/>
      </c>
      <c r="AI386" s="45">
        <f>IF(AG386=1,AH386-O386,"")</f>
        <v/>
      </c>
      <c r="AJ386" s="44">
        <f>IF(AG386=1,AH386,MAX(-1,MIN(1,O386+INDEX(Types!$H:$H,MATCH($A386&amp;"|"&amp;$D386,Types!$A:$A,0)))))</f>
        <v/>
      </c>
      <c r="AK386" s="43">
        <f>IF(AG386=1,AF386,MAX(AQ386*AS386,AF386))</f>
        <v/>
      </c>
      <c r="AL386" s="43">
        <f>IF(AG386=1,AD386,AK386*(1+AJ386)/2)</f>
        <v/>
      </c>
      <c r="AM386" s="43">
        <f>IF(AG386=1,AE386,AK386*(1-AJ386)/2)</f>
        <v/>
      </c>
      <c r="AN386" s="45">
        <f>IF(AH386="","",AH386-T386)</f>
        <v/>
      </c>
      <c r="AO386" s="51">
        <f>IF(AG386=1,1,IF(U386&gt;0,MIN(AF386/U386,0.99),0))</f>
        <v/>
      </c>
      <c r="AP386" s="43">
        <f>IF(AG386=1,AI386*AF386,0)</f>
        <v/>
      </c>
      <c r="AQ386" s="43">
        <f>N386*(F386+G386)/H386</f>
        <v/>
      </c>
      <c r="AR386" s="43">
        <f>O386*AQ386</f>
        <v/>
      </c>
      <c r="AS386" s="52">
        <f>IF(AG386=1,IF(AQ386&gt;0,AF386/AQ386,1),IFERROR(INDEX(Types!$K:$K,MATCH($A386&amp;"|"&amp;$D386,Types!$A:$A,0)),INDEX(Dashboard!$X$6:$X$22,MATCH($A386,Dashboard!$A$6:$A$22,0))))</f>
        <v/>
      </c>
      <c r="AT386" s="43">
        <f>AQ386*INDEX(Dashboard!$Y$6:$Y$22,MATCH($A386,Dashboard!$A$6:$A$22,0))</f>
        <v/>
      </c>
      <c r="AU386" s="53">
        <f>IF(AND(AG386=1,AT386&gt;0,AF386&gt;0),100*AF386/AT386,"")</f>
        <v/>
      </c>
      <c r="AV386" s="44">
        <f>IF(AU386="","",T386/(AU386/100))</f>
        <v/>
      </c>
      <c r="AW386" s="53">
        <f>IF(AU386="","",IF(AND(ABS(AH386)&gt;=0.1,ABS(T386)&gt;=0.05,SIGN(AH386)=SIGN(T386)),100*T386/AH386,""))</f>
        <v/>
      </c>
      <c r="AX386" s="45">
        <f>IF(AU386="","",T386-AV386)</f>
        <v/>
      </c>
      <c r="AY386" s="45">
        <f>IF(AU386="","",AH386-AV386)</f>
        <v/>
      </c>
      <c r="AZ386" s="54">
        <f>(AL386-AM386)-T386*AT386</f>
        <v/>
      </c>
      <c r="BA386" s="43">
        <f>IF(AU386="",0,(AH386-T386)*AF386)</f>
        <v/>
      </c>
      <c r="BB386" s="43">
        <f>IF(AU386="",0,T386*(AF386-AT386))</f>
        <v/>
      </c>
      <c r="BC386" s="51" t="n">
        <v>0.08717446056438505</v>
      </c>
      <c r="BD386" s="51" t="n">
        <v>0.167408116653957</v>
      </c>
      <c r="BE386" s="51" t="n">
        <v>0.3158549373725604</v>
      </c>
      <c r="BF386" s="43" t="n">
        <v>528469</v>
      </c>
    </row>
    <row r="387">
      <c r="A387" s="42" t="inlineStr">
        <is>
          <t>KS</t>
        </is>
      </c>
      <c r="B387" s="42" t="inlineStr">
        <is>
          <t>20175</t>
        </is>
      </c>
      <c r="C387" s="42" t="inlineStr">
        <is>
          <t>Seward</t>
        </is>
      </c>
      <c r="D387" s="42" t="inlineStr">
        <is>
          <t>Hispanic</t>
        </is>
      </c>
      <c r="E387" s="42" t="inlineStr"/>
      <c r="F387" s="43" t="n">
        <v>1354</v>
      </c>
      <c r="G387" s="43" t="n">
        <v>3133</v>
      </c>
      <c r="H387" s="43" t="n">
        <v>4565</v>
      </c>
      <c r="I387" s="43" t="n">
        <v>1736</v>
      </c>
      <c r="J387" s="43" t="n">
        <v>3285</v>
      </c>
      <c r="K387" s="42" t="inlineStr">
        <is>
          <t>US Senate</t>
        </is>
      </c>
      <c r="L387" s="43" t="n">
        <v>722</v>
      </c>
      <c r="M387" s="43" t="n">
        <v>2127</v>
      </c>
      <c r="N387" s="43" t="n">
        <v>2941</v>
      </c>
      <c r="O387" s="44">
        <f>IFERROR((F387-G387)/(F387+G387),"")</f>
        <v/>
      </c>
      <c r="P387" s="44">
        <f>IFERROR((I387-J387)/(I387+J387),"")</f>
        <v/>
      </c>
      <c r="Q387" s="45">
        <f>IFERROR(O387-P387,"")</f>
        <v/>
      </c>
      <c r="R387" s="44">
        <f>IFERROR((L387-M387)/(L387+M387),"")</f>
        <v/>
      </c>
      <c r="S387" s="46">
        <f>H387/SUMIFS(Counties!$H$2:$H$1583,Counties!$A$2:$A$1583,$A387)</f>
        <v/>
      </c>
      <c r="T387" s="44">
        <f>O387+INDEX(Dashboard!$F$6:$F$22,MATCH($A387,Dashboard!$A$6:$A$22,0))</f>
        <v/>
      </c>
      <c r="U387" s="43">
        <f>AQ387*INDEX(Dashboard!$G$6:$G$22,MATCH($A387,Dashboard!$A$6:$A$22,0))</f>
        <v/>
      </c>
      <c r="V387" s="47" t="n"/>
      <c r="W387" s="47" t="n"/>
      <c r="X387" s="47" t="n"/>
      <c r="Y387" s="48" t="n"/>
      <c r="Z387" s="49" t="n"/>
      <c r="AA387" s="49" t="n"/>
      <c r="AB387" s="49" t="n"/>
      <c r="AC387" s="50" t="n"/>
      <c r="AD387" s="43">
        <f>IF(Z387&lt;&gt;"",Z387,N(V387))</f>
        <v/>
      </c>
      <c r="AE387" s="43">
        <f>IF(AA387&lt;&gt;"",AA387,N(W387))</f>
        <v/>
      </c>
      <c r="AF387" s="43">
        <f>AD387+AE387</f>
        <v/>
      </c>
      <c r="AG387" s="42">
        <f>IF(UPPER(AC387)="Y",1,IF(AF387=0,0,IF(AND(Z387="",Y387&lt;&gt;""),IF(Y387&gt;=0.999,1,0),IF(AF387&gt;=U387,1,0))))</f>
        <v/>
      </c>
      <c r="AH387" s="44">
        <f>IF(AF387&gt;0,(AD387-AE387)/AF387,"")</f>
        <v/>
      </c>
      <c r="AI387" s="45">
        <f>IF(AG387=1,AH387-O387,"")</f>
        <v/>
      </c>
      <c r="AJ387" s="44">
        <f>IF(AG387=1,AH387,MAX(-1,MIN(1,O387+INDEX(Types!$H:$H,MATCH($A387&amp;"|"&amp;$D387,Types!$A:$A,0)))))</f>
        <v/>
      </c>
      <c r="AK387" s="43">
        <f>IF(AG387=1,AF387,MAX(AQ387*AS387,AF387))</f>
        <v/>
      </c>
      <c r="AL387" s="43">
        <f>IF(AG387=1,AD387,AK387*(1+AJ387)/2)</f>
        <v/>
      </c>
      <c r="AM387" s="43">
        <f>IF(AG387=1,AE387,AK387*(1-AJ387)/2)</f>
        <v/>
      </c>
      <c r="AN387" s="45">
        <f>IF(AH387="","",AH387-T387)</f>
        <v/>
      </c>
      <c r="AO387" s="51">
        <f>IF(AG387=1,1,IF(U387&gt;0,MIN(AF387/U387,0.99),0))</f>
        <v/>
      </c>
      <c r="AP387" s="43">
        <f>IF(AG387=1,AI387*AF387,0)</f>
        <v/>
      </c>
      <c r="AQ387" s="43">
        <f>N387*(F387+G387)/H387</f>
        <v/>
      </c>
      <c r="AR387" s="43">
        <f>O387*AQ387</f>
        <v/>
      </c>
      <c r="AS387" s="52">
        <f>IF(AG387=1,IF(AQ387&gt;0,AF387/AQ387,1),IFERROR(INDEX(Types!$K:$K,MATCH($A387&amp;"|"&amp;$D387,Types!$A:$A,0)),INDEX(Dashboard!$X$6:$X$22,MATCH($A387,Dashboard!$A$6:$A$22,0))))</f>
        <v/>
      </c>
      <c r="AT387" s="43">
        <f>AQ387*INDEX(Dashboard!$Y$6:$Y$22,MATCH($A387,Dashboard!$A$6:$A$22,0))</f>
        <v/>
      </c>
      <c r="AU387" s="53">
        <f>IF(AND(AG387=1,AT387&gt;0,AF387&gt;0),100*AF387/AT387,"")</f>
        <v/>
      </c>
      <c r="AV387" s="44">
        <f>IF(AU387="","",T387/(AU387/100))</f>
        <v/>
      </c>
      <c r="AW387" s="53">
        <f>IF(AU387="","",IF(AND(ABS(AH387)&gt;=0.1,ABS(T387)&gt;=0.05,SIGN(AH387)=SIGN(T387)),100*T387/AH387,""))</f>
        <v/>
      </c>
      <c r="AX387" s="45">
        <f>IF(AU387="","",T387-AV387)</f>
        <v/>
      </c>
      <c r="AY387" s="45">
        <f>IF(AU387="","",AH387-AV387)</f>
        <v/>
      </c>
      <c r="AZ387" s="54">
        <f>(AL387-AM387)-T387*AT387</f>
        <v/>
      </c>
      <c r="BA387" s="43">
        <f>IF(AU387="",0,(AH387-T387)*AF387)</f>
        <v/>
      </c>
      <c r="BB387" s="43">
        <f>IF(AU387="",0,T387*(AF387-AT387))</f>
        <v/>
      </c>
      <c r="BC387" s="51" t="n">
        <v>0.02586984383158494</v>
      </c>
      <c r="BD387" s="51" t="n">
        <v>0.6862866093890919</v>
      </c>
      <c r="BE387" s="51" t="n">
        <v>0.1266213223663398</v>
      </c>
      <c r="BF387" s="43" t="n">
        <v>21067</v>
      </c>
    </row>
    <row r="388">
      <c r="A388" s="42" t="inlineStr">
        <is>
          <t>KS</t>
        </is>
      </c>
      <c r="B388" s="42" t="inlineStr">
        <is>
          <t>20177</t>
        </is>
      </c>
      <c r="C388" s="42" t="inlineStr">
        <is>
          <t>Shawnee</t>
        </is>
      </c>
      <c r="D388" s="42" t="inlineStr">
        <is>
          <t>Mid-size/working metro</t>
        </is>
      </c>
      <c r="E388" s="42" t="inlineStr">
        <is>
          <t>★</t>
        </is>
      </c>
      <c r="F388" s="43" t="n">
        <v>40308</v>
      </c>
      <c r="G388" s="43" t="n">
        <v>39901</v>
      </c>
      <c r="H388" s="43" t="n">
        <v>81819</v>
      </c>
      <c r="I388" s="43" t="n">
        <v>43015</v>
      </c>
      <c r="J388" s="43" t="n">
        <v>40443</v>
      </c>
      <c r="K388" s="42" t="inlineStr">
        <is>
          <t>US Senate</t>
        </is>
      </c>
      <c r="L388" s="43" t="n">
        <v>28051</v>
      </c>
      <c r="M388" s="43" t="n">
        <v>35517</v>
      </c>
      <c r="N388" s="43" t="n">
        <v>65636</v>
      </c>
      <c r="O388" s="44">
        <f>IFERROR((F388-G388)/(F388+G388),"")</f>
        <v/>
      </c>
      <c r="P388" s="44">
        <f>IFERROR((I388-J388)/(I388+J388),"")</f>
        <v/>
      </c>
      <c r="Q388" s="45">
        <f>IFERROR(O388-P388,"")</f>
        <v/>
      </c>
      <c r="R388" s="44">
        <f>IFERROR((L388-M388)/(L388+M388),"")</f>
        <v/>
      </c>
      <c r="S388" s="46">
        <f>H388/SUMIFS(Counties!$H$2:$H$1583,Counties!$A$2:$A$1583,$A388)</f>
        <v/>
      </c>
      <c r="T388" s="44">
        <f>O388+INDEX(Dashboard!$F$6:$F$22,MATCH($A388,Dashboard!$A$6:$A$22,0))</f>
        <v/>
      </c>
      <c r="U388" s="43">
        <f>AQ388*INDEX(Dashboard!$G$6:$G$22,MATCH($A388,Dashboard!$A$6:$A$22,0))</f>
        <v/>
      </c>
      <c r="V388" s="47" t="n"/>
      <c r="W388" s="47" t="n"/>
      <c r="X388" s="47" t="n"/>
      <c r="Y388" s="48" t="n"/>
      <c r="Z388" s="49" t="n"/>
      <c r="AA388" s="49" t="n"/>
      <c r="AB388" s="49" t="n"/>
      <c r="AC388" s="50" t="n"/>
      <c r="AD388" s="43">
        <f>IF(Z388&lt;&gt;"",Z388,N(V388))</f>
        <v/>
      </c>
      <c r="AE388" s="43">
        <f>IF(AA388&lt;&gt;"",AA388,N(W388))</f>
        <v/>
      </c>
      <c r="AF388" s="43">
        <f>AD388+AE388</f>
        <v/>
      </c>
      <c r="AG388" s="42">
        <f>IF(UPPER(AC388)="Y",1,IF(AF388=0,0,IF(AND(Z388="",Y388&lt;&gt;""),IF(Y388&gt;=0.999,1,0),IF(AF388&gt;=U388,1,0))))</f>
        <v/>
      </c>
      <c r="AH388" s="44">
        <f>IF(AF388&gt;0,(AD388-AE388)/AF388,"")</f>
        <v/>
      </c>
      <c r="AI388" s="45">
        <f>IF(AG388=1,AH388-O388,"")</f>
        <v/>
      </c>
      <c r="AJ388" s="44">
        <f>IF(AG388=1,AH388,MAX(-1,MIN(1,O388+INDEX(Types!$H:$H,MATCH($A388&amp;"|"&amp;$D388,Types!$A:$A,0)))))</f>
        <v/>
      </c>
      <c r="AK388" s="43">
        <f>IF(AG388=1,AF388,MAX(AQ388*AS388,AF388))</f>
        <v/>
      </c>
      <c r="AL388" s="43">
        <f>IF(AG388=1,AD388,AK388*(1+AJ388)/2)</f>
        <v/>
      </c>
      <c r="AM388" s="43">
        <f>IF(AG388=1,AE388,AK388*(1-AJ388)/2)</f>
        <v/>
      </c>
      <c r="AN388" s="45">
        <f>IF(AH388="","",AH388-T388)</f>
        <v/>
      </c>
      <c r="AO388" s="51">
        <f>IF(AG388=1,1,IF(U388&gt;0,MIN(AF388/U388,0.99),0))</f>
        <v/>
      </c>
      <c r="AP388" s="43">
        <f>IF(AG388=1,AI388*AF388,0)</f>
        <v/>
      </c>
      <c r="AQ388" s="43">
        <f>N388*(F388+G388)/H388</f>
        <v/>
      </c>
      <c r="AR388" s="43">
        <f>O388*AQ388</f>
        <v/>
      </c>
      <c r="AS388" s="52">
        <f>IF(AG388=1,IF(AQ388&gt;0,AF388/AQ388,1),IFERROR(INDEX(Types!$K:$K,MATCH($A388&amp;"|"&amp;$D388,Types!$A:$A,0)),INDEX(Dashboard!$X$6:$X$22,MATCH($A388,Dashboard!$A$6:$A$22,0))))</f>
        <v/>
      </c>
      <c r="AT388" s="43">
        <f>AQ388*INDEX(Dashboard!$Y$6:$Y$22,MATCH($A388,Dashboard!$A$6:$A$22,0))</f>
        <v/>
      </c>
      <c r="AU388" s="53">
        <f>IF(AND(AG388=1,AT388&gt;0,AF388&gt;0),100*AF388/AT388,"")</f>
        <v/>
      </c>
      <c r="AV388" s="44">
        <f>IF(AU388="","",T388/(AU388/100))</f>
        <v/>
      </c>
      <c r="AW388" s="53">
        <f>IF(AU388="","",IF(AND(ABS(AH388)&gt;=0.1,ABS(T388)&gt;=0.05,SIGN(AH388)=SIGN(T388)),100*T388/AH388,""))</f>
        <v/>
      </c>
      <c r="AX388" s="45">
        <f>IF(AU388="","",T388-AV388)</f>
        <v/>
      </c>
      <c r="AY388" s="45">
        <f>IF(AU388="","",AH388-AV388)</f>
        <v/>
      </c>
      <c r="AZ388" s="54">
        <f>(AL388-AM388)-T388*AT388</f>
        <v/>
      </c>
      <c r="BA388" s="43">
        <f>IF(AU388="",0,(AH388-T388)*AF388)</f>
        <v/>
      </c>
      <c r="BB388" s="43">
        <f>IF(AU388="",0,T388*(AF388-AT388))</f>
        <v/>
      </c>
      <c r="BC388" s="51" t="n">
        <v>0.07621549852036051</v>
      </c>
      <c r="BD388" s="51" t="n">
        <v>0.140486987048935</v>
      </c>
      <c r="BE388" s="51" t="n">
        <v>0.3233406296802225</v>
      </c>
      <c r="BF388" s="43" t="n">
        <v>177746</v>
      </c>
    </row>
    <row r="389">
      <c r="A389" s="42" t="inlineStr">
        <is>
          <t>KS</t>
        </is>
      </c>
      <c r="B389" s="42" t="inlineStr">
        <is>
          <t>20179</t>
        </is>
      </c>
      <c r="C389" s="42" t="inlineStr">
        <is>
          <t>Sheridan</t>
        </is>
      </c>
      <c r="D389" s="42" t="inlineStr">
        <is>
          <t>Small town &amp; rural</t>
        </is>
      </c>
      <c r="E389" s="42" t="inlineStr"/>
      <c r="F389" s="43" t="n">
        <v>126</v>
      </c>
      <c r="G389" s="43" t="n">
        <v>1229</v>
      </c>
      <c r="H389" s="43" t="n">
        <v>1373</v>
      </c>
      <c r="I389" s="43" t="n">
        <v>144</v>
      </c>
      <c r="J389" s="43" t="n">
        <v>1237</v>
      </c>
      <c r="K389" s="42" t="inlineStr">
        <is>
          <t>US Senate</t>
        </is>
      </c>
      <c r="L389" s="43" t="n">
        <v>65</v>
      </c>
      <c r="M389" s="43" t="n">
        <v>954</v>
      </c>
      <c r="N389" s="43" t="n">
        <v>1049</v>
      </c>
      <c r="O389" s="44">
        <f>IFERROR((F389-G389)/(F389+G389),"")</f>
        <v/>
      </c>
      <c r="P389" s="44">
        <f>IFERROR((I389-J389)/(I389+J389),"")</f>
        <v/>
      </c>
      <c r="Q389" s="45">
        <f>IFERROR(O389-P389,"")</f>
        <v/>
      </c>
      <c r="R389" s="44">
        <f>IFERROR((L389-M389)/(L389+M389),"")</f>
        <v/>
      </c>
      <c r="S389" s="46">
        <f>H389/SUMIFS(Counties!$H$2:$H$1583,Counties!$A$2:$A$1583,$A389)</f>
        <v/>
      </c>
      <c r="T389" s="44">
        <f>O389+INDEX(Dashboard!$F$6:$F$22,MATCH($A389,Dashboard!$A$6:$A$22,0))</f>
        <v/>
      </c>
      <c r="U389" s="43">
        <f>AQ389*INDEX(Dashboard!$G$6:$G$22,MATCH($A389,Dashboard!$A$6:$A$22,0))</f>
        <v/>
      </c>
      <c r="V389" s="47" t="n"/>
      <c r="W389" s="47" t="n"/>
      <c r="X389" s="47" t="n"/>
      <c r="Y389" s="48" t="n"/>
      <c r="Z389" s="49" t="n"/>
      <c r="AA389" s="49" t="n"/>
      <c r="AB389" s="49" t="n"/>
      <c r="AC389" s="50" t="n"/>
      <c r="AD389" s="43">
        <f>IF(Z389&lt;&gt;"",Z389,N(V389))</f>
        <v/>
      </c>
      <c r="AE389" s="43">
        <f>IF(AA389&lt;&gt;"",AA389,N(W389))</f>
        <v/>
      </c>
      <c r="AF389" s="43">
        <f>AD389+AE389</f>
        <v/>
      </c>
      <c r="AG389" s="42">
        <f>IF(UPPER(AC389)="Y",1,IF(AF389=0,0,IF(AND(Z389="",Y389&lt;&gt;""),IF(Y389&gt;=0.999,1,0),IF(AF389&gt;=U389,1,0))))</f>
        <v/>
      </c>
      <c r="AH389" s="44">
        <f>IF(AF389&gt;0,(AD389-AE389)/AF389,"")</f>
        <v/>
      </c>
      <c r="AI389" s="45">
        <f>IF(AG389=1,AH389-O389,"")</f>
        <v/>
      </c>
      <c r="AJ389" s="44">
        <f>IF(AG389=1,AH389,MAX(-1,MIN(1,O389+INDEX(Types!$H:$H,MATCH($A389&amp;"|"&amp;$D389,Types!$A:$A,0)))))</f>
        <v/>
      </c>
      <c r="AK389" s="43">
        <f>IF(AG389=1,AF389,MAX(AQ389*AS389,AF389))</f>
        <v/>
      </c>
      <c r="AL389" s="43">
        <f>IF(AG389=1,AD389,AK389*(1+AJ389)/2)</f>
        <v/>
      </c>
      <c r="AM389" s="43">
        <f>IF(AG389=1,AE389,AK389*(1-AJ389)/2)</f>
        <v/>
      </c>
      <c r="AN389" s="45">
        <f>IF(AH389="","",AH389-T389)</f>
        <v/>
      </c>
      <c r="AO389" s="51">
        <f>IF(AG389=1,1,IF(U389&gt;0,MIN(AF389/U389,0.99),0))</f>
        <v/>
      </c>
      <c r="AP389" s="43">
        <f>IF(AG389=1,AI389*AF389,0)</f>
        <v/>
      </c>
      <c r="AQ389" s="43">
        <f>N389*(F389+G389)/H389</f>
        <v/>
      </c>
      <c r="AR389" s="43">
        <f>O389*AQ389</f>
        <v/>
      </c>
      <c r="AS389" s="52">
        <f>IF(AG389=1,IF(AQ389&gt;0,AF389/AQ389,1),IFERROR(INDEX(Types!$K:$K,MATCH($A389&amp;"|"&amp;$D389,Types!$A:$A,0)),INDEX(Dashboard!$X$6:$X$22,MATCH($A389,Dashboard!$A$6:$A$22,0))))</f>
        <v/>
      </c>
      <c r="AT389" s="43">
        <f>AQ389*INDEX(Dashboard!$Y$6:$Y$22,MATCH($A389,Dashboard!$A$6:$A$22,0))</f>
        <v/>
      </c>
      <c r="AU389" s="53">
        <f>IF(AND(AG389=1,AT389&gt;0,AF389&gt;0),100*AF389/AT389,"")</f>
        <v/>
      </c>
      <c r="AV389" s="44">
        <f>IF(AU389="","",T389/(AU389/100))</f>
        <v/>
      </c>
      <c r="AW389" s="53">
        <f>IF(AU389="","",IF(AND(ABS(AH389)&gt;=0.1,ABS(T389)&gt;=0.05,SIGN(AH389)=SIGN(T389)),100*T389/AH389,""))</f>
        <v/>
      </c>
      <c r="AX389" s="45">
        <f>IF(AU389="","",T389-AV389)</f>
        <v/>
      </c>
      <c r="AY389" s="45">
        <f>IF(AU389="","",AH389-AV389)</f>
        <v/>
      </c>
      <c r="AZ389" s="54">
        <f>(AL389-AM389)-T389*AT389</f>
        <v/>
      </c>
      <c r="BA389" s="43">
        <f>IF(AU389="",0,(AH389-T389)*AF389)</f>
        <v/>
      </c>
      <c r="BB389" s="43">
        <f>IF(AU389="",0,T389*(AF389-AT389))</f>
        <v/>
      </c>
      <c r="BC389" s="51" t="n">
        <v>0.005777961205117622</v>
      </c>
      <c r="BD389" s="51" t="n">
        <v>0.05901774659513</v>
      </c>
      <c r="BE389" s="51" t="n">
        <v>0.2425531914893617</v>
      </c>
      <c r="BF389" s="43" t="n">
        <v>2423</v>
      </c>
    </row>
    <row r="390">
      <c r="A390" s="42" t="inlineStr">
        <is>
          <t>KS</t>
        </is>
      </c>
      <c r="B390" s="42" t="inlineStr">
        <is>
          <t>20181</t>
        </is>
      </c>
      <c r="C390" s="42" t="inlineStr">
        <is>
          <t>Sherman</t>
        </is>
      </c>
      <c r="D390" s="42" t="inlineStr">
        <is>
          <t>Small town &amp; rural</t>
        </is>
      </c>
      <c r="E390" s="42" t="inlineStr"/>
      <c r="F390" s="43" t="n">
        <v>379</v>
      </c>
      <c r="G390" s="43" t="n">
        <v>2161</v>
      </c>
      <c r="H390" s="43" t="n">
        <v>2593</v>
      </c>
      <c r="I390" s="43" t="n">
        <v>386</v>
      </c>
      <c r="J390" s="43" t="n">
        <v>2222</v>
      </c>
      <c r="K390" s="42" t="inlineStr">
        <is>
          <t>US Senate</t>
        </is>
      </c>
      <c r="L390" s="43" t="n">
        <v>227</v>
      </c>
      <c r="M390" s="43" t="n">
        <v>1726</v>
      </c>
      <c r="N390" s="43" t="n">
        <v>2045</v>
      </c>
      <c r="O390" s="44">
        <f>IFERROR((F390-G390)/(F390+G390),"")</f>
        <v/>
      </c>
      <c r="P390" s="44">
        <f>IFERROR((I390-J390)/(I390+J390),"")</f>
        <v/>
      </c>
      <c r="Q390" s="45">
        <f>IFERROR(O390-P390,"")</f>
        <v/>
      </c>
      <c r="R390" s="44">
        <f>IFERROR((L390-M390)/(L390+M390),"")</f>
        <v/>
      </c>
      <c r="S390" s="46">
        <f>H390/SUMIFS(Counties!$H$2:$H$1583,Counties!$A$2:$A$1583,$A390)</f>
        <v/>
      </c>
      <c r="T390" s="44">
        <f>O390+INDEX(Dashboard!$F$6:$F$22,MATCH($A390,Dashboard!$A$6:$A$22,0))</f>
        <v/>
      </c>
      <c r="U390" s="43">
        <f>AQ390*INDEX(Dashboard!$G$6:$G$22,MATCH($A390,Dashboard!$A$6:$A$22,0))</f>
        <v/>
      </c>
      <c r="V390" s="47" t="n"/>
      <c r="W390" s="47" t="n"/>
      <c r="X390" s="47" t="n"/>
      <c r="Y390" s="48" t="n"/>
      <c r="Z390" s="49" t="n"/>
      <c r="AA390" s="49" t="n"/>
      <c r="AB390" s="49" t="n"/>
      <c r="AC390" s="50" t="n"/>
      <c r="AD390" s="43">
        <f>IF(Z390&lt;&gt;"",Z390,N(V390))</f>
        <v/>
      </c>
      <c r="AE390" s="43">
        <f>IF(AA390&lt;&gt;"",AA390,N(W390))</f>
        <v/>
      </c>
      <c r="AF390" s="43">
        <f>AD390+AE390</f>
        <v/>
      </c>
      <c r="AG390" s="42">
        <f>IF(UPPER(AC390)="Y",1,IF(AF390=0,0,IF(AND(Z390="",Y390&lt;&gt;""),IF(Y390&gt;=0.999,1,0),IF(AF390&gt;=U390,1,0))))</f>
        <v/>
      </c>
      <c r="AH390" s="44">
        <f>IF(AF390&gt;0,(AD390-AE390)/AF390,"")</f>
        <v/>
      </c>
      <c r="AI390" s="45">
        <f>IF(AG390=1,AH390-O390,"")</f>
        <v/>
      </c>
      <c r="AJ390" s="44">
        <f>IF(AG390=1,AH390,MAX(-1,MIN(1,O390+INDEX(Types!$H:$H,MATCH($A390&amp;"|"&amp;$D390,Types!$A:$A,0)))))</f>
        <v/>
      </c>
      <c r="AK390" s="43">
        <f>IF(AG390=1,AF390,MAX(AQ390*AS390,AF390))</f>
        <v/>
      </c>
      <c r="AL390" s="43">
        <f>IF(AG390=1,AD390,AK390*(1+AJ390)/2)</f>
        <v/>
      </c>
      <c r="AM390" s="43">
        <f>IF(AG390=1,AE390,AK390*(1-AJ390)/2)</f>
        <v/>
      </c>
      <c r="AN390" s="45">
        <f>IF(AH390="","",AH390-T390)</f>
        <v/>
      </c>
      <c r="AO390" s="51">
        <f>IF(AG390=1,1,IF(U390&gt;0,MIN(AF390/U390,0.99),0))</f>
        <v/>
      </c>
      <c r="AP390" s="43">
        <f>IF(AG390=1,AI390*AF390,0)</f>
        <v/>
      </c>
      <c r="AQ390" s="43">
        <f>N390*(F390+G390)/H390</f>
        <v/>
      </c>
      <c r="AR390" s="43">
        <f>O390*AQ390</f>
        <v/>
      </c>
      <c r="AS390" s="52">
        <f>IF(AG390=1,IF(AQ390&gt;0,AF390/AQ390,1),IFERROR(INDEX(Types!$K:$K,MATCH($A390&amp;"|"&amp;$D390,Types!$A:$A,0)),INDEX(Dashboard!$X$6:$X$22,MATCH($A390,Dashboard!$A$6:$A$22,0))))</f>
        <v/>
      </c>
      <c r="AT390" s="43">
        <f>AQ390*INDEX(Dashboard!$Y$6:$Y$22,MATCH($A390,Dashboard!$A$6:$A$22,0))</f>
        <v/>
      </c>
      <c r="AU390" s="53">
        <f>IF(AND(AG390=1,AT390&gt;0,AF390&gt;0),100*AF390/AT390,"")</f>
        <v/>
      </c>
      <c r="AV390" s="44">
        <f>IF(AU390="","",T390/(AU390/100))</f>
        <v/>
      </c>
      <c r="AW390" s="53">
        <f>IF(AU390="","",IF(AND(ABS(AH390)&gt;=0.1,ABS(T390)&gt;=0.05,SIGN(AH390)=SIGN(T390)),100*T390/AH390,""))</f>
        <v/>
      </c>
      <c r="AX390" s="45">
        <f>IF(AU390="","",T390-AV390)</f>
        <v/>
      </c>
      <c r="AY390" s="45">
        <f>IF(AU390="","",AH390-AV390)</f>
        <v/>
      </c>
      <c r="AZ390" s="54">
        <f>(AL390-AM390)-T390*AT390</f>
        <v/>
      </c>
      <c r="BA390" s="43">
        <f>IF(AU390="",0,(AH390-T390)*AF390)</f>
        <v/>
      </c>
      <c r="BB390" s="43">
        <f>IF(AU390="",0,T390*(AF390-AT390))</f>
        <v/>
      </c>
      <c r="BC390" s="51" t="n">
        <v>0.01078028747433265</v>
      </c>
      <c r="BD390" s="51" t="n">
        <v>0.1338124572210815</v>
      </c>
      <c r="BE390" s="51" t="n">
        <v>0.2513804890875624</v>
      </c>
      <c r="BF390" s="43" t="n">
        <v>5844</v>
      </c>
    </row>
    <row r="391">
      <c r="A391" s="42" t="inlineStr">
        <is>
          <t>KS</t>
        </is>
      </c>
      <c r="B391" s="42" t="inlineStr">
        <is>
          <t>20183</t>
        </is>
      </c>
      <c r="C391" s="42" t="inlineStr">
        <is>
          <t>Smith</t>
        </is>
      </c>
      <c r="D391" s="42" t="inlineStr">
        <is>
          <t>Small town &amp; rural</t>
        </is>
      </c>
      <c r="E391" s="42" t="inlineStr"/>
      <c r="F391" s="43" t="n">
        <v>300</v>
      </c>
      <c r="G391" s="43" t="n">
        <v>1675</v>
      </c>
      <c r="H391" s="43" t="n">
        <v>2006</v>
      </c>
      <c r="I391" s="43" t="n">
        <v>328</v>
      </c>
      <c r="J391" s="43" t="n">
        <v>1734</v>
      </c>
      <c r="K391" s="42" t="inlineStr">
        <is>
          <t>US Senate</t>
        </is>
      </c>
      <c r="L391" s="43" t="n">
        <v>171</v>
      </c>
      <c r="M391" s="43" t="n">
        <v>1410</v>
      </c>
      <c r="N391" s="43" t="n">
        <v>1641</v>
      </c>
      <c r="O391" s="44">
        <f>IFERROR((F391-G391)/(F391+G391),"")</f>
        <v/>
      </c>
      <c r="P391" s="44">
        <f>IFERROR((I391-J391)/(I391+J391),"")</f>
        <v/>
      </c>
      <c r="Q391" s="45">
        <f>IFERROR(O391-P391,"")</f>
        <v/>
      </c>
      <c r="R391" s="44">
        <f>IFERROR((L391-M391)/(L391+M391),"")</f>
        <v/>
      </c>
      <c r="S391" s="46">
        <f>H391/SUMIFS(Counties!$H$2:$H$1583,Counties!$A$2:$A$1583,$A391)</f>
        <v/>
      </c>
      <c r="T391" s="44">
        <f>O391+INDEX(Dashboard!$F$6:$F$22,MATCH($A391,Dashboard!$A$6:$A$22,0))</f>
        <v/>
      </c>
      <c r="U391" s="43">
        <f>AQ391*INDEX(Dashboard!$G$6:$G$22,MATCH($A391,Dashboard!$A$6:$A$22,0))</f>
        <v/>
      </c>
      <c r="V391" s="47" t="n"/>
      <c r="W391" s="47" t="n"/>
      <c r="X391" s="47" t="n"/>
      <c r="Y391" s="48" t="n"/>
      <c r="Z391" s="49" t="n"/>
      <c r="AA391" s="49" t="n"/>
      <c r="AB391" s="49" t="n"/>
      <c r="AC391" s="50" t="n"/>
      <c r="AD391" s="43">
        <f>IF(Z391&lt;&gt;"",Z391,N(V391))</f>
        <v/>
      </c>
      <c r="AE391" s="43">
        <f>IF(AA391&lt;&gt;"",AA391,N(W391))</f>
        <v/>
      </c>
      <c r="AF391" s="43">
        <f>AD391+AE391</f>
        <v/>
      </c>
      <c r="AG391" s="42">
        <f>IF(UPPER(AC391)="Y",1,IF(AF391=0,0,IF(AND(Z391="",Y391&lt;&gt;""),IF(Y391&gt;=0.999,1,0),IF(AF391&gt;=U391,1,0))))</f>
        <v/>
      </c>
      <c r="AH391" s="44">
        <f>IF(AF391&gt;0,(AD391-AE391)/AF391,"")</f>
        <v/>
      </c>
      <c r="AI391" s="45">
        <f>IF(AG391=1,AH391-O391,"")</f>
        <v/>
      </c>
      <c r="AJ391" s="44">
        <f>IF(AG391=1,AH391,MAX(-1,MIN(1,O391+INDEX(Types!$H:$H,MATCH($A391&amp;"|"&amp;$D391,Types!$A:$A,0)))))</f>
        <v/>
      </c>
      <c r="AK391" s="43">
        <f>IF(AG391=1,AF391,MAX(AQ391*AS391,AF391))</f>
        <v/>
      </c>
      <c r="AL391" s="43">
        <f>IF(AG391=1,AD391,AK391*(1+AJ391)/2)</f>
        <v/>
      </c>
      <c r="AM391" s="43">
        <f>IF(AG391=1,AE391,AK391*(1-AJ391)/2)</f>
        <v/>
      </c>
      <c r="AN391" s="45">
        <f>IF(AH391="","",AH391-T391)</f>
        <v/>
      </c>
      <c r="AO391" s="51">
        <f>IF(AG391=1,1,IF(U391&gt;0,MIN(AF391/U391,0.99),0))</f>
        <v/>
      </c>
      <c r="AP391" s="43">
        <f>IF(AG391=1,AI391*AF391,0)</f>
        <v/>
      </c>
      <c r="AQ391" s="43">
        <f>N391*(F391+G391)/H391</f>
        <v/>
      </c>
      <c r="AR391" s="43">
        <f>O391*AQ391</f>
        <v/>
      </c>
      <c r="AS391" s="52">
        <f>IF(AG391=1,IF(AQ391&gt;0,AF391/AQ391,1),IFERROR(INDEX(Types!$K:$K,MATCH($A391&amp;"|"&amp;$D391,Types!$A:$A,0)),INDEX(Dashboard!$X$6:$X$22,MATCH($A391,Dashboard!$A$6:$A$22,0))))</f>
        <v/>
      </c>
      <c r="AT391" s="43">
        <f>AQ391*INDEX(Dashboard!$Y$6:$Y$22,MATCH($A391,Dashboard!$A$6:$A$22,0))</f>
        <v/>
      </c>
      <c r="AU391" s="53">
        <f>IF(AND(AG391=1,AT391&gt;0,AF391&gt;0),100*AF391/AT391,"")</f>
        <v/>
      </c>
      <c r="AV391" s="44">
        <f>IF(AU391="","",T391/(AU391/100))</f>
        <v/>
      </c>
      <c r="AW391" s="53">
        <f>IF(AU391="","",IF(AND(ABS(AH391)&gt;=0.1,ABS(T391)&gt;=0.05,SIGN(AH391)=SIGN(T391)),100*T391/AH391,""))</f>
        <v/>
      </c>
      <c r="AX391" s="45">
        <f>IF(AU391="","",T391-AV391)</f>
        <v/>
      </c>
      <c r="AY391" s="45">
        <f>IF(AU391="","",AH391-AV391)</f>
        <v/>
      </c>
      <c r="AZ391" s="54">
        <f>(AL391-AM391)-T391*AT391</f>
        <v/>
      </c>
      <c r="BA391" s="43">
        <f>IF(AU391="",0,(AH391-T391)*AF391)</f>
        <v/>
      </c>
      <c r="BB391" s="43">
        <f>IF(AU391="",0,T391*(AF391-AT391))</f>
        <v/>
      </c>
      <c r="BC391" s="51" t="n">
        <v>0.004735376044568245</v>
      </c>
      <c r="BD391" s="51" t="n">
        <v>0.02729805013927577</v>
      </c>
      <c r="BE391" s="51" t="n">
        <v>0.2455876830642133</v>
      </c>
      <c r="BF391" s="43" t="n">
        <v>3590</v>
      </c>
    </row>
    <row r="392">
      <c r="A392" s="42" t="inlineStr">
        <is>
          <t>KS</t>
        </is>
      </c>
      <c r="B392" s="42" t="inlineStr">
        <is>
          <t>20185</t>
        </is>
      </c>
      <c r="C392" s="42" t="inlineStr">
        <is>
          <t>Stafford</t>
        </is>
      </c>
      <c r="D392" s="42" t="inlineStr">
        <is>
          <t>Small town &amp; rural</t>
        </is>
      </c>
      <c r="E392" s="42" t="inlineStr"/>
      <c r="F392" s="43" t="n">
        <v>326</v>
      </c>
      <c r="G392" s="43" t="n">
        <v>1548</v>
      </c>
      <c r="H392" s="43" t="n">
        <v>1909</v>
      </c>
      <c r="I392" s="43" t="n">
        <v>355</v>
      </c>
      <c r="J392" s="43" t="n">
        <v>1631</v>
      </c>
      <c r="K392" s="42" t="inlineStr">
        <is>
          <t>US Senate</t>
        </is>
      </c>
      <c r="L392" s="43" t="n">
        <v>189</v>
      </c>
      <c r="M392" s="43" t="n">
        <v>1320</v>
      </c>
      <c r="N392" s="43" t="n">
        <v>1570</v>
      </c>
      <c r="O392" s="44">
        <f>IFERROR((F392-G392)/(F392+G392),"")</f>
        <v/>
      </c>
      <c r="P392" s="44">
        <f>IFERROR((I392-J392)/(I392+J392),"")</f>
        <v/>
      </c>
      <c r="Q392" s="45">
        <f>IFERROR(O392-P392,"")</f>
        <v/>
      </c>
      <c r="R392" s="44">
        <f>IFERROR((L392-M392)/(L392+M392),"")</f>
        <v/>
      </c>
      <c r="S392" s="46">
        <f>H392/SUMIFS(Counties!$H$2:$H$1583,Counties!$A$2:$A$1583,$A392)</f>
        <v/>
      </c>
      <c r="T392" s="44">
        <f>O392+INDEX(Dashboard!$F$6:$F$22,MATCH($A392,Dashboard!$A$6:$A$22,0))</f>
        <v/>
      </c>
      <c r="U392" s="43">
        <f>AQ392*INDEX(Dashboard!$G$6:$G$22,MATCH($A392,Dashboard!$A$6:$A$22,0))</f>
        <v/>
      </c>
      <c r="V392" s="47" t="n"/>
      <c r="W392" s="47" t="n"/>
      <c r="X392" s="47" t="n"/>
      <c r="Y392" s="48" t="n"/>
      <c r="Z392" s="49" t="n"/>
      <c r="AA392" s="49" t="n"/>
      <c r="AB392" s="49" t="n"/>
      <c r="AC392" s="50" t="n"/>
      <c r="AD392" s="43">
        <f>IF(Z392&lt;&gt;"",Z392,N(V392))</f>
        <v/>
      </c>
      <c r="AE392" s="43">
        <f>IF(AA392&lt;&gt;"",AA392,N(W392))</f>
        <v/>
      </c>
      <c r="AF392" s="43">
        <f>AD392+AE392</f>
        <v/>
      </c>
      <c r="AG392" s="42">
        <f>IF(UPPER(AC392)="Y",1,IF(AF392=0,0,IF(AND(Z392="",Y392&lt;&gt;""),IF(Y392&gt;=0.999,1,0),IF(AF392&gt;=U392,1,0))))</f>
        <v/>
      </c>
      <c r="AH392" s="44">
        <f>IF(AF392&gt;0,(AD392-AE392)/AF392,"")</f>
        <v/>
      </c>
      <c r="AI392" s="45">
        <f>IF(AG392=1,AH392-O392,"")</f>
        <v/>
      </c>
      <c r="AJ392" s="44">
        <f>IF(AG392=1,AH392,MAX(-1,MIN(1,O392+INDEX(Types!$H:$H,MATCH($A392&amp;"|"&amp;$D392,Types!$A:$A,0)))))</f>
        <v/>
      </c>
      <c r="AK392" s="43">
        <f>IF(AG392=1,AF392,MAX(AQ392*AS392,AF392))</f>
        <v/>
      </c>
      <c r="AL392" s="43">
        <f>IF(AG392=1,AD392,AK392*(1+AJ392)/2)</f>
        <v/>
      </c>
      <c r="AM392" s="43">
        <f>IF(AG392=1,AE392,AK392*(1-AJ392)/2)</f>
        <v/>
      </c>
      <c r="AN392" s="45">
        <f>IF(AH392="","",AH392-T392)</f>
        <v/>
      </c>
      <c r="AO392" s="51">
        <f>IF(AG392=1,1,IF(U392&gt;0,MIN(AF392/U392,0.99),0))</f>
        <v/>
      </c>
      <c r="AP392" s="43">
        <f>IF(AG392=1,AI392*AF392,0)</f>
        <v/>
      </c>
      <c r="AQ392" s="43">
        <f>N392*(F392+G392)/H392</f>
        <v/>
      </c>
      <c r="AR392" s="43">
        <f>O392*AQ392</f>
        <v/>
      </c>
      <c r="AS392" s="52">
        <f>IF(AG392=1,IF(AQ392&gt;0,AF392/AQ392,1),IFERROR(INDEX(Types!$K:$K,MATCH($A392&amp;"|"&amp;$D392,Types!$A:$A,0)),INDEX(Dashboard!$X$6:$X$22,MATCH($A392,Dashboard!$A$6:$A$22,0))))</f>
        <v/>
      </c>
      <c r="AT392" s="43">
        <f>AQ392*INDEX(Dashboard!$Y$6:$Y$22,MATCH($A392,Dashboard!$A$6:$A$22,0))</f>
        <v/>
      </c>
      <c r="AU392" s="53">
        <f>IF(AND(AG392=1,AT392&gt;0,AF392&gt;0),100*AF392/AT392,"")</f>
        <v/>
      </c>
      <c r="AV392" s="44">
        <f>IF(AU392="","",T392/(AU392/100))</f>
        <v/>
      </c>
      <c r="AW392" s="53">
        <f>IF(AU392="","",IF(AND(ABS(AH392)&gt;=0.1,ABS(T392)&gt;=0.05,SIGN(AH392)=SIGN(T392)),100*T392/AH392,""))</f>
        <v/>
      </c>
      <c r="AX392" s="45">
        <f>IF(AU392="","",T392-AV392)</f>
        <v/>
      </c>
      <c r="AY392" s="45">
        <f>IF(AU392="","",AH392-AV392)</f>
        <v/>
      </c>
      <c r="AZ392" s="54">
        <f>(AL392-AM392)-T392*AT392</f>
        <v/>
      </c>
      <c r="BA392" s="43">
        <f>IF(AU392="",0,(AH392-T392)*AF392)</f>
        <v/>
      </c>
      <c r="BB392" s="43">
        <f>IF(AU392="",0,T392*(AF392-AT392))</f>
        <v/>
      </c>
      <c r="BC392" s="51" t="n">
        <v>0.006907137375287797</v>
      </c>
      <c r="BD392" s="51" t="n">
        <v>0.1383985674085444</v>
      </c>
      <c r="BE392" s="51" t="n">
        <v>0.2633490737377406</v>
      </c>
      <c r="BF392" s="43" t="n">
        <v>3909</v>
      </c>
    </row>
    <row r="393">
      <c r="A393" s="42" t="inlineStr">
        <is>
          <t>KS</t>
        </is>
      </c>
      <c r="B393" s="42" t="inlineStr">
        <is>
          <t>20187</t>
        </is>
      </c>
      <c r="C393" s="42" t="inlineStr">
        <is>
          <t>Stanton</t>
        </is>
      </c>
      <c r="D393" s="42" t="inlineStr">
        <is>
          <t>Hispanic</t>
        </is>
      </c>
      <c r="E393" s="42" t="inlineStr"/>
      <c r="F393" s="43" t="n">
        <v>115</v>
      </c>
      <c r="G393" s="43" t="n">
        <v>537</v>
      </c>
      <c r="H393" s="43" t="n">
        <v>664</v>
      </c>
      <c r="I393" s="43" t="n">
        <v>147</v>
      </c>
      <c r="J393" s="43" t="n">
        <v>607</v>
      </c>
      <c r="K393" s="42" t="inlineStr">
        <is>
          <t>US Senate</t>
        </is>
      </c>
      <c r="L393" s="43" t="n">
        <v>41</v>
      </c>
      <c r="M393" s="43" t="n">
        <v>453</v>
      </c>
      <c r="N393" s="43" t="n">
        <v>509</v>
      </c>
      <c r="O393" s="44">
        <f>IFERROR((F393-G393)/(F393+G393),"")</f>
        <v/>
      </c>
      <c r="P393" s="44">
        <f>IFERROR((I393-J393)/(I393+J393),"")</f>
        <v/>
      </c>
      <c r="Q393" s="45">
        <f>IFERROR(O393-P393,"")</f>
        <v/>
      </c>
      <c r="R393" s="44">
        <f>IFERROR((L393-M393)/(L393+M393),"")</f>
        <v/>
      </c>
      <c r="S393" s="46">
        <f>H393/SUMIFS(Counties!$H$2:$H$1583,Counties!$A$2:$A$1583,$A393)</f>
        <v/>
      </c>
      <c r="T393" s="44">
        <f>O393+INDEX(Dashboard!$F$6:$F$22,MATCH($A393,Dashboard!$A$6:$A$22,0))</f>
        <v/>
      </c>
      <c r="U393" s="43">
        <f>AQ393*INDEX(Dashboard!$G$6:$G$22,MATCH($A393,Dashboard!$A$6:$A$22,0))</f>
        <v/>
      </c>
      <c r="V393" s="47" t="n"/>
      <c r="W393" s="47" t="n"/>
      <c r="X393" s="47" t="n"/>
      <c r="Y393" s="48" t="n"/>
      <c r="Z393" s="49" t="n"/>
      <c r="AA393" s="49" t="n"/>
      <c r="AB393" s="49" t="n"/>
      <c r="AC393" s="50" t="n"/>
      <c r="AD393" s="43">
        <f>IF(Z393&lt;&gt;"",Z393,N(V393))</f>
        <v/>
      </c>
      <c r="AE393" s="43">
        <f>IF(AA393&lt;&gt;"",AA393,N(W393))</f>
        <v/>
      </c>
      <c r="AF393" s="43">
        <f>AD393+AE393</f>
        <v/>
      </c>
      <c r="AG393" s="42">
        <f>IF(UPPER(AC393)="Y",1,IF(AF393=0,0,IF(AND(Z393="",Y393&lt;&gt;""),IF(Y393&gt;=0.999,1,0),IF(AF393&gt;=U393,1,0))))</f>
        <v/>
      </c>
      <c r="AH393" s="44">
        <f>IF(AF393&gt;0,(AD393-AE393)/AF393,"")</f>
        <v/>
      </c>
      <c r="AI393" s="45">
        <f>IF(AG393=1,AH393-O393,"")</f>
        <v/>
      </c>
      <c r="AJ393" s="44">
        <f>IF(AG393=1,AH393,MAX(-1,MIN(1,O393+INDEX(Types!$H:$H,MATCH($A393&amp;"|"&amp;$D393,Types!$A:$A,0)))))</f>
        <v/>
      </c>
      <c r="AK393" s="43">
        <f>IF(AG393=1,AF393,MAX(AQ393*AS393,AF393))</f>
        <v/>
      </c>
      <c r="AL393" s="43">
        <f>IF(AG393=1,AD393,AK393*(1+AJ393)/2)</f>
        <v/>
      </c>
      <c r="AM393" s="43">
        <f>IF(AG393=1,AE393,AK393*(1-AJ393)/2)</f>
        <v/>
      </c>
      <c r="AN393" s="45">
        <f>IF(AH393="","",AH393-T393)</f>
        <v/>
      </c>
      <c r="AO393" s="51">
        <f>IF(AG393=1,1,IF(U393&gt;0,MIN(AF393/U393,0.99),0))</f>
        <v/>
      </c>
      <c r="AP393" s="43">
        <f>IF(AG393=1,AI393*AF393,0)</f>
        <v/>
      </c>
      <c r="AQ393" s="43">
        <f>N393*(F393+G393)/H393</f>
        <v/>
      </c>
      <c r="AR393" s="43">
        <f>O393*AQ393</f>
        <v/>
      </c>
      <c r="AS393" s="52">
        <f>IF(AG393=1,IF(AQ393&gt;0,AF393/AQ393,1),IFERROR(INDEX(Types!$K:$K,MATCH($A393&amp;"|"&amp;$D393,Types!$A:$A,0)),INDEX(Dashboard!$X$6:$X$22,MATCH($A393,Dashboard!$A$6:$A$22,0))))</f>
        <v/>
      </c>
      <c r="AT393" s="43">
        <f>AQ393*INDEX(Dashboard!$Y$6:$Y$22,MATCH($A393,Dashboard!$A$6:$A$22,0))</f>
        <v/>
      </c>
      <c r="AU393" s="53">
        <f>IF(AND(AG393=1,AT393&gt;0,AF393&gt;0),100*AF393/AT393,"")</f>
        <v/>
      </c>
      <c r="AV393" s="44">
        <f>IF(AU393="","",T393/(AU393/100))</f>
        <v/>
      </c>
      <c r="AW393" s="53">
        <f>IF(AU393="","",IF(AND(ABS(AH393)&gt;=0.1,ABS(T393)&gt;=0.05,SIGN(AH393)=SIGN(T393)),100*T393/AH393,""))</f>
        <v/>
      </c>
      <c r="AX393" s="45">
        <f>IF(AU393="","",T393-AV393)</f>
        <v/>
      </c>
      <c r="AY393" s="45">
        <f>IF(AU393="","",AH393-AV393)</f>
        <v/>
      </c>
      <c r="AZ393" s="54">
        <f>(AL393-AM393)-T393*AT393</f>
        <v/>
      </c>
      <c r="BA393" s="43">
        <f>IF(AU393="",0,(AH393-T393)*AF393)</f>
        <v/>
      </c>
      <c r="BB393" s="43">
        <f>IF(AU393="",0,T393*(AF393-AT393))</f>
        <v/>
      </c>
      <c r="BC393" s="51" t="n">
        <v>0.006838506049447659</v>
      </c>
      <c r="BD393" s="51" t="n">
        <v>0.445554971067859</v>
      </c>
      <c r="BE393" s="51" t="n">
        <v>0.2369631901840491</v>
      </c>
      <c r="BF393" s="43" t="n">
        <v>1901</v>
      </c>
    </row>
    <row r="394">
      <c r="A394" s="42" t="inlineStr">
        <is>
          <t>KS</t>
        </is>
      </c>
      <c r="B394" s="42" t="inlineStr">
        <is>
          <t>20189</t>
        </is>
      </c>
      <c r="C394" s="42" t="inlineStr">
        <is>
          <t>Stevens</t>
        </is>
      </c>
      <c r="D394" s="42" t="inlineStr">
        <is>
          <t>Small town &amp; rural</t>
        </is>
      </c>
      <c r="E394" s="42" t="inlineStr"/>
      <c r="F394" s="43" t="n">
        <v>210</v>
      </c>
      <c r="G394" s="43" t="n">
        <v>1595</v>
      </c>
      <c r="H394" s="43" t="n">
        <v>1835</v>
      </c>
      <c r="I394" s="43" t="n">
        <v>233</v>
      </c>
      <c r="J394" s="43" t="n">
        <v>1731</v>
      </c>
      <c r="K394" s="42" t="inlineStr">
        <is>
          <t>US Senate</t>
        </is>
      </c>
      <c r="L394" s="43" t="n">
        <v>115</v>
      </c>
      <c r="M394" s="43" t="n">
        <v>1256</v>
      </c>
      <c r="N394" s="43" t="n">
        <v>1397</v>
      </c>
      <c r="O394" s="44">
        <f>IFERROR((F394-G394)/(F394+G394),"")</f>
        <v/>
      </c>
      <c r="P394" s="44">
        <f>IFERROR((I394-J394)/(I394+J394),"")</f>
        <v/>
      </c>
      <c r="Q394" s="45">
        <f>IFERROR(O394-P394,"")</f>
        <v/>
      </c>
      <c r="R394" s="44">
        <f>IFERROR((L394-M394)/(L394+M394),"")</f>
        <v/>
      </c>
      <c r="S394" s="46">
        <f>H394/SUMIFS(Counties!$H$2:$H$1583,Counties!$A$2:$A$1583,$A394)</f>
        <v/>
      </c>
      <c r="T394" s="44">
        <f>O394+INDEX(Dashboard!$F$6:$F$22,MATCH($A394,Dashboard!$A$6:$A$22,0))</f>
        <v/>
      </c>
      <c r="U394" s="43">
        <f>AQ394*INDEX(Dashboard!$G$6:$G$22,MATCH($A394,Dashboard!$A$6:$A$22,0))</f>
        <v/>
      </c>
      <c r="V394" s="47" t="n"/>
      <c r="W394" s="47" t="n"/>
      <c r="X394" s="47" t="n"/>
      <c r="Y394" s="48" t="n"/>
      <c r="Z394" s="49" t="n"/>
      <c r="AA394" s="49" t="n"/>
      <c r="AB394" s="49" t="n"/>
      <c r="AC394" s="50" t="n"/>
      <c r="AD394" s="43">
        <f>IF(Z394&lt;&gt;"",Z394,N(V394))</f>
        <v/>
      </c>
      <c r="AE394" s="43">
        <f>IF(AA394&lt;&gt;"",AA394,N(W394))</f>
        <v/>
      </c>
      <c r="AF394" s="43">
        <f>AD394+AE394</f>
        <v/>
      </c>
      <c r="AG394" s="42">
        <f>IF(UPPER(AC394)="Y",1,IF(AF394=0,0,IF(AND(Z394="",Y394&lt;&gt;""),IF(Y394&gt;=0.999,1,0),IF(AF394&gt;=U394,1,0))))</f>
        <v/>
      </c>
      <c r="AH394" s="44">
        <f>IF(AF394&gt;0,(AD394-AE394)/AF394,"")</f>
        <v/>
      </c>
      <c r="AI394" s="45">
        <f>IF(AG394=1,AH394-O394,"")</f>
        <v/>
      </c>
      <c r="AJ394" s="44">
        <f>IF(AG394=1,AH394,MAX(-1,MIN(1,O394+INDEX(Types!$H:$H,MATCH($A394&amp;"|"&amp;$D394,Types!$A:$A,0)))))</f>
        <v/>
      </c>
      <c r="AK394" s="43">
        <f>IF(AG394=1,AF394,MAX(AQ394*AS394,AF394))</f>
        <v/>
      </c>
      <c r="AL394" s="43">
        <f>IF(AG394=1,AD394,AK394*(1+AJ394)/2)</f>
        <v/>
      </c>
      <c r="AM394" s="43">
        <f>IF(AG394=1,AE394,AK394*(1-AJ394)/2)</f>
        <v/>
      </c>
      <c r="AN394" s="45">
        <f>IF(AH394="","",AH394-T394)</f>
        <v/>
      </c>
      <c r="AO394" s="51">
        <f>IF(AG394=1,1,IF(U394&gt;0,MIN(AF394/U394,0.99),0))</f>
        <v/>
      </c>
      <c r="AP394" s="43">
        <f>IF(AG394=1,AI394*AF394,0)</f>
        <v/>
      </c>
      <c r="AQ394" s="43">
        <f>N394*(F394+G394)/H394</f>
        <v/>
      </c>
      <c r="AR394" s="43">
        <f>O394*AQ394</f>
        <v/>
      </c>
      <c r="AS394" s="52">
        <f>IF(AG394=1,IF(AQ394&gt;0,AF394/AQ394,1),IFERROR(INDEX(Types!$K:$K,MATCH($A394&amp;"|"&amp;$D394,Types!$A:$A,0)),INDEX(Dashboard!$X$6:$X$22,MATCH($A394,Dashboard!$A$6:$A$22,0))))</f>
        <v/>
      </c>
      <c r="AT394" s="43">
        <f>AQ394*INDEX(Dashboard!$Y$6:$Y$22,MATCH($A394,Dashboard!$A$6:$A$22,0))</f>
        <v/>
      </c>
      <c r="AU394" s="53">
        <f>IF(AND(AG394=1,AT394&gt;0,AF394&gt;0),100*AF394/AT394,"")</f>
        <v/>
      </c>
      <c r="AV394" s="44">
        <f>IF(AU394="","",T394/(AU394/100))</f>
        <v/>
      </c>
      <c r="AW394" s="53">
        <f>IF(AU394="","",IF(AND(ABS(AH394)&gt;=0.1,ABS(T394)&gt;=0.05,SIGN(AH394)=SIGN(T394)),100*T394/AH394,""))</f>
        <v/>
      </c>
      <c r="AX394" s="45">
        <f>IF(AU394="","",T394-AV394)</f>
        <v/>
      </c>
      <c r="AY394" s="45">
        <f>IF(AU394="","",AH394-AV394)</f>
        <v/>
      </c>
      <c r="AZ394" s="54">
        <f>(AL394-AM394)-T394*AT394</f>
        <v/>
      </c>
      <c r="BA394" s="43">
        <f>IF(AU394="",0,(AH394-T394)*AF394)</f>
        <v/>
      </c>
      <c r="BB394" s="43">
        <f>IF(AU394="",0,T394*(AF394-AT394))</f>
        <v/>
      </c>
      <c r="BC394" s="51" t="n">
        <v>0.007878668505022651</v>
      </c>
      <c r="BD394" s="51" t="n">
        <v>0.3868426235966121</v>
      </c>
      <c r="BE394" s="51" t="n">
        <v>0.162319729978521</v>
      </c>
      <c r="BF394" s="43" t="n">
        <v>5077</v>
      </c>
    </row>
    <row r="395">
      <c r="A395" s="42" t="inlineStr">
        <is>
          <t>KS</t>
        </is>
      </c>
      <c r="B395" s="42" t="inlineStr">
        <is>
          <t>20191</t>
        </is>
      </c>
      <c r="C395" s="42" t="inlineStr">
        <is>
          <t>Sumner</t>
        </is>
      </c>
      <c r="D395" s="42" t="inlineStr">
        <is>
          <t>Small town &amp; rural</t>
        </is>
      </c>
      <c r="E395" s="42" t="inlineStr"/>
      <c r="F395" s="43" t="n">
        <v>2527</v>
      </c>
      <c r="G395" s="43" t="n">
        <v>7810</v>
      </c>
      <c r="H395" s="43" t="n">
        <v>10549</v>
      </c>
      <c r="I395" s="43" t="n">
        <v>2551</v>
      </c>
      <c r="J395" s="43" t="n">
        <v>7998</v>
      </c>
      <c r="K395" s="42" t="inlineStr">
        <is>
          <t>US Senate</t>
        </is>
      </c>
      <c r="L395" s="43" t="n">
        <v>1692</v>
      </c>
      <c r="M395" s="43" t="n">
        <v>5896</v>
      </c>
      <c r="N395" s="43" t="n">
        <v>7869</v>
      </c>
      <c r="O395" s="44">
        <f>IFERROR((F395-G395)/(F395+G395),"")</f>
        <v/>
      </c>
      <c r="P395" s="44">
        <f>IFERROR((I395-J395)/(I395+J395),"")</f>
        <v/>
      </c>
      <c r="Q395" s="45">
        <f>IFERROR(O395-P395,"")</f>
        <v/>
      </c>
      <c r="R395" s="44">
        <f>IFERROR((L395-M395)/(L395+M395),"")</f>
        <v/>
      </c>
      <c r="S395" s="46">
        <f>H395/SUMIFS(Counties!$H$2:$H$1583,Counties!$A$2:$A$1583,$A395)</f>
        <v/>
      </c>
      <c r="T395" s="44">
        <f>O395+INDEX(Dashboard!$F$6:$F$22,MATCH($A395,Dashboard!$A$6:$A$22,0))</f>
        <v/>
      </c>
      <c r="U395" s="43">
        <f>AQ395*INDEX(Dashboard!$G$6:$G$22,MATCH($A395,Dashboard!$A$6:$A$22,0))</f>
        <v/>
      </c>
      <c r="V395" s="47" t="n"/>
      <c r="W395" s="47" t="n"/>
      <c r="X395" s="47" t="n"/>
      <c r="Y395" s="48" t="n"/>
      <c r="Z395" s="49" t="n"/>
      <c r="AA395" s="49" t="n"/>
      <c r="AB395" s="49" t="n"/>
      <c r="AC395" s="50" t="n"/>
      <c r="AD395" s="43">
        <f>IF(Z395&lt;&gt;"",Z395,N(V395))</f>
        <v/>
      </c>
      <c r="AE395" s="43">
        <f>IF(AA395&lt;&gt;"",AA395,N(W395))</f>
        <v/>
      </c>
      <c r="AF395" s="43">
        <f>AD395+AE395</f>
        <v/>
      </c>
      <c r="AG395" s="42">
        <f>IF(UPPER(AC395)="Y",1,IF(AF395=0,0,IF(AND(Z395="",Y395&lt;&gt;""),IF(Y395&gt;=0.999,1,0),IF(AF395&gt;=U395,1,0))))</f>
        <v/>
      </c>
      <c r="AH395" s="44">
        <f>IF(AF395&gt;0,(AD395-AE395)/AF395,"")</f>
        <v/>
      </c>
      <c r="AI395" s="45">
        <f>IF(AG395=1,AH395-O395,"")</f>
        <v/>
      </c>
      <c r="AJ395" s="44">
        <f>IF(AG395=1,AH395,MAX(-1,MIN(1,O395+INDEX(Types!$H:$H,MATCH($A395&amp;"|"&amp;$D395,Types!$A:$A,0)))))</f>
        <v/>
      </c>
      <c r="AK395" s="43">
        <f>IF(AG395=1,AF395,MAX(AQ395*AS395,AF395))</f>
        <v/>
      </c>
      <c r="AL395" s="43">
        <f>IF(AG395=1,AD395,AK395*(1+AJ395)/2)</f>
        <v/>
      </c>
      <c r="AM395" s="43">
        <f>IF(AG395=1,AE395,AK395*(1-AJ395)/2)</f>
        <v/>
      </c>
      <c r="AN395" s="45">
        <f>IF(AH395="","",AH395-T395)</f>
        <v/>
      </c>
      <c r="AO395" s="51">
        <f>IF(AG395=1,1,IF(U395&gt;0,MIN(AF395/U395,0.99),0))</f>
        <v/>
      </c>
      <c r="AP395" s="43">
        <f>IF(AG395=1,AI395*AF395,0)</f>
        <v/>
      </c>
      <c r="AQ395" s="43">
        <f>N395*(F395+G395)/H395</f>
        <v/>
      </c>
      <c r="AR395" s="43">
        <f>O395*AQ395</f>
        <v/>
      </c>
      <c r="AS395" s="52">
        <f>IF(AG395=1,IF(AQ395&gt;0,AF395/AQ395,1),IFERROR(INDEX(Types!$K:$K,MATCH($A395&amp;"|"&amp;$D395,Types!$A:$A,0)),INDEX(Dashboard!$X$6:$X$22,MATCH($A395,Dashboard!$A$6:$A$22,0))))</f>
        <v/>
      </c>
      <c r="AT395" s="43">
        <f>AQ395*INDEX(Dashboard!$Y$6:$Y$22,MATCH($A395,Dashboard!$A$6:$A$22,0))</f>
        <v/>
      </c>
      <c r="AU395" s="53">
        <f>IF(AND(AG395=1,AT395&gt;0,AF395&gt;0),100*AF395/AT395,"")</f>
        <v/>
      </c>
      <c r="AV395" s="44">
        <f>IF(AU395="","",T395/(AU395/100))</f>
        <v/>
      </c>
      <c r="AW395" s="53">
        <f>IF(AU395="","",IF(AND(ABS(AH395)&gt;=0.1,ABS(T395)&gt;=0.05,SIGN(AH395)=SIGN(T395)),100*T395/AH395,""))</f>
        <v/>
      </c>
      <c r="AX395" s="45">
        <f>IF(AU395="","",T395-AV395)</f>
        <v/>
      </c>
      <c r="AY395" s="45">
        <f>IF(AU395="","",AH395-AV395)</f>
        <v/>
      </c>
      <c r="AZ395" s="54">
        <f>(AL395-AM395)-T395*AT395</f>
        <v/>
      </c>
      <c r="BA395" s="43">
        <f>IF(AU395="",0,(AH395-T395)*AF395)</f>
        <v/>
      </c>
      <c r="BB395" s="43">
        <f>IF(AU395="",0,T395*(AF395-AT395))</f>
        <v/>
      </c>
      <c r="BC395" s="51" t="n">
        <v>0.01325333572132175</v>
      </c>
      <c r="BD395" s="51" t="n">
        <v>0.0612966777111131</v>
      </c>
      <c r="BE395" s="51" t="n">
        <v>0.2671634900745235</v>
      </c>
      <c r="BF395" s="43" t="n">
        <v>22334</v>
      </c>
    </row>
    <row r="396">
      <c r="A396" s="42" t="inlineStr">
        <is>
          <t>KS</t>
        </is>
      </c>
      <c r="B396" s="42" t="inlineStr">
        <is>
          <t>20193</t>
        </is>
      </c>
      <c r="C396" s="42" t="inlineStr">
        <is>
          <t>Thomas</t>
        </is>
      </c>
      <c r="D396" s="42" t="inlineStr">
        <is>
          <t>Small town &amp; rural</t>
        </is>
      </c>
      <c r="E396" s="42" t="inlineStr"/>
      <c r="F396" s="43" t="n">
        <v>597</v>
      </c>
      <c r="G396" s="43" t="n">
        <v>3007</v>
      </c>
      <c r="H396" s="43" t="n">
        <v>3664</v>
      </c>
      <c r="I396" s="43" t="n">
        <v>622</v>
      </c>
      <c r="J396" s="43" t="n">
        <v>3106</v>
      </c>
      <c r="K396" s="42" t="inlineStr">
        <is>
          <t>US Senate</t>
        </is>
      </c>
      <c r="L396" s="43" t="n">
        <v>355</v>
      </c>
      <c r="M396" s="43" t="n">
        <v>2457</v>
      </c>
      <c r="N396" s="43" t="n">
        <v>2886</v>
      </c>
      <c r="O396" s="44">
        <f>IFERROR((F396-G396)/(F396+G396),"")</f>
        <v/>
      </c>
      <c r="P396" s="44">
        <f>IFERROR((I396-J396)/(I396+J396),"")</f>
        <v/>
      </c>
      <c r="Q396" s="45">
        <f>IFERROR(O396-P396,"")</f>
        <v/>
      </c>
      <c r="R396" s="44">
        <f>IFERROR((L396-M396)/(L396+M396),"")</f>
        <v/>
      </c>
      <c r="S396" s="46">
        <f>H396/SUMIFS(Counties!$H$2:$H$1583,Counties!$A$2:$A$1583,$A396)</f>
        <v/>
      </c>
      <c r="T396" s="44">
        <f>O396+INDEX(Dashboard!$F$6:$F$22,MATCH($A396,Dashboard!$A$6:$A$22,0))</f>
        <v/>
      </c>
      <c r="U396" s="43">
        <f>AQ396*INDEX(Dashboard!$G$6:$G$22,MATCH($A396,Dashboard!$A$6:$A$22,0))</f>
        <v/>
      </c>
      <c r="V396" s="47" t="n"/>
      <c r="W396" s="47" t="n"/>
      <c r="X396" s="47" t="n"/>
      <c r="Y396" s="48" t="n"/>
      <c r="Z396" s="49" t="n"/>
      <c r="AA396" s="49" t="n"/>
      <c r="AB396" s="49" t="n"/>
      <c r="AC396" s="50" t="n"/>
      <c r="AD396" s="43">
        <f>IF(Z396&lt;&gt;"",Z396,N(V396))</f>
        <v/>
      </c>
      <c r="AE396" s="43">
        <f>IF(AA396&lt;&gt;"",AA396,N(W396))</f>
        <v/>
      </c>
      <c r="AF396" s="43">
        <f>AD396+AE396</f>
        <v/>
      </c>
      <c r="AG396" s="42">
        <f>IF(UPPER(AC396)="Y",1,IF(AF396=0,0,IF(AND(Z396="",Y396&lt;&gt;""),IF(Y396&gt;=0.999,1,0),IF(AF396&gt;=U396,1,0))))</f>
        <v/>
      </c>
      <c r="AH396" s="44">
        <f>IF(AF396&gt;0,(AD396-AE396)/AF396,"")</f>
        <v/>
      </c>
      <c r="AI396" s="45">
        <f>IF(AG396=1,AH396-O396,"")</f>
        <v/>
      </c>
      <c r="AJ396" s="44">
        <f>IF(AG396=1,AH396,MAX(-1,MIN(1,O396+INDEX(Types!$H:$H,MATCH($A396&amp;"|"&amp;$D396,Types!$A:$A,0)))))</f>
        <v/>
      </c>
      <c r="AK396" s="43">
        <f>IF(AG396=1,AF396,MAX(AQ396*AS396,AF396))</f>
        <v/>
      </c>
      <c r="AL396" s="43">
        <f>IF(AG396=1,AD396,AK396*(1+AJ396)/2)</f>
        <v/>
      </c>
      <c r="AM396" s="43">
        <f>IF(AG396=1,AE396,AK396*(1-AJ396)/2)</f>
        <v/>
      </c>
      <c r="AN396" s="45">
        <f>IF(AH396="","",AH396-T396)</f>
        <v/>
      </c>
      <c r="AO396" s="51">
        <f>IF(AG396=1,1,IF(U396&gt;0,MIN(AF396/U396,0.99),0))</f>
        <v/>
      </c>
      <c r="AP396" s="43">
        <f>IF(AG396=1,AI396*AF396,0)</f>
        <v/>
      </c>
      <c r="AQ396" s="43">
        <f>N396*(F396+G396)/H396</f>
        <v/>
      </c>
      <c r="AR396" s="43">
        <f>O396*AQ396</f>
        <v/>
      </c>
      <c r="AS396" s="52">
        <f>IF(AG396=1,IF(AQ396&gt;0,AF396/AQ396,1),IFERROR(INDEX(Types!$K:$K,MATCH($A396&amp;"|"&amp;$D396,Types!$A:$A,0)),INDEX(Dashboard!$X$6:$X$22,MATCH($A396,Dashboard!$A$6:$A$22,0))))</f>
        <v/>
      </c>
      <c r="AT396" s="43">
        <f>AQ396*INDEX(Dashboard!$Y$6:$Y$22,MATCH($A396,Dashboard!$A$6:$A$22,0))</f>
        <v/>
      </c>
      <c r="AU396" s="53">
        <f>IF(AND(AG396=1,AT396&gt;0,AF396&gt;0),100*AF396/AT396,"")</f>
        <v/>
      </c>
      <c r="AV396" s="44">
        <f>IF(AU396="","",T396/(AU396/100))</f>
        <v/>
      </c>
      <c r="AW396" s="53">
        <f>IF(AU396="","",IF(AND(ABS(AH396)&gt;=0.1,ABS(T396)&gt;=0.05,SIGN(AH396)=SIGN(T396)),100*T396/AH396,""))</f>
        <v/>
      </c>
      <c r="AX396" s="45">
        <f>IF(AU396="","",T396-AV396)</f>
        <v/>
      </c>
      <c r="AY396" s="45">
        <f>IF(AU396="","",AH396-AV396)</f>
        <v/>
      </c>
      <c r="AZ396" s="54">
        <f>(AL396-AM396)-T396*AT396</f>
        <v/>
      </c>
      <c r="BA396" s="43">
        <f>IF(AU396="",0,(AH396-T396)*AF396)</f>
        <v/>
      </c>
      <c r="BB396" s="43">
        <f>IF(AU396="",0,T396*(AF396-AT396))</f>
        <v/>
      </c>
      <c r="BC396" s="51" t="n">
        <v>0.01207883026064844</v>
      </c>
      <c r="BD396" s="51" t="n">
        <v>0.08315321042593769</v>
      </c>
      <c r="BE396" s="51" t="n">
        <v>0.3024716369529984</v>
      </c>
      <c r="BF396" s="43" t="n">
        <v>7865</v>
      </c>
    </row>
    <row r="397">
      <c r="A397" s="42" t="inlineStr">
        <is>
          <t>KS</t>
        </is>
      </c>
      <c r="B397" s="42" t="inlineStr">
        <is>
          <t>20195</t>
        </is>
      </c>
      <c r="C397" s="42" t="inlineStr">
        <is>
          <t>Trego</t>
        </is>
      </c>
      <c r="D397" s="42" t="inlineStr">
        <is>
          <t>Small town &amp; rural</t>
        </is>
      </c>
      <c r="E397" s="42" t="inlineStr"/>
      <c r="F397" s="43" t="n">
        <v>216</v>
      </c>
      <c r="G397" s="43" t="n">
        <v>1343</v>
      </c>
      <c r="H397" s="43" t="n">
        <v>1587</v>
      </c>
      <c r="I397" s="43" t="n">
        <v>238</v>
      </c>
      <c r="J397" s="43" t="n">
        <v>1341</v>
      </c>
      <c r="K397" s="42" t="inlineStr">
        <is>
          <t>US Senate</t>
        </is>
      </c>
      <c r="L397" s="43" t="n">
        <v>123</v>
      </c>
      <c r="M397" s="43" t="n">
        <v>1105</v>
      </c>
      <c r="N397" s="43" t="n">
        <v>1262</v>
      </c>
      <c r="O397" s="44">
        <f>IFERROR((F397-G397)/(F397+G397),"")</f>
        <v/>
      </c>
      <c r="P397" s="44">
        <f>IFERROR((I397-J397)/(I397+J397),"")</f>
        <v/>
      </c>
      <c r="Q397" s="45">
        <f>IFERROR(O397-P397,"")</f>
        <v/>
      </c>
      <c r="R397" s="44">
        <f>IFERROR((L397-M397)/(L397+M397),"")</f>
        <v/>
      </c>
      <c r="S397" s="46">
        <f>H397/SUMIFS(Counties!$H$2:$H$1583,Counties!$A$2:$A$1583,$A397)</f>
        <v/>
      </c>
      <c r="T397" s="44">
        <f>O397+INDEX(Dashboard!$F$6:$F$22,MATCH($A397,Dashboard!$A$6:$A$22,0))</f>
        <v/>
      </c>
      <c r="U397" s="43">
        <f>AQ397*INDEX(Dashboard!$G$6:$G$22,MATCH($A397,Dashboard!$A$6:$A$22,0))</f>
        <v/>
      </c>
      <c r="V397" s="47" t="n"/>
      <c r="W397" s="47" t="n"/>
      <c r="X397" s="47" t="n"/>
      <c r="Y397" s="48" t="n"/>
      <c r="Z397" s="49" t="n"/>
      <c r="AA397" s="49" t="n"/>
      <c r="AB397" s="49" t="n"/>
      <c r="AC397" s="50" t="n"/>
      <c r="AD397" s="43">
        <f>IF(Z397&lt;&gt;"",Z397,N(V397))</f>
        <v/>
      </c>
      <c r="AE397" s="43">
        <f>IF(AA397&lt;&gt;"",AA397,N(W397))</f>
        <v/>
      </c>
      <c r="AF397" s="43">
        <f>AD397+AE397</f>
        <v/>
      </c>
      <c r="AG397" s="42">
        <f>IF(UPPER(AC397)="Y",1,IF(AF397=0,0,IF(AND(Z397="",Y397&lt;&gt;""),IF(Y397&gt;=0.999,1,0),IF(AF397&gt;=U397,1,0))))</f>
        <v/>
      </c>
      <c r="AH397" s="44">
        <f>IF(AF397&gt;0,(AD397-AE397)/AF397,"")</f>
        <v/>
      </c>
      <c r="AI397" s="45">
        <f>IF(AG397=1,AH397-O397,"")</f>
        <v/>
      </c>
      <c r="AJ397" s="44">
        <f>IF(AG397=1,AH397,MAX(-1,MIN(1,O397+INDEX(Types!$H:$H,MATCH($A397&amp;"|"&amp;$D397,Types!$A:$A,0)))))</f>
        <v/>
      </c>
      <c r="AK397" s="43">
        <f>IF(AG397=1,AF397,MAX(AQ397*AS397,AF397))</f>
        <v/>
      </c>
      <c r="AL397" s="43">
        <f>IF(AG397=1,AD397,AK397*(1+AJ397)/2)</f>
        <v/>
      </c>
      <c r="AM397" s="43">
        <f>IF(AG397=1,AE397,AK397*(1-AJ397)/2)</f>
        <v/>
      </c>
      <c r="AN397" s="45">
        <f>IF(AH397="","",AH397-T397)</f>
        <v/>
      </c>
      <c r="AO397" s="51">
        <f>IF(AG397=1,1,IF(U397&gt;0,MIN(AF397/U397,0.99),0))</f>
        <v/>
      </c>
      <c r="AP397" s="43">
        <f>IF(AG397=1,AI397*AF397,0)</f>
        <v/>
      </c>
      <c r="AQ397" s="43">
        <f>N397*(F397+G397)/H397</f>
        <v/>
      </c>
      <c r="AR397" s="43">
        <f>O397*AQ397</f>
        <v/>
      </c>
      <c r="AS397" s="52">
        <f>IF(AG397=1,IF(AQ397&gt;0,AF397/AQ397,1),IFERROR(INDEX(Types!$K:$K,MATCH($A397&amp;"|"&amp;$D397,Types!$A:$A,0)),INDEX(Dashboard!$X$6:$X$22,MATCH($A397,Dashboard!$A$6:$A$22,0))))</f>
        <v/>
      </c>
      <c r="AT397" s="43">
        <f>AQ397*INDEX(Dashboard!$Y$6:$Y$22,MATCH($A397,Dashboard!$A$6:$A$22,0))</f>
        <v/>
      </c>
      <c r="AU397" s="53">
        <f>IF(AND(AG397=1,AT397&gt;0,AF397&gt;0),100*AF397/AT397,"")</f>
        <v/>
      </c>
      <c r="AV397" s="44">
        <f>IF(AU397="","",T397/(AU397/100))</f>
        <v/>
      </c>
      <c r="AW397" s="53">
        <f>IF(AU397="","",IF(AND(ABS(AH397)&gt;=0.1,ABS(T397)&gt;=0.05,SIGN(AH397)=SIGN(T397)),100*T397/AH397,""))</f>
        <v/>
      </c>
      <c r="AX397" s="45">
        <f>IF(AU397="","",T397-AV397)</f>
        <v/>
      </c>
      <c r="AY397" s="45">
        <f>IF(AU397="","",AH397-AV397)</f>
        <v/>
      </c>
      <c r="AZ397" s="54">
        <f>(AL397-AM397)-T397*AT397</f>
        <v/>
      </c>
      <c r="BA397" s="43">
        <f>IF(AU397="",0,(AH397-T397)*AF397)</f>
        <v/>
      </c>
      <c r="BB397" s="43">
        <f>IF(AU397="",0,T397*(AF397-AT397))</f>
        <v/>
      </c>
      <c r="BC397" s="51" t="n">
        <v>0.005858659831563529</v>
      </c>
      <c r="BD397" s="51" t="n">
        <v>0.0336872940314903</v>
      </c>
      <c r="BE397" s="51" t="n">
        <v>0.2874589008924378</v>
      </c>
      <c r="BF397" s="43" t="n">
        <v>2731</v>
      </c>
    </row>
    <row r="398">
      <c r="A398" s="42" t="inlineStr">
        <is>
          <t>KS</t>
        </is>
      </c>
      <c r="B398" s="42" t="inlineStr">
        <is>
          <t>20197</t>
        </is>
      </c>
      <c r="C398" s="42" t="inlineStr">
        <is>
          <t>Wabaunsee</t>
        </is>
      </c>
      <c r="D398" s="42" t="inlineStr">
        <is>
          <t>Small town &amp; rural</t>
        </is>
      </c>
      <c r="E398" s="42" t="inlineStr"/>
      <c r="F398" s="43" t="n">
        <v>944</v>
      </c>
      <c r="G398" s="43" t="n">
        <v>2816</v>
      </c>
      <c r="H398" s="43" t="n">
        <v>3836</v>
      </c>
      <c r="I398" s="43" t="n">
        <v>956</v>
      </c>
      <c r="J398" s="43" t="n">
        <v>2813</v>
      </c>
      <c r="K398" s="42" t="inlineStr">
        <is>
          <t>US Senate</t>
        </is>
      </c>
      <c r="L398" s="43" t="n">
        <v>596</v>
      </c>
      <c r="M398" s="43" t="n">
        <v>2625</v>
      </c>
      <c r="N398" s="43" t="n">
        <v>3342</v>
      </c>
      <c r="O398" s="44">
        <f>IFERROR((F398-G398)/(F398+G398),"")</f>
        <v/>
      </c>
      <c r="P398" s="44">
        <f>IFERROR((I398-J398)/(I398+J398),"")</f>
        <v/>
      </c>
      <c r="Q398" s="45">
        <f>IFERROR(O398-P398,"")</f>
        <v/>
      </c>
      <c r="R398" s="44">
        <f>IFERROR((L398-M398)/(L398+M398),"")</f>
        <v/>
      </c>
      <c r="S398" s="46">
        <f>H398/SUMIFS(Counties!$H$2:$H$1583,Counties!$A$2:$A$1583,$A398)</f>
        <v/>
      </c>
      <c r="T398" s="44">
        <f>O398+INDEX(Dashboard!$F$6:$F$22,MATCH($A398,Dashboard!$A$6:$A$22,0))</f>
        <v/>
      </c>
      <c r="U398" s="43">
        <f>AQ398*INDEX(Dashboard!$G$6:$G$22,MATCH($A398,Dashboard!$A$6:$A$22,0))</f>
        <v/>
      </c>
      <c r="V398" s="47" t="n"/>
      <c r="W398" s="47" t="n"/>
      <c r="X398" s="47" t="n"/>
      <c r="Y398" s="48" t="n"/>
      <c r="Z398" s="49" t="n"/>
      <c r="AA398" s="49" t="n"/>
      <c r="AB398" s="49" t="n"/>
      <c r="AC398" s="50" t="n"/>
      <c r="AD398" s="43">
        <f>IF(Z398&lt;&gt;"",Z398,N(V398))</f>
        <v/>
      </c>
      <c r="AE398" s="43">
        <f>IF(AA398&lt;&gt;"",AA398,N(W398))</f>
        <v/>
      </c>
      <c r="AF398" s="43">
        <f>AD398+AE398</f>
        <v/>
      </c>
      <c r="AG398" s="42">
        <f>IF(UPPER(AC398)="Y",1,IF(AF398=0,0,IF(AND(Z398="",Y398&lt;&gt;""),IF(Y398&gt;=0.999,1,0),IF(AF398&gt;=U398,1,0))))</f>
        <v/>
      </c>
      <c r="AH398" s="44">
        <f>IF(AF398&gt;0,(AD398-AE398)/AF398,"")</f>
        <v/>
      </c>
      <c r="AI398" s="45">
        <f>IF(AG398=1,AH398-O398,"")</f>
        <v/>
      </c>
      <c r="AJ398" s="44">
        <f>IF(AG398=1,AH398,MAX(-1,MIN(1,O398+INDEX(Types!$H:$H,MATCH($A398&amp;"|"&amp;$D398,Types!$A:$A,0)))))</f>
        <v/>
      </c>
      <c r="AK398" s="43">
        <f>IF(AG398=1,AF398,MAX(AQ398*AS398,AF398))</f>
        <v/>
      </c>
      <c r="AL398" s="43">
        <f>IF(AG398=1,AD398,AK398*(1+AJ398)/2)</f>
        <v/>
      </c>
      <c r="AM398" s="43">
        <f>IF(AG398=1,AE398,AK398*(1-AJ398)/2)</f>
        <v/>
      </c>
      <c r="AN398" s="45">
        <f>IF(AH398="","",AH398-T398)</f>
        <v/>
      </c>
      <c r="AO398" s="51">
        <f>IF(AG398=1,1,IF(U398&gt;0,MIN(AF398/U398,0.99),0))</f>
        <v/>
      </c>
      <c r="AP398" s="43">
        <f>IF(AG398=1,AI398*AF398,0)</f>
        <v/>
      </c>
      <c r="AQ398" s="43">
        <f>N398*(F398+G398)/H398</f>
        <v/>
      </c>
      <c r="AR398" s="43">
        <f>O398*AQ398</f>
        <v/>
      </c>
      <c r="AS398" s="52">
        <f>IF(AG398=1,IF(AQ398&gt;0,AF398/AQ398,1),IFERROR(INDEX(Types!$K:$K,MATCH($A398&amp;"|"&amp;$D398,Types!$A:$A,0)),INDEX(Dashboard!$X$6:$X$22,MATCH($A398,Dashboard!$A$6:$A$22,0))))</f>
        <v/>
      </c>
      <c r="AT398" s="43">
        <f>AQ398*INDEX(Dashboard!$Y$6:$Y$22,MATCH($A398,Dashboard!$A$6:$A$22,0))</f>
        <v/>
      </c>
      <c r="AU398" s="53">
        <f>IF(AND(AG398=1,AT398&gt;0,AF398&gt;0),100*AF398/AT398,"")</f>
        <v/>
      </c>
      <c r="AV398" s="44">
        <f>IF(AU398="","",T398/(AU398/100))</f>
        <v/>
      </c>
      <c r="AW398" s="53">
        <f>IF(AU398="","",IF(AND(ABS(AH398)&gt;=0.1,ABS(T398)&gt;=0.05,SIGN(AH398)=SIGN(T398)),100*T398/AH398,""))</f>
        <v/>
      </c>
      <c r="AX398" s="45">
        <f>IF(AU398="","",T398-AV398)</f>
        <v/>
      </c>
      <c r="AY398" s="45">
        <f>IF(AU398="","",AH398-AV398)</f>
        <v/>
      </c>
      <c r="AZ398" s="54">
        <f>(AL398-AM398)-T398*AT398</f>
        <v/>
      </c>
      <c r="BA398" s="43">
        <f>IF(AU398="",0,(AH398-T398)*AF398)</f>
        <v/>
      </c>
      <c r="BB398" s="43">
        <f>IF(AU398="",0,T398*(AF398-AT398))</f>
        <v/>
      </c>
      <c r="BC398" s="51" t="n">
        <v>0.008218789854045628</v>
      </c>
      <c r="BD398" s="51" t="n">
        <v>0.0515799914978036</v>
      </c>
      <c r="BE398" s="51" t="n">
        <v>0.2664576802507837</v>
      </c>
      <c r="BF398" s="43" t="n">
        <v>7057</v>
      </c>
    </row>
    <row r="399">
      <c r="A399" s="42" t="inlineStr">
        <is>
          <t>KS</t>
        </is>
      </c>
      <c r="B399" s="42" t="inlineStr">
        <is>
          <t>20199</t>
        </is>
      </c>
      <c r="C399" s="42" t="inlineStr">
        <is>
          <t>Wallace</t>
        </is>
      </c>
      <c r="D399" s="42" t="inlineStr">
        <is>
          <t>Small town &amp; rural</t>
        </is>
      </c>
      <c r="E399" s="42" t="inlineStr"/>
      <c r="F399" s="43" t="n">
        <v>52</v>
      </c>
      <c r="G399" s="43" t="n">
        <v>686</v>
      </c>
      <c r="H399" s="43" t="n">
        <v>748</v>
      </c>
      <c r="I399" s="43" t="n">
        <v>44</v>
      </c>
      <c r="J399" s="43" t="n">
        <v>762</v>
      </c>
      <c r="K399" s="42" t="inlineStr">
        <is>
          <t>US Senate</t>
        </is>
      </c>
      <c r="L399" s="43" t="n">
        <v>30</v>
      </c>
      <c r="M399" s="43" t="n">
        <v>618</v>
      </c>
      <c r="N399" s="43" t="n">
        <v>672</v>
      </c>
      <c r="O399" s="44">
        <f>IFERROR((F399-G399)/(F399+G399),"")</f>
        <v/>
      </c>
      <c r="P399" s="44">
        <f>IFERROR((I399-J399)/(I399+J399),"")</f>
        <v/>
      </c>
      <c r="Q399" s="45">
        <f>IFERROR(O399-P399,"")</f>
        <v/>
      </c>
      <c r="R399" s="44">
        <f>IFERROR((L399-M399)/(L399+M399),"")</f>
        <v/>
      </c>
      <c r="S399" s="46">
        <f>H399/SUMIFS(Counties!$H$2:$H$1583,Counties!$A$2:$A$1583,$A399)</f>
        <v/>
      </c>
      <c r="T399" s="44">
        <f>O399+INDEX(Dashboard!$F$6:$F$22,MATCH($A399,Dashboard!$A$6:$A$22,0))</f>
        <v/>
      </c>
      <c r="U399" s="43">
        <f>AQ399*INDEX(Dashboard!$G$6:$G$22,MATCH($A399,Dashboard!$A$6:$A$22,0))</f>
        <v/>
      </c>
      <c r="V399" s="47" t="n"/>
      <c r="W399" s="47" t="n"/>
      <c r="X399" s="47" t="n"/>
      <c r="Y399" s="48" t="n"/>
      <c r="Z399" s="49" t="n"/>
      <c r="AA399" s="49" t="n"/>
      <c r="AB399" s="49" t="n"/>
      <c r="AC399" s="50" t="n"/>
      <c r="AD399" s="43">
        <f>IF(Z399&lt;&gt;"",Z399,N(V399))</f>
        <v/>
      </c>
      <c r="AE399" s="43">
        <f>IF(AA399&lt;&gt;"",AA399,N(W399))</f>
        <v/>
      </c>
      <c r="AF399" s="43">
        <f>AD399+AE399</f>
        <v/>
      </c>
      <c r="AG399" s="42">
        <f>IF(UPPER(AC399)="Y",1,IF(AF399=0,0,IF(AND(Z399="",Y399&lt;&gt;""),IF(Y399&gt;=0.999,1,0),IF(AF399&gt;=U399,1,0))))</f>
        <v/>
      </c>
      <c r="AH399" s="44">
        <f>IF(AF399&gt;0,(AD399-AE399)/AF399,"")</f>
        <v/>
      </c>
      <c r="AI399" s="45">
        <f>IF(AG399=1,AH399-O399,"")</f>
        <v/>
      </c>
      <c r="AJ399" s="44">
        <f>IF(AG399=1,AH399,MAX(-1,MIN(1,O399+INDEX(Types!$H:$H,MATCH($A399&amp;"|"&amp;$D399,Types!$A:$A,0)))))</f>
        <v/>
      </c>
      <c r="AK399" s="43">
        <f>IF(AG399=1,AF399,MAX(AQ399*AS399,AF399))</f>
        <v/>
      </c>
      <c r="AL399" s="43">
        <f>IF(AG399=1,AD399,AK399*(1+AJ399)/2)</f>
        <v/>
      </c>
      <c r="AM399" s="43">
        <f>IF(AG399=1,AE399,AK399*(1-AJ399)/2)</f>
        <v/>
      </c>
      <c r="AN399" s="45">
        <f>IF(AH399="","",AH399-T399)</f>
        <v/>
      </c>
      <c r="AO399" s="51">
        <f>IF(AG399=1,1,IF(U399&gt;0,MIN(AF399/U399,0.99),0))</f>
        <v/>
      </c>
      <c r="AP399" s="43">
        <f>IF(AG399=1,AI399*AF399,0)</f>
        <v/>
      </c>
      <c r="AQ399" s="43">
        <f>N399*(F399+G399)/H399</f>
        <v/>
      </c>
      <c r="AR399" s="43">
        <f>O399*AQ399</f>
        <v/>
      </c>
      <c r="AS399" s="52">
        <f>IF(AG399=1,IF(AQ399&gt;0,AF399/AQ399,1),IFERROR(INDEX(Types!$K:$K,MATCH($A399&amp;"|"&amp;$D399,Types!$A:$A,0)),INDEX(Dashboard!$X$6:$X$22,MATCH($A399,Dashboard!$A$6:$A$22,0))))</f>
        <v/>
      </c>
      <c r="AT399" s="43">
        <f>AQ399*INDEX(Dashboard!$Y$6:$Y$22,MATCH($A399,Dashboard!$A$6:$A$22,0))</f>
        <v/>
      </c>
      <c r="AU399" s="53">
        <f>IF(AND(AG399=1,AT399&gt;0,AF399&gt;0),100*AF399/AT399,"")</f>
        <v/>
      </c>
      <c r="AV399" s="44">
        <f>IF(AU399="","",T399/(AU399/100))</f>
        <v/>
      </c>
      <c r="AW399" s="53">
        <f>IF(AU399="","",IF(AND(ABS(AH399)&gt;=0.1,ABS(T399)&gt;=0.05,SIGN(AH399)=SIGN(T399)),100*T399/AH399,""))</f>
        <v/>
      </c>
      <c r="AX399" s="45">
        <f>IF(AU399="","",T399-AV399)</f>
        <v/>
      </c>
      <c r="AY399" s="45">
        <f>IF(AU399="","",AH399-AV399)</f>
        <v/>
      </c>
      <c r="AZ399" s="54">
        <f>(AL399-AM399)-T399*AT399</f>
        <v/>
      </c>
      <c r="BA399" s="43">
        <f>IF(AU399="",0,(AH399-T399)*AF399)</f>
        <v/>
      </c>
      <c r="BB399" s="43">
        <f>IF(AU399="",0,T399*(AF399-AT399))</f>
        <v/>
      </c>
      <c r="BC399" s="51" t="n">
        <v>0.01060304837640822</v>
      </c>
      <c r="BD399" s="51" t="n">
        <v>0.07422133863485753</v>
      </c>
      <c r="BE399" s="51" t="n">
        <v>0.2267326732673267</v>
      </c>
      <c r="BF399" s="43" t="n">
        <v>1509</v>
      </c>
    </row>
    <row r="400">
      <c r="A400" s="42" t="inlineStr">
        <is>
          <t>KS</t>
        </is>
      </c>
      <c r="B400" s="42" t="inlineStr">
        <is>
          <t>20201</t>
        </is>
      </c>
      <c r="C400" s="42" t="inlineStr">
        <is>
          <t>Washington</t>
        </is>
      </c>
      <c r="D400" s="42" t="inlineStr">
        <is>
          <t>Small town &amp; rural</t>
        </is>
      </c>
      <c r="E400" s="42" t="inlineStr"/>
      <c r="F400" s="43" t="n">
        <v>396</v>
      </c>
      <c r="G400" s="43" t="n">
        <v>2263</v>
      </c>
      <c r="H400" s="43" t="n">
        <v>2700</v>
      </c>
      <c r="I400" s="43" t="n">
        <v>467</v>
      </c>
      <c r="J400" s="43" t="n">
        <v>2332</v>
      </c>
      <c r="K400" s="42" t="inlineStr">
        <is>
          <t>US Senate</t>
        </is>
      </c>
      <c r="L400" s="43" t="n">
        <v>190</v>
      </c>
      <c r="M400" s="43" t="n">
        <v>2014</v>
      </c>
      <c r="N400" s="43" t="n">
        <v>2240</v>
      </c>
      <c r="O400" s="44">
        <f>IFERROR((F400-G400)/(F400+G400),"")</f>
        <v/>
      </c>
      <c r="P400" s="44">
        <f>IFERROR((I400-J400)/(I400+J400),"")</f>
        <v/>
      </c>
      <c r="Q400" s="45">
        <f>IFERROR(O400-P400,"")</f>
        <v/>
      </c>
      <c r="R400" s="44">
        <f>IFERROR((L400-M400)/(L400+M400),"")</f>
        <v/>
      </c>
      <c r="S400" s="46">
        <f>H400/SUMIFS(Counties!$H$2:$H$1583,Counties!$A$2:$A$1583,$A400)</f>
        <v/>
      </c>
      <c r="T400" s="44">
        <f>O400+INDEX(Dashboard!$F$6:$F$22,MATCH($A400,Dashboard!$A$6:$A$22,0))</f>
        <v/>
      </c>
      <c r="U400" s="43">
        <f>AQ400*INDEX(Dashboard!$G$6:$G$22,MATCH($A400,Dashboard!$A$6:$A$22,0))</f>
        <v/>
      </c>
      <c r="V400" s="47" t="n"/>
      <c r="W400" s="47" t="n"/>
      <c r="X400" s="47" t="n"/>
      <c r="Y400" s="48" t="n"/>
      <c r="Z400" s="49" t="n"/>
      <c r="AA400" s="49" t="n"/>
      <c r="AB400" s="49" t="n"/>
      <c r="AC400" s="50" t="n"/>
      <c r="AD400" s="43">
        <f>IF(Z400&lt;&gt;"",Z400,N(V400))</f>
        <v/>
      </c>
      <c r="AE400" s="43">
        <f>IF(AA400&lt;&gt;"",AA400,N(W400))</f>
        <v/>
      </c>
      <c r="AF400" s="43">
        <f>AD400+AE400</f>
        <v/>
      </c>
      <c r="AG400" s="42">
        <f>IF(UPPER(AC400)="Y",1,IF(AF400=0,0,IF(AND(Z400="",Y400&lt;&gt;""),IF(Y400&gt;=0.999,1,0),IF(AF400&gt;=U400,1,0))))</f>
        <v/>
      </c>
      <c r="AH400" s="44">
        <f>IF(AF400&gt;0,(AD400-AE400)/AF400,"")</f>
        <v/>
      </c>
      <c r="AI400" s="45">
        <f>IF(AG400=1,AH400-O400,"")</f>
        <v/>
      </c>
      <c r="AJ400" s="44">
        <f>IF(AG400=1,AH400,MAX(-1,MIN(1,O400+INDEX(Types!$H:$H,MATCH($A400&amp;"|"&amp;$D400,Types!$A:$A,0)))))</f>
        <v/>
      </c>
      <c r="AK400" s="43">
        <f>IF(AG400=1,AF400,MAX(AQ400*AS400,AF400))</f>
        <v/>
      </c>
      <c r="AL400" s="43">
        <f>IF(AG400=1,AD400,AK400*(1+AJ400)/2)</f>
        <v/>
      </c>
      <c r="AM400" s="43">
        <f>IF(AG400=1,AE400,AK400*(1-AJ400)/2)</f>
        <v/>
      </c>
      <c r="AN400" s="45">
        <f>IF(AH400="","",AH400-T400)</f>
        <v/>
      </c>
      <c r="AO400" s="51">
        <f>IF(AG400=1,1,IF(U400&gt;0,MIN(AF400/U400,0.99),0))</f>
        <v/>
      </c>
      <c r="AP400" s="43">
        <f>IF(AG400=1,AI400*AF400,0)</f>
        <v/>
      </c>
      <c r="AQ400" s="43">
        <f>N400*(F400+G400)/H400</f>
        <v/>
      </c>
      <c r="AR400" s="43">
        <f>O400*AQ400</f>
        <v/>
      </c>
      <c r="AS400" s="52">
        <f>IF(AG400=1,IF(AQ400&gt;0,AF400/AQ400,1),IFERROR(INDEX(Types!$K:$K,MATCH($A400&amp;"|"&amp;$D400,Types!$A:$A,0)),INDEX(Dashboard!$X$6:$X$22,MATCH($A400,Dashboard!$A$6:$A$22,0))))</f>
        <v/>
      </c>
      <c r="AT400" s="43">
        <f>AQ400*INDEX(Dashboard!$Y$6:$Y$22,MATCH($A400,Dashboard!$A$6:$A$22,0))</f>
        <v/>
      </c>
      <c r="AU400" s="53">
        <f>IF(AND(AG400=1,AT400&gt;0,AF400&gt;0),100*AF400/AT400,"")</f>
        <v/>
      </c>
      <c r="AV400" s="44">
        <f>IF(AU400="","",T400/(AU400/100))</f>
        <v/>
      </c>
      <c r="AW400" s="53">
        <f>IF(AU400="","",IF(AND(ABS(AH400)&gt;=0.1,ABS(T400)&gt;=0.05,SIGN(AH400)=SIGN(T400)),100*T400/AH400,""))</f>
        <v/>
      </c>
      <c r="AX400" s="45">
        <f>IF(AU400="","",T400-AV400)</f>
        <v/>
      </c>
      <c r="AY400" s="45">
        <f>IF(AU400="","",AH400-AV400)</f>
        <v/>
      </c>
      <c r="AZ400" s="54">
        <f>(AL400-AM400)-T400*AT400</f>
        <v/>
      </c>
      <c r="BA400" s="43">
        <f>IF(AU400="",0,(AH400-T400)*AF400)</f>
        <v/>
      </c>
      <c r="BB400" s="43">
        <f>IF(AU400="",0,T400*(AF400-AT400))</f>
        <v/>
      </c>
      <c r="BC400" s="51" t="n">
        <v>0.005450581395348837</v>
      </c>
      <c r="BD400" s="51" t="n">
        <v>0.04742005813953488</v>
      </c>
      <c r="BE400" s="51" t="n">
        <v>0.2330452998167059</v>
      </c>
      <c r="BF400" s="43" t="n">
        <v>5504</v>
      </c>
    </row>
    <row r="401">
      <c r="A401" s="42" t="inlineStr">
        <is>
          <t>KS</t>
        </is>
      </c>
      <c r="B401" s="42" t="inlineStr">
        <is>
          <t>20203</t>
        </is>
      </c>
      <c r="C401" s="42" t="inlineStr">
        <is>
          <t>Wichita</t>
        </is>
      </c>
      <c r="D401" s="42" t="inlineStr">
        <is>
          <t>Small town &amp; rural</t>
        </is>
      </c>
      <c r="E401" s="42" t="inlineStr"/>
      <c r="F401" s="43" t="n">
        <v>107</v>
      </c>
      <c r="G401" s="43" t="n">
        <v>740</v>
      </c>
      <c r="H401" s="43" t="n">
        <v>860</v>
      </c>
      <c r="I401" s="43" t="n">
        <v>147</v>
      </c>
      <c r="J401" s="43" t="n">
        <v>803</v>
      </c>
      <c r="K401" s="42" t="inlineStr">
        <is>
          <t>US Senate</t>
        </is>
      </c>
      <c r="L401" s="43" t="n">
        <v>64</v>
      </c>
      <c r="M401" s="43" t="n">
        <v>627</v>
      </c>
      <c r="N401" s="43" t="n">
        <v>713</v>
      </c>
      <c r="O401" s="44">
        <f>IFERROR((F401-G401)/(F401+G401),"")</f>
        <v/>
      </c>
      <c r="P401" s="44">
        <f>IFERROR((I401-J401)/(I401+J401),"")</f>
        <v/>
      </c>
      <c r="Q401" s="45">
        <f>IFERROR(O401-P401,"")</f>
        <v/>
      </c>
      <c r="R401" s="44">
        <f>IFERROR((L401-M401)/(L401+M401),"")</f>
        <v/>
      </c>
      <c r="S401" s="46">
        <f>H401/SUMIFS(Counties!$H$2:$H$1583,Counties!$A$2:$A$1583,$A401)</f>
        <v/>
      </c>
      <c r="T401" s="44">
        <f>O401+INDEX(Dashboard!$F$6:$F$22,MATCH($A401,Dashboard!$A$6:$A$22,0))</f>
        <v/>
      </c>
      <c r="U401" s="43">
        <f>AQ401*INDEX(Dashboard!$G$6:$G$22,MATCH($A401,Dashboard!$A$6:$A$22,0))</f>
        <v/>
      </c>
      <c r="V401" s="47" t="n"/>
      <c r="W401" s="47" t="n"/>
      <c r="X401" s="47" t="n"/>
      <c r="Y401" s="48" t="n"/>
      <c r="Z401" s="49" t="n"/>
      <c r="AA401" s="49" t="n"/>
      <c r="AB401" s="49" t="n"/>
      <c r="AC401" s="50" t="n"/>
      <c r="AD401" s="43">
        <f>IF(Z401&lt;&gt;"",Z401,N(V401))</f>
        <v/>
      </c>
      <c r="AE401" s="43">
        <f>IF(AA401&lt;&gt;"",AA401,N(W401))</f>
        <v/>
      </c>
      <c r="AF401" s="43">
        <f>AD401+AE401</f>
        <v/>
      </c>
      <c r="AG401" s="42">
        <f>IF(UPPER(AC401)="Y",1,IF(AF401=0,0,IF(AND(Z401="",Y401&lt;&gt;""),IF(Y401&gt;=0.999,1,0),IF(AF401&gt;=U401,1,0))))</f>
        <v/>
      </c>
      <c r="AH401" s="44">
        <f>IF(AF401&gt;0,(AD401-AE401)/AF401,"")</f>
        <v/>
      </c>
      <c r="AI401" s="45">
        <f>IF(AG401=1,AH401-O401,"")</f>
        <v/>
      </c>
      <c r="AJ401" s="44">
        <f>IF(AG401=1,AH401,MAX(-1,MIN(1,O401+INDEX(Types!$H:$H,MATCH($A401&amp;"|"&amp;$D401,Types!$A:$A,0)))))</f>
        <v/>
      </c>
      <c r="AK401" s="43">
        <f>IF(AG401=1,AF401,MAX(AQ401*AS401,AF401))</f>
        <v/>
      </c>
      <c r="AL401" s="43">
        <f>IF(AG401=1,AD401,AK401*(1+AJ401)/2)</f>
        <v/>
      </c>
      <c r="AM401" s="43">
        <f>IF(AG401=1,AE401,AK401*(1-AJ401)/2)</f>
        <v/>
      </c>
      <c r="AN401" s="45">
        <f>IF(AH401="","",AH401-T401)</f>
        <v/>
      </c>
      <c r="AO401" s="51">
        <f>IF(AG401=1,1,IF(U401&gt;0,MIN(AF401/U401,0.99),0))</f>
        <v/>
      </c>
      <c r="AP401" s="43">
        <f>IF(AG401=1,AI401*AF401,0)</f>
        <v/>
      </c>
      <c r="AQ401" s="43">
        <f>N401*(F401+G401)/H401</f>
        <v/>
      </c>
      <c r="AR401" s="43">
        <f>O401*AQ401</f>
        <v/>
      </c>
      <c r="AS401" s="52">
        <f>IF(AG401=1,IF(AQ401&gt;0,AF401/AQ401,1),IFERROR(INDEX(Types!$K:$K,MATCH($A401&amp;"|"&amp;$D401,Types!$A:$A,0)),INDEX(Dashboard!$X$6:$X$22,MATCH($A401,Dashboard!$A$6:$A$22,0))))</f>
        <v/>
      </c>
      <c r="AT401" s="43">
        <f>AQ401*INDEX(Dashboard!$Y$6:$Y$22,MATCH($A401,Dashboard!$A$6:$A$22,0))</f>
        <v/>
      </c>
      <c r="AU401" s="53">
        <f>IF(AND(AG401=1,AT401&gt;0,AF401&gt;0),100*AF401/AT401,"")</f>
        <v/>
      </c>
      <c r="AV401" s="44">
        <f>IF(AU401="","",T401/(AU401/100))</f>
        <v/>
      </c>
      <c r="AW401" s="53">
        <f>IF(AU401="","",IF(AND(ABS(AH401)&gt;=0.1,ABS(T401)&gt;=0.05,SIGN(AH401)=SIGN(T401)),100*T401/AH401,""))</f>
        <v/>
      </c>
      <c r="AX401" s="45">
        <f>IF(AU401="","",T401-AV401)</f>
        <v/>
      </c>
      <c r="AY401" s="45">
        <f>IF(AU401="","",AH401-AV401)</f>
        <v/>
      </c>
      <c r="AZ401" s="54">
        <f>(AL401-AM401)-T401*AT401</f>
        <v/>
      </c>
      <c r="BA401" s="43">
        <f>IF(AU401="",0,(AH401-T401)*AF401)</f>
        <v/>
      </c>
      <c r="BB401" s="43">
        <f>IF(AU401="",0,T401*(AF401-AT401))</f>
        <v/>
      </c>
      <c r="BC401" s="51" t="n">
        <v>0.01248799231508165</v>
      </c>
      <c r="BD401" s="51" t="n">
        <v>0.2949087415946205</v>
      </c>
      <c r="BE401" s="51" t="n">
        <v>0.1883959044368601</v>
      </c>
      <c r="BF401" s="43" t="n">
        <v>2082</v>
      </c>
    </row>
    <row r="402">
      <c r="A402" s="42" t="inlineStr">
        <is>
          <t>KS</t>
        </is>
      </c>
      <c r="B402" s="42" t="inlineStr">
        <is>
          <t>20205</t>
        </is>
      </c>
      <c r="C402" s="42" t="inlineStr">
        <is>
          <t>Wilson</t>
        </is>
      </c>
      <c r="D402" s="42" t="inlineStr">
        <is>
          <t>Small town &amp; rural</t>
        </is>
      </c>
      <c r="E402" s="42" t="inlineStr"/>
      <c r="F402" s="43" t="n">
        <v>647</v>
      </c>
      <c r="G402" s="43" t="n">
        <v>2894</v>
      </c>
      <c r="H402" s="43" t="n">
        <v>3603</v>
      </c>
      <c r="I402" s="43" t="n">
        <v>711</v>
      </c>
      <c r="J402" s="43" t="n">
        <v>3111</v>
      </c>
      <c r="K402" s="42" t="inlineStr">
        <is>
          <t>US Senate</t>
        </is>
      </c>
      <c r="L402" s="43" t="n">
        <v>535</v>
      </c>
      <c r="M402" s="43" t="n">
        <v>2705</v>
      </c>
      <c r="N402" s="43" t="n">
        <v>3322</v>
      </c>
      <c r="O402" s="44">
        <f>IFERROR((F402-G402)/(F402+G402),"")</f>
        <v/>
      </c>
      <c r="P402" s="44">
        <f>IFERROR((I402-J402)/(I402+J402),"")</f>
        <v/>
      </c>
      <c r="Q402" s="45">
        <f>IFERROR(O402-P402,"")</f>
        <v/>
      </c>
      <c r="R402" s="44">
        <f>IFERROR((L402-M402)/(L402+M402),"")</f>
        <v/>
      </c>
      <c r="S402" s="46">
        <f>H402/SUMIFS(Counties!$H$2:$H$1583,Counties!$A$2:$A$1583,$A402)</f>
        <v/>
      </c>
      <c r="T402" s="44">
        <f>O402+INDEX(Dashboard!$F$6:$F$22,MATCH($A402,Dashboard!$A$6:$A$22,0))</f>
        <v/>
      </c>
      <c r="U402" s="43">
        <f>AQ402*INDEX(Dashboard!$G$6:$G$22,MATCH($A402,Dashboard!$A$6:$A$22,0))</f>
        <v/>
      </c>
      <c r="V402" s="47" t="n"/>
      <c r="W402" s="47" t="n"/>
      <c r="X402" s="47" t="n"/>
      <c r="Y402" s="48" t="n"/>
      <c r="Z402" s="49" t="n"/>
      <c r="AA402" s="49" t="n"/>
      <c r="AB402" s="49" t="n"/>
      <c r="AC402" s="50" t="n"/>
      <c r="AD402" s="43">
        <f>IF(Z402&lt;&gt;"",Z402,N(V402))</f>
        <v/>
      </c>
      <c r="AE402" s="43">
        <f>IF(AA402&lt;&gt;"",AA402,N(W402))</f>
        <v/>
      </c>
      <c r="AF402" s="43">
        <f>AD402+AE402</f>
        <v/>
      </c>
      <c r="AG402" s="42">
        <f>IF(UPPER(AC402)="Y",1,IF(AF402=0,0,IF(AND(Z402="",Y402&lt;&gt;""),IF(Y402&gt;=0.999,1,0),IF(AF402&gt;=U402,1,0))))</f>
        <v/>
      </c>
      <c r="AH402" s="44">
        <f>IF(AF402&gt;0,(AD402-AE402)/AF402,"")</f>
        <v/>
      </c>
      <c r="AI402" s="45">
        <f>IF(AG402=1,AH402-O402,"")</f>
        <v/>
      </c>
      <c r="AJ402" s="44">
        <f>IF(AG402=1,AH402,MAX(-1,MIN(1,O402+INDEX(Types!$H:$H,MATCH($A402&amp;"|"&amp;$D402,Types!$A:$A,0)))))</f>
        <v/>
      </c>
      <c r="AK402" s="43">
        <f>IF(AG402=1,AF402,MAX(AQ402*AS402,AF402))</f>
        <v/>
      </c>
      <c r="AL402" s="43">
        <f>IF(AG402=1,AD402,AK402*(1+AJ402)/2)</f>
        <v/>
      </c>
      <c r="AM402" s="43">
        <f>IF(AG402=1,AE402,AK402*(1-AJ402)/2)</f>
        <v/>
      </c>
      <c r="AN402" s="45">
        <f>IF(AH402="","",AH402-T402)</f>
        <v/>
      </c>
      <c r="AO402" s="51">
        <f>IF(AG402=1,1,IF(U402&gt;0,MIN(AF402/U402,0.99),0))</f>
        <v/>
      </c>
      <c r="AP402" s="43">
        <f>IF(AG402=1,AI402*AF402,0)</f>
        <v/>
      </c>
      <c r="AQ402" s="43">
        <f>N402*(F402+G402)/H402</f>
        <v/>
      </c>
      <c r="AR402" s="43">
        <f>O402*AQ402</f>
        <v/>
      </c>
      <c r="AS402" s="52">
        <f>IF(AG402=1,IF(AQ402&gt;0,AF402/AQ402,1),IFERROR(INDEX(Types!$K:$K,MATCH($A402&amp;"|"&amp;$D402,Types!$A:$A,0)),INDEX(Dashboard!$X$6:$X$22,MATCH($A402,Dashboard!$A$6:$A$22,0))))</f>
        <v/>
      </c>
      <c r="AT402" s="43">
        <f>AQ402*INDEX(Dashboard!$Y$6:$Y$22,MATCH($A402,Dashboard!$A$6:$A$22,0))</f>
        <v/>
      </c>
      <c r="AU402" s="53">
        <f>IF(AND(AG402=1,AT402&gt;0,AF402&gt;0),100*AF402/AT402,"")</f>
        <v/>
      </c>
      <c r="AV402" s="44">
        <f>IF(AU402="","",T402/(AU402/100))</f>
        <v/>
      </c>
      <c r="AW402" s="53">
        <f>IF(AU402="","",IF(AND(ABS(AH402)&gt;=0.1,ABS(T402)&gt;=0.05,SIGN(AH402)=SIGN(T402)),100*T402/AH402,""))</f>
        <v/>
      </c>
      <c r="AX402" s="45">
        <f>IF(AU402="","",T402-AV402)</f>
        <v/>
      </c>
      <c r="AY402" s="45">
        <f>IF(AU402="","",AH402-AV402)</f>
        <v/>
      </c>
      <c r="AZ402" s="54">
        <f>(AL402-AM402)-T402*AT402</f>
        <v/>
      </c>
      <c r="BA402" s="43">
        <f>IF(AU402="",0,(AH402-T402)*AF402)</f>
        <v/>
      </c>
      <c r="BB402" s="43">
        <f>IF(AU402="",0,T402*(AF402-AT402))</f>
        <v/>
      </c>
      <c r="BC402" s="51" t="n">
        <v>0.006919589596754951</v>
      </c>
      <c r="BD402" s="51" t="n">
        <v>0.04175614411834884</v>
      </c>
      <c r="BE402" s="51" t="n">
        <v>0.212554695388758</v>
      </c>
      <c r="BF402" s="43" t="n">
        <v>8382</v>
      </c>
    </row>
    <row r="403">
      <c r="A403" s="42" t="inlineStr">
        <is>
          <t>KS</t>
        </is>
      </c>
      <c r="B403" s="42" t="inlineStr">
        <is>
          <t>20207</t>
        </is>
      </c>
      <c r="C403" s="42" t="inlineStr">
        <is>
          <t>Woodson</t>
        </is>
      </c>
      <c r="D403" s="42" t="inlineStr">
        <is>
          <t>Small town &amp; rural</t>
        </is>
      </c>
      <c r="E403" s="42" t="inlineStr"/>
      <c r="F403" s="43" t="n">
        <v>282</v>
      </c>
      <c r="G403" s="43" t="n">
        <v>1205</v>
      </c>
      <c r="H403" s="43" t="n">
        <v>1506</v>
      </c>
      <c r="I403" s="43" t="n">
        <v>283</v>
      </c>
      <c r="J403" s="43" t="n">
        <v>1189</v>
      </c>
      <c r="K403" s="42" t="inlineStr">
        <is>
          <t>US Senate</t>
        </is>
      </c>
      <c r="L403" s="43" t="n">
        <v>187</v>
      </c>
      <c r="M403" s="43" t="n">
        <v>938</v>
      </c>
      <c r="N403" s="43" t="n">
        <v>1180</v>
      </c>
      <c r="O403" s="44">
        <f>IFERROR((F403-G403)/(F403+G403),"")</f>
        <v/>
      </c>
      <c r="P403" s="44">
        <f>IFERROR((I403-J403)/(I403+J403),"")</f>
        <v/>
      </c>
      <c r="Q403" s="45">
        <f>IFERROR(O403-P403,"")</f>
        <v/>
      </c>
      <c r="R403" s="44">
        <f>IFERROR((L403-M403)/(L403+M403),"")</f>
        <v/>
      </c>
      <c r="S403" s="46">
        <f>H403/SUMIFS(Counties!$H$2:$H$1583,Counties!$A$2:$A$1583,$A403)</f>
        <v/>
      </c>
      <c r="T403" s="44">
        <f>O403+INDEX(Dashboard!$F$6:$F$22,MATCH($A403,Dashboard!$A$6:$A$22,0))</f>
        <v/>
      </c>
      <c r="U403" s="43">
        <f>AQ403*INDEX(Dashboard!$G$6:$G$22,MATCH($A403,Dashboard!$A$6:$A$22,0))</f>
        <v/>
      </c>
      <c r="V403" s="47" t="n"/>
      <c r="W403" s="47" t="n"/>
      <c r="X403" s="47" t="n"/>
      <c r="Y403" s="48" t="n"/>
      <c r="Z403" s="49" t="n"/>
      <c r="AA403" s="49" t="n"/>
      <c r="AB403" s="49" t="n"/>
      <c r="AC403" s="50" t="n"/>
      <c r="AD403" s="43">
        <f>IF(Z403&lt;&gt;"",Z403,N(V403))</f>
        <v/>
      </c>
      <c r="AE403" s="43">
        <f>IF(AA403&lt;&gt;"",AA403,N(W403))</f>
        <v/>
      </c>
      <c r="AF403" s="43">
        <f>AD403+AE403</f>
        <v/>
      </c>
      <c r="AG403" s="42">
        <f>IF(UPPER(AC403)="Y",1,IF(AF403=0,0,IF(AND(Z403="",Y403&lt;&gt;""),IF(Y403&gt;=0.999,1,0),IF(AF403&gt;=U403,1,0))))</f>
        <v/>
      </c>
      <c r="AH403" s="44">
        <f>IF(AF403&gt;0,(AD403-AE403)/AF403,"")</f>
        <v/>
      </c>
      <c r="AI403" s="45">
        <f>IF(AG403=1,AH403-O403,"")</f>
        <v/>
      </c>
      <c r="AJ403" s="44">
        <f>IF(AG403=1,AH403,MAX(-1,MIN(1,O403+INDEX(Types!$H:$H,MATCH($A403&amp;"|"&amp;$D403,Types!$A:$A,0)))))</f>
        <v/>
      </c>
      <c r="AK403" s="43">
        <f>IF(AG403=1,AF403,MAX(AQ403*AS403,AF403))</f>
        <v/>
      </c>
      <c r="AL403" s="43">
        <f>IF(AG403=1,AD403,AK403*(1+AJ403)/2)</f>
        <v/>
      </c>
      <c r="AM403" s="43">
        <f>IF(AG403=1,AE403,AK403*(1-AJ403)/2)</f>
        <v/>
      </c>
      <c r="AN403" s="45">
        <f>IF(AH403="","",AH403-T403)</f>
        <v/>
      </c>
      <c r="AO403" s="51">
        <f>IF(AG403=1,1,IF(U403&gt;0,MIN(AF403/U403,0.99),0))</f>
        <v/>
      </c>
      <c r="AP403" s="43">
        <f>IF(AG403=1,AI403*AF403,0)</f>
        <v/>
      </c>
      <c r="AQ403" s="43">
        <f>N403*(F403+G403)/H403</f>
        <v/>
      </c>
      <c r="AR403" s="43">
        <f>O403*AQ403</f>
        <v/>
      </c>
      <c r="AS403" s="52">
        <f>IF(AG403=1,IF(AQ403&gt;0,AF403/AQ403,1),IFERROR(INDEX(Types!$K:$K,MATCH($A403&amp;"|"&amp;$D403,Types!$A:$A,0)),INDEX(Dashboard!$X$6:$X$22,MATCH($A403,Dashboard!$A$6:$A$22,0))))</f>
        <v/>
      </c>
      <c r="AT403" s="43">
        <f>AQ403*INDEX(Dashboard!$Y$6:$Y$22,MATCH($A403,Dashboard!$A$6:$A$22,0))</f>
        <v/>
      </c>
      <c r="AU403" s="53">
        <f>IF(AND(AG403=1,AT403&gt;0,AF403&gt;0),100*AF403/AT403,"")</f>
        <v/>
      </c>
      <c r="AV403" s="44">
        <f>IF(AU403="","",T403/(AU403/100))</f>
        <v/>
      </c>
      <c r="AW403" s="53">
        <f>IF(AU403="","",IF(AND(ABS(AH403)&gt;=0.1,ABS(T403)&gt;=0.05,SIGN(AH403)=SIGN(T403)),100*T403/AH403,""))</f>
        <v/>
      </c>
      <c r="AX403" s="45">
        <f>IF(AU403="","",T403-AV403)</f>
        <v/>
      </c>
      <c r="AY403" s="45">
        <f>IF(AU403="","",AH403-AV403)</f>
        <v/>
      </c>
      <c r="AZ403" s="54">
        <f>(AL403-AM403)-T403*AT403</f>
        <v/>
      </c>
      <c r="BA403" s="43">
        <f>IF(AU403="",0,(AH403-T403)*AF403)</f>
        <v/>
      </c>
      <c r="BB403" s="43">
        <f>IF(AU403="",0,T403*(AF403-AT403))</f>
        <v/>
      </c>
      <c r="BC403" s="51" t="n">
        <v>0.006099518459069021</v>
      </c>
      <c r="BD403" s="51" t="n">
        <v>0.02921348314606742</v>
      </c>
      <c r="BE403" s="51" t="n">
        <v>0.226039016115352</v>
      </c>
      <c r="BF403" s="43" t="n">
        <v>3115</v>
      </c>
    </row>
    <row r="404">
      <c r="A404" s="42" t="inlineStr">
        <is>
          <t>KS</t>
        </is>
      </c>
      <c r="B404" s="42" t="inlineStr">
        <is>
          <t>20209</t>
        </is>
      </c>
      <c r="C404" s="42" t="inlineStr">
        <is>
          <t>Wyandotte</t>
        </is>
      </c>
      <c r="D404" s="42" t="inlineStr">
        <is>
          <t>Mid-size/working metro</t>
        </is>
      </c>
      <c r="E404" s="42" t="inlineStr">
        <is>
          <t>★</t>
        </is>
      </c>
      <c r="F404" s="43" t="n">
        <v>30938</v>
      </c>
      <c r="G404" s="43" t="n">
        <v>18867</v>
      </c>
      <c r="H404" s="43" t="n">
        <v>50602</v>
      </c>
      <c r="I404" s="43" t="n">
        <v>35566</v>
      </c>
      <c r="J404" s="43" t="n">
        <v>18512</v>
      </c>
      <c r="K404" s="42" t="inlineStr">
        <is>
          <t>US Senate</t>
        </is>
      </c>
      <c r="L404" s="43" t="n">
        <v>21108</v>
      </c>
      <c r="M404" s="43" t="n">
        <v>12536</v>
      </c>
      <c r="N404" s="43" t="n">
        <v>34837</v>
      </c>
      <c r="O404" s="44">
        <f>IFERROR((F404-G404)/(F404+G404),"")</f>
        <v/>
      </c>
      <c r="P404" s="44">
        <f>IFERROR((I404-J404)/(I404+J404),"")</f>
        <v/>
      </c>
      <c r="Q404" s="45">
        <f>IFERROR(O404-P404,"")</f>
        <v/>
      </c>
      <c r="R404" s="44">
        <f>IFERROR((L404-M404)/(L404+M404),"")</f>
        <v/>
      </c>
      <c r="S404" s="46">
        <f>H404/SUMIFS(Counties!$H$2:$H$1583,Counties!$A$2:$A$1583,$A404)</f>
        <v/>
      </c>
      <c r="T404" s="44">
        <f>O404+INDEX(Dashboard!$F$6:$F$22,MATCH($A404,Dashboard!$A$6:$A$22,0))</f>
        <v/>
      </c>
      <c r="U404" s="43">
        <f>AQ404*INDEX(Dashboard!$G$6:$G$22,MATCH($A404,Dashboard!$A$6:$A$22,0))</f>
        <v/>
      </c>
      <c r="V404" s="47" t="n"/>
      <c r="W404" s="47" t="n"/>
      <c r="X404" s="47" t="n"/>
      <c r="Y404" s="48" t="n"/>
      <c r="Z404" s="49" t="n"/>
      <c r="AA404" s="49" t="n"/>
      <c r="AB404" s="49" t="n"/>
      <c r="AC404" s="50" t="n"/>
      <c r="AD404" s="43">
        <f>IF(Z404&lt;&gt;"",Z404,N(V404))</f>
        <v/>
      </c>
      <c r="AE404" s="43">
        <f>IF(AA404&lt;&gt;"",AA404,N(W404))</f>
        <v/>
      </c>
      <c r="AF404" s="43">
        <f>AD404+AE404</f>
        <v/>
      </c>
      <c r="AG404" s="42">
        <f>IF(UPPER(AC404)="Y",1,IF(AF404=0,0,IF(AND(Z404="",Y404&lt;&gt;""),IF(Y404&gt;=0.999,1,0),IF(AF404&gt;=U404,1,0))))</f>
        <v/>
      </c>
      <c r="AH404" s="44">
        <f>IF(AF404&gt;0,(AD404-AE404)/AF404,"")</f>
        <v/>
      </c>
      <c r="AI404" s="45">
        <f>IF(AG404=1,AH404-O404,"")</f>
        <v/>
      </c>
      <c r="AJ404" s="44">
        <f>IF(AG404=1,AH404,MAX(-1,MIN(1,O404+INDEX(Types!$H:$H,MATCH($A404&amp;"|"&amp;$D404,Types!$A:$A,0)))))</f>
        <v/>
      </c>
      <c r="AK404" s="43">
        <f>IF(AG404=1,AF404,MAX(AQ404*AS404,AF404))</f>
        <v/>
      </c>
      <c r="AL404" s="43">
        <f>IF(AG404=1,AD404,AK404*(1+AJ404)/2)</f>
        <v/>
      </c>
      <c r="AM404" s="43">
        <f>IF(AG404=1,AE404,AK404*(1-AJ404)/2)</f>
        <v/>
      </c>
      <c r="AN404" s="45">
        <f>IF(AH404="","",AH404-T404)</f>
        <v/>
      </c>
      <c r="AO404" s="51">
        <f>IF(AG404=1,1,IF(U404&gt;0,MIN(AF404/U404,0.99),0))</f>
        <v/>
      </c>
      <c r="AP404" s="43">
        <f>IF(AG404=1,AI404*AF404,0)</f>
        <v/>
      </c>
      <c r="AQ404" s="43">
        <f>N404*(F404+G404)/H404</f>
        <v/>
      </c>
      <c r="AR404" s="43">
        <f>O404*AQ404</f>
        <v/>
      </c>
      <c r="AS404" s="52">
        <f>IF(AG404=1,IF(AQ404&gt;0,AF404/AQ404,1),IFERROR(INDEX(Types!$K:$K,MATCH($A404&amp;"|"&amp;$D404,Types!$A:$A,0)),INDEX(Dashboard!$X$6:$X$22,MATCH($A404,Dashboard!$A$6:$A$22,0))))</f>
        <v/>
      </c>
      <c r="AT404" s="43">
        <f>AQ404*INDEX(Dashboard!$Y$6:$Y$22,MATCH($A404,Dashboard!$A$6:$A$22,0))</f>
        <v/>
      </c>
      <c r="AU404" s="53">
        <f>IF(AND(AG404=1,AT404&gt;0,AF404&gt;0),100*AF404/AT404,"")</f>
        <v/>
      </c>
      <c r="AV404" s="44">
        <f>IF(AU404="","",T404/(AU404/100))</f>
        <v/>
      </c>
      <c r="AW404" s="53">
        <f>IF(AU404="","",IF(AND(ABS(AH404)&gt;=0.1,ABS(T404)&gt;=0.05,SIGN(AH404)=SIGN(T404)),100*T404/AH404,""))</f>
        <v/>
      </c>
      <c r="AX404" s="45">
        <f>IF(AU404="","",T404-AV404)</f>
        <v/>
      </c>
      <c r="AY404" s="45">
        <f>IF(AU404="","",AH404-AV404)</f>
        <v/>
      </c>
      <c r="AZ404" s="54">
        <f>(AL404-AM404)-T404*AT404</f>
        <v/>
      </c>
      <c r="BA404" s="43">
        <f>IF(AU404="",0,(AH404-T404)*AF404)</f>
        <v/>
      </c>
      <c r="BB404" s="43">
        <f>IF(AU404="",0,T404*(AF404-AT404))</f>
        <v/>
      </c>
      <c r="BC404" s="51" t="n">
        <v>0.2003618080723132</v>
      </c>
      <c r="BD404" s="51" t="n">
        <v>0.3430884372674415</v>
      </c>
      <c r="BE404" s="51" t="n">
        <v>0.2047053276756247</v>
      </c>
      <c r="BF404" s="43" t="n">
        <v>165281</v>
      </c>
    </row>
    <row r="405">
      <c r="A405" s="42" t="inlineStr">
        <is>
          <t>ME</t>
        </is>
      </c>
      <c r="B405" s="42" t="inlineStr">
        <is>
          <t>23001</t>
        </is>
      </c>
      <c r="C405" s="42" t="inlineStr">
        <is>
          <t>Androscoggin</t>
        </is>
      </c>
      <c r="D405" s="42" t="inlineStr">
        <is>
          <t>Mid-size/working metro</t>
        </is>
      </c>
      <c r="E405" s="42" t="inlineStr">
        <is>
          <t>★</t>
        </is>
      </c>
      <c r="F405" s="43" t="n">
        <v>27019</v>
      </c>
      <c r="G405" s="43" t="n">
        <v>30605</v>
      </c>
      <c r="H405" s="43" t="n">
        <v>58847</v>
      </c>
      <c r="I405" s="43" t="n">
        <v>27617</v>
      </c>
      <c r="J405" s="43" t="n">
        <v>29268</v>
      </c>
      <c r="K405" s="42" t="inlineStr">
        <is>
          <t>Governor</t>
        </is>
      </c>
      <c r="L405" s="43" t="n">
        <v>22915</v>
      </c>
      <c r="M405" s="43" t="n">
        <v>23220</v>
      </c>
      <c r="N405" s="43" t="n">
        <v>47019</v>
      </c>
      <c r="O405" s="44">
        <f>IFERROR((F405-G405)/(F405+G405),"")</f>
        <v/>
      </c>
      <c r="P405" s="44">
        <f>IFERROR((I405-J405)/(I405+J405),"")</f>
        <v/>
      </c>
      <c r="Q405" s="45">
        <f>IFERROR(O405-P405,"")</f>
        <v/>
      </c>
      <c r="R405" s="44">
        <f>IFERROR((L405-M405)/(L405+M405),"")</f>
        <v/>
      </c>
      <c r="S405" s="46">
        <f>H405/SUMIFS(Counties!$H$2:$H$1583,Counties!$A$2:$A$1583,$A405)</f>
        <v/>
      </c>
      <c r="T405" s="44">
        <f>O405+INDEX(Dashboard!$F$6:$F$22,MATCH($A405,Dashboard!$A$6:$A$22,0))</f>
        <v/>
      </c>
      <c r="U405" s="43">
        <f>AQ405*INDEX(Dashboard!$G$6:$G$22,MATCH($A405,Dashboard!$A$6:$A$22,0))</f>
        <v/>
      </c>
      <c r="V405" s="47" t="n"/>
      <c r="W405" s="47" t="n"/>
      <c r="X405" s="47" t="n"/>
      <c r="Y405" s="48" t="n"/>
      <c r="Z405" s="49" t="n"/>
      <c r="AA405" s="49" t="n"/>
      <c r="AB405" s="49" t="n"/>
      <c r="AC405" s="50" t="n"/>
      <c r="AD405" s="43">
        <f>IF(Z405&lt;&gt;"",Z405,N(V405))</f>
        <v/>
      </c>
      <c r="AE405" s="43">
        <f>IF(AA405&lt;&gt;"",AA405,N(W405))</f>
        <v/>
      </c>
      <c r="AF405" s="43">
        <f>AD405+AE405</f>
        <v/>
      </c>
      <c r="AG405" s="42">
        <f>IF(UPPER(AC405)="Y",1,IF(AF405=0,0,IF(AND(Z405="",Y405&lt;&gt;""),IF(Y405&gt;=0.999,1,0),IF(AF405&gt;=U405,1,0))))</f>
        <v/>
      </c>
      <c r="AH405" s="44">
        <f>IF(AF405&gt;0,(AD405-AE405)/AF405,"")</f>
        <v/>
      </c>
      <c r="AI405" s="45">
        <f>IF(AG405=1,AH405-O405,"")</f>
        <v/>
      </c>
      <c r="AJ405" s="44">
        <f>IF(AG405=1,AH405,MAX(-1,MIN(1,O405+INDEX(Types!$H:$H,MATCH($A405&amp;"|"&amp;$D405,Types!$A:$A,0)))))</f>
        <v/>
      </c>
      <c r="AK405" s="43">
        <f>IF(AG405=1,AF405,MAX(AQ405*AS405,AF405))</f>
        <v/>
      </c>
      <c r="AL405" s="43">
        <f>IF(AG405=1,AD405,AK405*(1+AJ405)/2)</f>
        <v/>
      </c>
      <c r="AM405" s="43">
        <f>IF(AG405=1,AE405,AK405*(1-AJ405)/2)</f>
        <v/>
      </c>
      <c r="AN405" s="45">
        <f>IF(AH405="","",AH405-T405)</f>
        <v/>
      </c>
      <c r="AO405" s="51">
        <f>IF(AG405=1,1,IF(U405&gt;0,MIN(AF405/U405,0.99),0))</f>
        <v/>
      </c>
      <c r="AP405" s="43">
        <f>IF(AG405=1,AI405*AF405,0)</f>
        <v/>
      </c>
      <c r="AQ405" s="43">
        <f>N405*(F405+G405)/H405</f>
        <v/>
      </c>
      <c r="AR405" s="43">
        <f>O405*AQ405</f>
        <v/>
      </c>
      <c r="AS405" s="52">
        <f>IF(AG405=1,IF(AQ405&gt;0,AF405/AQ405,1),IFERROR(INDEX(Types!$K:$K,MATCH($A405&amp;"|"&amp;$D405,Types!$A:$A,0)),INDEX(Dashboard!$X$6:$X$22,MATCH($A405,Dashboard!$A$6:$A$22,0))))</f>
        <v/>
      </c>
      <c r="AT405" s="43">
        <f>AQ405*INDEX(Dashboard!$Y$6:$Y$22,MATCH($A405,Dashboard!$A$6:$A$22,0))</f>
        <v/>
      </c>
      <c r="AU405" s="53">
        <f>IF(AND(AG405=1,AT405&gt;0,AF405&gt;0),100*AF405/AT405,"")</f>
        <v/>
      </c>
      <c r="AV405" s="44">
        <f>IF(AU405="","",T405/(AU405/100))</f>
        <v/>
      </c>
      <c r="AW405" s="53">
        <f>IF(AU405="","",IF(AND(ABS(AH405)&gt;=0.1,ABS(T405)&gt;=0.05,SIGN(AH405)=SIGN(T405)),100*T405/AH405,""))</f>
        <v/>
      </c>
      <c r="AX405" s="45">
        <f>IF(AU405="","",T405-AV405)</f>
        <v/>
      </c>
      <c r="AY405" s="45">
        <f>IF(AU405="","",AH405-AV405)</f>
        <v/>
      </c>
      <c r="AZ405" s="54">
        <f>(AL405-AM405)-T405*AT405</f>
        <v/>
      </c>
      <c r="BA405" s="43">
        <f>IF(AU405="",0,(AH405-T405)*AF405)</f>
        <v/>
      </c>
      <c r="BB405" s="43">
        <f>IF(AU405="",0,T405*(AF405-AT405))</f>
        <v/>
      </c>
      <c r="BC405" s="51" t="n">
        <v>0.05718806311255659</v>
      </c>
      <c r="BD405" s="51" t="n">
        <v>0.02324968136069969</v>
      </c>
      <c r="BE405" s="51" t="n">
        <v>0.2344035934120779</v>
      </c>
      <c r="BF405" s="43" t="n">
        <v>113765</v>
      </c>
    </row>
    <row r="406">
      <c r="A406" s="42" t="inlineStr">
        <is>
          <t>ME</t>
        </is>
      </c>
      <c r="B406" s="42" t="inlineStr">
        <is>
          <t>23003</t>
        </is>
      </c>
      <c r="C406" s="42" t="inlineStr">
        <is>
          <t>Aroostook</t>
        </is>
      </c>
      <c r="D406" s="42" t="inlineStr">
        <is>
          <t>Small town &amp; rural</t>
        </is>
      </c>
      <c r="E406" s="42" t="inlineStr">
        <is>
          <t>★</t>
        </is>
      </c>
      <c r="F406" s="43" t="n">
        <v>12900</v>
      </c>
      <c r="G406" s="43" t="n">
        <v>22246</v>
      </c>
      <c r="H406" s="43" t="n">
        <v>35653</v>
      </c>
      <c r="I406" s="43" t="n">
        <v>13956</v>
      </c>
      <c r="J406" s="43" t="n">
        <v>21080</v>
      </c>
      <c r="K406" s="42" t="inlineStr">
        <is>
          <t>Governor</t>
        </is>
      </c>
      <c r="L406" s="43" t="n">
        <v>11587</v>
      </c>
      <c r="M406" s="43" t="n">
        <v>16530</v>
      </c>
      <c r="N406" s="43" t="n">
        <v>28632</v>
      </c>
      <c r="O406" s="44">
        <f>IFERROR((F406-G406)/(F406+G406),"")</f>
        <v/>
      </c>
      <c r="P406" s="44">
        <f>IFERROR((I406-J406)/(I406+J406),"")</f>
        <v/>
      </c>
      <c r="Q406" s="45">
        <f>IFERROR(O406-P406,"")</f>
        <v/>
      </c>
      <c r="R406" s="44">
        <f>IFERROR((L406-M406)/(L406+M406),"")</f>
        <v/>
      </c>
      <c r="S406" s="46">
        <f>H406/SUMIFS(Counties!$H$2:$H$1583,Counties!$A$2:$A$1583,$A406)</f>
        <v/>
      </c>
      <c r="T406" s="44">
        <f>O406+INDEX(Dashboard!$F$6:$F$22,MATCH($A406,Dashboard!$A$6:$A$22,0))</f>
        <v/>
      </c>
      <c r="U406" s="43">
        <f>AQ406*INDEX(Dashboard!$G$6:$G$22,MATCH($A406,Dashboard!$A$6:$A$22,0))</f>
        <v/>
      </c>
      <c r="V406" s="47" t="n"/>
      <c r="W406" s="47" t="n"/>
      <c r="X406" s="47" t="n"/>
      <c r="Y406" s="48" t="n"/>
      <c r="Z406" s="49" t="n"/>
      <c r="AA406" s="49" t="n"/>
      <c r="AB406" s="49" t="n"/>
      <c r="AC406" s="50" t="n"/>
      <c r="AD406" s="43">
        <f>IF(Z406&lt;&gt;"",Z406,N(V406))</f>
        <v/>
      </c>
      <c r="AE406" s="43">
        <f>IF(AA406&lt;&gt;"",AA406,N(W406))</f>
        <v/>
      </c>
      <c r="AF406" s="43">
        <f>AD406+AE406</f>
        <v/>
      </c>
      <c r="AG406" s="42">
        <f>IF(UPPER(AC406)="Y",1,IF(AF406=0,0,IF(AND(Z406="",Y406&lt;&gt;""),IF(Y406&gt;=0.999,1,0),IF(AF406&gt;=U406,1,0))))</f>
        <v/>
      </c>
      <c r="AH406" s="44">
        <f>IF(AF406&gt;0,(AD406-AE406)/AF406,"")</f>
        <v/>
      </c>
      <c r="AI406" s="45">
        <f>IF(AG406=1,AH406-O406,"")</f>
        <v/>
      </c>
      <c r="AJ406" s="44">
        <f>IF(AG406=1,AH406,MAX(-1,MIN(1,O406+INDEX(Types!$H:$H,MATCH($A406&amp;"|"&amp;$D406,Types!$A:$A,0)))))</f>
        <v/>
      </c>
      <c r="AK406" s="43">
        <f>IF(AG406=1,AF406,MAX(AQ406*AS406,AF406))</f>
        <v/>
      </c>
      <c r="AL406" s="43">
        <f>IF(AG406=1,AD406,AK406*(1+AJ406)/2)</f>
        <v/>
      </c>
      <c r="AM406" s="43">
        <f>IF(AG406=1,AE406,AK406*(1-AJ406)/2)</f>
        <v/>
      </c>
      <c r="AN406" s="45">
        <f>IF(AH406="","",AH406-T406)</f>
        <v/>
      </c>
      <c r="AO406" s="51">
        <f>IF(AG406=1,1,IF(U406&gt;0,MIN(AF406/U406,0.99),0))</f>
        <v/>
      </c>
      <c r="AP406" s="43">
        <f>IF(AG406=1,AI406*AF406,0)</f>
        <v/>
      </c>
      <c r="AQ406" s="43">
        <f>N406*(F406+G406)/H406</f>
        <v/>
      </c>
      <c r="AR406" s="43">
        <f>O406*AQ406</f>
        <v/>
      </c>
      <c r="AS406" s="52">
        <f>IF(AG406=1,IF(AQ406&gt;0,AF406/AQ406,1),IFERROR(INDEX(Types!$K:$K,MATCH($A406&amp;"|"&amp;$D406,Types!$A:$A,0)),INDEX(Dashboard!$X$6:$X$22,MATCH($A406,Dashboard!$A$6:$A$22,0))))</f>
        <v/>
      </c>
      <c r="AT406" s="43">
        <f>AQ406*INDEX(Dashboard!$Y$6:$Y$22,MATCH($A406,Dashboard!$A$6:$A$22,0))</f>
        <v/>
      </c>
      <c r="AU406" s="53">
        <f>IF(AND(AG406=1,AT406&gt;0,AF406&gt;0),100*AF406/AT406,"")</f>
        <v/>
      </c>
      <c r="AV406" s="44">
        <f>IF(AU406="","",T406/(AU406/100))</f>
        <v/>
      </c>
      <c r="AW406" s="53">
        <f>IF(AU406="","",IF(AND(ABS(AH406)&gt;=0.1,ABS(T406)&gt;=0.05,SIGN(AH406)=SIGN(T406)),100*T406/AH406,""))</f>
        <v/>
      </c>
      <c r="AX406" s="45">
        <f>IF(AU406="","",T406-AV406)</f>
        <v/>
      </c>
      <c r="AY406" s="45">
        <f>IF(AU406="","",AH406-AV406)</f>
        <v/>
      </c>
      <c r="AZ406" s="54">
        <f>(AL406-AM406)-T406*AT406</f>
        <v/>
      </c>
      <c r="BA406" s="43">
        <f>IF(AU406="",0,(AH406-T406)*AF406)</f>
        <v/>
      </c>
      <c r="BB406" s="43">
        <f>IF(AU406="",0,T406*(AF406-AT406))</f>
        <v/>
      </c>
      <c r="BC406" s="51" t="n">
        <v>0.01020029398227198</v>
      </c>
      <c r="BD406" s="51" t="n">
        <v>0.01845555374085017</v>
      </c>
      <c r="BE406" s="51" t="n">
        <v>0.2237381986216787</v>
      </c>
      <c r="BF406" s="43" t="n">
        <v>67351</v>
      </c>
    </row>
    <row r="407">
      <c r="A407" s="42" t="inlineStr">
        <is>
          <t>ME</t>
        </is>
      </c>
      <c r="B407" s="42" t="inlineStr">
        <is>
          <t>23005</t>
        </is>
      </c>
      <c r="C407" s="42" t="inlineStr">
        <is>
          <t>Cumberland</t>
        </is>
      </c>
      <c r="D407" s="42" t="inlineStr">
        <is>
          <t>College suburb/metro</t>
        </is>
      </c>
      <c r="E407" s="42" t="inlineStr">
        <is>
          <t>★</t>
        </is>
      </c>
      <c r="F407" s="43" t="n">
        <v>133281</v>
      </c>
      <c r="G407" s="43" t="n">
        <v>60950</v>
      </c>
      <c r="H407" s="43" t="n">
        <v>199225</v>
      </c>
      <c r="I407" s="43" t="n">
        <v>128759</v>
      </c>
      <c r="J407" s="43" t="n">
        <v>59584</v>
      </c>
      <c r="K407" s="42" t="inlineStr">
        <is>
          <t>Governor</t>
        </is>
      </c>
      <c r="L407" s="43" t="n">
        <v>112188</v>
      </c>
      <c r="M407" s="43" t="n">
        <v>47201</v>
      </c>
      <c r="N407" s="43" t="n">
        <v>161851</v>
      </c>
      <c r="O407" s="44">
        <f>IFERROR((F407-G407)/(F407+G407),"")</f>
        <v/>
      </c>
      <c r="P407" s="44">
        <f>IFERROR((I407-J407)/(I407+J407),"")</f>
        <v/>
      </c>
      <c r="Q407" s="45">
        <f>IFERROR(O407-P407,"")</f>
        <v/>
      </c>
      <c r="R407" s="44">
        <f>IFERROR((L407-M407)/(L407+M407),"")</f>
        <v/>
      </c>
      <c r="S407" s="46">
        <f>H407/SUMIFS(Counties!$H$2:$H$1583,Counties!$A$2:$A$1583,$A407)</f>
        <v/>
      </c>
      <c r="T407" s="44">
        <f>O407+INDEX(Dashboard!$F$6:$F$22,MATCH($A407,Dashboard!$A$6:$A$22,0))</f>
        <v/>
      </c>
      <c r="U407" s="43">
        <f>AQ407*INDEX(Dashboard!$G$6:$G$22,MATCH($A407,Dashboard!$A$6:$A$22,0))</f>
        <v/>
      </c>
      <c r="V407" s="47" t="n"/>
      <c r="W407" s="47" t="n"/>
      <c r="X407" s="47" t="n"/>
      <c r="Y407" s="48" t="n"/>
      <c r="Z407" s="49" t="n"/>
      <c r="AA407" s="49" t="n"/>
      <c r="AB407" s="49" t="n"/>
      <c r="AC407" s="50" t="n"/>
      <c r="AD407" s="43">
        <f>IF(Z407&lt;&gt;"",Z407,N(V407))</f>
        <v/>
      </c>
      <c r="AE407" s="43">
        <f>IF(AA407&lt;&gt;"",AA407,N(W407))</f>
        <v/>
      </c>
      <c r="AF407" s="43">
        <f>AD407+AE407</f>
        <v/>
      </c>
      <c r="AG407" s="42">
        <f>IF(UPPER(AC407)="Y",1,IF(AF407=0,0,IF(AND(Z407="",Y407&lt;&gt;""),IF(Y407&gt;=0.999,1,0),IF(AF407&gt;=U407,1,0))))</f>
        <v/>
      </c>
      <c r="AH407" s="44">
        <f>IF(AF407&gt;0,(AD407-AE407)/AF407,"")</f>
        <v/>
      </c>
      <c r="AI407" s="45">
        <f>IF(AG407=1,AH407-O407,"")</f>
        <v/>
      </c>
      <c r="AJ407" s="44">
        <f>IF(AG407=1,AH407,MAX(-1,MIN(1,O407+INDEX(Types!$H:$H,MATCH($A407&amp;"|"&amp;$D407,Types!$A:$A,0)))))</f>
        <v/>
      </c>
      <c r="AK407" s="43">
        <f>IF(AG407=1,AF407,MAX(AQ407*AS407,AF407))</f>
        <v/>
      </c>
      <c r="AL407" s="43">
        <f>IF(AG407=1,AD407,AK407*(1+AJ407)/2)</f>
        <v/>
      </c>
      <c r="AM407" s="43">
        <f>IF(AG407=1,AE407,AK407*(1-AJ407)/2)</f>
        <v/>
      </c>
      <c r="AN407" s="45">
        <f>IF(AH407="","",AH407-T407)</f>
        <v/>
      </c>
      <c r="AO407" s="51">
        <f>IF(AG407=1,1,IF(U407&gt;0,MIN(AF407/U407,0.99),0))</f>
        <v/>
      </c>
      <c r="AP407" s="43">
        <f>IF(AG407=1,AI407*AF407,0)</f>
        <v/>
      </c>
      <c r="AQ407" s="43">
        <f>N407*(F407+G407)/H407</f>
        <v/>
      </c>
      <c r="AR407" s="43">
        <f>O407*AQ407</f>
        <v/>
      </c>
      <c r="AS407" s="52">
        <f>IF(AG407=1,IF(AQ407&gt;0,AF407/AQ407,1),IFERROR(INDEX(Types!$K:$K,MATCH($A407&amp;"|"&amp;$D407,Types!$A:$A,0)),INDEX(Dashboard!$X$6:$X$22,MATCH($A407,Dashboard!$A$6:$A$22,0))))</f>
        <v/>
      </c>
      <c r="AT407" s="43">
        <f>AQ407*INDEX(Dashboard!$Y$6:$Y$22,MATCH($A407,Dashboard!$A$6:$A$22,0))</f>
        <v/>
      </c>
      <c r="AU407" s="53">
        <f>IF(AND(AG407=1,AT407&gt;0,AF407&gt;0),100*AF407/AT407,"")</f>
        <v/>
      </c>
      <c r="AV407" s="44">
        <f>IF(AU407="","",T407/(AU407/100))</f>
        <v/>
      </c>
      <c r="AW407" s="53">
        <f>IF(AU407="","",IF(AND(ABS(AH407)&gt;=0.1,ABS(T407)&gt;=0.05,SIGN(AH407)=SIGN(T407)),100*T407/AH407,""))</f>
        <v/>
      </c>
      <c r="AX407" s="45">
        <f>IF(AU407="","",T407-AV407)</f>
        <v/>
      </c>
      <c r="AY407" s="45">
        <f>IF(AU407="","",AH407-AV407)</f>
        <v/>
      </c>
      <c r="AZ407" s="54">
        <f>(AL407-AM407)-T407*AT407</f>
        <v/>
      </c>
      <c r="BA407" s="43">
        <f>IF(AU407="",0,(AH407-T407)*AF407)</f>
        <v/>
      </c>
      <c r="BB407" s="43">
        <f>IF(AU407="",0,T407*(AF407-AT407))</f>
        <v/>
      </c>
      <c r="BC407" s="51" t="n">
        <v>0.03870998936273088</v>
      </c>
      <c r="BD407" s="51" t="n">
        <v>0.02881732907842569</v>
      </c>
      <c r="BE407" s="51" t="n">
        <v>0.5216354177328983</v>
      </c>
      <c r="BF407" s="43" t="n">
        <v>310230</v>
      </c>
    </row>
    <row r="408">
      <c r="A408" s="42" t="inlineStr">
        <is>
          <t>ME</t>
        </is>
      </c>
      <c r="B408" s="42" t="inlineStr">
        <is>
          <t>23007</t>
        </is>
      </c>
      <c r="C408" s="42" t="inlineStr">
        <is>
          <t>Franklin</t>
        </is>
      </c>
      <c r="D408" s="42" t="inlineStr">
        <is>
          <t>Small town &amp; rural</t>
        </is>
      </c>
      <c r="E408" s="42" t="inlineStr"/>
      <c r="F408" s="43" t="n">
        <v>7990</v>
      </c>
      <c r="G408" s="43" t="n">
        <v>9459</v>
      </c>
      <c r="H408" s="43" t="n">
        <v>17836</v>
      </c>
      <c r="I408" s="43" t="n">
        <v>8069</v>
      </c>
      <c r="J408" s="43" t="n">
        <v>8754</v>
      </c>
      <c r="K408" s="42" t="inlineStr">
        <is>
          <t>Governor</t>
        </is>
      </c>
      <c r="L408" s="43" t="n">
        <v>7406</v>
      </c>
      <c r="M408" s="43" t="n">
        <v>7179</v>
      </c>
      <c r="N408" s="43" t="n">
        <v>14928</v>
      </c>
      <c r="O408" s="44">
        <f>IFERROR((F408-G408)/(F408+G408),"")</f>
        <v/>
      </c>
      <c r="P408" s="44">
        <f>IFERROR((I408-J408)/(I408+J408),"")</f>
        <v/>
      </c>
      <c r="Q408" s="45">
        <f>IFERROR(O408-P408,"")</f>
        <v/>
      </c>
      <c r="R408" s="44">
        <f>IFERROR((L408-M408)/(L408+M408),"")</f>
        <v/>
      </c>
      <c r="S408" s="46">
        <f>H408/SUMIFS(Counties!$H$2:$H$1583,Counties!$A$2:$A$1583,$A408)</f>
        <v/>
      </c>
      <c r="T408" s="44">
        <f>O408+INDEX(Dashboard!$F$6:$F$22,MATCH($A408,Dashboard!$A$6:$A$22,0))</f>
        <v/>
      </c>
      <c r="U408" s="43">
        <f>AQ408*INDEX(Dashboard!$G$6:$G$22,MATCH($A408,Dashboard!$A$6:$A$22,0))</f>
        <v/>
      </c>
      <c r="V408" s="47" t="n"/>
      <c r="W408" s="47" t="n"/>
      <c r="X408" s="47" t="n"/>
      <c r="Y408" s="48" t="n"/>
      <c r="Z408" s="49" t="n"/>
      <c r="AA408" s="49" t="n"/>
      <c r="AB408" s="49" t="n"/>
      <c r="AC408" s="50" t="n"/>
      <c r="AD408" s="43">
        <f>IF(Z408&lt;&gt;"",Z408,N(V408))</f>
        <v/>
      </c>
      <c r="AE408" s="43">
        <f>IF(AA408&lt;&gt;"",AA408,N(W408))</f>
        <v/>
      </c>
      <c r="AF408" s="43">
        <f>AD408+AE408</f>
        <v/>
      </c>
      <c r="AG408" s="42">
        <f>IF(UPPER(AC408)="Y",1,IF(AF408=0,0,IF(AND(Z408="",Y408&lt;&gt;""),IF(Y408&gt;=0.999,1,0),IF(AF408&gt;=U408,1,0))))</f>
        <v/>
      </c>
      <c r="AH408" s="44">
        <f>IF(AF408&gt;0,(AD408-AE408)/AF408,"")</f>
        <v/>
      </c>
      <c r="AI408" s="45">
        <f>IF(AG408=1,AH408-O408,"")</f>
        <v/>
      </c>
      <c r="AJ408" s="44">
        <f>IF(AG408=1,AH408,MAX(-1,MIN(1,O408+INDEX(Types!$H:$H,MATCH($A408&amp;"|"&amp;$D408,Types!$A:$A,0)))))</f>
        <v/>
      </c>
      <c r="AK408" s="43">
        <f>IF(AG408=1,AF408,MAX(AQ408*AS408,AF408))</f>
        <v/>
      </c>
      <c r="AL408" s="43">
        <f>IF(AG408=1,AD408,AK408*(1+AJ408)/2)</f>
        <v/>
      </c>
      <c r="AM408" s="43">
        <f>IF(AG408=1,AE408,AK408*(1-AJ408)/2)</f>
        <v/>
      </c>
      <c r="AN408" s="45">
        <f>IF(AH408="","",AH408-T408)</f>
        <v/>
      </c>
      <c r="AO408" s="51">
        <f>IF(AG408=1,1,IF(U408&gt;0,MIN(AF408/U408,0.99),0))</f>
        <v/>
      </c>
      <c r="AP408" s="43">
        <f>IF(AG408=1,AI408*AF408,0)</f>
        <v/>
      </c>
      <c r="AQ408" s="43">
        <f>N408*(F408+G408)/H408</f>
        <v/>
      </c>
      <c r="AR408" s="43">
        <f>O408*AQ408</f>
        <v/>
      </c>
      <c r="AS408" s="52">
        <f>IF(AG408=1,IF(AQ408&gt;0,AF408/AQ408,1),IFERROR(INDEX(Types!$K:$K,MATCH($A408&amp;"|"&amp;$D408,Types!$A:$A,0)),INDEX(Dashboard!$X$6:$X$22,MATCH($A408,Dashboard!$A$6:$A$22,0))))</f>
        <v/>
      </c>
      <c r="AT408" s="43">
        <f>AQ408*INDEX(Dashboard!$Y$6:$Y$22,MATCH($A408,Dashboard!$A$6:$A$22,0))</f>
        <v/>
      </c>
      <c r="AU408" s="53">
        <f>IF(AND(AG408=1,AT408&gt;0,AF408&gt;0),100*AF408/AT408,"")</f>
        <v/>
      </c>
      <c r="AV408" s="44">
        <f>IF(AU408="","",T408/(AU408/100))</f>
        <v/>
      </c>
      <c r="AW408" s="53">
        <f>IF(AU408="","",IF(AND(ABS(AH408)&gt;=0.1,ABS(T408)&gt;=0.05,SIGN(AH408)=SIGN(T408)),100*T408/AH408,""))</f>
        <v/>
      </c>
      <c r="AX408" s="45">
        <f>IF(AU408="","",T408-AV408)</f>
        <v/>
      </c>
      <c r="AY408" s="45">
        <f>IF(AU408="","",AH408-AV408)</f>
        <v/>
      </c>
      <c r="AZ408" s="54">
        <f>(AL408-AM408)-T408*AT408</f>
        <v/>
      </c>
      <c r="BA408" s="43">
        <f>IF(AU408="",0,(AH408-T408)*AF408)</f>
        <v/>
      </c>
      <c r="BB408" s="43">
        <f>IF(AU408="",0,T408*(AF408-AT408))</f>
        <v/>
      </c>
      <c r="BC408" s="51" t="n">
        <v>0.006714674970805761</v>
      </c>
      <c r="BD408" s="51" t="n">
        <v>0.01784092383547424</v>
      </c>
      <c r="BE408" s="51" t="n">
        <v>0.2990207346788654</v>
      </c>
      <c r="BF408" s="43" t="n">
        <v>30828</v>
      </c>
    </row>
    <row r="409">
      <c r="A409" s="42" t="inlineStr">
        <is>
          <t>ME</t>
        </is>
      </c>
      <c r="B409" s="42" t="inlineStr">
        <is>
          <t>23009</t>
        </is>
      </c>
      <c r="C409" s="42" t="inlineStr">
        <is>
          <t>Hancock</t>
        </is>
      </c>
      <c r="D409" s="42" t="inlineStr">
        <is>
          <t>Small town &amp; rural</t>
        </is>
      </c>
      <c r="E409" s="42" t="inlineStr"/>
      <c r="F409" s="43" t="n">
        <v>19817</v>
      </c>
      <c r="G409" s="43" t="n">
        <v>15549</v>
      </c>
      <c r="H409" s="43" t="n">
        <v>36251</v>
      </c>
      <c r="I409" s="43" t="n">
        <v>19369</v>
      </c>
      <c r="J409" s="43" t="n">
        <v>14982</v>
      </c>
      <c r="K409" s="42" t="inlineStr">
        <is>
          <t>Governor</t>
        </is>
      </c>
      <c r="L409" s="43" t="n">
        <v>17445</v>
      </c>
      <c r="M409" s="43" t="n">
        <v>12524</v>
      </c>
      <c r="N409" s="43" t="n">
        <v>30535</v>
      </c>
      <c r="O409" s="44">
        <f>IFERROR((F409-G409)/(F409+G409),"")</f>
        <v/>
      </c>
      <c r="P409" s="44">
        <f>IFERROR((I409-J409)/(I409+J409),"")</f>
        <v/>
      </c>
      <c r="Q409" s="45">
        <f>IFERROR(O409-P409,"")</f>
        <v/>
      </c>
      <c r="R409" s="44">
        <f>IFERROR((L409-M409)/(L409+M409),"")</f>
        <v/>
      </c>
      <c r="S409" s="46">
        <f>H409/SUMIFS(Counties!$H$2:$H$1583,Counties!$A$2:$A$1583,$A409)</f>
        <v/>
      </c>
      <c r="T409" s="44">
        <f>O409+INDEX(Dashboard!$F$6:$F$22,MATCH($A409,Dashboard!$A$6:$A$22,0))</f>
        <v/>
      </c>
      <c r="U409" s="43">
        <f>AQ409*INDEX(Dashboard!$G$6:$G$22,MATCH($A409,Dashboard!$A$6:$A$22,0))</f>
        <v/>
      </c>
      <c r="V409" s="47" t="n"/>
      <c r="W409" s="47" t="n"/>
      <c r="X409" s="47" t="n"/>
      <c r="Y409" s="48" t="n"/>
      <c r="Z409" s="49" t="n"/>
      <c r="AA409" s="49" t="n"/>
      <c r="AB409" s="49" t="n"/>
      <c r="AC409" s="50" t="n"/>
      <c r="AD409" s="43">
        <f>IF(Z409&lt;&gt;"",Z409,N(V409))</f>
        <v/>
      </c>
      <c r="AE409" s="43">
        <f>IF(AA409&lt;&gt;"",AA409,N(W409))</f>
        <v/>
      </c>
      <c r="AF409" s="43">
        <f>AD409+AE409</f>
        <v/>
      </c>
      <c r="AG409" s="42">
        <f>IF(UPPER(AC409)="Y",1,IF(AF409=0,0,IF(AND(Z409="",Y409&lt;&gt;""),IF(Y409&gt;=0.999,1,0),IF(AF409&gt;=U409,1,0))))</f>
        <v/>
      </c>
      <c r="AH409" s="44">
        <f>IF(AF409&gt;0,(AD409-AE409)/AF409,"")</f>
        <v/>
      </c>
      <c r="AI409" s="45">
        <f>IF(AG409=1,AH409-O409,"")</f>
        <v/>
      </c>
      <c r="AJ409" s="44">
        <f>IF(AG409=1,AH409,MAX(-1,MIN(1,O409+INDEX(Types!$H:$H,MATCH($A409&amp;"|"&amp;$D409,Types!$A:$A,0)))))</f>
        <v/>
      </c>
      <c r="AK409" s="43">
        <f>IF(AG409=1,AF409,MAX(AQ409*AS409,AF409))</f>
        <v/>
      </c>
      <c r="AL409" s="43">
        <f>IF(AG409=1,AD409,AK409*(1+AJ409)/2)</f>
        <v/>
      </c>
      <c r="AM409" s="43">
        <f>IF(AG409=1,AE409,AK409*(1-AJ409)/2)</f>
        <v/>
      </c>
      <c r="AN409" s="45">
        <f>IF(AH409="","",AH409-T409)</f>
        <v/>
      </c>
      <c r="AO409" s="51">
        <f>IF(AG409=1,1,IF(U409&gt;0,MIN(AF409/U409,0.99),0))</f>
        <v/>
      </c>
      <c r="AP409" s="43">
        <f>IF(AG409=1,AI409*AF409,0)</f>
        <v/>
      </c>
      <c r="AQ409" s="43">
        <f>N409*(F409+G409)/H409</f>
        <v/>
      </c>
      <c r="AR409" s="43">
        <f>O409*AQ409</f>
        <v/>
      </c>
      <c r="AS409" s="52">
        <f>IF(AG409=1,IF(AQ409&gt;0,AF409/AQ409,1),IFERROR(INDEX(Types!$K:$K,MATCH($A409&amp;"|"&amp;$D409,Types!$A:$A,0)),INDEX(Dashboard!$X$6:$X$22,MATCH($A409,Dashboard!$A$6:$A$22,0))))</f>
        <v/>
      </c>
      <c r="AT409" s="43">
        <f>AQ409*INDEX(Dashboard!$Y$6:$Y$22,MATCH($A409,Dashboard!$A$6:$A$22,0))</f>
        <v/>
      </c>
      <c r="AU409" s="53">
        <f>IF(AND(AG409=1,AT409&gt;0,AF409&gt;0),100*AF409/AT409,"")</f>
        <v/>
      </c>
      <c r="AV409" s="44">
        <f>IF(AU409="","",T409/(AU409/100))</f>
        <v/>
      </c>
      <c r="AW409" s="53">
        <f>IF(AU409="","",IF(AND(ABS(AH409)&gt;=0.1,ABS(T409)&gt;=0.05,SIGN(AH409)=SIGN(T409)),100*T409/AH409,""))</f>
        <v/>
      </c>
      <c r="AX409" s="45">
        <f>IF(AU409="","",T409-AV409)</f>
        <v/>
      </c>
      <c r="AY409" s="45">
        <f>IF(AU409="","",AH409-AV409)</f>
        <v/>
      </c>
      <c r="AZ409" s="54">
        <f>(AL409-AM409)-T409*AT409</f>
        <v/>
      </c>
      <c r="BA409" s="43">
        <f>IF(AU409="",0,(AH409-T409)*AF409)</f>
        <v/>
      </c>
      <c r="BB409" s="43">
        <f>IF(AU409="",0,T409*(AF409-AT409))</f>
        <v/>
      </c>
      <c r="BC409" s="51" t="n">
        <v>0.01185295262357145</v>
      </c>
      <c r="BD409" s="51" t="n">
        <v>0.01956621731592541</v>
      </c>
      <c r="BE409" s="51" t="n">
        <v>0.3917598091942197</v>
      </c>
      <c r="BF409" s="43" t="n">
        <v>56526</v>
      </c>
    </row>
    <row r="410">
      <c r="A410" s="42" t="inlineStr">
        <is>
          <t>ME</t>
        </is>
      </c>
      <c r="B410" s="42" t="inlineStr">
        <is>
          <t>23011</t>
        </is>
      </c>
      <c r="C410" s="42" t="inlineStr">
        <is>
          <t>Kennebec</t>
        </is>
      </c>
      <c r="D410" s="42" t="inlineStr">
        <is>
          <t>Mid-size/working metro</t>
        </is>
      </c>
      <c r="E410" s="42" t="inlineStr">
        <is>
          <t>★</t>
        </is>
      </c>
      <c r="F410" s="43" t="n">
        <v>34585</v>
      </c>
      <c r="G410" s="43" t="n">
        <v>36589</v>
      </c>
      <c r="H410" s="43" t="n">
        <v>72886</v>
      </c>
      <c r="I410" s="43" t="n">
        <v>34902</v>
      </c>
      <c r="J410" s="43" t="n">
        <v>34721</v>
      </c>
      <c r="K410" s="42" t="inlineStr">
        <is>
          <t>Governor</t>
        </is>
      </c>
      <c r="L410" s="43" t="n">
        <v>30838</v>
      </c>
      <c r="M410" s="43" t="n">
        <v>28368</v>
      </c>
      <c r="N410" s="43" t="n">
        <v>60346</v>
      </c>
      <c r="O410" s="44">
        <f>IFERROR((F410-G410)/(F410+G410),"")</f>
        <v/>
      </c>
      <c r="P410" s="44">
        <f>IFERROR((I410-J410)/(I410+J410),"")</f>
        <v/>
      </c>
      <c r="Q410" s="45">
        <f>IFERROR(O410-P410,"")</f>
        <v/>
      </c>
      <c r="R410" s="44">
        <f>IFERROR((L410-M410)/(L410+M410),"")</f>
        <v/>
      </c>
      <c r="S410" s="46">
        <f>H410/SUMIFS(Counties!$H$2:$H$1583,Counties!$A$2:$A$1583,$A410)</f>
        <v/>
      </c>
      <c r="T410" s="44">
        <f>O410+INDEX(Dashboard!$F$6:$F$22,MATCH($A410,Dashboard!$A$6:$A$22,0))</f>
        <v/>
      </c>
      <c r="U410" s="43">
        <f>AQ410*INDEX(Dashboard!$G$6:$G$22,MATCH($A410,Dashboard!$A$6:$A$22,0))</f>
        <v/>
      </c>
      <c r="V410" s="47" t="n"/>
      <c r="W410" s="47" t="n"/>
      <c r="X410" s="47" t="n"/>
      <c r="Y410" s="48" t="n"/>
      <c r="Z410" s="49" t="n"/>
      <c r="AA410" s="49" t="n"/>
      <c r="AB410" s="49" t="n"/>
      <c r="AC410" s="50" t="n"/>
      <c r="AD410" s="43">
        <f>IF(Z410&lt;&gt;"",Z410,N(V410))</f>
        <v/>
      </c>
      <c r="AE410" s="43">
        <f>IF(AA410&lt;&gt;"",AA410,N(W410))</f>
        <v/>
      </c>
      <c r="AF410" s="43">
        <f>AD410+AE410</f>
        <v/>
      </c>
      <c r="AG410" s="42">
        <f>IF(UPPER(AC410)="Y",1,IF(AF410=0,0,IF(AND(Z410="",Y410&lt;&gt;""),IF(Y410&gt;=0.999,1,0),IF(AF410&gt;=U410,1,0))))</f>
        <v/>
      </c>
      <c r="AH410" s="44">
        <f>IF(AF410&gt;0,(AD410-AE410)/AF410,"")</f>
        <v/>
      </c>
      <c r="AI410" s="45">
        <f>IF(AG410=1,AH410-O410,"")</f>
        <v/>
      </c>
      <c r="AJ410" s="44">
        <f>IF(AG410=1,AH410,MAX(-1,MIN(1,O410+INDEX(Types!$H:$H,MATCH($A410&amp;"|"&amp;$D410,Types!$A:$A,0)))))</f>
        <v/>
      </c>
      <c r="AK410" s="43">
        <f>IF(AG410=1,AF410,MAX(AQ410*AS410,AF410))</f>
        <v/>
      </c>
      <c r="AL410" s="43">
        <f>IF(AG410=1,AD410,AK410*(1+AJ410)/2)</f>
        <v/>
      </c>
      <c r="AM410" s="43">
        <f>IF(AG410=1,AE410,AK410*(1-AJ410)/2)</f>
        <v/>
      </c>
      <c r="AN410" s="45">
        <f>IF(AH410="","",AH410-T410)</f>
        <v/>
      </c>
      <c r="AO410" s="51">
        <f>IF(AG410=1,1,IF(U410&gt;0,MIN(AF410/U410,0.99),0))</f>
        <v/>
      </c>
      <c r="AP410" s="43">
        <f>IF(AG410=1,AI410*AF410,0)</f>
        <v/>
      </c>
      <c r="AQ410" s="43">
        <f>N410*(F410+G410)/H410</f>
        <v/>
      </c>
      <c r="AR410" s="43">
        <f>O410*AQ410</f>
        <v/>
      </c>
      <c r="AS410" s="52">
        <f>IF(AG410=1,IF(AQ410&gt;0,AF410/AQ410,1),IFERROR(INDEX(Types!$K:$K,MATCH($A410&amp;"|"&amp;$D410,Types!$A:$A,0)),INDEX(Dashboard!$X$6:$X$22,MATCH($A410,Dashboard!$A$6:$A$22,0))))</f>
        <v/>
      </c>
      <c r="AT410" s="43">
        <f>AQ410*INDEX(Dashboard!$Y$6:$Y$22,MATCH($A410,Dashboard!$A$6:$A$22,0))</f>
        <v/>
      </c>
      <c r="AU410" s="53">
        <f>IF(AND(AG410=1,AT410&gt;0,AF410&gt;0),100*AF410/AT410,"")</f>
        <v/>
      </c>
      <c r="AV410" s="44">
        <f>IF(AU410="","",T410/(AU410/100))</f>
        <v/>
      </c>
      <c r="AW410" s="53">
        <f>IF(AU410="","",IF(AND(ABS(AH410)&gt;=0.1,ABS(T410)&gt;=0.05,SIGN(AH410)=SIGN(T410)),100*T410/AH410,""))</f>
        <v/>
      </c>
      <c r="AX410" s="45">
        <f>IF(AU410="","",T410-AV410)</f>
        <v/>
      </c>
      <c r="AY410" s="45">
        <f>IF(AU410="","",AH410-AV410)</f>
        <v/>
      </c>
      <c r="AZ410" s="54">
        <f>(AL410-AM410)-T410*AT410</f>
        <v/>
      </c>
      <c r="BA410" s="43">
        <f>IF(AU410="",0,(AH410-T410)*AF410)</f>
        <v/>
      </c>
      <c r="BB410" s="43">
        <f>IF(AU410="",0,T410*(AF410-AT410))</f>
        <v/>
      </c>
      <c r="BC410" s="51" t="n">
        <v>0.008557351542916414</v>
      </c>
      <c r="BD410" s="51" t="n">
        <v>0.02339323741346388</v>
      </c>
      <c r="BE410" s="51" t="n">
        <v>0.308932073060568</v>
      </c>
      <c r="BF410" s="43" t="n">
        <v>127259</v>
      </c>
    </row>
    <row r="411">
      <c r="A411" s="42" t="inlineStr">
        <is>
          <t>ME</t>
        </is>
      </c>
      <c r="B411" s="42" t="inlineStr">
        <is>
          <t>23013</t>
        </is>
      </c>
      <c r="C411" s="42" t="inlineStr">
        <is>
          <t>Knox</t>
        </is>
      </c>
      <c r="D411" s="42" t="inlineStr">
        <is>
          <t>Small town &amp; rural</t>
        </is>
      </c>
      <c r="E411" s="42" t="inlineStr"/>
      <c r="F411" s="43" t="n">
        <v>15076</v>
      </c>
      <c r="G411" s="43" t="n">
        <v>10262</v>
      </c>
      <c r="H411" s="43" t="n">
        <v>25893</v>
      </c>
      <c r="I411" s="43" t="n">
        <v>15110</v>
      </c>
      <c r="J411" s="43" t="n">
        <v>9982</v>
      </c>
      <c r="K411" s="42" t="inlineStr">
        <is>
          <t>Governor</t>
        </is>
      </c>
      <c r="L411" s="43" t="n">
        <v>13441</v>
      </c>
      <c r="M411" s="43" t="n">
        <v>8430</v>
      </c>
      <c r="N411" s="43" t="n">
        <v>22256</v>
      </c>
      <c r="O411" s="44">
        <f>IFERROR((F411-G411)/(F411+G411),"")</f>
        <v/>
      </c>
      <c r="P411" s="44">
        <f>IFERROR((I411-J411)/(I411+J411),"")</f>
        <v/>
      </c>
      <c r="Q411" s="45">
        <f>IFERROR(O411-P411,"")</f>
        <v/>
      </c>
      <c r="R411" s="44">
        <f>IFERROR((L411-M411)/(L411+M411),"")</f>
        <v/>
      </c>
      <c r="S411" s="46">
        <f>H411/SUMIFS(Counties!$H$2:$H$1583,Counties!$A$2:$A$1583,$A411)</f>
        <v/>
      </c>
      <c r="T411" s="44">
        <f>O411+INDEX(Dashboard!$F$6:$F$22,MATCH($A411,Dashboard!$A$6:$A$22,0))</f>
        <v/>
      </c>
      <c r="U411" s="43">
        <f>AQ411*INDEX(Dashboard!$G$6:$G$22,MATCH($A411,Dashboard!$A$6:$A$22,0))</f>
        <v/>
      </c>
      <c r="V411" s="47" t="n"/>
      <c r="W411" s="47" t="n"/>
      <c r="X411" s="47" t="n"/>
      <c r="Y411" s="48" t="n"/>
      <c r="Z411" s="49" t="n"/>
      <c r="AA411" s="49" t="n"/>
      <c r="AB411" s="49" t="n"/>
      <c r="AC411" s="50" t="n"/>
      <c r="AD411" s="43">
        <f>IF(Z411&lt;&gt;"",Z411,N(V411))</f>
        <v/>
      </c>
      <c r="AE411" s="43">
        <f>IF(AA411&lt;&gt;"",AA411,N(W411))</f>
        <v/>
      </c>
      <c r="AF411" s="43">
        <f>AD411+AE411</f>
        <v/>
      </c>
      <c r="AG411" s="42">
        <f>IF(UPPER(AC411)="Y",1,IF(AF411=0,0,IF(AND(Z411="",Y411&lt;&gt;""),IF(Y411&gt;=0.999,1,0),IF(AF411&gt;=U411,1,0))))</f>
        <v/>
      </c>
      <c r="AH411" s="44">
        <f>IF(AF411&gt;0,(AD411-AE411)/AF411,"")</f>
        <v/>
      </c>
      <c r="AI411" s="45">
        <f>IF(AG411=1,AH411-O411,"")</f>
        <v/>
      </c>
      <c r="AJ411" s="44">
        <f>IF(AG411=1,AH411,MAX(-1,MIN(1,O411+INDEX(Types!$H:$H,MATCH($A411&amp;"|"&amp;$D411,Types!$A:$A,0)))))</f>
        <v/>
      </c>
      <c r="AK411" s="43">
        <f>IF(AG411=1,AF411,MAX(AQ411*AS411,AF411))</f>
        <v/>
      </c>
      <c r="AL411" s="43">
        <f>IF(AG411=1,AD411,AK411*(1+AJ411)/2)</f>
        <v/>
      </c>
      <c r="AM411" s="43">
        <f>IF(AG411=1,AE411,AK411*(1-AJ411)/2)</f>
        <v/>
      </c>
      <c r="AN411" s="45">
        <f>IF(AH411="","",AH411-T411)</f>
        <v/>
      </c>
      <c r="AO411" s="51">
        <f>IF(AG411=1,1,IF(U411&gt;0,MIN(AF411/U411,0.99),0))</f>
        <v/>
      </c>
      <c r="AP411" s="43">
        <f>IF(AG411=1,AI411*AF411,0)</f>
        <v/>
      </c>
      <c r="AQ411" s="43">
        <f>N411*(F411+G411)/H411</f>
        <v/>
      </c>
      <c r="AR411" s="43">
        <f>O411*AQ411</f>
        <v/>
      </c>
      <c r="AS411" s="52">
        <f>IF(AG411=1,IF(AQ411&gt;0,AF411/AQ411,1),IFERROR(INDEX(Types!$K:$K,MATCH($A411&amp;"|"&amp;$D411,Types!$A:$A,0)),INDEX(Dashboard!$X$6:$X$22,MATCH($A411,Dashboard!$A$6:$A$22,0))))</f>
        <v/>
      </c>
      <c r="AT411" s="43">
        <f>AQ411*INDEX(Dashboard!$Y$6:$Y$22,MATCH($A411,Dashboard!$A$6:$A$22,0))</f>
        <v/>
      </c>
      <c r="AU411" s="53">
        <f>IF(AND(AG411=1,AT411&gt;0,AF411&gt;0),100*AF411/AT411,"")</f>
        <v/>
      </c>
      <c r="AV411" s="44">
        <f>IF(AU411="","",T411/(AU411/100))</f>
        <v/>
      </c>
      <c r="AW411" s="53">
        <f>IF(AU411="","",IF(AND(ABS(AH411)&gt;=0.1,ABS(T411)&gt;=0.05,SIGN(AH411)=SIGN(T411)),100*T411/AH411,""))</f>
        <v/>
      </c>
      <c r="AX411" s="45">
        <f>IF(AU411="","",T411-AV411)</f>
        <v/>
      </c>
      <c r="AY411" s="45">
        <f>IF(AU411="","",AH411-AV411)</f>
        <v/>
      </c>
      <c r="AZ411" s="54">
        <f>(AL411-AM411)-T411*AT411</f>
        <v/>
      </c>
      <c r="BA411" s="43">
        <f>IF(AU411="",0,(AH411-T411)*AF411)</f>
        <v/>
      </c>
      <c r="BB411" s="43">
        <f>IF(AU411="",0,T411*(AF411-AT411))</f>
        <v/>
      </c>
      <c r="BC411" s="51" t="n">
        <v>0.008687800473436319</v>
      </c>
      <c r="BD411" s="51" t="n">
        <v>0.02003562974351466</v>
      </c>
      <c r="BE411" s="51" t="n">
        <v>0.3910289061505157</v>
      </c>
      <c r="BF411" s="43" t="n">
        <v>40977</v>
      </c>
    </row>
    <row r="412">
      <c r="A412" s="42" t="inlineStr">
        <is>
          <t>ME</t>
        </is>
      </c>
      <c r="B412" s="42" t="inlineStr">
        <is>
          <t>23015</t>
        </is>
      </c>
      <c r="C412" s="42" t="inlineStr">
        <is>
          <t>Lincoln</t>
        </is>
      </c>
      <c r="D412" s="42" t="inlineStr">
        <is>
          <t>Small town &amp; rural</t>
        </is>
      </c>
      <c r="E412" s="42" t="inlineStr"/>
      <c r="F412" s="43" t="n">
        <v>13110</v>
      </c>
      <c r="G412" s="43" t="n">
        <v>10409</v>
      </c>
      <c r="H412" s="43" t="n">
        <v>24003</v>
      </c>
      <c r="I412" s="43" t="n">
        <v>12684</v>
      </c>
      <c r="J412" s="43" t="n">
        <v>10256</v>
      </c>
      <c r="K412" s="42" t="inlineStr">
        <is>
          <t>Governor</t>
        </is>
      </c>
      <c r="L412" s="43" t="n">
        <v>11853</v>
      </c>
      <c r="M412" s="43" t="n">
        <v>8744</v>
      </c>
      <c r="N412" s="43" t="n">
        <v>20946</v>
      </c>
      <c r="O412" s="44">
        <f>IFERROR((F412-G412)/(F412+G412),"")</f>
        <v/>
      </c>
      <c r="P412" s="44">
        <f>IFERROR((I412-J412)/(I412+J412),"")</f>
        <v/>
      </c>
      <c r="Q412" s="45">
        <f>IFERROR(O412-P412,"")</f>
        <v/>
      </c>
      <c r="R412" s="44">
        <f>IFERROR((L412-M412)/(L412+M412),"")</f>
        <v/>
      </c>
      <c r="S412" s="46">
        <f>H412/SUMIFS(Counties!$H$2:$H$1583,Counties!$A$2:$A$1583,$A412)</f>
        <v/>
      </c>
      <c r="T412" s="44">
        <f>O412+INDEX(Dashboard!$F$6:$F$22,MATCH($A412,Dashboard!$A$6:$A$22,0))</f>
        <v/>
      </c>
      <c r="U412" s="43">
        <f>AQ412*INDEX(Dashboard!$G$6:$G$22,MATCH($A412,Dashboard!$A$6:$A$22,0))</f>
        <v/>
      </c>
      <c r="V412" s="47" t="n"/>
      <c r="W412" s="47" t="n"/>
      <c r="X412" s="47" t="n"/>
      <c r="Y412" s="48" t="n"/>
      <c r="Z412" s="49" t="n"/>
      <c r="AA412" s="49" t="n"/>
      <c r="AB412" s="49" t="n"/>
      <c r="AC412" s="50" t="n"/>
      <c r="AD412" s="43">
        <f>IF(Z412&lt;&gt;"",Z412,N(V412))</f>
        <v/>
      </c>
      <c r="AE412" s="43">
        <f>IF(AA412&lt;&gt;"",AA412,N(W412))</f>
        <v/>
      </c>
      <c r="AF412" s="43">
        <f>AD412+AE412</f>
        <v/>
      </c>
      <c r="AG412" s="42">
        <f>IF(UPPER(AC412)="Y",1,IF(AF412=0,0,IF(AND(Z412="",Y412&lt;&gt;""),IF(Y412&gt;=0.999,1,0),IF(AF412&gt;=U412,1,0))))</f>
        <v/>
      </c>
      <c r="AH412" s="44">
        <f>IF(AF412&gt;0,(AD412-AE412)/AF412,"")</f>
        <v/>
      </c>
      <c r="AI412" s="45">
        <f>IF(AG412=1,AH412-O412,"")</f>
        <v/>
      </c>
      <c r="AJ412" s="44">
        <f>IF(AG412=1,AH412,MAX(-1,MIN(1,O412+INDEX(Types!$H:$H,MATCH($A412&amp;"|"&amp;$D412,Types!$A:$A,0)))))</f>
        <v/>
      </c>
      <c r="AK412" s="43">
        <f>IF(AG412=1,AF412,MAX(AQ412*AS412,AF412))</f>
        <v/>
      </c>
      <c r="AL412" s="43">
        <f>IF(AG412=1,AD412,AK412*(1+AJ412)/2)</f>
        <v/>
      </c>
      <c r="AM412" s="43">
        <f>IF(AG412=1,AE412,AK412*(1-AJ412)/2)</f>
        <v/>
      </c>
      <c r="AN412" s="45">
        <f>IF(AH412="","",AH412-T412)</f>
        <v/>
      </c>
      <c r="AO412" s="51">
        <f>IF(AG412=1,1,IF(U412&gt;0,MIN(AF412/U412,0.99),0))</f>
        <v/>
      </c>
      <c r="AP412" s="43">
        <f>IF(AG412=1,AI412*AF412,0)</f>
        <v/>
      </c>
      <c r="AQ412" s="43">
        <f>N412*(F412+G412)/H412</f>
        <v/>
      </c>
      <c r="AR412" s="43">
        <f>O412*AQ412</f>
        <v/>
      </c>
      <c r="AS412" s="52">
        <f>IF(AG412=1,IF(AQ412&gt;0,AF412/AQ412,1),IFERROR(INDEX(Types!$K:$K,MATCH($A412&amp;"|"&amp;$D412,Types!$A:$A,0)),INDEX(Dashboard!$X$6:$X$22,MATCH($A412,Dashboard!$A$6:$A$22,0))))</f>
        <v/>
      </c>
      <c r="AT412" s="43">
        <f>AQ412*INDEX(Dashboard!$Y$6:$Y$22,MATCH($A412,Dashboard!$A$6:$A$22,0))</f>
        <v/>
      </c>
      <c r="AU412" s="53">
        <f>IF(AND(AG412=1,AT412&gt;0,AF412&gt;0),100*AF412/AT412,"")</f>
        <v/>
      </c>
      <c r="AV412" s="44">
        <f>IF(AU412="","",T412/(AU412/100))</f>
        <v/>
      </c>
      <c r="AW412" s="53">
        <f>IF(AU412="","",IF(AND(ABS(AH412)&gt;=0.1,ABS(T412)&gt;=0.05,SIGN(AH412)=SIGN(T412)),100*T412/AH412,""))</f>
        <v/>
      </c>
      <c r="AX412" s="45">
        <f>IF(AU412="","",T412-AV412)</f>
        <v/>
      </c>
      <c r="AY412" s="45">
        <f>IF(AU412="","",AH412-AV412)</f>
        <v/>
      </c>
      <c r="AZ412" s="54">
        <f>(AL412-AM412)-T412*AT412</f>
        <v/>
      </c>
      <c r="BA412" s="43">
        <f>IF(AU412="",0,(AH412-T412)*AF412)</f>
        <v/>
      </c>
      <c r="BB412" s="43">
        <f>IF(AU412="",0,T412*(AF412-AT412))</f>
        <v/>
      </c>
      <c r="BC412" s="51" t="n">
        <v>0.008025858054619662</v>
      </c>
      <c r="BD412" s="51" t="n">
        <v>0.01468211575862164</v>
      </c>
      <c r="BE412" s="51" t="n">
        <v>0.4003759398496241</v>
      </c>
      <c r="BF412" s="43" t="n">
        <v>36507</v>
      </c>
    </row>
    <row r="413">
      <c r="A413" s="42" t="inlineStr">
        <is>
          <t>ME</t>
        </is>
      </c>
      <c r="B413" s="42" t="inlineStr">
        <is>
          <t>23017</t>
        </is>
      </c>
      <c r="C413" s="42" t="inlineStr">
        <is>
          <t>Oxford</t>
        </is>
      </c>
      <c r="D413" s="42" t="inlineStr">
        <is>
          <t>Small town &amp; rural</t>
        </is>
      </c>
      <c r="E413" s="42" t="inlineStr"/>
      <c r="F413" s="43" t="n">
        <v>14765</v>
      </c>
      <c r="G413" s="43" t="n">
        <v>19228</v>
      </c>
      <c r="H413" s="43" t="n">
        <v>34590</v>
      </c>
      <c r="I413" s="43" t="n">
        <v>14755</v>
      </c>
      <c r="J413" s="43" t="n">
        <v>17698</v>
      </c>
      <c r="K413" s="42" t="inlineStr">
        <is>
          <t>Governor</t>
        </is>
      </c>
      <c r="L413" s="43" t="n">
        <v>12875</v>
      </c>
      <c r="M413" s="43" t="n">
        <v>14229</v>
      </c>
      <c r="N413" s="43" t="n">
        <v>27735</v>
      </c>
      <c r="O413" s="44">
        <f>IFERROR((F413-G413)/(F413+G413),"")</f>
        <v/>
      </c>
      <c r="P413" s="44">
        <f>IFERROR((I413-J413)/(I413+J413),"")</f>
        <v/>
      </c>
      <c r="Q413" s="45">
        <f>IFERROR(O413-P413,"")</f>
        <v/>
      </c>
      <c r="R413" s="44">
        <f>IFERROR((L413-M413)/(L413+M413),"")</f>
        <v/>
      </c>
      <c r="S413" s="46">
        <f>H413/SUMIFS(Counties!$H$2:$H$1583,Counties!$A$2:$A$1583,$A413)</f>
        <v/>
      </c>
      <c r="T413" s="44">
        <f>O413+INDEX(Dashboard!$F$6:$F$22,MATCH($A413,Dashboard!$A$6:$A$22,0))</f>
        <v/>
      </c>
      <c r="U413" s="43">
        <f>AQ413*INDEX(Dashboard!$G$6:$G$22,MATCH($A413,Dashboard!$A$6:$A$22,0))</f>
        <v/>
      </c>
      <c r="V413" s="47" t="n"/>
      <c r="W413" s="47" t="n"/>
      <c r="X413" s="47" t="n"/>
      <c r="Y413" s="48" t="n"/>
      <c r="Z413" s="49" t="n"/>
      <c r="AA413" s="49" t="n"/>
      <c r="AB413" s="49" t="n"/>
      <c r="AC413" s="50" t="n"/>
      <c r="AD413" s="43">
        <f>IF(Z413&lt;&gt;"",Z413,N(V413))</f>
        <v/>
      </c>
      <c r="AE413" s="43">
        <f>IF(AA413&lt;&gt;"",AA413,N(W413))</f>
        <v/>
      </c>
      <c r="AF413" s="43">
        <f>AD413+AE413</f>
        <v/>
      </c>
      <c r="AG413" s="42">
        <f>IF(UPPER(AC413)="Y",1,IF(AF413=0,0,IF(AND(Z413="",Y413&lt;&gt;""),IF(Y413&gt;=0.999,1,0),IF(AF413&gt;=U413,1,0))))</f>
        <v/>
      </c>
      <c r="AH413" s="44">
        <f>IF(AF413&gt;0,(AD413-AE413)/AF413,"")</f>
        <v/>
      </c>
      <c r="AI413" s="45">
        <f>IF(AG413=1,AH413-O413,"")</f>
        <v/>
      </c>
      <c r="AJ413" s="44">
        <f>IF(AG413=1,AH413,MAX(-1,MIN(1,O413+INDEX(Types!$H:$H,MATCH($A413&amp;"|"&amp;$D413,Types!$A:$A,0)))))</f>
        <v/>
      </c>
      <c r="AK413" s="43">
        <f>IF(AG413=1,AF413,MAX(AQ413*AS413,AF413))</f>
        <v/>
      </c>
      <c r="AL413" s="43">
        <f>IF(AG413=1,AD413,AK413*(1+AJ413)/2)</f>
        <v/>
      </c>
      <c r="AM413" s="43">
        <f>IF(AG413=1,AE413,AK413*(1-AJ413)/2)</f>
        <v/>
      </c>
      <c r="AN413" s="45">
        <f>IF(AH413="","",AH413-T413)</f>
        <v/>
      </c>
      <c r="AO413" s="51">
        <f>IF(AG413=1,1,IF(U413&gt;0,MIN(AF413/U413,0.99),0))</f>
        <v/>
      </c>
      <c r="AP413" s="43">
        <f>IF(AG413=1,AI413*AF413,0)</f>
        <v/>
      </c>
      <c r="AQ413" s="43">
        <f>N413*(F413+G413)/H413</f>
        <v/>
      </c>
      <c r="AR413" s="43">
        <f>O413*AQ413</f>
        <v/>
      </c>
      <c r="AS413" s="52">
        <f>IF(AG413=1,IF(AQ413&gt;0,AF413/AQ413,1),IFERROR(INDEX(Types!$K:$K,MATCH($A413&amp;"|"&amp;$D413,Types!$A:$A,0)),INDEX(Dashboard!$X$6:$X$22,MATCH($A413,Dashboard!$A$6:$A$22,0))))</f>
        <v/>
      </c>
      <c r="AT413" s="43">
        <f>AQ413*INDEX(Dashboard!$Y$6:$Y$22,MATCH($A413,Dashboard!$A$6:$A$22,0))</f>
        <v/>
      </c>
      <c r="AU413" s="53">
        <f>IF(AND(AG413=1,AT413&gt;0,AF413&gt;0),100*AF413/AT413,"")</f>
        <v/>
      </c>
      <c r="AV413" s="44">
        <f>IF(AU413="","",T413/(AU413/100))</f>
        <v/>
      </c>
      <c r="AW413" s="53">
        <f>IF(AU413="","",IF(AND(ABS(AH413)&gt;=0.1,ABS(T413)&gt;=0.05,SIGN(AH413)=SIGN(T413)),100*T413/AH413,""))</f>
        <v/>
      </c>
      <c r="AX413" s="45">
        <f>IF(AU413="","",T413-AV413)</f>
        <v/>
      </c>
      <c r="AY413" s="45">
        <f>IF(AU413="","",AH413-AV413)</f>
        <v/>
      </c>
      <c r="AZ413" s="54">
        <f>(AL413-AM413)-T413*AT413</f>
        <v/>
      </c>
      <c r="BA413" s="43">
        <f>IF(AU413="",0,(AH413-T413)*AF413)</f>
        <v/>
      </c>
      <c r="BB413" s="43">
        <f>IF(AU413="",0,T413*(AF413-AT413))</f>
        <v/>
      </c>
      <c r="BC413" s="51" t="n">
        <v>0.006009515065520408</v>
      </c>
      <c r="BD413" s="51" t="n">
        <v>0.01767799015107253</v>
      </c>
      <c r="BE413" s="51" t="n">
        <v>0.2249882468826255</v>
      </c>
      <c r="BF413" s="43" t="n">
        <v>59905</v>
      </c>
    </row>
    <row r="414">
      <c r="A414" s="42" t="inlineStr">
        <is>
          <t>ME</t>
        </is>
      </c>
      <c r="B414" s="42" t="inlineStr">
        <is>
          <t>23019</t>
        </is>
      </c>
      <c r="C414" s="42" t="inlineStr">
        <is>
          <t>Penobscot</t>
        </is>
      </c>
      <c r="D414" s="42" t="inlineStr">
        <is>
          <t>Mid-size/working metro</t>
        </is>
      </c>
      <c r="E414" s="42" t="inlineStr">
        <is>
          <t>★</t>
        </is>
      </c>
      <c r="F414" s="43" t="n">
        <v>37945</v>
      </c>
      <c r="G414" s="43" t="n">
        <v>47438</v>
      </c>
      <c r="H414" s="43" t="n">
        <v>87073</v>
      </c>
      <c r="I414" s="43" t="n">
        <v>37713</v>
      </c>
      <c r="J414" s="43" t="n">
        <v>44825</v>
      </c>
      <c r="K414" s="42" t="inlineStr">
        <is>
          <t>Governor</t>
        </is>
      </c>
      <c r="L414" s="43" t="n">
        <v>31845</v>
      </c>
      <c r="M414" s="43" t="n">
        <v>35499</v>
      </c>
      <c r="N414" s="43" t="n">
        <v>68647</v>
      </c>
      <c r="O414" s="44">
        <f>IFERROR((F414-G414)/(F414+G414),"")</f>
        <v/>
      </c>
      <c r="P414" s="44">
        <f>IFERROR((I414-J414)/(I414+J414),"")</f>
        <v/>
      </c>
      <c r="Q414" s="45">
        <f>IFERROR(O414-P414,"")</f>
        <v/>
      </c>
      <c r="R414" s="44">
        <f>IFERROR((L414-M414)/(L414+M414),"")</f>
        <v/>
      </c>
      <c r="S414" s="46">
        <f>H414/SUMIFS(Counties!$H$2:$H$1583,Counties!$A$2:$A$1583,$A414)</f>
        <v/>
      </c>
      <c r="T414" s="44">
        <f>O414+INDEX(Dashboard!$F$6:$F$22,MATCH($A414,Dashboard!$A$6:$A$22,0))</f>
        <v/>
      </c>
      <c r="U414" s="43">
        <f>AQ414*INDEX(Dashboard!$G$6:$G$22,MATCH($A414,Dashboard!$A$6:$A$22,0))</f>
        <v/>
      </c>
      <c r="V414" s="47" t="n"/>
      <c r="W414" s="47" t="n"/>
      <c r="X414" s="47" t="n"/>
      <c r="Y414" s="48" t="n"/>
      <c r="Z414" s="49" t="n"/>
      <c r="AA414" s="49" t="n"/>
      <c r="AB414" s="49" t="n"/>
      <c r="AC414" s="50" t="n"/>
      <c r="AD414" s="43">
        <f>IF(Z414&lt;&gt;"",Z414,N(V414))</f>
        <v/>
      </c>
      <c r="AE414" s="43">
        <f>IF(AA414&lt;&gt;"",AA414,N(W414))</f>
        <v/>
      </c>
      <c r="AF414" s="43">
        <f>AD414+AE414</f>
        <v/>
      </c>
      <c r="AG414" s="42">
        <f>IF(UPPER(AC414)="Y",1,IF(AF414=0,0,IF(AND(Z414="",Y414&lt;&gt;""),IF(Y414&gt;=0.999,1,0),IF(AF414&gt;=U414,1,0))))</f>
        <v/>
      </c>
      <c r="AH414" s="44">
        <f>IF(AF414&gt;0,(AD414-AE414)/AF414,"")</f>
        <v/>
      </c>
      <c r="AI414" s="45">
        <f>IF(AG414=1,AH414-O414,"")</f>
        <v/>
      </c>
      <c r="AJ414" s="44">
        <f>IF(AG414=1,AH414,MAX(-1,MIN(1,O414+INDEX(Types!$H:$H,MATCH($A414&amp;"|"&amp;$D414,Types!$A:$A,0)))))</f>
        <v/>
      </c>
      <c r="AK414" s="43">
        <f>IF(AG414=1,AF414,MAX(AQ414*AS414,AF414))</f>
        <v/>
      </c>
      <c r="AL414" s="43">
        <f>IF(AG414=1,AD414,AK414*(1+AJ414)/2)</f>
        <v/>
      </c>
      <c r="AM414" s="43">
        <f>IF(AG414=1,AE414,AK414*(1-AJ414)/2)</f>
        <v/>
      </c>
      <c r="AN414" s="45">
        <f>IF(AH414="","",AH414-T414)</f>
        <v/>
      </c>
      <c r="AO414" s="51">
        <f>IF(AG414=1,1,IF(U414&gt;0,MIN(AF414/U414,0.99),0))</f>
        <v/>
      </c>
      <c r="AP414" s="43">
        <f>IF(AG414=1,AI414*AF414,0)</f>
        <v/>
      </c>
      <c r="AQ414" s="43">
        <f>N414*(F414+G414)/H414</f>
        <v/>
      </c>
      <c r="AR414" s="43">
        <f>O414*AQ414</f>
        <v/>
      </c>
      <c r="AS414" s="52">
        <f>IF(AG414=1,IF(AQ414&gt;0,AF414/AQ414,1),IFERROR(INDEX(Types!$K:$K,MATCH($A414&amp;"|"&amp;$D414,Types!$A:$A,0)),INDEX(Dashboard!$X$6:$X$22,MATCH($A414,Dashboard!$A$6:$A$22,0))))</f>
        <v/>
      </c>
      <c r="AT414" s="43">
        <f>AQ414*INDEX(Dashboard!$Y$6:$Y$22,MATCH($A414,Dashboard!$A$6:$A$22,0))</f>
        <v/>
      </c>
      <c r="AU414" s="53">
        <f>IF(AND(AG414=1,AT414&gt;0,AF414&gt;0),100*AF414/AT414,"")</f>
        <v/>
      </c>
      <c r="AV414" s="44">
        <f>IF(AU414="","",T414/(AU414/100))</f>
        <v/>
      </c>
      <c r="AW414" s="53">
        <f>IF(AU414="","",IF(AND(ABS(AH414)&gt;=0.1,ABS(T414)&gt;=0.05,SIGN(AH414)=SIGN(T414)),100*T414/AH414,""))</f>
        <v/>
      </c>
      <c r="AX414" s="45">
        <f>IF(AU414="","",T414-AV414)</f>
        <v/>
      </c>
      <c r="AY414" s="45">
        <f>IF(AU414="","",AH414-AV414)</f>
        <v/>
      </c>
      <c r="AZ414" s="54">
        <f>(AL414-AM414)-T414*AT414</f>
        <v/>
      </c>
      <c r="BA414" s="43">
        <f>IF(AU414="",0,(AH414-T414)*AF414)</f>
        <v/>
      </c>
      <c r="BB414" s="43">
        <f>IF(AU414="",0,T414*(AF414-AT414))</f>
        <v/>
      </c>
      <c r="BC414" s="51" t="n">
        <v>0.01089420006181106</v>
      </c>
      <c r="BD414" s="51" t="n">
        <v>0.02175620686102812</v>
      </c>
      <c r="BE414" s="51" t="n">
        <v>0.3047624202729889</v>
      </c>
      <c r="BF414" s="43" t="n">
        <v>155312</v>
      </c>
    </row>
    <row r="415">
      <c r="A415" s="42" t="inlineStr">
        <is>
          <t>ME</t>
        </is>
      </c>
      <c r="B415" s="42" t="inlineStr">
        <is>
          <t>23021</t>
        </is>
      </c>
      <c r="C415" s="42" t="inlineStr">
        <is>
          <t>Piscataquis</t>
        </is>
      </c>
      <c r="D415" s="42" t="inlineStr">
        <is>
          <t>Small town &amp; rural</t>
        </is>
      </c>
      <c r="E415" s="42" t="inlineStr"/>
      <c r="F415" s="43" t="n">
        <v>3510</v>
      </c>
      <c r="G415" s="43" t="n">
        <v>6487</v>
      </c>
      <c r="H415" s="43" t="n">
        <v>10205</v>
      </c>
      <c r="I415" s="43" t="n">
        <v>3517</v>
      </c>
      <c r="J415" s="43" t="n">
        <v>6143</v>
      </c>
      <c r="K415" s="42" t="inlineStr">
        <is>
          <t>Governor</t>
        </is>
      </c>
      <c r="L415" s="43" t="n">
        <v>3098</v>
      </c>
      <c r="M415" s="43" t="n">
        <v>4960</v>
      </c>
      <c r="N415" s="43" t="n">
        <v>8216</v>
      </c>
      <c r="O415" s="44">
        <f>IFERROR((F415-G415)/(F415+G415),"")</f>
        <v/>
      </c>
      <c r="P415" s="44">
        <f>IFERROR((I415-J415)/(I415+J415),"")</f>
        <v/>
      </c>
      <c r="Q415" s="45">
        <f>IFERROR(O415-P415,"")</f>
        <v/>
      </c>
      <c r="R415" s="44">
        <f>IFERROR((L415-M415)/(L415+M415),"")</f>
        <v/>
      </c>
      <c r="S415" s="46">
        <f>H415/SUMIFS(Counties!$H$2:$H$1583,Counties!$A$2:$A$1583,$A415)</f>
        <v/>
      </c>
      <c r="T415" s="44">
        <f>O415+INDEX(Dashboard!$F$6:$F$22,MATCH($A415,Dashboard!$A$6:$A$22,0))</f>
        <v/>
      </c>
      <c r="U415" s="43">
        <f>AQ415*INDEX(Dashboard!$G$6:$G$22,MATCH($A415,Dashboard!$A$6:$A$22,0))</f>
        <v/>
      </c>
      <c r="V415" s="47" t="n"/>
      <c r="W415" s="47" t="n"/>
      <c r="X415" s="47" t="n"/>
      <c r="Y415" s="48" t="n"/>
      <c r="Z415" s="49" t="n"/>
      <c r="AA415" s="49" t="n"/>
      <c r="AB415" s="49" t="n"/>
      <c r="AC415" s="50" t="n"/>
      <c r="AD415" s="43">
        <f>IF(Z415&lt;&gt;"",Z415,N(V415))</f>
        <v/>
      </c>
      <c r="AE415" s="43">
        <f>IF(AA415&lt;&gt;"",AA415,N(W415))</f>
        <v/>
      </c>
      <c r="AF415" s="43">
        <f>AD415+AE415</f>
        <v/>
      </c>
      <c r="AG415" s="42">
        <f>IF(UPPER(AC415)="Y",1,IF(AF415=0,0,IF(AND(Z415="",Y415&lt;&gt;""),IF(Y415&gt;=0.999,1,0),IF(AF415&gt;=U415,1,0))))</f>
        <v/>
      </c>
      <c r="AH415" s="44">
        <f>IF(AF415&gt;0,(AD415-AE415)/AF415,"")</f>
        <v/>
      </c>
      <c r="AI415" s="45">
        <f>IF(AG415=1,AH415-O415,"")</f>
        <v/>
      </c>
      <c r="AJ415" s="44">
        <f>IF(AG415=1,AH415,MAX(-1,MIN(1,O415+INDEX(Types!$H:$H,MATCH($A415&amp;"|"&amp;$D415,Types!$A:$A,0)))))</f>
        <v/>
      </c>
      <c r="AK415" s="43">
        <f>IF(AG415=1,AF415,MAX(AQ415*AS415,AF415))</f>
        <v/>
      </c>
      <c r="AL415" s="43">
        <f>IF(AG415=1,AD415,AK415*(1+AJ415)/2)</f>
        <v/>
      </c>
      <c r="AM415" s="43">
        <f>IF(AG415=1,AE415,AK415*(1-AJ415)/2)</f>
        <v/>
      </c>
      <c r="AN415" s="45">
        <f>IF(AH415="","",AH415-T415)</f>
        <v/>
      </c>
      <c r="AO415" s="51">
        <f>IF(AG415=1,1,IF(U415&gt;0,MIN(AF415/U415,0.99),0))</f>
        <v/>
      </c>
      <c r="AP415" s="43">
        <f>IF(AG415=1,AI415*AF415,0)</f>
        <v/>
      </c>
      <c r="AQ415" s="43">
        <f>N415*(F415+G415)/H415</f>
        <v/>
      </c>
      <c r="AR415" s="43">
        <f>O415*AQ415</f>
        <v/>
      </c>
      <c r="AS415" s="52">
        <f>IF(AG415=1,IF(AQ415&gt;0,AF415/AQ415,1),IFERROR(INDEX(Types!$K:$K,MATCH($A415&amp;"|"&amp;$D415,Types!$A:$A,0)),INDEX(Dashboard!$X$6:$X$22,MATCH($A415,Dashboard!$A$6:$A$22,0))))</f>
        <v/>
      </c>
      <c r="AT415" s="43">
        <f>AQ415*INDEX(Dashboard!$Y$6:$Y$22,MATCH($A415,Dashboard!$A$6:$A$22,0))</f>
        <v/>
      </c>
      <c r="AU415" s="53">
        <f>IF(AND(AG415=1,AT415&gt;0,AF415&gt;0),100*AF415/AT415,"")</f>
        <v/>
      </c>
      <c r="AV415" s="44">
        <f>IF(AU415="","",T415/(AU415/100))</f>
        <v/>
      </c>
      <c r="AW415" s="53">
        <f>IF(AU415="","",IF(AND(ABS(AH415)&gt;=0.1,ABS(T415)&gt;=0.05,SIGN(AH415)=SIGN(T415)),100*T415/AH415,""))</f>
        <v/>
      </c>
      <c r="AX415" s="45">
        <f>IF(AU415="","",T415-AV415)</f>
        <v/>
      </c>
      <c r="AY415" s="45">
        <f>IF(AU415="","",AH415-AV415)</f>
        <v/>
      </c>
      <c r="AZ415" s="54">
        <f>(AL415-AM415)-T415*AT415</f>
        <v/>
      </c>
      <c r="BA415" s="43">
        <f>IF(AU415="",0,(AH415-T415)*AF415)</f>
        <v/>
      </c>
      <c r="BB415" s="43">
        <f>IF(AU415="",0,T415*(AF415-AT415))</f>
        <v/>
      </c>
      <c r="BC415" s="51" t="n">
        <v>0.006633878531396546</v>
      </c>
      <c r="BD415" s="51" t="n">
        <v>0.02093103053871669</v>
      </c>
      <c r="BE415" s="51" t="n">
        <v>0.2180696931421354</v>
      </c>
      <c r="BF415" s="43" t="n">
        <v>17486</v>
      </c>
    </row>
    <row r="416">
      <c r="A416" s="42" t="inlineStr">
        <is>
          <t>ME</t>
        </is>
      </c>
      <c r="B416" s="42" t="inlineStr">
        <is>
          <t>23023</t>
        </is>
      </c>
      <c r="C416" s="42" t="inlineStr">
        <is>
          <t>Sagadahoc</t>
        </is>
      </c>
      <c r="D416" s="42" t="inlineStr">
        <is>
          <t>Small town &amp; rural</t>
        </is>
      </c>
      <c r="E416" s="42" t="inlineStr"/>
      <c r="F416" s="43" t="n">
        <v>13982</v>
      </c>
      <c r="G416" s="43" t="n">
        <v>9917</v>
      </c>
      <c r="H416" s="43" t="n">
        <v>24456</v>
      </c>
      <c r="I416" s="43" t="n">
        <v>13528</v>
      </c>
      <c r="J416" s="43" t="n">
        <v>9755</v>
      </c>
      <c r="K416" s="42" t="inlineStr">
        <is>
          <t>Governor</t>
        </is>
      </c>
      <c r="L416" s="43" t="n">
        <v>12414</v>
      </c>
      <c r="M416" s="43" t="n">
        <v>8049</v>
      </c>
      <c r="N416" s="43" t="n">
        <v>20842</v>
      </c>
      <c r="O416" s="44">
        <f>IFERROR((F416-G416)/(F416+G416),"")</f>
        <v/>
      </c>
      <c r="P416" s="44">
        <f>IFERROR((I416-J416)/(I416+J416),"")</f>
        <v/>
      </c>
      <c r="Q416" s="45">
        <f>IFERROR(O416-P416,"")</f>
        <v/>
      </c>
      <c r="R416" s="44">
        <f>IFERROR((L416-M416)/(L416+M416),"")</f>
        <v/>
      </c>
      <c r="S416" s="46">
        <f>H416/SUMIFS(Counties!$H$2:$H$1583,Counties!$A$2:$A$1583,$A416)</f>
        <v/>
      </c>
      <c r="T416" s="44">
        <f>O416+INDEX(Dashboard!$F$6:$F$22,MATCH($A416,Dashboard!$A$6:$A$22,0))</f>
        <v/>
      </c>
      <c r="U416" s="43">
        <f>AQ416*INDEX(Dashboard!$G$6:$G$22,MATCH($A416,Dashboard!$A$6:$A$22,0))</f>
        <v/>
      </c>
      <c r="V416" s="47" t="n"/>
      <c r="W416" s="47" t="n"/>
      <c r="X416" s="47" t="n"/>
      <c r="Y416" s="48" t="n"/>
      <c r="Z416" s="49" t="n"/>
      <c r="AA416" s="49" t="n"/>
      <c r="AB416" s="49" t="n"/>
      <c r="AC416" s="50" t="n"/>
      <c r="AD416" s="43">
        <f>IF(Z416&lt;&gt;"",Z416,N(V416))</f>
        <v/>
      </c>
      <c r="AE416" s="43">
        <f>IF(AA416&lt;&gt;"",AA416,N(W416))</f>
        <v/>
      </c>
      <c r="AF416" s="43">
        <f>AD416+AE416</f>
        <v/>
      </c>
      <c r="AG416" s="42">
        <f>IF(UPPER(AC416)="Y",1,IF(AF416=0,0,IF(AND(Z416="",Y416&lt;&gt;""),IF(Y416&gt;=0.999,1,0),IF(AF416&gt;=U416,1,0))))</f>
        <v/>
      </c>
      <c r="AH416" s="44">
        <f>IF(AF416&gt;0,(AD416-AE416)/AF416,"")</f>
        <v/>
      </c>
      <c r="AI416" s="45">
        <f>IF(AG416=1,AH416-O416,"")</f>
        <v/>
      </c>
      <c r="AJ416" s="44">
        <f>IF(AG416=1,AH416,MAX(-1,MIN(1,O416+INDEX(Types!$H:$H,MATCH($A416&amp;"|"&amp;$D416,Types!$A:$A,0)))))</f>
        <v/>
      </c>
      <c r="AK416" s="43">
        <f>IF(AG416=1,AF416,MAX(AQ416*AS416,AF416))</f>
        <v/>
      </c>
      <c r="AL416" s="43">
        <f>IF(AG416=1,AD416,AK416*(1+AJ416)/2)</f>
        <v/>
      </c>
      <c r="AM416" s="43">
        <f>IF(AG416=1,AE416,AK416*(1-AJ416)/2)</f>
        <v/>
      </c>
      <c r="AN416" s="45">
        <f>IF(AH416="","",AH416-T416)</f>
        <v/>
      </c>
      <c r="AO416" s="51">
        <f>IF(AG416=1,1,IF(U416&gt;0,MIN(AF416/U416,0.99),0))</f>
        <v/>
      </c>
      <c r="AP416" s="43">
        <f>IF(AG416=1,AI416*AF416,0)</f>
        <v/>
      </c>
      <c r="AQ416" s="43">
        <f>N416*(F416+G416)/H416</f>
        <v/>
      </c>
      <c r="AR416" s="43">
        <f>O416*AQ416</f>
        <v/>
      </c>
      <c r="AS416" s="52">
        <f>IF(AG416=1,IF(AQ416&gt;0,AF416/AQ416,1),IFERROR(INDEX(Types!$K:$K,MATCH($A416&amp;"|"&amp;$D416,Types!$A:$A,0)),INDEX(Dashboard!$X$6:$X$22,MATCH($A416,Dashboard!$A$6:$A$22,0))))</f>
        <v/>
      </c>
      <c r="AT416" s="43">
        <f>AQ416*INDEX(Dashboard!$Y$6:$Y$22,MATCH($A416,Dashboard!$A$6:$A$22,0))</f>
        <v/>
      </c>
      <c r="AU416" s="53">
        <f>IF(AND(AG416=1,AT416&gt;0,AF416&gt;0),100*AF416/AT416,"")</f>
        <v/>
      </c>
      <c r="AV416" s="44">
        <f>IF(AU416="","",T416/(AU416/100))</f>
        <v/>
      </c>
      <c r="AW416" s="53">
        <f>IF(AU416="","",IF(AND(ABS(AH416)&gt;=0.1,ABS(T416)&gt;=0.05,SIGN(AH416)=SIGN(T416)),100*T416/AH416,""))</f>
        <v/>
      </c>
      <c r="AX416" s="45">
        <f>IF(AU416="","",T416-AV416)</f>
        <v/>
      </c>
      <c r="AY416" s="45">
        <f>IF(AU416="","",AH416-AV416)</f>
        <v/>
      </c>
      <c r="AZ416" s="54">
        <f>(AL416-AM416)-T416*AT416</f>
        <v/>
      </c>
      <c r="BA416" s="43">
        <f>IF(AU416="",0,(AH416-T416)*AF416)</f>
        <v/>
      </c>
      <c r="BB416" s="43">
        <f>IF(AU416="",0,T416*(AF416-AT416))</f>
        <v/>
      </c>
      <c r="BC416" s="51" t="n">
        <v>0.009836589982139526</v>
      </c>
      <c r="BD416" s="51" t="n">
        <v>0.02095273638471996</v>
      </c>
      <c r="BE416" s="51" t="n">
        <v>0.4111319486217756</v>
      </c>
      <c r="BF416" s="43" t="n">
        <v>37513</v>
      </c>
    </row>
    <row r="417">
      <c r="A417" s="42" t="inlineStr">
        <is>
          <t>ME</t>
        </is>
      </c>
      <c r="B417" s="42" t="inlineStr">
        <is>
          <t>23025</t>
        </is>
      </c>
      <c r="C417" s="42" t="inlineStr">
        <is>
          <t>Somerset</t>
        </is>
      </c>
      <c r="D417" s="42" t="inlineStr">
        <is>
          <t>Small town &amp; rural</t>
        </is>
      </c>
      <c r="E417" s="42" t="inlineStr">
        <is>
          <t>★</t>
        </is>
      </c>
      <c r="F417" s="43" t="n">
        <v>10134</v>
      </c>
      <c r="G417" s="43" t="n">
        <v>17826</v>
      </c>
      <c r="H417" s="43" t="n">
        <v>28441</v>
      </c>
      <c r="I417" s="43" t="n">
        <v>10199</v>
      </c>
      <c r="J417" s="43" t="n">
        <v>16644</v>
      </c>
      <c r="K417" s="42" t="inlineStr">
        <is>
          <t>Governor</t>
        </is>
      </c>
      <c r="L417" s="43" t="n">
        <v>9083</v>
      </c>
      <c r="M417" s="43" t="n">
        <v>13233</v>
      </c>
      <c r="N417" s="43" t="n">
        <v>22816</v>
      </c>
      <c r="O417" s="44">
        <f>IFERROR((F417-G417)/(F417+G417),"")</f>
        <v/>
      </c>
      <c r="P417" s="44">
        <f>IFERROR((I417-J417)/(I417+J417),"")</f>
        <v/>
      </c>
      <c r="Q417" s="45">
        <f>IFERROR(O417-P417,"")</f>
        <v/>
      </c>
      <c r="R417" s="44">
        <f>IFERROR((L417-M417)/(L417+M417),"")</f>
        <v/>
      </c>
      <c r="S417" s="46">
        <f>H417/SUMIFS(Counties!$H$2:$H$1583,Counties!$A$2:$A$1583,$A417)</f>
        <v/>
      </c>
      <c r="T417" s="44">
        <f>O417+INDEX(Dashboard!$F$6:$F$22,MATCH($A417,Dashboard!$A$6:$A$22,0))</f>
        <v/>
      </c>
      <c r="U417" s="43">
        <f>AQ417*INDEX(Dashboard!$G$6:$G$22,MATCH($A417,Dashboard!$A$6:$A$22,0))</f>
        <v/>
      </c>
      <c r="V417" s="47" t="n"/>
      <c r="W417" s="47" t="n"/>
      <c r="X417" s="47" t="n"/>
      <c r="Y417" s="48" t="n"/>
      <c r="Z417" s="49" t="n"/>
      <c r="AA417" s="49" t="n"/>
      <c r="AB417" s="49" t="n"/>
      <c r="AC417" s="50" t="n"/>
      <c r="AD417" s="43">
        <f>IF(Z417&lt;&gt;"",Z417,N(V417))</f>
        <v/>
      </c>
      <c r="AE417" s="43">
        <f>IF(AA417&lt;&gt;"",AA417,N(W417))</f>
        <v/>
      </c>
      <c r="AF417" s="43">
        <f>AD417+AE417</f>
        <v/>
      </c>
      <c r="AG417" s="42">
        <f>IF(UPPER(AC417)="Y",1,IF(AF417=0,0,IF(AND(Z417="",Y417&lt;&gt;""),IF(Y417&gt;=0.999,1,0),IF(AF417&gt;=U417,1,0))))</f>
        <v/>
      </c>
      <c r="AH417" s="44">
        <f>IF(AF417&gt;0,(AD417-AE417)/AF417,"")</f>
        <v/>
      </c>
      <c r="AI417" s="45">
        <f>IF(AG417=1,AH417-O417,"")</f>
        <v/>
      </c>
      <c r="AJ417" s="44">
        <f>IF(AG417=1,AH417,MAX(-1,MIN(1,O417+INDEX(Types!$H:$H,MATCH($A417&amp;"|"&amp;$D417,Types!$A:$A,0)))))</f>
        <v/>
      </c>
      <c r="AK417" s="43">
        <f>IF(AG417=1,AF417,MAX(AQ417*AS417,AF417))</f>
        <v/>
      </c>
      <c r="AL417" s="43">
        <f>IF(AG417=1,AD417,AK417*(1+AJ417)/2)</f>
        <v/>
      </c>
      <c r="AM417" s="43">
        <f>IF(AG417=1,AE417,AK417*(1-AJ417)/2)</f>
        <v/>
      </c>
      <c r="AN417" s="45">
        <f>IF(AH417="","",AH417-T417)</f>
        <v/>
      </c>
      <c r="AO417" s="51">
        <f>IF(AG417=1,1,IF(U417&gt;0,MIN(AF417/U417,0.99),0))</f>
        <v/>
      </c>
      <c r="AP417" s="43">
        <f>IF(AG417=1,AI417*AF417,0)</f>
        <v/>
      </c>
      <c r="AQ417" s="43">
        <f>N417*(F417+G417)/H417</f>
        <v/>
      </c>
      <c r="AR417" s="43">
        <f>O417*AQ417</f>
        <v/>
      </c>
      <c r="AS417" s="52">
        <f>IF(AG417=1,IF(AQ417&gt;0,AF417/AQ417,1),IFERROR(INDEX(Types!$K:$K,MATCH($A417&amp;"|"&amp;$D417,Types!$A:$A,0)),INDEX(Dashboard!$X$6:$X$22,MATCH($A417,Dashboard!$A$6:$A$22,0))))</f>
        <v/>
      </c>
      <c r="AT417" s="43">
        <f>AQ417*INDEX(Dashboard!$Y$6:$Y$22,MATCH($A417,Dashboard!$A$6:$A$22,0))</f>
        <v/>
      </c>
      <c r="AU417" s="53">
        <f>IF(AND(AG417=1,AT417&gt;0,AF417&gt;0),100*AF417/AT417,"")</f>
        <v/>
      </c>
      <c r="AV417" s="44">
        <f>IF(AU417="","",T417/(AU417/100))</f>
        <v/>
      </c>
      <c r="AW417" s="53">
        <f>IF(AU417="","",IF(AND(ABS(AH417)&gt;=0.1,ABS(T417)&gt;=0.05,SIGN(AH417)=SIGN(T417)),100*T417/AH417,""))</f>
        <v/>
      </c>
      <c r="AX417" s="45">
        <f>IF(AU417="","",T417-AV417)</f>
        <v/>
      </c>
      <c r="AY417" s="45">
        <f>IF(AU417="","",AH417-AV417)</f>
        <v/>
      </c>
      <c r="AZ417" s="54">
        <f>(AL417-AM417)-T417*AT417</f>
        <v/>
      </c>
      <c r="BA417" s="43">
        <f>IF(AU417="",0,(AH417-T417)*AF417)</f>
        <v/>
      </c>
      <c r="BB417" s="43">
        <f>IF(AU417="",0,T417*(AF417-AT417))</f>
        <v/>
      </c>
      <c r="BC417" s="51" t="n">
        <v>0.006529959845620054</v>
      </c>
      <c r="BD417" s="51" t="n">
        <v>0.01676347900666641</v>
      </c>
      <c r="BE417" s="51" t="n">
        <v>0.2031048884919488</v>
      </c>
      <c r="BF417" s="43" t="n">
        <v>51302</v>
      </c>
    </row>
    <row r="418">
      <c r="A418" s="42" t="inlineStr">
        <is>
          <t>ME</t>
        </is>
      </c>
      <c r="B418" s="42" t="inlineStr">
        <is>
          <t>23027</t>
        </is>
      </c>
      <c r="C418" s="42" t="inlineStr">
        <is>
          <t>Waldo</t>
        </is>
      </c>
      <c r="D418" s="42" t="inlineStr">
        <is>
          <t>Small town &amp; rural</t>
        </is>
      </c>
      <c r="E418" s="42" t="inlineStr"/>
      <c r="F418" s="43" t="n">
        <v>12661</v>
      </c>
      <c r="G418" s="43" t="n">
        <v>11815</v>
      </c>
      <c r="H418" s="43" t="n">
        <v>25130</v>
      </c>
      <c r="I418" s="43" t="n">
        <v>12345</v>
      </c>
      <c r="J418" s="43" t="n">
        <v>11196</v>
      </c>
      <c r="K418" s="42" t="inlineStr">
        <is>
          <t>Governor</t>
        </is>
      </c>
      <c r="L418" s="43" t="n">
        <v>11508</v>
      </c>
      <c r="M418" s="43" t="n">
        <v>9099</v>
      </c>
      <c r="N418" s="43" t="n">
        <v>21007</v>
      </c>
      <c r="O418" s="44">
        <f>IFERROR((F418-G418)/(F418+G418),"")</f>
        <v/>
      </c>
      <c r="P418" s="44">
        <f>IFERROR((I418-J418)/(I418+J418),"")</f>
        <v/>
      </c>
      <c r="Q418" s="45">
        <f>IFERROR(O418-P418,"")</f>
        <v/>
      </c>
      <c r="R418" s="44">
        <f>IFERROR((L418-M418)/(L418+M418),"")</f>
        <v/>
      </c>
      <c r="S418" s="46">
        <f>H418/SUMIFS(Counties!$H$2:$H$1583,Counties!$A$2:$A$1583,$A418)</f>
        <v/>
      </c>
      <c r="T418" s="44">
        <f>O418+INDEX(Dashboard!$F$6:$F$22,MATCH($A418,Dashboard!$A$6:$A$22,0))</f>
        <v/>
      </c>
      <c r="U418" s="43">
        <f>AQ418*INDEX(Dashboard!$G$6:$G$22,MATCH($A418,Dashboard!$A$6:$A$22,0))</f>
        <v/>
      </c>
      <c r="V418" s="47" t="n"/>
      <c r="W418" s="47" t="n"/>
      <c r="X418" s="47" t="n"/>
      <c r="Y418" s="48" t="n"/>
      <c r="Z418" s="49" t="n"/>
      <c r="AA418" s="49" t="n"/>
      <c r="AB418" s="49" t="n"/>
      <c r="AC418" s="50" t="n"/>
      <c r="AD418" s="43">
        <f>IF(Z418&lt;&gt;"",Z418,N(V418))</f>
        <v/>
      </c>
      <c r="AE418" s="43">
        <f>IF(AA418&lt;&gt;"",AA418,N(W418))</f>
        <v/>
      </c>
      <c r="AF418" s="43">
        <f>AD418+AE418</f>
        <v/>
      </c>
      <c r="AG418" s="42">
        <f>IF(UPPER(AC418)="Y",1,IF(AF418=0,0,IF(AND(Z418="",Y418&lt;&gt;""),IF(Y418&gt;=0.999,1,0),IF(AF418&gt;=U418,1,0))))</f>
        <v/>
      </c>
      <c r="AH418" s="44">
        <f>IF(AF418&gt;0,(AD418-AE418)/AF418,"")</f>
        <v/>
      </c>
      <c r="AI418" s="45">
        <f>IF(AG418=1,AH418-O418,"")</f>
        <v/>
      </c>
      <c r="AJ418" s="44">
        <f>IF(AG418=1,AH418,MAX(-1,MIN(1,O418+INDEX(Types!$H:$H,MATCH($A418&amp;"|"&amp;$D418,Types!$A:$A,0)))))</f>
        <v/>
      </c>
      <c r="AK418" s="43">
        <f>IF(AG418=1,AF418,MAX(AQ418*AS418,AF418))</f>
        <v/>
      </c>
      <c r="AL418" s="43">
        <f>IF(AG418=1,AD418,AK418*(1+AJ418)/2)</f>
        <v/>
      </c>
      <c r="AM418" s="43">
        <f>IF(AG418=1,AE418,AK418*(1-AJ418)/2)</f>
        <v/>
      </c>
      <c r="AN418" s="45">
        <f>IF(AH418="","",AH418-T418)</f>
        <v/>
      </c>
      <c r="AO418" s="51">
        <f>IF(AG418=1,1,IF(U418&gt;0,MIN(AF418/U418,0.99),0))</f>
        <v/>
      </c>
      <c r="AP418" s="43">
        <f>IF(AG418=1,AI418*AF418,0)</f>
        <v/>
      </c>
      <c r="AQ418" s="43">
        <f>N418*(F418+G418)/H418</f>
        <v/>
      </c>
      <c r="AR418" s="43">
        <f>O418*AQ418</f>
        <v/>
      </c>
      <c r="AS418" s="52">
        <f>IF(AG418=1,IF(AQ418&gt;0,AF418/AQ418,1),IFERROR(INDEX(Types!$K:$K,MATCH($A418&amp;"|"&amp;$D418,Types!$A:$A,0)),INDEX(Dashboard!$X$6:$X$22,MATCH($A418,Dashboard!$A$6:$A$22,0))))</f>
        <v/>
      </c>
      <c r="AT418" s="43">
        <f>AQ418*INDEX(Dashboard!$Y$6:$Y$22,MATCH($A418,Dashboard!$A$6:$A$22,0))</f>
        <v/>
      </c>
      <c r="AU418" s="53">
        <f>IF(AND(AG418=1,AT418&gt;0,AF418&gt;0),100*AF418/AT418,"")</f>
        <v/>
      </c>
      <c r="AV418" s="44">
        <f>IF(AU418="","",T418/(AU418/100))</f>
        <v/>
      </c>
      <c r="AW418" s="53">
        <f>IF(AU418="","",IF(AND(ABS(AH418)&gt;=0.1,ABS(T418)&gt;=0.05,SIGN(AH418)=SIGN(T418)),100*T418/AH418,""))</f>
        <v/>
      </c>
      <c r="AX418" s="45">
        <f>IF(AU418="","",T418-AV418)</f>
        <v/>
      </c>
      <c r="AY418" s="45">
        <f>IF(AU418="","",AH418-AV418)</f>
        <v/>
      </c>
      <c r="AZ418" s="54">
        <f>(AL418-AM418)-T418*AT418</f>
        <v/>
      </c>
      <c r="BA418" s="43">
        <f>IF(AU418="",0,(AH418-T418)*AF418)</f>
        <v/>
      </c>
      <c r="BB418" s="43">
        <f>IF(AU418="",0,T418*(AF418-AT418))</f>
        <v/>
      </c>
      <c r="BC418" s="51" t="n">
        <v>0.005637616937469227</v>
      </c>
      <c r="BD418" s="51" t="n">
        <v>0.01691285081240768</v>
      </c>
      <c r="BE418" s="51" t="n">
        <v>0.3481874624474264</v>
      </c>
      <c r="BF418" s="43" t="n">
        <v>40620</v>
      </c>
    </row>
    <row r="419">
      <c r="A419" s="42" t="inlineStr">
        <is>
          <t>ME</t>
        </is>
      </c>
      <c r="B419" s="42" t="inlineStr">
        <is>
          <t>23029</t>
        </is>
      </c>
      <c r="C419" s="42" t="inlineStr">
        <is>
          <t>Washington</t>
        </is>
      </c>
      <c r="D419" s="42" t="inlineStr">
        <is>
          <t>Small town &amp; rural</t>
        </is>
      </c>
      <c r="E419" s="42" t="inlineStr"/>
      <c r="F419" s="43" t="n">
        <v>6763</v>
      </c>
      <c r="G419" s="43" t="n">
        <v>11003</v>
      </c>
      <c r="H419" s="43" t="n">
        <v>18048</v>
      </c>
      <c r="I419" s="43" t="n">
        <v>6761</v>
      </c>
      <c r="J419" s="43" t="n">
        <v>10194</v>
      </c>
      <c r="K419" s="42" t="inlineStr">
        <is>
          <t>Governor</t>
        </is>
      </c>
      <c r="L419" s="43" t="n">
        <v>6064</v>
      </c>
      <c r="M419" s="43" t="n">
        <v>8160</v>
      </c>
      <c r="N419" s="43" t="n">
        <v>14777</v>
      </c>
      <c r="O419" s="44">
        <f>IFERROR((F419-G419)/(F419+G419),"")</f>
        <v/>
      </c>
      <c r="P419" s="44">
        <f>IFERROR((I419-J419)/(I419+J419),"")</f>
        <v/>
      </c>
      <c r="Q419" s="45">
        <f>IFERROR(O419-P419,"")</f>
        <v/>
      </c>
      <c r="R419" s="44">
        <f>IFERROR((L419-M419)/(L419+M419),"")</f>
        <v/>
      </c>
      <c r="S419" s="46">
        <f>H419/SUMIFS(Counties!$H$2:$H$1583,Counties!$A$2:$A$1583,$A419)</f>
        <v/>
      </c>
      <c r="T419" s="44">
        <f>O419+INDEX(Dashboard!$F$6:$F$22,MATCH($A419,Dashboard!$A$6:$A$22,0))</f>
        <v/>
      </c>
      <c r="U419" s="43">
        <f>AQ419*INDEX(Dashboard!$G$6:$G$22,MATCH($A419,Dashboard!$A$6:$A$22,0))</f>
        <v/>
      </c>
      <c r="V419" s="47" t="n"/>
      <c r="W419" s="47" t="n"/>
      <c r="X419" s="47" t="n"/>
      <c r="Y419" s="48" t="n"/>
      <c r="Z419" s="49" t="n"/>
      <c r="AA419" s="49" t="n"/>
      <c r="AB419" s="49" t="n"/>
      <c r="AC419" s="50" t="n"/>
      <c r="AD419" s="43">
        <f>IF(Z419&lt;&gt;"",Z419,N(V419))</f>
        <v/>
      </c>
      <c r="AE419" s="43">
        <f>IF(AA419&lt;&gt;"",AA419,N(W419))</f>
        <v/>
      </c>
      <c r="AF419" s="43">
        <f>AD419+AE419</f>
        <v/>
      </c>
      <c r="AG419" s="42">
        <f>IF(UPPER(AC419)="Y",1,IF(AF419=0,0,IF(AND(Z419="",Y419&lt;&gt;""),IF(Y419&gt;=0.999,1,0),IF(AF419&gt;=U419,1,0))))</f>
        <v/>
      </c>
      <c r="AH419" s="44">
        <f>IF(AF419&gt;0,(AD419-AE419)/AF419,"")</f>
        <v/>
      </c>
      <c r="AI419" s="45">
        <f>IF(AG419=1,AH419-O419,"")</f>
        <v/>
      </c>
      <c r="AJ419" s="44">
        <f>IF(AG419=1,AH419,MAX(-1,MIN(1,O419+INDEX(Types!$H:$H,MATCH($A419&amp;"|"&amp;$D419,Types!$A:$A,0)))))</f>
        <v/>
      </c>
      <c r="AK419" s="43">
        <f>IF(AG419=1,AF419,MAX(AQ419*AS419,AF419))</f>
        <v/>
      </c>
      <c r="AL419" s="43">
        <f>IF(AG419=1,AD419,AK419*(1+AJ419)/2)</f>
        <v/>
      </c>
      <c r="AM419" s="43">
        <f>IF(AG419=1,AE419,AK419*(1-AJ419)/2)</f>
        <v/>
      </c>
      <c r="AN419" s="45">
        <f>IF(AH419="","",AH419-T419)</f>
        <v/>
      </c>
      <c r="AO419" s="51">
        <f>IF(AG419=1,1,IF(U419&gt;0,MIN(AF419/U419,0.99),0))</f>
        <v/>
      </c>
      <c r="AP419" s="43">
        <f>IF(AG419=1,AI419*AF419,0)</f>
        <v/>
      </c>
      <c r="AQ419" s="43">
        <f>N419*(F419+G419)/H419</f>
        <v/>
      </c>
      <c r="AR419" s="43">
        <f>O419*AQ419</f>
        <v/>
      </c>
      <c r="AS419" s="52">
        <f>IF(AG419=1,IF(AQ419&gt;0,AF419/AQ419,1),IFERROR(INDEX(Types!$K:$K,MATCH($A419&amp;"|"&amp;$D419,Types!$A:$A,0)),INDEX(Dashboard!$X$6:$X$22,MATCH($A419,Dashboard!$A$6:$A$22,0))))</f>
        <v/>
      </c>
      <c r="AT419" s="43">
        <f>AQ419*INDEX(Dashboard!$Y$6:$Y$22,MATCH($A419,Dashboard!$A$6:$A$22,0))</f>
        <v/>
      </c>
      <c r="AU419" s="53">
        <f>IF(AND(AG419=1,AT419&gt;0,AF419&gt;0),100*AF419/AT419,"")</f>
        <v/>
      </c>
      <c r="AV419" s="44">
        <f>IF(AU419="","",T419/(AU419/100))</f>
        <v/>
      </c>
      <c r="AW419" s="53">
        <f>IF(AU419="","",IF(AND(ABS(AH419)&gt;=0.1,ABS(T419)&gt;=0.05,SIGN(AH419)=SIGN(T419)),100*T419/AH419,""))</f>
        <v/>
      </c>
      <c r="AX419" s="45">
        <f>IF(AU419="","",T419-AV419)</f>
        <v/>
      </c>
      <c r="AY419" s="45">
        <f>IF(AU419="","",AH419-AV419)</f>
        <v/>
      </c>
      <c r="AZ419" s="54">
        <f>(AL419-AM419)-T419*AT419</f>
        <v/>
      </c>
      <c r="BA419" s="43">
        <f>IF(AU419="",0,(AH419-T419)*AF419)</f>
        <v/>
      </c>
      <c r="BB419" s="43">
        <f>IF(AU419="",0,T419*(AF419-AT419))</f>
        <v/>
      </c>
      <c r="BC419" s="51" t="n">
        <v>0.007415623514498495</v>
      </c>
      <c r="BD419" s="51" t="n">
        <v>0.02684202186658216</v>
      </c>
      <c r="BE419" s="51" t="n">
        <v>0.2491054106488467</v>
      </c>
      <c r="BF419" s="43" t="n">
        <v>31555</v>
      </c>
    </row>
    <row r="420">
      <c r="A420" s="42" t="inlineStr">
        <is>
          <t>ME</t>
        </is>
      </c>
      <c r="B420" s="42" t="inlineStr">
        <is>
          <t>23031</t>
        </is>
      </c>
      <c r="C420" s="42" t="inlineStr">
        <is>
          <t>York</t>
        </is>
      </c>
      <c r="D420" s="42" t="inlineStr">
        <is>
          <t>Mid-size/working metro</t>
        </is>
      </c>
      <c r="E420" s="42" t="inlineStr">
        <is>
          <t>★</t>
        </is>
      </c>
      <c r="F420" s="43" t="n">
        <v>72114</v>
      </c>
      <c r="G420" s="43" t="n">
        <v>58194</v>
      </c>
      <c r="H420" s="43" t="n">
        <v>132838</v>
      </c>
      <c r="I420" s="43" t="n">
        <v>71189</v>
      </c>
      <c r="J420" s="43" t="n">
        <v>54817</v>
      </c>
      <c r="K420" s="42" t="inlineStr">
        <is>
          <t>Governor</t>
        </is>
      </c>
      <c r="L420" s="43" t="n">
        <v>60772</v>
      </c>
      <c r="M420" s="43" t="n">
        <v>41662</v>
      </c>
      <c r="N420" s="43" t="n">
        <v>104428</v>
      </c>
      <c r="O420" s="44">
        <f>IFERROR((F420-G420)/(F420+G420),"")</f>
        <v/>
      </c>
      <c r="P420" s="44">
        <f>IFERROR((I420-J420)/(I420+J420),"")</f>
        <v/>
      </c>
      <c r="Q420" s="45">
        <f>IFERROR(O420-P420,"")</f>
        <v/>
      </c>
      <c r="R420" s="44">
        <f>IFERROR((L420-M420)/(L420+M420),"")</f>
        <v/>
      </c>
      <c r="S420" s="46">
        <f>H420/SUMIFS(Counties!$H$2:$H$1583,Counties!$A$2:$A$1583,$A420)</f>
        <v/>
      </c>
      <c r="T420" s="44">
        <f>O420+INDEX(Dashboard!$F$6:$F$22,MATCH($A420,Dashboard!$A$6:$A$22,0))</f>
        <v/>
      </c>
      <c r="U420" s="43">
        <f>AQ420*INDEX(Dashboard!$G$6:$G$22,MATCH($A420,Dashboard!$A$6:$A$22,0))</f>
        <v/>
      </c>
      <c r="V420" s="47" t="n"/>
      <c r="W420" s="47" t="n"/>
      <c r="X420" s="47" t="n"/>
      <c r="Y420" s="48" t="n"/>
      <c r="Z420" s="49" t="n"/>
      <c r="AA420" s="49" t="n"/>
      <c r="AB420" s="49" t="n"/>
      <c r="AC420" s="50" t="n"/>
      <c r="AD420" s="43">
        <f>IF(Z420&lt;&gt;"",Z420,N(V420))</f>
        <v/>
      </c>
      <c r="AE420" s="43">
        <f>IF(AA420&lt;&gt;"",AA420,N(W420))</f>
        <v/>
      </c>
      <c r="AF420" s="43">
        <f>AD420+AE420</f>
        <v/>
      </c>
      <c r="AG420" s="42">
        <f>IF(UPPER(AC420)="Y",1,IF(AF420=0,0,IF(AND(Z420="",Y420&lt;&gt;""),IF(Y420&gt;=0.999,1,0),IF(AF420&gt;=U420,1,0))))</f>
        <v/>
      </c>
      <c r="AH420" s="44">
        <f>IF(AF420&gt;0,(AD420-AE420)/AF420,"")</f>
        <v/>
      </c>
      <c r="AI420" s="45">
        <f>IF(AG420=1,AH420-O420,"")</f>
        <v/>
      </c>
      <c r="AJ420" s="44">
        <f>IF(AG420=1,AH420,MAX(-1,MIN(1,O420+INDEX(Types!$H:$H,MATCH($A420&amp;"|"&amp;$D420,Types!$A:$A,0)))))</f>
        <v/>
      </c>
      <c r="AK420" s="43">
        <f>IF(AG420=1,AF420,MAX(AQ420*AS420,AF420))</f>
        <v/>
      </c>
      <c r="AL420" s="43">
        <f>IF(AG420=1,AD420,AK420*(1+AJ420)/2)</f>
        <v/>
      </c>
      <c r="AM420" s="43">
        <f>IF(AG420=1,AE420,AK420*(1-AJ420)/2)</f>
        <v/>
      </c>
      <c r="AN420" s="45">
        <f>IF(AH420="","",AH420-T420)</f>
        <v/>
      </c>
      <c r="AO420" s="51">
        <f>IF(AG420=1,1,IF(U420&gt;0,MIN(AF420/U420,0.99),0))</f>
        <v/>
      </c>
      <c r="AP420" s="43">
        <f>IF(AG420=1,AI420*AF420,0)</f>
        <v/>
      </c>
      <c r="AQ420" s="43">
        <f>N420*(F420+G420)/H420</f>
        <v/>
      </c>
      <c r="AR420" s="43">
        <f>O420*AQ420</f>
        <v/>
      </c>
      <c r="AS420" s="52">
        <f>IF(AG420=1,IF(AQ420&gt;0,AF420/AQ420,1),IFERROR(INDEX(Types!$K:$K,MATCH($A420&amp;"|"&amp;$D420,Types!$A:$A,0)),INDEX(Dashboard!$X$6:$X$22,MATCH($A420,Dashboard!$A$6:$A$22,0))))</f>
        <v/>
      </c>
      <c r="AT420" s="43">
        <f>AQ420*INDEX(Dashboard!$Y$6:$Y$22,MATCH($A420,Dashboard!$A$6:$A$22,0))</f>
        <v/>
      </c>
      <c r="AU420" s="53">
        <f>IF(AND(AG420=1,AT420&gt;0,AF420&gt;0),100*AF420/AT420,"")</f>
        <v/>
      </c>
      <c r="AV420" s="44">
        <f>IF(AU420="","",T420/(AU420/100))</f>
        <v/>
      </c>
      <c r="AW420" s="53">
        <f>IF(AU420="","",IF(AND(ABS(AH420)&gt;=0.1,ABS(T420)&gt;=0.05,SIGN(AH420)=SIGN(T420)),100*T420/AH420,""))</f>
        <v/>
      </c>
      <c r="AX420" s="45">
        <f>IF(AU420="","",T420-AV420)</f>
        <v/>
      </c>
      <c r="AY420" s="45">
        <f>IF(AU420="","",AH420-AV420)</f>
        <v/>
      </c>
      <c r="AZ420" s="54">
        <f>(AL420-AM420)-T420*AT420</f>
        <v/>
      </c>
      <c r="BA420" s="43">
        <f>IF(AU420="",0,(AH420-T420)*AF420)</f>
        <v/>
      </c>
      <c r="BB420" s="43">
        <f>IF(AU420="",0,T420*(AF420-AT420))</f>
        <v/>
      </c>
      <c r="BC420" s="51" t="n">
        <v>0.01388927012708957</v>
      </c>
      <c r="BD420" s="51" t="n">
        <v>0.02324485557172006</v>
      </c>
      <c r="BE420" s="51" t="n">
        <v>0.345706198874063</v>
      </c>
      <c r="BF420" s="43" t="n">
        <v>218586</v>
      </c>
    </row>
    <row r="421">
      <c r="A421" s="42" t="inlineStr">
        <is>
          <t>MI</t>
        </is>
      </c>
      <c r="B421" s="42" t="inlineStr">
        <is>
          <t>26001</t>
        </is>
      </c>
      <c r="C421" s="42" t="inlineStr">
        <is>
          <t>Alcona</t>
        </is>
      </c>
      <c r="D421" s="42" t="inlineStr">
        <is>
          <t>Small town &amp; rural</t>
        </is>
      </c>
      <c r="E421" s="42" t="inlineStr"/>
      <c r="F421" s="43" t="n">
        <v>2140</v>
      </c>
      <c r="G421" s="43" t="n">
        <v>5257</v>
      </c>
      <c r="H421" s="43" t="n">
        <v>7481</v>
      </c>
      <c r="I421" s="43" t="n">
        <v>2142</v>
      </c>
      <c r="J421" s="43" t="n">
        <v>4848</v>
      </c>
      <c r="K421" s="42" t="inlineStr">
        <is>
          <t>Governor</t>
        </is>
      </c>
      <c r="L421" s="43" t="n">
        <v>2076</v>
      </c>
      <c r="M421" s="43" t="n">
        <v>3802</v>
      </c>
      <c r="N421" s="43" t="n">
        <v>5981</v>
      </c>
      <c r="O421" s="44">
        <f>IFERROR((F421-G421)/(F421+G421),"")</f>
        <v/>
      </c>
      <c r="P421" s="44">
        <f>IFERROR((I421-J421)/(I421+J421),"")</f>
        <v/>
      </c>
      <c r="Q421" s="45">
        <f>IFERROR(O421-P421,"")</f>
        <v/>
      </c>
      <c r="R421" s="44">
        <f>IFERROR((L421-M421)/(L421+M421),"")</f>
        <v/>
      </c>
      <c r="S421" s="46">
        <f>H421/SUMIFS(Counties!$H$2:$H$1583,Counties!$A$2:$A$1583,$A421)</f>
        <v/>
      </c>
      <c r="T421" s="44">
        <f>O421+INDEX(Dashboard!$F$6:$F$22,MATCH($A421,Dashboard!$A$6:$A$22,0))</f>
        <v/>
      </c>
      <c r="U421" s="43">
        <f>AQ421*INDEX(Dashboard!$G$6:$G$22,MATCH($A421,Dashboard!$A$6:$A$22,0))</f>
        <v/>
      </c>
      <c r="V421" s="47" t="n"/>
      <c r="W421" s="47" t="n"/>
      <c r="X421" s="47" t="n"/>
      <c r="Y421" s="48" t="n"/>
      <c r="Z421" s="49" t="n"/>
      <c r="AA421" s="49" t="n"/>
      <c r="AB421" s="49" t="n"/>
      <c r="AC421" s="50" t="n"/>
      <c r="AD421" s="43">
        <f>IF(Z421&lt;&gt;"",Z421,N(V421))</f>
        <v/>
      </c>
      <c r="AE421" s="43">
        <f>IF(AA421&lt;&gt;"",AA421,N(W421))</f>
        <v/>
      </c>
      <c r="AF421" s="43">
        <f>AD421+AE421</f>
        <v/>
      </c>
      <c r="AG421" s="42">
        <f>IF(UPPER(AC421)="Y",1,IF(AF421=0,0,IF(AND(Z421="",Y421&lt;&gt;""),IF(Y421&gt;=0.999,1,0),IF(AF421&gt;=U421,1,0))))</f>
        <v/>
      </c>
      <c r="AH421" s="44">
        <f>IF(AF421&gt;0,(AD421-AE421)/AF421,"")</f>
        <v/>
      </c>
      <c r="AI421" s="45">
        <f>IF(AG421=1,AH421-O421,"")</f>
        <v/>
      </c>
      <c r="AJ421" s="44">
        <f>IF(AG421=1,AH421,MAX(-1,MIN(1,O421+INDEX(Types!$H:$H,MATCH($A421&amp;"|"&amp;$D421,Types!$A:$A,0)))))</f>
        <v/>
      </c>
      <c r="AK421" s="43">
        <f>IF(AG421=1,AF421,MAX(AQ421*AS421,AF421))</f>
        <v/>
      </c>
      <c r="AL421" s="43">
        <f>IF(AG421=1,AD421,AK421*(1+AJ421)/2)</f>
        <v/>
      </c>
      <c r="AM421" s="43">
        <f>IF(AG421=1,AE421,AK421*(1-AJ421)/2)</f>
        <v/>
      </c>
      <c r="AN421" s="45">
        <f>IF(AH421="","",AH421-T421)</f>
        <v/>
      </c>
      <c r="AO421" s="51">
        <f>IF(AG421=1,1,IF(U421&gt;0,MIN(AF421/U421,0.99),0))</f>
        <v/>
      </c>
      <c r="AP421" s="43">
        <f>IF(AG421=1,AI421*AF421,0)</f>
        <v/>
      </c>
      <c r="AQ421" s="43">
        <f>N421*(F421+G421)/H421</f>
        <v/>
      </c>
      <c r="AR421" s="43">
        <f>O421*AQ421</f>
        <v/>
      </c>
      <c r="AS421" s="52">
        <f>IF(AG421=1,IF(AQ421&gt;0,AF421/AQ421,1),IFERROR(INDEX(Types!$K:$K,MATCH($A421&amp;"|"&amp;$D421,Types!$A:$A,0)),INDEX(Dashboard!$X$6:$X$22,MATCH($A421,Dashboard!$A$6:$A$22,0))))</f>
        <v/>
      </c>
      <c r="AT421" s="43">
        <f>AQ421*INDEX(Dashboard!$Y$6:$Y$22,MATCH($A421,Dashboard!$A$6:$A$22,0))</f>
        <v/>
      </c>
      <c r="AU421" s="53">
        <f>IF(AND(AG421=1,AT421&gt;0,AF421&gt;0),100*AF421/AT421,"")</f>
        <v/>
      </c>
      <c r="AV421" s="44">
        <f>IF(AU421="","",T421/(AU421/100))</f>
        <v/>
      </c>
      <c r="AW421" s="53">
        <f>IF(AU421="","",IF(AND(ABS(AH421)&gt;=0.1,ABS(T421)&gt;=0.05,SIGN(AH421)=SIGN(T421)),100*T421/AH421,""))</f>
        <v/>
      </c>
      <c r="AX421" s="45">
        <f>IF(AU421="","",T421-AV421)</f>
        <v/>
      </c>
      <c r="AY421" s="45">
        <f>IF(AU421="","",AH421-AV421)</f>
        <v/>
      </c>
      <c r="AZ421" s="54">
        <f>(AL421-AM421)-T421*AT421</f>
        <v/>
      </c>
      <c r="BA421" s="43">
        <f>IF(AU421="",0,(AH421-T421)*AF421)</f>
        <v/>
      </c>
      <c r="BB421" s="43">
        <f>IF(AU421="",0,T421*(AF421-AT421))</f>
        <v/>
      </c>
      <c r="BC421" s="51" t="n">
        <v>0.008008389741634092</v>
      </c>
      <c r="BD421" s="51" t="n">
        <v>0.01735151110687387</v>
      </c>
      <c r="BE421" s="51" t="n">
        <v>0.2064758329422806</v>
      </c>
      <c r="BF421" s="43" t="n">
        <v>10489</v>
      </c>
    </row>
    <row r="422">
      <c r="A422" s="42" t="inlineStr">
        <is>
          <t>MI</t>
        </is>
      </c>
      <c r="B422" s="42" t="inlineStr">
        <is>
          <t>26003</t>
        </is>
      </c>
      <c r="C422" s="42" t="inlineStr">
        <is>
          <t>Alger</t>
        </is>
      </c>
      <c r="D422" s="42" t="inlineStr">
        <is>
          <t>Small town &amp; rural</t>
        </is>
      </c>
      <c r="E422" s="42" t="inlineStr"/>
      <c r="F422" s="43" t="n">
        <v>2075</v>
      </c>
      <c r="G422" s="43" t="n">
        <v>3116</v>
      </c>
      <c r="H422" s="43" t="n">
        <v>5258</v>
      </c>
      <c r="I422" s="43" t="n">
        <v>2053</v>
      </c>
      <c r="J422" s="43" t="n">
        <v>3014</v>
      </c>
      <c r="K422" s="42" t="inlineStr">
        <is>
          <t>Governor</t>
        </is>
      </c>
      <c r="L422" s="43" t="n">
        <v>1984</v>
      </c>
      <c r="M422" s="43" t="n">
        <v>2258</v>
      </c>
      <c r="N422" s="43" t="n">
        <v>4326</v>
      </c>
      <c r="O422" s="44">
        <f>IFERROR((F422-G422)/(F422+G422),"")</f>
        <v/>
      </c>
      <c r="P422" s="44">
        <f>IFERROR((I422-J422)/(I422+J422),"")</f>
        <v/>
      </c>
      <c r="Q422" s="45">
        <f>IFERROR(O422-P422,"")</f>
        <v/>
      </c>
      <c r="R422" s="44">
        <f>IFERROR((L422-M422)/(L422+M422),"")</f>
        <v/>
      </c>
      <c r="S422" s="46">
        <f>H422/SUMIFS(Counties!$H$2:$H$1583,Counties!$A$2:$A$1583,$A422)</f>
        <v/>
      </c>
      <c r="T422" s="44">
        <f>O422+INDEX(Dashboard!$F$6:$F$22,MATCH($A422,Dashboard!$A$6:$A$22,0))</f>
        <v/>
      </c>
      <c r="U422" s="43">
        <f>AQ422*INDEX(Dashboard!$G$6:$G$22,MATCH($A422,Dashboard!$A$6:$A$22,0))</f>
        <v/>
      </c>
      <c r="V422" s="47" t="n"/>
      <c r="W422" s="47" t="n"/>
      <c r="X422" s="47" t="n"/>
      <c r="Y422" s="48" t="n"/>
      <c r="Z422" s="49" t="n"/>
      <c r="AA422" s="49" t="n"/>
      <c r="AB422" s="49" t="n"/>
      <c r="AC422" s="50" t="n"/>
      <c r="AD422" s="43">
        <f>IF(Z422&lt;&gt;"",Z422,N(V422))</f>
        <v/>
      </c>
      <c r="AE422" s="43">
        <f>IF(AA422&lt;&gt;"",AA422,N(W422))</f>
        <v/>
      </c>
      <c r="AF422" s="43">
        <f>AD422+AE422</f>
        <v/>
      </c>
      <c r="AG422" s="42">
        <f>IF(UPPER(AC422)="Y",1,IF(AF422=0,0,IF(AND(Z422="",Y422&lt;&gt;""),IF(Y422&gt;=0.999,1,0),IF(AF422&gt;=U422,1,0))))</f>
        <v/>
      </c>
      <c r="AH422" s="44">
        <f>IF(AF422&gt;0,(AD422-AE422)/AF422,"")</f>
        <v/>
      </c>
      <c r="AI422" s="45">
        <f>IF(AG422=1,AH422-O422,"")</f>
        <v/>
      </c>
      <c r="AJ422" s="44">
        <f>IF(AG422=1,AH422,MAX(-1,MIN(1,O422+INDEX(Types!$H:$H,MATCH($A422&amp;"|"&amp;$D422,Types!$A:$A,0)))))</f>
        <v/>
      </c>
      <c r="AK422" s="43">
        <f>IF(AG422=1,AF422,MAX(AQ422*AS422,AF422))</f>
        <v/>
      </c>
      <c r="AL422" s="43">
        <f>IF(AG422=1,AD422,AK422*(1+AJ422)/2)</f>
        <v/>
      </c>
      <c r="AM422" s="43">
        <f>IF(AG422=1,AE422,AK422*(1-AJ422)/2)</f>
        <v/>
      </c>
      <c r="AN422" s="45">
        <f>IF(AH422="","",AH422-T422)</f>
        <v/>
      </c>
      <c r="AO422" s="51">
        <f>IF(AG422=1,1,IF(U422&gt;0,MIN(AF422/U422,0.99),0))</f>
        <v/>
      </c>
      <c r="AP422" s="43">
        <f>IF(AG422=1,AI422*AF422,0)</f>
        <v/>
      </c>
      <c r="AQ422" s="43">
        <f>N422*(F422+G422)/H422</f>
        <v/>
      </c>
      <c r="AR422" s="43">
        <f>O422*AQ422</f>
        <v/>
      </c>
      <c r="AS422" s="52">
        <f>IF(AG422=1,IF(AQ422&gt;0,AF422/AQ422,1),IFERROR(INDEX(Types!$K:$K,MATCH($A422&amp;"|"&amp;$D422,Types!$A:$A,0)),INDEX(Dashboard!$X$6:$X$22,MATCH($A422,Dashboard!$A$6:$A$22,0))))</f>
        <v/>
      </c>
      <c r="AT422" s="43">
        <f>AQ422*INDEX(Dashboard!$Y$6:$Y$22,MATCH($A422,Dashboard!$A$6:$A$22,0))</f>
        <v/>
      </c>
      <c r="AU422" s="53">
        <f>IF(AND(AG422=1,AT422&gt;0,AF422&gt;0),100*AF422/AT422,"")</f>
        <v/>
      </c>
      <c r="AV422" s="44">
        <f>IF(AU422="","",T422/(AU422/100))</f>
        <v/>
      </c>
      <c r="AW422" s="53">
        <f>IF(AU422="","",IF(AND(ABS(AH422)&gt;=0.1,ABS(T422)&gt;=0.05,SIGN(AH422)=SIGN(T422)),100*T422/AH422,""))</f>
        <v/>
      </c>
      <c r="AX422" s="45">
        <f>IF(AU422="","",T422-AV422)</f>
        <v/>
      </c>
      <c r="AY422" s="45">
        <f>IF(AU422="","",AH422-AV422)</f>
        <v/>
      </c>
      <c r="AZ422" s="54">
        <f>(AL422-AM422)-T422*AT422</f>
        <v/>
      </c>
      <c r="BA422" s="43">
        <f>IF(AU422="",0,(AH422-T422)*AF422)</f>
        <v/>
      </c>
      <c r="BB422" s="43">
        <f>IF(AU422="",0,T422*(AF422-AT422))</f>
        <v/>
      </c>
      <c r="BC422" s="51" t="n">
        <v>0.07605344295991778</v>
      </c>
      <c r="BD422" s="51" t="n">
        <v>0.01827109740778806</v>
      </c>
      <c r="BE422" s="51" t="n">
        <v>0.2025446036852881</v>
      </c>
      <c r="BF422" s="43" t="n">
        <v>8757</v>
      </c>
    </row>
    <row r="423">
      <c r="A423" s="42" t="inlineStr">
        <is>
          <t>MI</t>
        </is>
      </c>
      <c r="B423" s="42" t="inlineStr">
        <is>
          <t>26005</t>
        </is>
      </c>
      <c r="C423" s="42" t="inlineStr">
        <is>
          <t>Allegan</t>
        </is>
      </c>
      <c r="D423" s="42" t="inlineStr">
        <is>
          <t>Mid-size/working metro</t>
        </is>
      </c>
      <c r="E423" s="42" t="inlineStr"/>
      <c r="F423" s="43" t="n">
        <v>25637</v>
      </c>
      <c r="G423" s="43" t="n">
        <v>45206</v>
      </c>
      <c r="H423" s="43" t="n">
        <v>71890</v>
      </c>
      <c r="I423" s="43" t="n">
        <v>24449</v>
      </c>
      <c r="J423" s="43" t="n">
        <v>41392</v>
      </c>
      <c r="K423" s="42" t="inlineStr">
        <is>
          <t>Governor</t>
        </is>
      </c>
      <c r="L423" s="43" t="n">
        <v>22802</v>
      </c>
      <c r="M423" s="43" t="n">
        <v>33590</v>
      </c>
      <c r="N423" s="43" t="n">
        <v>57341</v>
      </c>
      <c r="O423" s="44">
        <f>IFERROR((F423-G423)/(F423+G423),"")</f>
        <v/>
      </c>
      <c r="P423" s="44">
        <f>IFERROR((I423-J423)/(I423+J423),"")</f>
        <v/>
      </c>
      <c r="Q423" s="45">
        <f>IFERROR(O423-P423,"")</f>
        <v/>
      </c>
      <c r="R423" s="44">
        <f>IFERROR((L423-M423)/(L423+M423),"")</f>
        <v/>
      </c>
      <c r="S423" s="46">
        <f>H423/SUMIFS(Counties!$H$2:$H$1583,Counties!$A$2:$A$1583,$A423)</f>
        <v/>
      </c>
      <c r="T423" s="44">
        <f>O423+INDEX(Dashboard!$F$6:$F$22,MATCH($A423,Dashboard!$A$6:$A$22,0))</f>
        <v/>
      </c>
      <c r="U423" s="43">
        <f>AQ423*INDEX(Dashboard!$G$6:$G$22,MATCH($A423,Dashboard!$A$6:$A$22,0))</f>
        <v/>
      </c>
      <c r="V423" s="47" t="n"/>
      <c r="W423" s="47" t="n"/>
      <c r="X423" s="47" t="n"/>
      <c r="Y423" s="48" t="n"/>
      <c r="Z423" s="49" t="n"/>
      <c r="AA423" s="49" t="n"/>
      <c r="AB423" s="49" t="n"/>
      <c r="AC423" s="50" t="n"/>
      <c r="AD423" s="43">
        <f>IF(Z423&lt;&gt;"",Z423,N(V423))</f>
        <v/>
      </c>
      <c r="AE423" s="43">
        <f>IF(AA423&lt;&gt;"",AA423,N(W423))</f>
        <v/>
      </c>
      <c r="AF423" s="43">
        <f>AD423+AE423</f>
        <v/>
      </c>
      <c r="AG423" s="42">
        <f>IF(UPPER(AC423)="Y",1,IF(AF423=0,0,IF(AND(Z423="",Y423&lt;&gt;""),IF(Y423&gt;=0.999,1,0),IF(AF423&gt;=U423,1,0))))</f>
        <v/>
      </c>
      <c r="AH423" s="44">
        <f>IF(AF423&gt;0,(AD423-AE423)/AF423,"")</f>
        <v/>
      </c>
      <c r="AI423" s="45">
        <f>IF(AG423=1,AH423-O423,"")</f>
        <v/>
      </c>
      <c r="AJ423" s="44">
        <f>IF(AG423=1,AH423,MAX(-1,MIN(1,O423+INDEX(Types!$H:$H,MATCH($A423&amp;"|"&amp;$D423,Types!$A:$A,0)))))</f>
        <v/>
      </c>
      <c r="AK423" s="43">
        <f>IF(AG423=1,AF423,MAX(AQ423*AS423,AF423))</f>
        <v/>
      </c>
      <c r="AL423" s="43">
        <f>IF(AG423=1,AD423,AK423*(1+AJ423)/2)</f>
        <v/>
      </c>
      <c r="AM423" s="43">
        <f>IF(AG423=1,AE423,AK423*(1-AJ423)/2)</f>
        <v/>
      </c>
      <c r="AN423" s="45">
        <f>IF(AH423="","",AH423-T423)</f>
        <v/>
      </c>
      <c r="AO423" s="51">
        <f>IF(AG423=1,1,IF(U423&gt;0,MIN(AF423/U423,0.99),0))</f>
        <v/>
      </c>
      <c r="AP423" s="43">
        <f>IF(AG423=1,AI423*AF423,0)</f>
        <v/>
      </c>
      <c r="AQ423" s="43">
        <f>N423*(F423+G423)/H423</f>
        <v/>
      </c>
      <c r="AR423" s="43">
        <f>O423*AQ423</f>
        <v/>
      </c>
      <c r="AS423" s="52">
        <f>IF(AG423=1,IF(AQ423&gt;0,AF423/AQ423,1),IFERROR(INDEX(Types!$K:$K,MATCH($A423&amp;"|"&amp;$D423,Types!$A:$A,0)),INDEX(Dashboard!$X$6:$X$22,MATCH($A423,Dashboard!$A$6:$A$22,0))))</f>
        <v/>
      </c>
      <c r="AT423" s="43">
        <f>AQ423*INDEX(Dashboard!$Y$6:$Y$22,MATCH($A423,Dashboard!$A$6:$A$22,0))</f>
        <v/>
      </c>
      <c r="AU423" s="53">
        <f>IF(AND(AG423=1,AT423&gt;0,AF423&gt;0),100*AF423/AT423,"")</f>
        <v/>
      </c>
      <c r="AV423" s="44">
        <f>IF(AU423="","",T423/(AU423/100))</f>
        <v/>
      </c>
      <c r="AW423" s="53">
        <f>IF(AU423="","",IF(AND(ABS(AH423)&gt;=0.1,ABS(T423)&gt;=0.05,SIGN(AH423)=SIGN(T423)),100*T423/AH423,""))</f>
        <v/>
      </c>
      <c r="AX423" s="45">
        <f>IF(AU423="","",T423-AV423)</f>
        <v/>
      </c>
      <c r="AY423" s="45">
        <f>IF(AU423="","",AH423-AV423)</f>
        <v/>
      </c>
      <c r="AZ423" s="54">
        <f>(AL423-AM423)-T423*AT423</f>
        <v/>
      </c>
      <c r="BA423" s="43">
        <f>IF(AU423="",0,(AH423-T423)*AF423)</f>
        <v/>
      </c>
      <c r="BB423" s="43">
        <f>IF(AU423="",0,T423*(AF423-AT423))</f>
        <v/>
      </c>
      <c r="BC423" s="51" t="n">
        <v>0.01348215091152133</v>
      </c>
      <c r="BD423" s="51" t="n">
        <v>0.08373038978505647</v>
      </c>
      <c r="BE423" s="51" t="n">
        <v>0.2606627670946587</v>
      </c>
      <c r="BF423" s="43" t="n">
        <v>121939</v>
      </c>
    </row>
    <row r="424">
      <c r="A424" s="42" t="inlineStr">
        <is>
          <t>MI</t>
        </is>
      </c>
      <c r="B424" s="42" t="inlineStr">
        <is>
          <t>26007</t>
        </is>
      </c>
      <c r="C424" s="42" t="inlineStr">
        <is>
          <t>Alpena</t>
        </is>
      </c>
      <c r="D424" s="42" t="inlineStr">
        <is>
          <t>Small town &amp; rural</t>
        </is>
      </c>
      <c r="E424" s="42" t="inlineStr"/>
      <c r="F424" s="43" t="n">
        <v>6038</v>
      </c>
      <c r="G424" s="43" t="n">
        <v>10967</v>
      </c>
      <c r="H424" s="43" t="n">
        <v>17210</v>
      </c>
      <c r="I424" s="43" t="n">
        <v>6000</v>
      </c>
      <c r="J424" s="43" t="n">
        <v>10686</v>
      </c>
      <c r="K424" s="42" t="inlineStr">
        <is>
          <t>Governor</t>
        </is>
      </c>
      <c r="L424" s="43" t="n">
        <v>5779</v>
      </c>
      <c r="M424" s="43" t="n">
        <v>7920</v>
      </c>
      <c r="N424" s="43" t="n">
        <v>13980</v>
      </c>
      <c r="O424" s="44">
        <f>IFERROR((F424-G424)/(F424+G424),"")</f>
        <v/>
      </c>
      <c r="P424" s="44">
        <f>IFERROR((I424-J424)/(I424+J424),"")</f>
        <v/>
      </c>
      <c r="Q424" s="45">
        <f>IFERROR(O424-P424,"")</f>
        <v/>
      </c>
      <c r="R424" s="44">
        <f>IFERROR((L424-M424)/(L424+M424),"")</f>
        <v/>
      </c>
      <c r="S424" s="46">
        <f>H424/SUMIFS(Counties!$H$2:$H$1583,Counties!$A$2:$A$1583,$A424)</f>
        <v/>
      </c>
      <c r="T424" s="44">
        <f>O424+INDEX(Dashboard!$F$6:$F$22,MATCH($A424,Dashboard!$A$6:$A$22,0))</f>
        <v/>
      </c>
      <c r="U424" s="43">
        <f>AQ424*INDEX(Dashboard!$G$6:$G$22,MATCH($A424,Dashboard!$A$6:$A$22,0))</f>
        <v/>
      </c>
      <c r="V424" s="47" t="n"/>
      <c r="W424" s="47" t="n"/>
      <c r="X424" s="47" t="n"/>
      <c r="Y424" s="48" t="n"/>
      <c r="Z424" s="49" t="n"/>
      <c r="AA424" s="49" t="n"/>
      <c r="AB424" s="49" t="n"/>
      <c r="AC424" s="50" t="n"/>
      <c r="AD424" s="43">
        <f>IF(Z424&lt;&gt;"",Z424,N(V424))</f>
        <v/>
      </c>
      <c r="AE424" s="43">
        <f>IF(AA424&lt;&gt;"",AA424,N(W424))</f>
        <v/>
      </c>
      <c r="AF424" s="43">
        <f>AD424+AE424</f>
        <v/>
      </c>
      <c r="AG424" s="42">
        <f>IF(UPPER(AC424)="Y",1,IF(AF424=0,0,IF(AND(Z424="",Y424&lt;&gt;""),IF(Y424&gt;=0.999,1,0),IF(AF424&gt;=U424,1,0))))</f>
        <v/>
      </c>
      <c r="AH424" s="44">
        <f>IF(AF424&gt;0,(AD424-AE424)/AF424,"")</f>
        <v/>
      </c>
      <c r="AI424" s="45">
        <f>IF(AG424=1,AH424-O424,"")</f>
        <v/>
      </c>
      <c r="AJ424" s="44">
        <f>IF(AG424=1,AH424,MAX(-1,MIN(1,O424+INDEX(Types!$H:$H,MATCH($A424&amp;"|"&amp;$D424,Types!$A:$A,0)))))</f>
        <v/>
      </c>
      <c r="AK424" s="43">
        <f>IF(AG424=1,AF424,MAX(AQ424*AS424,AF424))</f>
        <v/>
      </c>
      <c r="AL424" s="43">
        <f>IF(AG424=1,AD424,AK424*(1+AJ424)/2)</f>
        <v/>
      </c>
      <c r="AM424" s="43">
        <f>IF(AG424=1,AE424,AK424*(1-AJ424)/2)</f>
        <v/>
      </c>
      <c r="AN424" s="45">
        <f>IF(AH424="","",AH424-T424)</f>
        <v/>
      </c>
      <c r="AO424" s="51">
        <f>IF(AG424=1,1,IF(U424&gt;0,MIN(AF424/U424,0.99),0))</f>
        <v/>
      </c>
      <c r="AP424" s="43">
        <f>IF(AG424=1,AI424*AF424,0)</f>
        <v/>
      </c>
      <c r="AQ424" s="43">
        <f>N424*(F424+G424)/H424</f>
        <v/>
      </c>
      <c r="AR424" s="43">
        <f>O424*AQ424</f>
        <v/>
      </c>
      <c r="AS424" s="52">
        <f>IF(AG424=1,IF(AQ424&gt;0,AF424/AQ424,1),IFERROR(INDEX(Types!$K:$K,MATCH($A424&amp;"|"&amp;$D424,Types!$A:$A,0)),INDEX(Dashboard!$X$6:$X$22,MATCH($A424,Dashboard!$A$6:$A$22,0))))</f>
        <v/>
      </c>
      <c r="AT424" s="43">
        <f>AQ424*INDEX(Dashboard!$Y$6:$Y$22,MATCH($A424,Dashboard!$A$6:$A$22,0))</f>
        <v/>
      </c>
      <c r="AU424" s="53">
        <f>IF(AND(AG424=1,AT424&gt;0,AF424&gt;0),100*AF424/AT424,"")</f>
        <v/>
      </c>
      <c r="AV424" s="44">
        <f>IF(AU424="","",T424/(AU424/100))</f>
        <v/>
      </c>
      <c r="AW424" s="53">
        <f>IF(AU424="","",IF(AND(ABS(AH424)&gt;=0.1,ABS(T424)&gt;=0.05,SIGN(AH424)=SIGN(T424)),100*T424/AH424,""))</f>
        <v/>
      </c>
      <c r="AX424" s="45">
        <f>IF(AU424="","",T424-AV424)</f>
        <v/>
      </c>
      <c r="AY424" s="45">
        <f>IF(AU424="","",AH424-AV424)</f>
        <v/>
      </c>
      <c r="AZ424" s="54">
        <f>(AL424-AM424)-T424*AT424</f>
        <v/>
      </c>
      <c r="BA424" s="43">
        <f>IF(AU424="",0,(AH424-T424)*AF424)</f>
        <v/>
      </c>
      <c r="BB424" s="43">
        <f>IF(AU424="",0,T424*(AF424-AT424))</f>
        <v/>
      </c>
      <c r="BC424" s="51" t="n">
        <v>0.007023249377248824</v>
      </c>
      <c r="BD424" s="51" t="n">
        <v>0.01712565734846388</v>
      </c>
      <c r="BE424" s="51" t="n">
        <v>0.1773752721545375</v>
      </c>
      <c r="BF424" s="43" t="n">
        <v>28904</v>
      </c>
    </row>
    <row r="425">
      <c r="A425" s="42" t="inlineStr">
        <is>
          <t>MI</t>
        </is>
      </c>
      <c r="B425" s="42" t="inlineStr">
        <is>
          <t>26009</t>
        </is>
      </c>
      <c r="C425" s="42" t="inlineStr">
        <is>
          <t>Antrim</t>
        </is>
      </c>
      <c r="D425" s="42" t="inlineStr">
        <is>
          <t>Small town &amp; rural</t>
        </is>
      </c>
      <c r="E425" s="42" t="inlineStr"/>
      <c r="F425" s="43" t="n">
        <v>6330</v>
      </c>
      <c r="G425" s="43" t="n">
        <v>10341</v>
      </c>
      <c r="H425" s="43" t="n">
        <v>16882</v>
      </c>
      <c r="I425" s="43" t="n">
        <v>5960</v>
      </c>
      <c r="J425" s="43" t="n">
        <v>9748</v>
      </c>
      <c r="K425" s="42" t="inlineStr">
        <is>
          <t>Governor</t>
        </is>
      </c>
      <c r="L425" s="43" t="n">
        <v>5937</v>
      </c>
      <c r="M425" s="43" t="n">
        <v>7827</v>
      </c>
      <c r="N425" s="43" t="n">
        <v>14014</v>
      </c>
      <c r="O425" s="44">
        <f>IFERROR((F425-G425)/(F425+G425),"")</f>
        <v/>
      </c>
      <c r="P425" s="44">
        <f>IFERROR((I425-J425)/(I425+J425),"")</f>
        <v/>
      </c>
      <c r="Q425" s="45">
        <f>IFERROR(O425-P425,"")</f>
        <v/>
      </c>
      <c r="R425" s="44">
        <f>IFERROR((L425-M425)/(L425+M425),"")</f>
        <v/>
      </c>
      <c r="S425" s="46">
        <f>H425/SUMIFS(Counties!$H$2:$H$1583,Counties!$A$2:$A$1583,$A425)</f>
        <v/>
      </c>
      <c r="T425" s="44">
        <f>O425+INDEX(Dashboard!$F$6:$F$22,MATCH($A425,Dashboard!$A$6:$A$22,0))</f>
        <v/>
      </c>
      <c r="U425" s="43">
        <f>AQ425*INDEX(Dashboard!$G$6:$G$22,MATCH($A425,Dashboard!$A$6:$A$22,0))</f>
        <v/>
      </c>
      <c r="V425" s="47" t="n"/>
      <c r="W425" s="47" t="n"/>
      <c r="X425" s="47" t="n"/>
      <c r="Y425" s="48" t="n"/>
      <c r="Z425" s="49" t="n"/>
      <c r="AA425" s="49" t="n"/>
      <c r="AB425" s="49" t="n"/>
      <c r="AC425" s="50" t="n"/>
      <c r="AD425" s="43">
        <f>IF(Z425&lt;&gt;"",Z425,N(V425))</f>
        <v/>
      </c>
      <c r="AE425" s="43">
        <f>IF(AA425&lt;&gt;"",AA425,N(W425))</f>
        <v/>
      </c>
      <c r="AF425" s="43">
        <f>AD425+AE425</f>
        <v/>
      </c>
      <c r="AG425" s="42">
        <f>IF(UPPER(AC425)="Y",1,IF(AF425=0,0,IF(AND(Z425="",Y425&lt;&gt;""),IF(Y425&gt;=0.999,1,0),IF(AF425&gt;=U425,1,0))))</f>
        <v/>
      </c>
      <c r="AH425" s="44">
        <f>IF(AF425&gt;0,(AD425-AE425)/AF425,"")</f>
        <v/>
      </c>
      <c r="AI425" s="45">
        <f>IF(AG425=1,AH425-O425,"")</f>
        <v/>
      </c>
      <c r="AJ425" s="44">
        <f>IF(AG425=1,AH425,MAX(-1,MIN(1,O425+INDEX(Types!$H:$H,MATCH($A425&amp;"|"&amp;$D425,Types!$A:$A,0)))))</f>
        <v/>
      </c>
      <c r="AK425" s="43">
        <f>IF(AG425=1,AF425,MAX(AQ425*AS425,AF425))</f>
        <v/>
      </c>
      <c r="AL425" s="43">
        <f>IF(AG425=1,AD425,AK425*(1+AJ425)/2)</f>
        <v/>
      </c>
      <c r="AM425" s="43">
        <f>IF(AG425=1,AE425,AK425*(1-AJ425)/2)</f>
        <v/>
      </c>
      <c r="AN425" s="45">
        <f>IF(AH425="","",AH425-T425)</f>
        <v/>
      </c>
      <c r="AO425" s="51">
        <f>IF(AG425=1,1,IF(U425&gt;0,MIN(AF425/U425,0.99),0))</f>
        <v/>
      </c>
      <c r="AP425" s="43">
        <f>IF(AG425=1,AI425*AF425,0)</f>
        <v/>
      </c>
      <c r="AQ425" s="43">
        <f>N425*(F425+G425)/H425</f>
        <v/>
      </c>
      <c r="AR425" s="43">
        <f>O425*AQ425</f>
        <v/>
      </c>
      <c r="AS425" s="52">
        <f>IF(AG425=1,IF(AQ425&gt;0,AF425/AQ425,1),IFERROR(INDEX(Types!$K:$K,MATCH($A425&amp;"|"&amp;$D425,Types!$A:$A,0)),INDEX(Dashboard!$X$6:$X$22,MATCH($A425,Dashboard!$A$6:$A$22,0))))</f>
        <v/>
      </c>
      <c r="AT425" s="43">
        <f>AQ425*INDEX(Dashboard!$Y$6:$Y$22,MATCH($A425,Dashboard!$A$6:$A$22,0))</f>
        <v/>
      </c>
      <c r="AU425" s="53">
        <f>IF(AND(AG425=1,AT425&gt;0,AF425&gt;0),100*AF425/AT425,"")</f>
        <v/>
      </c>
      <c r="AV425" s="44">
        <f>IF(AU425="","",T425/(AU425/100))</f>
        <v/>
      </c>
      <c r="AW425" s="53">
        <f>IF(AU425="","",IF(AND(ABS(AH425)&gt;=0.1,ABS(T425)&gt;=0.05,SIGN(AH425)=SIGN(T425)),100*T425/AH425,""))</f>
        <v/>
      </c>
      <c r="AX425" s="45">
        <f>IF(AU425="","",T425-AV425)</f>
        <v/>
      </c>
      <c r="AY425" s="45">
        <f>IF(AU425="","",AH425-AV425)</f>
        <v/>
      </c>
      <c r="AZ425" s="54">
        <f>(AL425-AM425)-T425*AT425</f>
        <v/>
      </c>
      <c r="BA425" s="43">
        <f>IF(AU425="",0,(AH425-T425)*AF425)</f>
        <v/>
      </c>
      <c r="BB425" s="43">
        <f>IF(AU425="",0,T425*(AF425-AT425))</f>
        <v/>
      </c>
      <c r="BC425" s="51" t="n">
        <v>0.005121061903396288</v>
      </c>
      <c r="BD425" s="51" t="n">
        <v>0.0222049244131263</v>
      </c>
      <c r="BE425" s="51" t="n">
        <v>0.3433850540051538</v>
      </c>
      <c r="BF425" s="43" t="n">
        <v>24409</v>
      </c>
    </row>
    <row r="426">
      <c r="A426" s="42" t="inlineStr">
        <is>
          <t>MI</t>
        </is>
      </c>
      <c r="B426" s="42" t="inlineStr">
        <is>
          <t>26011</t>
        </is>
      </c>
      <c r="C426" s="42" t="inlineStr">
        <is>
          <t>Arenac</t>
        </is>
      </c>
      <c r="D426" s="42" t="inlineStr">
        <is>
          <t>Small town &amp; rural</t>
        </is>
      </c>
      <c r="E426" s="42" t="inlineStr"/>
      <c r="F426" s="43" t="n">
        <v>2662</v>
      </c>
      <c r="G426" s="43" t="n">
        <v>6379</v>
      </c>
      <c r="H426" s="43" t="n">
        <v>9158</v>
      </c>
      <c r="I426" s="43" t="n">
        <v>2774</v>
      </c>
      <c r="J426" s="43" t="n">
        <v>5928</v>
      </c>
      <c r="K426" s="42" t="inlineStr">
        <is>
          <t>Governor</t>
        </is>
      </c>
      <c r="L426" s="43" t="n">
        <v>2709</v>
      </c>
      <c r="M426" s="43" t="n">
        <v>4314</v>
      </c>
      <c r="N426" s="43" t="n">
        <v>7170</v>
      </c>
      <c r="O426" s="44">
        <f>IFERROR((F426-G426)/(F426+G426),"")</f>
        <v/>
      </c>
      <c r="P426" s="44">
        <f>IFERROR((I426-J426)/(I426+J426),"")</f>
        <v/>
      </c>
      <c r="Q426" s="45">
        <f>IFERROR(O426-P426,"")</f>
        <v/>
      </c>
      <c r="R426" s="44">
        <f>IFERROR((L426-M426)/(L426+M426),"")</f>
        <v/>
      </c>
      <c r="S426" s="46">
        <f>H426/SUMIFS(Counties!$H$2:$H$1583,Counties!$A$2:$A$1583,$A426)</f>
        <v/>
      </c>
      <c r="T426" s="44">
        <f>O426+INDEX(Dashboard!$F$6:$F$22,MATCH($A426,Dashboard!$A$6:$A$22,0))</f>
        <v/>
      </c>
      <c r="U426" s="43">
        <f>AQ426*INDEX(Dashboard!$G$6:$G$22,MATCH($A426,Dashboard!$A$6:$A$22,0))</f>
        <v/>
      </c>
      <c r="V426" s="47" t="n"/>
      <c r="W426" s="47" t="n"/>
      <c r="X426" s="47" t="n"/>
      <c r="Y426" s="48" t="n"/>
      <c r="Z426" s="49" t="n"/>
      <c r="AA426" s="49" t="n"/>
      <c r="AB426" s="49" t="n"/>
      <c r="AC426" s="50" t="n"/>
      <c r="AD426" s="43">
        <f>IF(Z426&lt;&gt;"",Z426,N(V426))</f>
        <v/>
      </c>
      <c r="AE426" s="43">
        <f>IF(AA426&lt;&gt;"",AA426,N(W426))</f>
        <v/>
      </c>
      <c r="AF426" s="43">
        <f>AD426+AE426</f>
        <v/>
      </c>
      <c r="AG426" s="42">
        <f>IF(UPPER(AC426)="Y",1,IF(AF426=0,0,IF(AND(Z426="",Y426&lt;&gt;""),IF(Y426&gt;=0.999,1,0),IF(AF426&gt;=U426,1,0))))</f>
        <v/>
      </c>
      <c r="AH426" s="44">
        <f>IF(AF426&gt;0,(AD426-AE426)/AF426,"")</f>
        <v/>
      </c>
      <c r="AI426" s="45">
        <f>IF(AG426=1,AH426-O426,"")</f>
        <v/>
      </c>
      <c r="AJ426" s="44">
        <f>IF(AG426=1,AH426,MAX(-1,MIN(1,O426+INDEX(Types!$H:$H,MATCH($A426&amp;"|"&amp;$D426,Types!$A:$A,0)))))</f>
        <v/>
      </c>
      <c r="AK426" s="43">
        <f>IF(AG426=1,AF426,MAX(AQ426*AS426,AF426))</f>
        <v/>
      </c>
      <c r="AL426" s="43">
        <f>IF(AG426=1,AD426,AK426*(1+AJ426)/2)</f>
        <v/>
      </c>
      <c r="AM426" s="43">
        <f>IF(AG426=1,AE426,AK426*(1-AJ426)/2)</f>
        <v/>
      </c>
      <c r="AN426" s="45">
        <f>IF(AH426="","",AH426-T426)</f>
        <v/>
      </c>
      <c r="AO426" s="51">
        <f>IF(AG426=1,1,IF(U426&gt;0,MIN(AF426/U426,0.99),0))</f>
        <v/>
      </c>
      <c r="AP426" s="43">
        <f>IF(AG426=1,AI426*AF426,0)</f>
        <v/>
      </c>
      <c r="AQ426" s="43">
        <f>N426*(F426+G426)/H426</f>
        <v/>
      </c>
      <c r="AR426" s="43">
        <f>O426*AQ426</f>
        <v/>
      </c>
      <c r="AS426" s="52">
        <f>IF(AG426=1,IF(AQ426&gt;0,AF426/AQ426,1),IFERROR(INDEX(Types!$K:$K,MATCH($A426&amp;"|"&amp;$D426,Types!$A:$A,0)),INDEX(Dashboard!$X$6:$X$22,MATCH($A426,Dashboard!$A$6:$A$22,0))))</f>
        <v/>
      </c>
      <c r="AT426" s="43">
        <f>AQ426*INDEX(Dashboard!$Y$6:$Y$22,MATCH($A426,Dashboard!$A$6:$A$22,0))</f>
        <v/>
      </c>
      <c r="AU426" s="53">
        <f>IF(AND(AG426=1,AT426&gt;0,AF426&gt;0),100*AF426/AT426,"")</f>
        <v/>
      </c>
      <c r="AV426" s="44">
        <f>IF(AU426="","",T426/(AU426/100))</f>
        <v/>
      </c>
      <c r="AW426" s="53">
        <f>IF(AU426="","",IF(AND(ABS(AH426)&gt;=0.1,ABS(T426)&gt;=0.05,SIGN(AH426)=SIGN(T426)),100*T426/AH426,""))</f>
        <v/>
      </c>
      <c r="AX426" s="45">
        <f>IF(AU426="","",T426-AV426)</f>
        <v/>
      </c>
      <c r="AY426" s="45">
        <f>IF(AU426="","",AH426-AV426)</f>
        <v/>
      </c>
      <c r="AZ426" s="54">
        <f>(AL426-AM426)-T426*AT426</f>
        <v/>
      </c>
      <c r="BA426" s="43">
        <f>IF(AU426="",0,(AH426-T426)*AF426)</f>
        <v/>
      </c>
      <c r="BB426" s="43">
        <f>IF(AU426="",0,T426*(AF426-AT426))</f>
        <v/>
      </c>
      <c r="BC426" s="51" t="n">
        <v>0.006536810828656322</v>
      </c>
      <c r="BD426" s="51" t="n">
        <v>0.02383624958732255</v>
      </c>
      <c r="BE426" s="51" t="n">
        <v>0.1580246913580247</v>
      </c>
      <c r="BF426" s="43" t="n">
        <v>15145</v>
      </c>
    </row>
    <row r="427">
      <c r="A427" s="42" t="inlineStr">
        <is>
          <t>MI</t>
        </is>
      </c>
      <c r="B427" s="42" t="inlineStr">
        <is>
          <t>26013</t>
        </is>
      </c>
      <c r="C427" s="42" t="inlineStr">
        <is>
          <t>Baraga</t>
        </is>
      </c>
      <c r="D427" s="42" t="inlineStr">
        <is>
          <t>Small town &amp; rural</t>
        </is>
      </c>
      <c r="E427" s="42" t="inlineStr"/>
      <c r="F427" s="43" t="n">
        <v>1488</v>
      </c>
      <c r="G427" s="43" t="n">
        <v>2779</v>
      </c>
      <c r="H427" s="43" t="n">
        <v>4332</v>
      </c>
      <c r="I427" s="43" t="n">
        <v>1478</v>
      </c>
      <c r="J427" s="43" t="n">
        <v>2512</v>
      </c>
      <c r="K427" s="42" t="inlineStr">
        <is>
          <t>Governor</t>
        </is>
      </c>
      <c r="L427" s="43" t="n">
        <v>1329</v>
      </c>
      <c r="M427" s="43" t="n">
        <v>2056</v>
      </c>
      <c r="N427" s="43" t="n">
        <v>3444</v>
      </c>
      <c r="O427" s="44">
        <f>IFERROR((F427-G427)/(F427+G427),"")</f>
        <v/>
      </c>
      <c r="P427" s="44">
        <f>IFERROR((I427-J427)/(I427+J427),"")</f>
        <v/>
      </c>
      <c r="Q427" s="45">
        <f>IFERROR(O427-P427,"")</f>
        <v/>
      </c>
      <c r="R427" s="44">
        <f>IFERROR((L427-M427)/(L427+M427),"")</f>
        <v/>
      </c>
      <c r="S427" s="46">
        <f>H427/SUMIFS(Counties!$H$2:$H$1583,Counties!$A$2:$A$1583,$A427)</f>
        <v/>
      </c>
      <c r="T427" s="44">
        <f>O427+INDEX(Dashboard!$F$6:$F$22,MATCH($A427,Dashboard!$A$6:$A$22,0))</f>
        <v/>
      </c>
      <c r="U427" s="43">
        <f>AQ427*INDEX(Dashboard!$G$6:$G$22,MATCH($A427,Dashboard!$A$6:$A$22,0))</f>
        <v/>
      </c>
      <c r="V427" s="47" t="n"/>
      <c r="W427" s="47" t="n"/>
      <c r="X427" s="47" t="n"/>
      <c r="Y427" s="48" t="n"/>
      <c r="Z427" s="49" t="n"/>
      <c r="AA427" s="49" t="n"/>
      <c r="AB427" s="49" t="n"/>
      <c r="AC427" s="50" t="n"/>
      <c r="AD427" s="43">
        <f>IF(Z427&lt;&gt;"",Z427,N(V427))</f>
        <v/>
      </c>
      <c r="AE427" s="43">
        <f>IF(AA427&lt;&gt;"",AA427,N(W427))</f>
        <v/>
      </c>
      <c r="AF427" s="43">
        <f>AD427+AE427</f>
        <v/>
      </c>
      <c r="AG427" s="42">
        <f>IF(UPPER(AC427)="Y",1,IF(AF427=0,0,IF(AND(Z427="",Y427&lt;&gt;""),IF(Y427&gt;=0.999,1,0),IF(AF427&gt;=U427,1,0))))</f>
        <v/>
      </c>
      <c r="AH427" s="44">
        <f>IF(AF427&gt;0,(AD427-AE427)/AF427,"")</f>
        <v/>
      </c>
      <c r="AI427" s="45">
        <f>IF(AG427=1,AH427-O427,"")</f>
        <v/>
      </c>
      <c r="AJ427" s="44">
        <f>IF(AG427=1,AH427,MAX(-1,MIN(1,O427+INDEX(Types!$H:$H,MATCH($A427&amp;"|"&amp;$D427,Types!$A:$A,0)))))</f>
        <v/>
      </c>
      <c r="AK427" s="43">
        <f>IF(AG427=1,AF427,MAX(AQ427*AS427,AF427))</f>
        <v/>
      </c>
      <c r="AL427" s="43">
        <f>IF(AG427=1,AD427,AK427*(1+AJ427)/2)</f>
        <v/>
      </c>
      <c r="AM427" s="43">
        <f>IF(AG427=1,AE427,AK427*(1-AJ427)/2)</f>
        <v/>
      </c>
      <c r="AN427" s="45">
        <f>IF(AH427="","",AH427-T427)</f>
        <v/>
      </c>
      <c r="AO427" s="51">
        <f>IF(AG427=1,1,IF(U427&gt;0,MIN(AF427/U427,0.99),0))</f>
        <v/>
      </c>
      <c r="AP427" s="43">
        <f>IF(AG427=1,AI427*AF427,0)</f>
        <v/>
      </c>
      <c r="AQ427" s="43">
        <f>N427*(F427+G427)/H427</f>
        <v/>
      </c>
      <c r="AR427" s="43">
        <f>O427*AQ427</f>
        <v/>
      </c>
      <c r="AS427" s="52">
        <f>IF(AG427=1,IF(AQ427&gt;0,AF427/AQ427,1),IFERROR(INDEX(Types!$K:$K,MATCH($A427&amp;"|"&amp;$D427,Types!$A:$A,0)),INDEX(Dashboard!$X$6:$X$22,MATCH($A427,Dashboard!$A$6:$A$22,0))))</f>
        <v/>
      </c>
      <c r="AT427" s="43">
        <f>AQ427*INDEX(Dashboard!$Y$6:$Y$22,MATCH($A427,Dashboard!$A$6:$A$22,0))</f>
        <v/>
      </c>
      <c r="AU427" s="53">
        <f>IF(AND(AG427=1,AT427&gt;0,AF427&gt;0),100*AF427/AT427,"")</f>
        <v/>
      </c>
      <c r="AV427" s="44">
        <f>IF(AU427="","",T427/(AU427/100))</f>
        <v/>
      </c>
      <c r="AW427" s="53">
        <f>IF(AU427="","",IF(AND(ABS(AH427)&gt;=0.1,ABS(T427)&gt;=0.05,SIGN(AH427)=SIGN(T427)),100*T427/AH427,""))</f>
        <v/>
      </c>
      <c r="AX427" s="45">
        <f>IF(AU427="","",T427-AV427)</f>
        <v/>
      </c>
      <c r="AY427" s="45">
        <f>IF(AU427="","",AH427-AV427)</f>
        <v/>
      </c>
      <c r="AZ427" s="54">
        <f>(AL427-AM427)-T427*AT427</f>
        <v/>
      </c>
      <c r="BA427" s="43">
        <f>IF(AU427="",0,(AH427-T427)*AF427)</f>
        <v/>
      </c>
      <c r="BB427" s="43">
        <f>IF(AU427="",0,T427*(AF427-AT427))</f>
        <v/>
      </c>
      <c r="BC427" s="51" t="n">
        <v>0.07785800240673887</v>
      </c>
      <c r="BD427" s="51" t="n">
        <v>0.0197352587244284</v>
      </c>
      <c r="BE427" s="51" t="n">
        <v>0.1611656738045403</v>
      </c>
      <c r="BF427" s="43" t="n">
        <v>8310</v>
      </c>
    </row>
    <row r="428">
      <c r="A428" s="42" t="inlineStr">
        <is>
          <t>MI</t>
        </is>
      </c>
      <c r="B428" s="42" t="inlineStr">
        <is>
          <t>26015</t>
        </is>
      </c>
      <c r="C428" s="42" t="inlineStr">
        <is>
          <t>Barry</t>
        </is>
      </c>
      <c r="D428" s="42" t="inlineStr">
        <is>
          <t>Small town &amp; rural</t>
        </is>
      </c>
      <c r="E428" s="42" t="inlineStr"/>
      <c r="F428" s="43" t="n">
        <v>12391</v>
      </c>
      <c r="G428" s="43" t="n">
        <v>25650</v>
      </c>
      <c r="H428" s="43" t="n">
        <v>38621</v>
      </c>
      <c r="I428" s="43" t="n">
        <v>11797</v>
      </c>
      <c r="J428" s="43" t="n">
        <v>23471</v>
      </c>
      <c r="K428" s="42" t="inlineStr">
        <is>
          <t>Governor</t>
        </is>
      </c>
      <c r="L428" s="43" t="n">
        <v>11552</v>
      </c>
      <c r="M428" s="43" t="n">
        <v>18547</v>
      </c>
      <c r="N428" s="43" t="n">
        <v>30731</v>
      </c>
      <c r="O428" s="44">
        <f>IFERROR((F428-G428)/(F428+G428),"")</f>
        <v/>
      </c>
      <c r="P428" s="44">
        <f>IFERROR((I428-J428)/(I428+J428),"")</f>
        <v/>
      </c>
      <c r="Q428" s="45">
        <f>IFERROR(O428-P428,"")</f>
        <v/>
      </c>
      <c r="R428" s="44">
        <f>IFERROR((L428-M428)/(L428+M428),"")</f>
        <v/>
      </c>
      <c r="S428" s="46">
        <f>H428/SUMIFS(Counties!$H$2:$H$1583,Counties!$A$2:$A$1583,$A428)</f>
        <v/>
      </c>
      <c r="T428" s="44">
        <f>O428+INDEX(Dashboard!$F$6:$F$22,MATCH($A428,Dashboard!$A$6:$A$22,0))</f>
        <v/>
      </c>
      <c r="U428" s="43">
        <f>AQ428*INDEX(Dashboard!$G$6:$G$22,MATCH($A428,Dashboard!$A$6:$A$22,0))</f>
        <v/>
      </c>
      <c r="V428" s="47" t="n"/>
      <c r="W428" s="47" t="n"/>
      <c r="X428" s="47" t="n"/>
      <c r="Y428" s="48" t="n"/>
      <c r="Z428" s="49" t="n"/>
      <c r="AA428" s="49" t="n"/>
      <c r="AB428" s="49" t="n"/>
      <c r="AC428" s="50" t="n"/>
      <c r="AD428" s="43">
        <f>IF(Z428&lt;&gt;"",Z428,N(V428))</f>
        <v/>
      </c>
      <c r="AE428" s="43">
        <f>IF(AA428&lt;&gt;"",AA428,N(W428))</f>
        <v/>
      </c>
      <c r="AF428" s="43">
        <f>AD428+AE428</f>
        <v/>
      </c>
      <c r="AG428" s="42">
        <f>IF(UPPER(AC428)="Y",1,IF(AF428=0,0,IF(AND(Z428="",Y428&lt;&gt;""),IF(Y428&gt;=0.999,1,0),IF(AF428&gt;=U428,1,0))))</f>
        <v/>
      </c>
      <c r="AH428" s="44">
        <f>IF(AF428&gt;0,(AD428-AE428)/AF428,"")</f>
        <v/>
      </c>
      <c r="AI428" s="45">
        <f>IF(AG428=1,AH428-O428,"")</f>
        <v/>
      </c>
      <c r="AJ428" s="44">
        <f>IF(AG428=1,AH428,MAX(-1,MIN(1,O428+INDEX(Types!$H:$H,MATCH($A428&amp;"|"&amp;$D428,Types!$A:$A,0)))))</f>
        <v/>
      </c>
      <c r="AK428" s="43">
        <f>IF(AG428=1,AF428,MAX(AQ428*AS428,AF428))</f>
        <v/>
      </c>
      <c r="AL428" s="43">
        <f>IF(AG428=1,AD428,AK428*(1+AJ428)/2)</f>
        <v/>
      </c>
      <c r="AM428" s="43">
        <f>IF(AG428=1,AE428,AK428*(1-AJ428)/2)</f>
        <v/>
      </c>
      <c r="AN428" s="45">
        <f>IF(AH428="","",AH428-T428)</f>
        <v/>
      </c>
      <c r="AO428" s="51">
        <f>IF(AG428=1,1,IF(U428&gt;0,MIN(AF428/U428,0.99),0))</f>
        <v/>
      </c>
      <c r="AP428" s="43">
        <f>IF(AG428=1,AI428*AF428,0)</f>
        <v/>
      </c>
      <c r="AQ428" s="43">
        <f>N428*(F428+G428)/H428</f>
        <v/>
      </c>
      <c r="AR428" s="43">
        <f>O428*AQ428</f>
        <v/>
      </c>
      <c r="AS428" s="52">
        <f>IF(AG428=1,IF(AQ428&gt;0,AF428/AQ428,1),IFERROR(INDEX(Types!$K:$K,MATCH($A428&amp;"|"&amp;$D428,Types!$A:$A,0)),INDEX(Dashboard!$X$6:$X$22,MATCH($A428,Dashboard!$A$6:$A$22,0))))</f>
        <v/>
      </c>
      <c r="AT428" s="43">
        <f>AQ428*INDEX(Dashboard!$Y$6:$Y$22,MATCH($A428,Dashboard!$A$6:$A$22,0))</f>
        <v/>
      </c>
      <c r="AU428" s="53">
        <f>IF(AND(AG428=1,AT428&gt;0,AF428&gt;0),100*AF428/AT428,"")</f>
        <v/>
      </c>
      <c r="AV428" s="44">
        <f>IF(AU428="","",T428/(AU428/100))</f>
        <v/>
      </c>
      <c r="AW428" s="53">
        <f>IF(AU428="","",IF(AND(ABS(AH428)&gt;=0.1,ABS(T428)&gt;=0.05,SIGN(AH428)=SIGN(T428)),100*T428/AH428,""))</f>
        <v/>
      </c>
      <c r="AX428" s="45">
        <f>IF(AU428="","",T428-AV428)</f>
        <v/>
      </c>
      <c r="AY428" s="45">
        <f>IF(AU428="","",AH428-AV428)</f>
        <v/>
      </c>
      <c r="AZ428" s="54">
        <f>(AL428-AM428)-T428*AT428</f>
        <v/>
      </c>
      <c r="BA428" s="43">
        <f>IF(AU428="",0,(AH428-T428)*AF428)</f>
        <v/>
      </c>
      <c r="BB428" s="43">
        <f>IF(AU428="",0,T428*(AF428-AT428))</f>
        <v/>
      </c>
      <c r="BC428" s="51" t="n">
        <v>0.00858826479438315</v>
      </c>
      <c r="BD428" s="51" t="n">
        <v>0.03776955867602808</v>
      </c>
      <c r="BE428" s="51" t="n">
        <v>0.2425631347173542</v>
      </c>
      <c r="BF428" s="43" t="n">
        <v>63808</v>
      </c>
    </row>
    <row r="429">
      <c r="A429" s="42" t="inlineStr">
        <is>
          <t>MI</t>
        </is>
      </c>
      <c r="B429" s="42" t="inlineStr">
        <is>
          <t>26017</t>
        </is>
      </c>
      <c r="C429" s="42" t="inlineStr">
        <is>
          <t>Bay</t>
        </is>
      </c>
      <c r="D429" s="42" t="inlineStr">
        <is>
          <t>Mid-size/working metro</t>
        </is>
      </c>
      <c r="E429" s="42" t="inlineStr"/>
      <c r="F429" s="43" t="n">
        <v>25767</v>
      </c>
      <c r="G429" s="43" t="n">
        <v>34792</v>
      </c>
      <c r="H429" s="43" t="n">
        <v>61331</v>
      </c>
      <c r="I429" s="43" t="n">
        <v>26151</v>
      </c>
      <c r="J429" s="43" t="n">
        <v>33125</v>
      </c>
      <c r="K429" s="42" t="inlineStr">
        <is>
          <t>Governor</t>
        </is>
      </c>
      <c r="L429" s="43" t="n">
        <v>24783</v>
      </c>
      <c r="M429" s="43" t="n">
        <v>23448</v>
      </c>
      <c r="N429" s="43" t="n">
        <v>49235</v>
      </c>
      <c r="O429" s="44">
        <f>IFERROR((F429-G429)/(F429+G429),"")</f>
        <v/>
      </c>
      <c r="P429" s="44">
        <f>IFERROR((I429-J429)/(I429+J429),"")</f>
        <v/>
      </c>
      <c r="Q429" s="45">
        <f>IFERROR(O429-P429,"")</f>
        <v/>
      </c>
      <c r="R429" s="44">
        <f>IFERROR((L429-M429)/(L429+M429),"")</f>
        <v/>
      </c>
      <c r="S429" s="46">
        <f>H429/SUMIFS(Counties!$H$2:$H$1583,Counties!$A$2:$A$1583,$A429)</f>
        <v/>
      </c>
      <c r="T429" s="44">
        <f>O429+INDEX(Dashboard!$F$6:$F$22,MATCH($A429,Dashboard!$A$6:$A$22,0))</f>
        <v/>
      </c>
      <c r="U429" s="43">
        <f>AQ429*INDEX(Dashboard!$G$6:$G$22,MATCH($A429,Dashboard!$A$6:$A$22,0))</f>
        <v/>
      </c>
      <c r="V429" s="47" t="n"/>
      <c r="W429" s="47" t="n"/>
      <c r="X429" s="47" t="n"/>
      <c r="Y429" s="48" t="n"/>
      <c r="Z429" s="49" t="n"/>
      <c r="AA429" s="49" t="n"/>
      <c r="AB429" s="49" t="n"/>
      <c r="AC429" s="50" t="n"/>
      <c r="AD429" s="43">
        <f>IF(Z429&lt;&gt;"",Z429,N(V429))</f>
        <v/>
      </c>
      <c r="AE429" s="43">
        <f>IF(AA429&lt;&gt;"",AA429,N(W429))</f>
        <v/>
      </c>
      <c r="AF429" s="43">
        <f>AD429+AE429</f>
        <v/>
      </c>
      <c r="AG429" s="42">
        <f>IF(UPPER(AC429)="Y",1,IF(AF429=0,0,IF(AND(Z429="",Y429&lt;&gt;""),IF(Y429&gt;=0.999,1,0),IF(AF429&gt;=U429,1,0))))</f>
        <v/>
      </c>
      <c r="AH429" s="44">
        <f>IF(AF429&gt;0,(AD429-AE429)/AF429,"")</f>
        <v/>
      </c>
      <c r="AI429" s="45">
        <f>IF(AG429=1,AH429-O429,"")</f>
        <v/>
      </c>
      <c r="AJ429" s="44">
        <f>IF(AG429=1,AH429,MAX(-1,MIN(1,O429+INDEX(Types!$H:$H,MATCH($A429&amp;"|"&amp;$D429,Types!$A:$A,0)))))</f>
        <v/>
      </c>
      <c r="AK429" s="43">
        <f>IF(AG429=1,AF429,MAX(AQ429*AS429,AF429))</f>
        <v/>
      </c>
      <c r="AL429" s="43">
        <f>IF(AG429=1,AD429,AK429*(1+AJ429)/2)</f>
        <v/>
      </c>
      <c r="AM429" s="43">
        <f>IF(AG429=1,AE429,AK429*(1-AJ429)/2)</f>
        <v/>
      </c>
      <c r="AN429" s="45">
        <f>IF(AH429="","",AH429-T429)</f>
        <v/>
      </c>
      <c r="AO429" s="51">
        <f>IF(AG429=1,1,IF(U429&gt;0,MIN(AF429/U429,0.99),0))</f>
        <v/>
      </c>
      <c r="AP429" s="43">
        <f>IF(AG429=1,AI429*AF429,0)</f>
        <v/>
      </c>
      <c r="AQ429" s="43">
        <f>N429*(F429+G429)/H429</f>
        <v/>
      </c>
      <c r="AR429" s="43">
        <f>O429*AQ429</f>
        <v/>
      </c>
      <c r="AS429" s="52">
        <f>IF(AG429=1,IF(AQ429&gt;0,AF429/AQ429,1),IFERROR(INDEX(Types!$K:$K,MATCH($A429&amp;"|"&amp;$D429,Types!$A:$A,0)),INDEX(Dashboard!$X$6:$X$22,MATCH($A429,Dashboard!$A$6:$A$22,0))))</f>
        <v/>
      </c>
      <c r="AT429" s="43">
        <f>AQ429*INDEX(Dashboard!$Y$6:$Y$22,MATCH($A429,Dashboard!$A$6:$A$22,0))</f>
        <v/>
      </c>
      <c r="AU429" s="53">
        <f>IF(AND(AG429=1,AT429&gt;0,AF429&gt;0),100*AF429/AT429,"")</f>
        <v/>
      </c>
      <c r="AV429" s="44">
        <f>IF(AU429="","",T429/(AU429/100))</f>
        <v/>
      </c>
      <c r="AW429" s="53">
        <f>IF(AU429="","",IF(AND(ABS(AH429)&gt;=0.1,ABS(T429)&gt;=0.05,SIGN(AH429)=SIGN(T429)),100*T429/AH429,""))</f>
        <v/>
      </c>
      <c r="AX429" s="45">
        <f>IF(AU429="","",T429-AV429)</f>
        <v/>
      </c>
      <c r="AY429" s="45">
        <f>IF(AU429="","",AH429-AV429)</f>
        <v/>
      </c>
      <c r="AZ429" s="54">
        <f>(AL429-AM429)-T429*AT429</f>
        <v/>
      </c>
      <c r="BA429" s="43">
        <f>IF(AU429="",0,(AH429-T429)*AF429)</f>
        <v/>
      </c>
      <c r="BB429" s="43">
        <f>IF(AU429="",0,T429*(AF429-AT429))</f>
        <v/>
      </c>
      <c r="BC429" s="51" t="n">
        <v>0.0184780487804878</v>
      </c>
      <c r="BD429" s="51" t="n">
        <v>0.06007804878048781</v>
      </c>
      <c r="BE429" s="51" t="n">
        <v>0.2140309788683664</v>
      </c>
      <c r="BF429" s="43" t="n">
        <v>102500</v>
      </c>
    </row>
    <row r="430">
      <c r="A430" s="42" t="inlineStr">
        <is>
          <t>MI</t>
        </is>
      </c>
      <c r="B430" s="42" t="inlineStr">
        <is>
          <t>26019</t>
        </is>
      </c>
      <c r="C430" s="42" t="inlineStr">
        <is>
          <t>Benzie</t>
        </is>
      </c>
      <c r="D430" s="42" t="inlineStr">
        <is>
          <t>Small town &amp; rural</t>
        </is>
      </c>
      <c r="E430" s="42" t="inlineStr"/>
      <c r="F430" s="43" t="n">
        <v>5780</v>
      </c>
      <c r="G430" s="43" t="n">
        <v>6895</v>
      </c>
      <c r="H430" s="43" t="n">
        <v>12845</v>
      </c>
      <c r="I430" s="43" t="n">
        <v>5480</v>
      </c>
      <c r="J430" s="43" t="n">
        <v>6601</v>
      </c>
      <c r="K430" s="42" t="inlineStr">
        <is>
          <t>Governor</t>
        </is>
      </c>
      <c r="L430" s="43" t="n">
        <v>5446</v>
      </c>
      <c r="M430" s="43" t="n">
        <v>5064</v>
      </c>
      <c r="N430" s="43" t="n">
        <v>10695</v>
      </c>
      <c r="O430" s="44">
        <f>IFERROR((F430-G430)/(F430+G430),"")</f>
        <v/>
      </c>
      <c r="P430" s="44">
        <f>IFERROR((I430-J430)/(I430+J430),"")</f>
        <v/>
      </c>
      <c r="Q430" s="45">
        <f>IFERROR(O430-P430,"")</f>
        <v/>
      </c>
      <c r="R430" s="44">
        <f>IFERROR((L430-M430)/(L430+M430),"")</f>
        <v/>
      </c>
      <c r="S430" s="46">
        <f>H430/SUMIFS(Counties!$H$2:$H$1583,Counties!$A$2:$A$1583,$A430)</f>
        <v/>
      </c>
      <c r="T430" s="44">
        <f>O430+INDEX(Dashboard!$F$6:$F$22,MATCH($A430,Dashboard!$A$6:$A$22,0))</f>
        <v/>
      </c>
      <c r="U430" s="43">
        <f>AQ430*INDEX(Dashboard!$G$6:$G$22,MATCH($A430,Dashboard!$A$6:$A$22,0))</f>
        <v/>
      </c>
      <c r="V430" s="47" t="n"/>
      <c r="W430" s="47" t="n"/>
      <c r="X430" s="47" t="n"/>
      <c r="Y430" s="48" t="n"/>
      <c r="Z430" s="49" t="n"/>
      <c r="AA430" s="49" t="n"/>
      <c r="AB430" s="49" t="n"/>
      <c r="AC430" s="50" t="n"/>
      <c r="AD430" s="43">
        <f>IF(Z430&lt;&gt;"",Z430,N(V430))</f>
        <v/>
      </c>
      <c r="AE430" s="43">
        <f>IF(AA430&lt;&gt;"",AA430,N(W430))</f>
        <v/>
      </c>
      <c r="AF430" s="43">
        <f>AD430+AE430</f>
        <v/>
      </c>
      <c r="AG430" s="42">
        <f>IF(UPPER(AC430)="Y",1,IF(AF430=0,0,IF(AND(Z430="",Y430&lt;&gt;""),IF(Y430&gt;=0.999,1,0),IF(AF430&gt;=U430,1,0))))</f>
        <v/>
      </c>
      <c r="AH430" s="44">
        <f>IF(AF430&gt;0,(AD430-AE430)/AF430,"")</f>
        <v/>
      </c>
      <c r="AI430" s="45">
        <f>IF(AG430=1,AH430-O430,"")</f>
        <v/>
      </c>
      <c r="AJ430" s="44">
        <f>IF(AG430=1,AH430,MAX(-1,MIN(1,O430+INDEX(Types!$H:$H,MATCH($A430&amp;"|"&amp;$D430,Types!$A:$A,0)))))</f>
        <v/>
      </c>
      <c r="AK430" s="43">
        <f>IF(AG430=1,AF430,MAX(AQ430*AS430,AF430))</f>
        <v/>
      </c>
      <c r="AL430" s="43">
        <f>IF(AG430=1,AD430,AK430*(1+AJ430)/2)</f>
        <v/>
      </c>
      <c r="AM430" s="43">
        <f>IF(AG430=1,AE430,AK430*(1-AJ430)/2)</f>
        <v/>
      </c>
      <c r="AN430" s="45">
        <f>IF(AH430="","",AH430-T430)</f>
        <v/>
      </c>
      <c r="AO430" s="51">
        <f>IF(AG430=1,1,IF(U430&gt;0,MIN(AF430/U430,0.99),0))</f>
        <v/>
      </c>
      <c r="AP430" s="43">
        <f>IF(AG430=1,AI430*AF430,0)</f>
        <v/>
      </c>
      <c r="AQ430" s="43">
        <f>N430*(F430+G430)/H430</f>
        <v/>
      </c>
      <c r="AR430" s="43">
        <f>O430*AQ430</f>
        <v/>
      </c>
      <c r="AS430" s="52">
        <f>IF(AG430=1,IF(AQ430&gt;0,AF430/AQ430,1),IFERROR(INDEX(Types!$K:$K,MATCH($A430&amp;"|"&amp;$D430,Types!$A:$A,0)),INDEX(Dashboard!$X$6:$X$22,MATCH($A430,Dashboard!$A$6:$A$22,0))))</f>
        <v/>
      </c>
      <c r="AT430" s="43">
        <f>AQ430*INDEX(Dashboard!$Y$6:$Y$22,MATCH($A430,Dashboard!$A$6:$A$22,0))</f>
        <v/>
      </c>
      <c r="AU430" s="53">
        <f>IF(AND(AG430=1,AT430&gt;0,AF430&gt;0),100*AF430/AT430,"")</f>
        <v/>
      </c>
      <c r="AV430" s="44">
        <f>IF(AU430="","",T430/(AU430/100))</f>
        <v/>
      </c>
      <c r="AW430" s="53">
        <f>IF(AU430="","",IF(AND(ABS(AH430)&gt;=0.1,ABS(T430)&gt;=0.05,SIGN(AH430)=SIGN(T430)),100*T430/AH430,""))</f>
        <v/>
      </c>
      <c r="AX430" s="45">
        <f>IF(AU430="","",T430-AV430)</f>
        <v/>
      </c>
      <c r="AY430" s="45">
        <f>IF(AU430="","",AH430-AV430)</f>
        <v/>
      </c>
      <c r="AZ430" s="54">
        <f>(AL430-AM430)-T430*AT430</f>
        <v/>
      </c>
      <c r="BA430" s="43">
        <f>IF(AU430="",0,(AH430-T430)*AF430)</f>
        <v/>
      </c>
      <c r="BB430" s="43">
        <f>IF(AU430="",0,T430*(AF430-AT430))</f>
        <v/>
      </c>
      <c r="BC430" s="51" t="n">
        <v>0.007537552193481916</v>
      </c>
      <c r="BD430" s="51" t="n">
        <v>0.02543246027872675</v>
      </c>
      <c r="BE430" s="51" t="n">
        <v>0.3434227513986516</v>
      </c>
      <c r="BF430" s="43" t="n">
        <v>18441</v>
      </c>
    </row>
    <row r="431">
      <c r="A431" s="42" t="inlineStr">
        <is>
          <t>MI</t>
        </is>
      </c>
      <c r="B431" s="42" t="inlineStr">
        <is>
          <t>26021</t>
        </is>
      </c>
      <c r="C431" s="42" t="inlineStr">
        <is>
          <t>Berrien</t>
        </is>
      </c>
      <c r="D431" s="42" t="inlineStr">
        <is>
          <t>Mid-size/working metro</t>
        </is>
      </c>
      <c r="E431" s="42" t="inlineStr"/>
      <c r="F431" s="43" t="n">
        <v>38323</v>
      </c>
      <c r="G431" s="43" t="n">
        <v>44975</v>
      </c>
      <c r="H431" s="43" t="n">
        <v>84478</v>
      </c>
      <c r="I431" s="43" t="n">
        <v>37438</v>
      </c>
      <c r="J431" s="43" t="n">
        <v>43519</v>
      </c>
      <c r="K431" s="42" t="inlineStr">
        <is>
          <t>Governor</t>
        </is>
      </c>
      <c r="L431" s="43" t="n">
        <v>29803</v>
      </c>
      <c r="M431" s="43" t="n">
        <v>33157</v>
      </c>
      <c r="N431" s="43" t="n">
        <v>64024</v>
      </c>
      <c r="O431" s="44">
        <f>IFERROR((F431-G431)/(F431+G431),"")</f>
        <v/>
      </c>
      <c r="P431" s="44">
        <f>IFERROR((I431-J431)/(I431+J431),"")</f>
        <v/>
      </c>
      <c r="Q431" s="45">
        <f>IFERROR(O431-P431,"")</f>
        <v/>
      </c>
      <c r="R431" s="44">
        <f>IFERROR((L431-M431)/(L431+M431),"")</f>
        <v/>
      </c>
      <c r="S431" s="46">
        <f>H431/SUMIFS(Counties!$H$2:$H$1583,Counties!$A$2:$A$1583,$A431)</f>
        <v/>
      </c>
      <c r="T431" s="44">
        <f>O431+INDEX(Dashboard!$F$6:$F$22,MATCH($A431,Dashboard!$A$6:$A$22,0))</f>
        <v/>
      </c>
      <c r="U431" s="43">
        <f>AQ431*INDEX(Dashboard!$G$6:$G$22,MATCH($A431,Dashboard!$A$6:$A$22,0))</f>
        <v/>
      </c>
      <c r="V431" s="47" t="n"/>
      <c r="W431" s="47" t="n"/>
      <c r="X431" s="47" t="n"/>
      <c r="Y431" s="48" t="n"/>
      <c r="Z431" s="49" t="n"/>
      <c r="AA431" s="49" t="n"/>
      <c r="AB431" s="49" t="n"/>
      <c r="AC431" s="50" t="n"/>
      <c r="AD431" s="43">
        <f>IF(Z431&lt;&gt;"",Z431,N(V431))</f>
        <v/>
      </c>
      <c r="AE431" s="43">
        <f>IF(AA431&lt;&gt;"",AA431,N(W431))</f>
        <v/>
      </c>
      <c r="AF431" s="43">
        <f>AD431+AE431</f>
        <v/>
      </c>
      <c r="AG431" s="42">
        <f>IF(UPPER(AC431)="Y",1,IF(AF431=0,0,IF(AND(Z431="",Y431&lt;&gt;""),IF(Y431&gt;=0.999,1,0),IF(AF431&gt;=U431,1,0))))</f>
        <v/>
      </c>
      <c r="AH431" s="44">
        <f>IF(AF431&gt;0,(AD431-AE431)/AF431,"")</f>
        <v/>
      </c>
      <c r="AI431" s="45">
        <f>IF(AG431=1,AH431-O431,"")</f>
        <v/>
      </c>
      <c r="AJ431" s="44">
        <f>IF(AG431=1,AH431,MAX(-1,MIN(1,O431+INDEX(Types!$H:$H,MATCH($A431&amp;"|"&amp;$D431,Types!$A:$A,0)))))</f>
        <v/>
      </c>
      <c r="AK431" s="43">
        <f>IF(AG431=1,AF431,MAX(AQ431*AS431,AF431))</f>
        <v/>
      </c>
      <c r="AL431" s="43">
        <f>IF(AG431=1,AD431,AK431*(1+AJ431)/2)</f>
        <v/>
      </c>
      <c r="AM431" s="43">
        <f>IF(AG431=1,AE431,AK431*(1-AJ431)/2)</f>
        <v/>
      </c>
      <c r="AN431" s="45">
        <f>IF(AH431="","",AH431-T431)</f>
        <v/>
      </c>
      <c r="AO431" s="51">
        <f>IF(AG431=1,1,IF(U431&gt;0,MIN(AF431/U431,0.99),0))</f>
        <v/>
      </c>
      <c r="AP431" s="43">
        <f>IF(AG431=1,AI431*AF431,0)</f>
        <v/>
      </c>
      <c r="AQ431" s="43">
        <f>N431*(F431+G431)/H431</f>
        <v/>
      </c>
      <c r="AR431" s="43">
        <f>O431*AQ431</f>
        <v/>
      </c>
      <c r="AS431" s="52">
        <f>IF(AG431=1,IF(AQ431&gt;0,AF431/AQ431,1),IFERROR(INDEX(Types!$K:$K,MATCH($A431&amp;"|"&amp;$D431,Types!$A:$A,0)),INDEX(Dashboard!$X$6:$X$22,MATCH($A431,Dashboard!$A$6:$A$22,0))))</f>
        <v/>
      </c>
      <c r="AT431" s="43">
        <f>AQ431*INDEX(Dashboard!$Y$6:$Y$22,MATCH($A431,Dashboard!$A$6:$A$22,0))</f>
        <v/>
      </c>
      <c r="AU431" s="53">
        <f>IF(AND(AG431=1,AT431&gt;0,AF431&gt;0),100*AF431/AT431,"")</f>
        <v/>
      </c>
      <c r="AV431" s="44">
        <f>IF(AU431="","",T431/(AU431/100))</f>
        <v/>
      </c>
      <c r="AW431" s="53">
        <f>IF(AU431="","",IF(AND(ABS(AH431)&gt;=0.1,ABS(T431)&gt;=0.05,SIGN(AH431)=SIGN(T431)),100*T431/AH431,""))</f>
        <v/>
      </c>
      <c r="AX431" s="45">
        <f>IF(AU431="","",T431-AV431)</f>
        <v/>
      </c>
      <c r="AY431" s="45">
        <f>IF(AU431="","",AH431-AV431)</f>
        <v/>
      </c>
      <c r="AZ431" s="54">
        <f>(AL431-AM431)-T431*AT431</f>
        <v/>
      </c>
      <c r="BA431" s="43">
        <f>IF(AU431="",0,(AH431-T431)*AF431)</f>
        <v/>
      </c>
      <c r="BB431" s="43">
        <f>IF(AU431="",0,T431*(AF431-AT431))</f>
        <v/>
      </c>
      <c r="BC431" s="51" t="n">
        <v>0.1357077649562265</v>
      </c>
      <c r="BD431" s="51" t="n">
        <v>0.0642318124798865</v>
      </c>
      <c r="BE431" s="51" t="n">
        <v>0.3024921252547711</v>
      </c>
      <c r="BF431" s="43" t="n">
        <v>152261</v>
      </c>
    </row>
    <row r="432">
      <c r="A432" s="42" t="inlineStr">
        <is>
          <t>MI</t>
        </is>
      </c>
      <c r="B432" s="42" t="inlineStr">
        <is>
          <t>26023</t>
        </is>
      </c>
      <c r="C432" s="42" t="inlineStr">
        <is>
          <t>Branch</t>
        </is>
      </c>
      <c r="D432" s="42" t="inlineStr">
        <is>
          <t>Small town &amp; rural</t>
        </is>
      </c>
      <c r="E432" s="42" t="inlineStr"/>
      <c r="F432" s="43" t="n">
        <v>5911</v>
      </c>
      <c r="G432" s="43" t="n">
        <v>14848</v>
      </c>
      <c r="H432" s="43" t="n">
        <v>21088</v>
      </c>
      <c r="I432" s="43" t="n">
        <v>6159</v>
      </c>
      <c r="J432" s="43" t="n">
        <v>14064</v>
      </c>
      <c r="K432" s="42" t="inlineStr">
        <is>
          <t>Governor</t>
        </is>
      </c>
      <c r="L432" s="43" t="n">
        <v>5676</v>
      </c>
      <c r="M432" s="43" t="n">
        <v>10132</v>
      </c>
      <c r="N432" s="43" t="n">
        <v>16150</v>
      </c>
      <c r="O432" s="44">
        <f>IFERROR((F432-G432)/(F432+G432),"")</f>
        <v/>
      </c>
      <c r="P432" s="44">
        <f>IFERROR((I432-J432)/(I432+J432),"")</f>
        <v/>
      </c>
      <c r="Q432" s="45">
        <f>IFERROR(O432-P432,"")</f>
        <v/>
      </c>
      <c r="R432" s="44">
        <f>IFERROR((L432-M432)/(L432+M432),"")</f>
        <v/>
      </c>
      <c r="S432" s="46">
        <f>H432/SUMIFS(Counties!$H$2:$H$1583,Counties!$A$2:$A$1583,$A432)</f>
        <v/>
      </c>
      <c r="T432" s="44">
        <f>O432+INDEX(Dashboard!$F$6:$F$22,MATCH($A432,Dashboard!$A$6:$A$22,0))</f>
        <v/>
      </c>
      <c r="U432" s="43">
        <f>AQ432*INDEX(Dashboard!$G$6:$G$22,MATCH($A432,Dashboard!$A$6:$A$22,0))</f>
        <v/>
      </c>
      <c r="V432" s="47" t="n"/>
      <c r="W432" s="47" t="n"/>
      <c r="X432" s="47" t="n"/>
      <c r="Y432" s="48" t="n"/>
      <c r="Z432" s="49" t="n"/>
      <c r="AA432" s="49" t="n"/>
      <c r="AB432" s="49" t="n"/>
      <c r="AC432" s="50" t="n"/>
      <c r="AD432" s="43">
        <f>IF(Z432&lt;&gt;"",Z432,N(V432))</f>
        <v/>
      </c>
      <c r="AE432" s="43">
        <f>IF(AA432&lt;&gt;"",AA432,N(W432))</f>
        <v/>
      </c>
      <c r="AF432" s="43">
        <f>AD432+AE432</f>
        <v/>
      </c>
      <c r="AG432" s="42">
        <f>IF(UPPER(AC432)="Y",1,IF(AF432=0,0,IF(AND(Z432="",Y432&lt;&gt;""),IF(Y432&gt;=0.999,1,0),IF(AF432&gt;=U432,1,0))))</f>
        <v/>
      </c>
      <c r="AH432" s="44">
        <f>IF(AF432&gt;0,(AD432-AE432)/AF432,"")</f>
        <v/>
      </c>
      <c r="AI432" s="45">
        <f>IF(AG432=1,AH432-O432,"")</f>
        <v/>
      </c>
      <c r="AJ432" s="44">
        <f>IF(AG432=1,AH432,MAX(-1,MIN(1,O432+INDEX(Types!$H:$H,MATCH($A432&amp;"|"&amp;$D432,Types!$A:$A,0)))))</f>
        <v/>
      </c>
      <c r="AK432" s="43">
        <f>IF(AG432=1,AF432,MAX(AQ432*AS432,AF432))</f>
        <v/>
      </c>
      <c r="AL432" s="43">
        <f>IF(AG432=1,AD432,AK432*(1+AJ432)/2)</f>
        <v/>
      </c>
      <c r="AM432" s="43">
        <f>IF(AG432=1,AE432,AK432*(1-AJ432)/2)</f>
        <v/>
      </c>
      <c r="AN432" s="45">
        <f>IF(AH432="","",AH432-T432)</f>
        <v/>
      </c>
      <c r="AO432" s="51">
        <f>IF(AG432=1,1,IF(U432&gt;0,MIN(AF432/U432,0.99),0))</f>
        <v/>
      </c>
      <c r="AP432" s="43">
        <f>IF(AG432=1,AI432*AF432,0)</f>
        <v/>
      </c>
      <c r="AQ432" s="43">
        <f>N432*(F432+G432)/H432</f>
        <v/>
      </c>
      <c r="AR432" s="43">
        <f>O432*AQ432</f>
        <v/>
      </c>
      <c r="AS432" s="52">
        <f>IF(AG432=1,IF(AQ432&gt;0,AF432/AQ432,1),IFERROR(INDEX(Types!$K:$K,MATCH($A432&amp;"|"&amp;$D432,Types!$A:$A,0)),INDEX(Dashboard!$X$6:$X$22,MATCH($A432,Dashboard!$A$6:$A$22,0))))</f>
        <v/>
      </c>
      <c r="AT432" s="43">
        <f>AQ432*INDEX(Dashboard!$Y$6:$Y$22,MATCH($A432,Dashboard!$A$6:$A$22,0))</f>
        <v/>
      </c>
      <c r="AU432" s="53">
        <f>IF(AND(AG432=1,AT432&gt;0,AF432&gt;0),100*AF432/AT432,"")</f>
        <v/>
      </c>
      <c r="AV432" s="44">
        <f>IF(AU432="","",T432/(AU432/100))</f>
        <v/>
      </c>
      <c r="AW432" s="53">
        <f>IF(AU432="","",IF(AND(ABS(AH432)&gt;=0.1,ABS(T432)&gt;=0.05,SIGN(AH432)=SIGN(T432)),100*T432/AH432,""))</f>
        <v/>
      </c>
      <c r="AX432" s="45">
        <f>IF(AU432="","",T432-AV432)</f>
        <v/>
      </c>
      <c r="AY432" s="45">
        <f>IF(AU432="","",AH432-AV432)</f>
        <v/>
      </c>
      <c r="AZ432" s="54">
        <f>(AL432-AM432)-T432*AT432</f>
        <v/>
      </c>
      <c r="BA432" s="43">
        <f>IF(AU432="",0,(AH432-T432)*AF432)</f>
        <v/>
      </c>
      <c r="BB432" s="43">
        <f>IF(AU432="",0,T432*(AF432-AT432))</f>
        <v/>
      </c>
      <c r="BC432" s="51" t="n">
        <v>0.02479265730399204</v>
      </c>
      <c r="BD432" s="51" t="n">
        <v>0.0701094769434922</v>
      </c>
      <c r="BE432" s="51" t="n">
        <v>0.1689605157131346</v>
      </c>
      <c r="BF432" s="43" t="n">
        <v>45215</v>
      </c>
    </row>
    <row r="433">
      <c r="A433" s="42" t="inlineStr">
        <is>
          <t>MI</t>
        </is>
      </c>
      <c r="B433" s="42" t="inlineStr">
        <is>
          <t>26025</t>
        </is>
      </c>
      <c r="C433" s="42" t="inlineStr">
        <is>
          <t>Calhoun</t>
        </is>
      </c>
      <c r="D433" s="42" t="inlineStr">
        <is>
          <t>Mid-size/working metro</t>
        </is>
      </c>
      <c r="E433" s="42" t="inlineStr"/>
      <c r="F433" s="43" t="n">
        <v>28988</v>
      </c>
      <c r="G433" s="43" t="n">
        <v>38606</v>
      </c>
      <c r="H433" s="43" t="n">
        <v>68490</v>
      </c>
      <c r="I433" s="43" t="n">
        <v>28877</v>
      </c>
      <c r="J433" s="43" t="n">
        <v>36221</v>
      </c>
      <c r="K433" s="42" t="inlineStr">
        <is>
          <t>Governor</t>
        </is>
      </c>
      <c r="L433" s="43" t="n">
        <v>24916</v>
      </c>
      <c r="M433" s="43" t="n">
        <v>25694</v>
      </c>
      <c r="N433" s="43" t="n">
        <v>51576</v>
      </c>
      <c r="O433" s="44">
        <f>IFERROR((F433-G433)/(F433+G433),"")</f>
        <v/>
      </c>
      <c r="P433" s="44">
        <f>IFERROR((I433-J433)/(I433+J433),"")</f>
        <v/>
      </c>
      <c r="Q433" s="45">
        <f>IFERROR(O433-P433,"")</f>
        <v/>
      </c>
      <c r="R433" s="44">
        <f>IFERROR((L433-M433)/(L433+M433),"")</f>
        <v/>
      </c>
      <c r="S433" s="46">
        <f>H433/SUMIFS(Counties!$H$2:$H$1583,Counties!$A$2:$A$1583,$A433)</f>
        <v/>
      </c>
      <c r="T433" s="44">
        <f>O433+INDEX(Dashboard!$F$6:$F$22,MATCH($A433,Dashboard!$A$6:$A$22,0))</f>
        <v/>
      </c>
      <c r="U433" s="43">
        <f>AQ433*INDEX(Dashboard!$G$6:$G$22,MATCH($A433,Dashboard!$A$6:$A$22,0))</f>
        <v/>
      </c>
      <c r="V433" s="47" t="n"/>
      <c r="W433" s="47" t="n"/>
      <c r="X433" s="47" t="n"/>
      <c r="Y433" s="48" t="n"/>
      <c r="Z433" s="49" t="n"/>
      <c r="AA433" s="49" t="n"/>
      <c r="AB433" s="49" t="n"/>
      <c r="AC433" s="50" t="n"/>
      <c r="AD433" s="43">
        <f>IF(Z433&lt;&gt;"",Z433,N(V433))</f>
        <v/>
      </c>
      <c r="AE433" s="43">
        <f>IF(AA433&lt;&gt;"",AA433,N(W433))</f>
        <v/>
      </c>
      <c r="AF433" s="43">
        <f>AD433+AE433</f>
        <v/>
      </c>
      <c r="AG433" s="42">
        <f>IF(UPPER(AC433)="Y",1,IF(AF433=0,0,IF(AND(Z433="",Y433&lt;&gt;""),IF(Y433&gt;=0.999,1,0),IF(AF433&gt;=U433,1,0))))</f>
        <v/>
      </c>
      <c r="AH433" s="44">
        <f>IF(AF433&gt;0,(AD433-AE433)/AF433,"")</f>
        <v/>
      </c>
      <c r="AI433" s="45">
        <f>IF(AG433=1,AH433-O433,"")</f>
        <v/>
      </c>
      <c r="AJ433" s="44">
        <f>IF(AG433=1,AH433,MAX(-1,MIN(1,O433+INDEX(Types!$H:$H,MATCH($A433&amp;"|"&amp;$D433,Types!$A:$A,0)))))</f>
        <v/>
      </c>
      <c r="AK433" s="43">
        <f>IF(AG433=1,AF433,MAX(AQ433*AS433,AF433))</f>
        <v/>
      </c>
      <c r="AL433" s="43">
        <f>IF(AG433=1,AD433,AK433*(1+AJ433)/2)</f>
        <v/>
      </c>
      <c r="AM433" s="43">
        <f>IF(AG433=1,AE433,AK433*(1-AJ433)/2)</f>
        <v/>
      </c>
      <c r="AN433" s="45">
        <f>IF(AH433="","",AH433-T433)</f>
        <v/>
      </c>
      <c r="AO433" s="51">
        <f>IF(AG433=1,1,IF(U433&gt;0,MIN(AF433/U433,0.99),0))</f>
        <v/>
      </c>
      <c r="AP433" s="43">
        <f>IF(AG433=1,AI433*AF433,0)</f>
        <v/>
      </c>
      <c r="AQ433" s="43">
        <f>N433*(F433+G433)/H433</f>
        <v/>
      </c>
      <c r="AR433" s="43">
        <f>O433*AQ433</f>
        <v/>
      </c>
      <c r="AS433" s="52">
        <f>IF(AG433=1,IF(AQ433&gt;0,AF433/AQ433,1),IFERROR(INDEX(Types!$K:$K,MATCH($A433&amp;"|"&amp;$D433,Types!$A:$A,0)),INDEX(Dashboard!$X$6:$X$22,MATCH($A433,Dashboard!$A$6:$A$22,0))))</f>
        <v/>
      </c>
      <c r="AT433" s="43">
        <f>AQ433*INDEX(Dashboard!$Y$6:$Y$22,MATCH($A433,Dashboard!$A$6:$A$22,0))</f>
        <v/>
      </c>
      <c r="AU433" s="53">
        <f>IF(AND(AG433=1,AT433&gt;0,AF433&gt;0),100*AF433/AT433,"")</f>
        <v/>
      </c>
      <c r="AV433" s="44">
        <f>IF(AU433="","",T433/(AU433/100))</f>
        <v/>
      </c>
      <c r="AW433" s="53">
        <f>IF(AU433="","",IF(AND(ABS(AH433)&gt;=0.1,ABS(T433)&gt;=0.05,SIGN(AH433)=SIGN(T433)),100*T433/AH433,""))</f>
        <v/>
      </c>
      <c r="AX433" s="45">
        <f>IF(AU433="","",T433-AV433)</f>
        <v/>
      </c>
      <c r="AY433" s="45">
        <f>IF(AU433="","",AH433-AV433)</f>
        <v/>
      </c>
      <c r="AZ433" s="54">
        <f>(AL433-AM433)-T433*AT433</f>
        <v/>
      </c>
      <c r="BA433" s="43">
        <f>IF(AU433="",0,(AH433-T433)*AF433)</f>
        <v/>
      </c>
      <c r="BB433" s="43">
        <f>IF(AU433="",0,T433*(AF433-AT433))</f>
        <v/>
      </c>
      <c r="BC433" s="51" t="n">
        <v>0.1088658278721713</v>
      </c>
      <c r="BD433" s="51" t="n">
        <v>0.06078010887332604</v>
      </c>
      <c r="BE433" s="51" t="n">
        <v>0.2220404780598447</v>
      </c>
      <c r="BF433" s="43" t="n">
        <v>133366</v>
      </c>
    </row>
    <row r="434">
      <c r="A434" s="42" t="inlineStr">
        <is>
          <t>MI</t>
        </is>
      </c>
      <c r="B434" s="42" t="inlineStr">
        <is>
          <t>26027</t>
        </is>
      </c>
      <c r="C434" s="42" t="inlineStr">
        <is>
          <t>Cass</t>
        </is>
      </c>
      <c r="D434" s="42" t="inlineStr">
        <is>
          <t>Small town &amp; rural</t>
        </is>
      </c>
      <c r="E434" s="42" t="inlineStr"/>
      <c r="F434" s="43" t="n">
        <v>9050</v>
      </c>
      <c r="G434" s="43" t="n">
        <v>18505</v>
      </c>
      <c r="H434" s="43" t="n">
        <v>27869</v>
      </c>
      <c r="I434" s="43" t="n">
        <v>9130</v>
      </c>
      <c r="J434" s="43" t="n">
        <v>16699</v>
      </c>
      <c r="K434" s="42" t="inlineStr">
        <is>
          <t>Governor</t>
        </is>
      </c>
      <c r="L434" s="43" t="n">
        <v>7350</v>
      </c>
      <c r="M434" s="43" t="n">
        <v>12666</v>
      </c>
      <c r="N434" s="43" t="n">
        <v>20353</v>
      </c>
      <c r="O434" s="44">
        <f>IFERROR((F434-G434)/(F434+G434),"")</f>
        <v/>
      </c>
      <c r="P434" s="44">
        <f>IFERROR((I434-J434)/(I434+J434),"")</f>
        <v/>
      </c>
      <c r="Q434" s="45">
        <f>IFERROR(O434-P434,"")</f>
        <v/>
      </c>
      <c r="R434" s="44">
        <f>IFERROR((L434-M434)/(L434+M434),"")</f>
        <v/>
      </c>
      <c r="S434" s="46">
        <f>H434/SUMIFS(Counties!$H$2:$H$1583,Counties!$A$2:$A$1583,$A434)</f>
        <v/>
      </c>
      <c r="T434" s="44">
        <f>O434+INDEX(Dashboard!$F$6:$F$22,MATCH($A434,Dashboard!$A$6:$A$22,0))</f>
        <v/>
      </c>
      <c r="U434" s="43">
        <f>AQ434*INDEX(Dashboard!$G$6:$G$22,MATCH($A434,Dashboard!$A$6:$A$22,0))</f>
        <v/>
      </c>
      <c r="V434" s="47" t="n"/>
      <c r="W434" s="47" t="n"/>
      <c r="X434" s="47" t="n"/>
      <c r="Y434" s="48" t="n"/>
      <c r="Z434" s="49" t="n"/>
      <c r="AA434" s="49" t="n"/>
      <c r="AB434" s="49" t="n"/>
      <c r="AC434" s="50" t="n"/>
      <c r="AD434" s="43">
        <f>IF(Z434&lt;&gt;"",Z434,N(V434))</f>
        <v/>
      </c>
      <c r="AE434" s="43">
        <f>IF(AA434&lt;&gt;"",AA434,N(W434))</f>
        <v/>
      </c>
      <c r="AF434" s="43">
        <f>AD434+AE434</f>
        <v/>
      </c>
      <c r="AG434" s="42">
        <f>IF(UPPER(AC434)="Y",1,IF(AF434=0,0,IF(AND(Z434="",Y434&lt;&gt;""),IF(Y434&gt;=0.999,1,0),IF(AF434&gt;=U434,1,0))))</f>
        <v/>
      </c>
      <c r="AH434" s="44">
        <f>IF(AF434&gt;0,(AD434-AE434)/AF434,"")</f>
        <v/>
      </c>
      <c r="AI434" s="45">
        <f>IF(AG434=1,AH434-O434,"")</f>
        <v/>
      </c>
      <c r="AJ434" s="44">
        <f>IF(AG434=1,AH434,MAX(-1,MIN(1,O434+INDEX(Types!$H:$H,MATCH($A434&amp;"|"&amp;$D434,Types!$A:$A,0)))))</f>
        <v/>
      </c>
      <c r="AK434" s="43">
        <f>IF(AG434=1,AF434,MAX(AQ434*AS434,AF434))</f>
        <v/>
      </c>
      <c r="AL434" s="43">
        <f>IF(AG434=1,AD434,AK434*(1+AJ434)/2)</f>
        <v/>
      </c>
      <c r="AM434" s="43">
        <f>IF(AG434=1,AE434,AK434*(1-AJ434)/2)</f>
        <v/>
      </c>
      <c r="AN434" s="45">
        <f>IF(AH434="","",AH434-T434)</f>
        <v/>
      </c>
      <c r="AO434" s="51">
        <f>IF(AG434=1,1,IF(U434&gt;0,MIN(AF434/U434,0.99),0))</f>
        <v/>
      </c>
      <c r="AP434" s="43">
        <f>IF(AG434=1,AI434*AF434,0)</f>
        <v/>
      </c>
      <c r="AQ434" s="43">
        <f>N434*(F434+G434)/H434</f>
        <v/>
      </c>
      <c r="AR434" s="43">
        <f>O434*AQ434</f>
        <v/>
      </c>
      <c r="AS434" s="52">
        <f>IF(AG434=1,IF(AQ434&gt;0,AF434/AQ434,1),IFERROR(INDEX(Types!$K:$K,MATCH($A434&amp;"|"&amp;$D434,Types!$A:$A,0)),INDEX(Dashboard!$X$6:$X$22,MATCH($A434,Dashboard!$A$6:$A$22,0))))</f>
        <v/>
      </c>
      <c r="AT434" s="43">
        <f>AQ434*INDEX(Dashboard!$Y$6:$Y$22,MATCH($A434,Dashboard!$A$6:$A$22,0))</f>
        <v/>
      </c>
      <c r="AU434" s="53">
        <f>IF(AND(AG434=1,AT434&gt;0,AF434&gt;0),100*AF434/AT434,"")</f>
        <v/>
      </c>
      <c r="AV434" s="44">
        <f>IF(AU434="","",T434/(AU434/100))</f>
        <v/>
      </c>
      <c r="AW434" s="53">
        <f>IF(AU434="","",IF(AND(ABS(AH434)&gt;=0.1,ABS(T434)&gt;=0.05,SIGN(AH434)=SIGN(T434)),100*T434/AH434,""))</f>
        <v/>
      </c>
      <c r="AX434" s="45">
        <f>IF(AU434="","",T434-AV434)</f>
        <v/>
      </c>
      <c r="AY434" s="45">
        <f>IF(AU434="","",AH434-AV434)</f>
        <v/>
      </c>
      <c r="AZ434" s="54">
        <f>(AL434-AM434)-T434*AT434</f>
        <v/>
      </c>
      <c r="BA434" s="43">
        <f>IF(AU434="",0,(AH434-T434)*AF434)</f>
        <v/>
      </c>
      <c r="BB434" s="43">
        <f>IF(AU434="",0,T434*(AF434-AT434))</f>
        <v/>
      </c>
      <c r="BC434" s="51" t="n">
        <v>0.04751946090391541</v>
      </c>
      <c r="BD434" s="51" t="n">
        <v>0.04600906239107703</v>
      </c>
      <c r="BE434" s="51" t="n">
        <v>0.2156201069056747</v>
      </c>
      <c r="BF434" s="43" t="n">
        <v>51642</v>
      </c>
    </row>
    <row r="435">
      <c r="A435" s="42" t="inlineStr">
        <is>
          <t>MI</t>
        </is>
      </c>
      <c r="B435" s="42" t="inlineStr">
        <is>
          <t>26029</t>
        </is>
      </c>
      <c r="C435" s="42" t="inlineStr">
        <is>
          <t>Charlevoix</t>
        </is>
      </c>
      <c r="D435" s="42" t="inlineStr">
        <is>
          <t>Small town &amp; rural</t>
        </is>
      </c>
      <c r="E435" s="42" t="inlineStr"/>
      <c r="F435" s="43" t="n">
        <v>7197</v>
      </c>
      <c r="G435" s="43" t="n">
        <v>10183</v>
      </c>
      <c r="H435" s="43" t="n">
        <v>17659</v>
      </c>
      <c r="I435" s="43" t="n">
        <v>6939</v>
      </c>
      <c r="J435" s="43" t="n">
        <v>9841</v>
      </c>
      <c r="K435" s="42" t="inlineStr">
        <is>
          <t>Governor</t>
        </is>
      </c>
      <c r="L435" s="43" t="n">
        <v>6728</v>
      </c>
      <c r="M435" s="43" t="n">
        <v>7667</v>
      </c>
      <c r="N435" s="43" t="n">
        <v>14679</v>
      </c>
      <c r="O435" s="44">
        <f>IFERROR((F435-G435)/(F435+G435),"")</f>
        <v/>
      </c>
      <c r="P435" s="44">
        <f>IFERROR((I435-J435)/(I435+J435),"")</f>
        <v/>
      </c>
      <c r="Q435" s="45">
        <f>IFERROR(O435-P435,"")</f>
        <v/>
      </c>
      <c r="R435" s="44">
        <f>IFERROR((L435-M435)/(L435+M435),"")</f>
        <v/>
      </c>
      <c r="S435" s="46">
        <f>H435/SUMIFS(Counties!$H$2:$H$1583,Counties!$A$2:$A$1583,$A435)</f>
        <v/>
      </c>
      <c r="T435" s="44">
        <f>O435+INDEX(Dashboard!$F$6:$F$22,MATCH($A435,Dashboard!$A$6:$A$22,0))</f>
        <v/>
      </c>
      <c r="U435" s="43">
        <f>AQ435*INDEX(Dashboard!$G$6:$G$22,MATCH($A435,Dashboard!$A$6:$A$22,0))</f>
        <v/>
      </c>
      <c r="V435" s="47" t="n"/>
      <c r="W435" s="47" t="n"/>
      <c r="X435" s="47" t="n"/>
      <c r="Y435" s="48" t="n"/>
      <c r="Z435" s="49" t="n"/>
      <c r="AA435" s="49" t="n"/>
      <c r="AB435" s="49" t="n"/>
      <c r="AC435" s="50" t="n"/>
      <c r="AD435" s="43">
        <f>IF(Z435&lt;&gt;"",Z435,N(V435))</f>
        <v/>
      </c>
      <c r="AE435" s="43">
        <f>IF(AA435&lt;&gt;"",AA435,N(W435))</f>
        <v/>
      </c>
      <c r="AF435" s="43">
        <f>AD435+AE435</f>
        <v/>
      </c>
      <c r="AG435" s="42">
        <f>IF(UPPER(AC435)="Y",1,IF(AF435=0,0,IF(AND(Z435="",Y435&lt;&gt;""),IF(Y435&gt;=0.999,1,0),IF(AF435&gt;=U435,1,0))))</f>
        <v/>
      </c>
      <c r="AH435" s="44">
        <f>IF(AF435&gt;0,(AD435-AE435)/AF435,"")</f>
        <v/>
      </c>
      <c r="AI435" s="45">
        <f>IF(AG435=1,AH435-O435,"")</f>
        <v/>
      </c>
      <c r="AJ435" s="44">
        <f>IF(AG435=1,AH435,MAX(-1,MIN(1,O435+INDEX(Types!$H:$H,MATCH($A435&amp;"|"&amp;$D435,Types!$A:$A,0)))))</f>
        <v/>
      </c>
      <c r="AK435" s="43">
        <f>IF(AG435=1,AF435,MAX(AQ435*AS435,AF435))</f>
        <v/>
      </c>
      <c r="AL435" s="43">
        <f>IF(AG435=1,AD435,AK435*(1+AJ435)/2)</f>
        <v/>
      </c>
      <c r="AM435" s="43">
        <f>IF(AG435=1,AE435,AK435*(1-AJ435)/2)</f>
        <v/>
      </c>
      <c r="AN435" s="45">
        <f>IF(AH435="","",AH435-T435)</f>
        <v/>
      </c>
      <c r="AO435" s="51">
        <f>IF(AG435=1,1,IF(U435&gt;0,MIN(AF435/U435,0.99),0))</f>
        <v/>
      </c>
      <c r="AP435" s="43">
        <f>IF(AG435=1,AI435*AF435,0)</f>
        <v/>
      </c>
      <c r="AQ435" s="43">
        <f>N435*(F435+G435)/H435</f>
        <v/>
      </c>
      <c r="AR435" s="43">
        <f>O435*AQ435</f>
        <v/>
      </c>
      <c r="AS435" s="52">
        <f>IF(AG435=1,IF(AQ435&gt;0,AF435/AQ435,1),IFERROR(INDEX(Types!$K:$K,MATCH($A435&amp;"|"&amp;$D435,Types!$A:$A,0)),INDEX(Dashboard!$X$6:$X$22,MATCH($A435,Dashboard!$A$6:$A$22,0))))</f>
        <v/>
      </c>
      <c r="AT435" s="43">
        <f>AQ435*INDEX(Dashboard!$Y$6:$Y$22,MATCH($A435,Dashboard!$A$6:$A$22,0))</f>
        <v/>
      </c>
      <c r="AU435" s="53">
        <f>IF(AND(AG435=1,AT435&gt;0,AF435&gt;0),100*AF435/AT435,"")</f>
        <v/>
      </c>
      <c r="AV435" s="44">
        <f>IF(AU435="","",T435/(AU435/100))</f>
        <v/>
      </c>
      <c r="AW435" s="53">
        <f>IF(AU435="","",IF(AND(ABS(AH435)&gt;=0.1,ABS(T435)&gt;=0.05,SIGN(AH435)=SIGN(T435)),100*T435/AH435,""))</f>
        <v/>
      </c>
      <c r="AX435" s="45">
        <f>IF(AU435="","",T435-AV435)</f>
        <v/>
      </c>
      <c r="AY435" s="45">
        <f>IF(AU435="","",AH435-AV435)</f>
        <v/>
      </c>
      <c r="AZ435" s="54">
        <f>(AL435-AM435)-T435*AT435</f>
        <v/>
      </c>
      <c r="BA435" s="43">
        <f>IF(AU435="",0,(AH435-T435)*AF435)</f>
        <v/>
      </c>
      <c r="BB435" s="43">
        <f>IF(AU435="",0,T435*(AF435-AT435))</f>
        <v/>
      </c>
      <c r="BC435" s="51" t="n">
        <v>0.005925302955005925</v>
      </c>
      <c r="BD435" s="51" t="n">
        <v>0.02228678466302229</v>
      </c>
      <c r="BE435" s="51" t="n">
        <v>0.338676948051948</v>
      </c>
      <c r="BF435" s="43" t="n">
        <v>26159</v>
      </c>
    </row>
    <row r="436">
      <c r="A436" s="42" t="inlineStr">
        <is>
          <t>MI</t>
        </is>
      </c>
      <c r="B436" s="42" t="inlineStr">
        <is>
          <t>26031</t>
        </is>
      </c>
      <c r="C436" s="42" t="inlineStr">
        <is>
          <t>Cheboygan</t>
        </is>
      </c>
      <c r="D436" s="42" t="inlineStr">
        <is>
          <t>Small town &amp; rural</t>
        </is>
      </c>
      <c r="E436" s="42" t="inlineStr"/>
      <c r="F436" s="43" t="n">
        <v>5543</v>
      </c>
      <c r="G436" s="43" t="n">
        <v>10653</v>
      </c>
      <c r="H436" s="43" t="n">
        <v>16423</v>
      </c>
      <c r="I436" s="43" t="n">
        <v>5437</v>
      </c>
      <c r="J436" s="43" t="n">
        <v>10186</v>
      </c>
      <c r="K436" s="42" t="inlineStr">
        <is>
          <t>Governor</t>
        </is>
      </c>
      <c r="L436" s="43" t="n">
        <v>5357</v>
      </c>
      <c r="M436" s="43" t="n">
        <v>7707</v>
      </c>
      <c r="N436" s="43" t="n">
        <v>13333</v>
      </c>
      <c r="O436" s="44">
        <f>IFERROR((F436-G436)/(F436+G436),"")</f>
        <v/>
      </c>
      <c r="P436" s="44">
        <f>IFERROR((I436-J436)/(I436+J436),"")</f>
        <v/>
      </c>
      <c r="Q436" s="45">
        <f>IFERROR(O436-P436,"")</f>
        <v/>
      </c>
      <c r="R436" s="44">
        <f>IFERROR((L436-M436)/(L436+M436),"")</f>
        <v/>
      </c>
      <c r="S436" s="46">
        <f>H436/SUMIFS(Counties!$H$2:$H$1583,Counties!$A$2:$A$1583,$A436)</f>
        <v/>
      </c>
      <c r="T436" s="44">
        <f>O436+INDEX(Dashboard!$F$6:$F$22,MATCH($A436,Dashboard!$A$6:$A$22,0))</f>
        <v/>
      </c>
      <c r="U436" s="43">
        <f>AQ436*INDEX(Dashboard!$G$6:$G$22,MATCH($A436,Dashboard!$A$6:$A$22,0))</f>
        <v/>
      </c>
      <c r="V436" s="47" t="n"/>
      <c r="W436" s="47" t="n"/>
      <c r="X436" s="47" t="n"/>
      <c r="Y436" s="48" t="n"/>
      <c r="Z436" s="49" t="n"/>
      <c r="AA436" s="49" t="n"/>
      <c r="AB436" s="49" t="n"/>
      <c r="AC436" s="50" t="n"/>
      <c r="AD436" s="43">
        <f>IF(Z436&lt;&gt;"",Z436,N(V436))</f>
        <v/>
      </c>
      <c r="AE436" s="43">
        <f>IF(AA436&lt;&gt;"",AA436,N(W436))</f>
        <v/>
      </c>
      <c r="AF436" s="43">
        <f>AD436+AE436</f>
        <v/>
      </c>
      <c r="AG436" s="42">
        <f>IF(UPPER(AC436)="Y",1,IF(AF436=0,0,IF(AND(Z436="",Y436&lt;&gt;""),IF(Y436&gt;=0.999,1,0),IF(AF436&gt;=U436,1,0))))</f>
        <v/>
      </c>
      <c r="AH436" s="44">
        <f>IF(AF436&gt;0,(AD436-AE436)/AF436,"")</f>
        <v/>
      </c>
      <c r="AI436" s="45">
        <f>IF(AG436=1,AH436-O436,"")</f>
        <v/>
      </c>
      <c r="AJ436" s="44">
        <f>IF(AG436=1,AH436,MAX(-1,MIN(1,O436+INDEX(Types!$H:$H,MATCH($A436&amp;"|"&amp;$D436,Types!$A:$A,0)))))</f>
        <v/>
      </c>
      <c r="AK436" s="43">
        <f>IF(AG436=1,AF436,MAX(AQ436*AS436,AF436))</f>
        <v/>
      </c>
      <c r="AL436" s="43">
        <f>IF(AG436=1,AD436,AK436*(1+AJ436)/2)</f>
        <v/>
      </c>
      <c r="AM436" s="43">
        <f>IF(AG436=1,AE436,AK436*(1-AJ436)/2)</f>
        <v/>
      </c>
      <c r="AN436" s="45">
        <f>IF(AH436="","",AH436-T436)</f>
        <v/>
      </c>
      <c r="AO436" s="51">
        <f>IF(AG436=1,1,IF(U436&gt;0,MIN(AF436/U436,0.99),0))</f>
        <v/>
      </c>
      <c r="AP436" s="43">
        <f>IF(AG436=1,AI436*AF436,0)</f>
        <v/>
      </c>
      <c r="AQ436" s="43">
        <f>N436*(F436+G436)/H436</f>
        <v/>
      </c>
      <c r="AR436" s="43">
        <f>O436*AQ436</f>
        <v/>
      </c>
      <c r="AS436" s="52">
        <f>IF(AG436=1,IF(AQ436&gt;0,AF436/AQ436,1),IFERROR(INDEX(Types!$K:$K,MATCH($A436&amp;"|"&amp;$D436,Types!$A:$A,0)),INDEX(Dashboard!$X$6:$X$22,MATCH($A436,Dashboard!$A$6:$A$22,0))))</f>
        <v/>
      </c>
      <c r="AT436" s="43">
        <f>AQ436*INDEX(Dashboard!$Y$6:$Y$22,MATCH($A436,Dashboard!$A$6:$A$22,0))</f>
        <v/>
      </c>
      <c r="AU436" s="53">
        <f>IF(AND(AG436=1,AT436&gt;0,AF436&gt;0),100*AF436/AT436,"")</f>
        <v/>
      </c>
      <c r="AV436" s="44">
        <f>IF(AU436="","",T436/(AU436/100))</f>
        <v/>
      </c>
      <c r="AW436" s="53">
        <f>IF(AU436="","",IF(AND(ABS(AH436)&gt;=0.1,ABS(T436)&gt;=0.05,SIGN(AH436)=SIGN(T436)),100*T436/AH436,""))</f>
        <v/>
      </c>
      <c r="AX436" s="45">
        <f>IF(AU436="","",T436-AV436)</f>
        <v/>
      </c>
      <c r="AY436" s="45">
        <f>IF(AU436="","",AH436-AV436)</f>
        <v/>
      </c>
      <c r="AZ436" s="54">
        <f>(AL436-AM436)-T436*AT436</f>
        <v/>
      </c>
      <c r="BA436" s="43">
        <f>IF(AU436="",0,(AH436-T436)*AF436)</f>
        <v/>
      </c>
      <c r="BB436" s="43">
        <f>IF(AU436="",0,T436*(AF436-AT436))</f>
        <v/>
      </c>
      <c r="BC436" s="51" t="n">
        <v>0.009943181818181818</v>
      </c>
      <c r="BD436" s="51" t="n">
        <v>0.01869625307125307</v>
      </c>
      <c r="BE436" s="51" t="n">
        <v>0.2294712597636691</v>
      </c>
      <c r="BF436" s="43" t="n">
        <v>26048</v>
      </c>
    </row>
    <row r="437">
      <c r="A437" s="42" t="inlineStr">
        <is>
          <t>MI</t>
        </is>
      </c>
      <c r="B437" s="42" t="inlineStr">
        <is>
          <t>26033</t>
        </is>
      </c>
      <c r="C437" s="42" t="inlineStr">
        <is>
          <t>Chippewa</t>
        </is>
      </c>
      <c r="D437" s="42" t="inlineStr">
        <is>
          <t>Small town &amp; rural</t>
        </is>
      </c>
      <c r="E437" s="42" t="inlineStr"/>
      <c r="F437" s="43" t="n">
        <v>6796</v>
      </c>
      <c r="G437" s="43" t="n">
        <v>11249</v>
      </c>
      <c r="H437" s="43" t="n">
        <v>18363</v>
      </c>
      <c r="I437" s="43" t="n">
        <v>6648</v>
      </c>
      <c r="J437" s="43" t="n">
        <v>10681</v>
      </c>
      <c r="K437" s="42" t="inlineStr">
        <is>
          <t>Governor</t>
        </is>
      </c>
      <c r="L437" s="43" t="n">
        <v>6303</v>
      </c>
      <c r="M437" s="43" t="n">
        <v>7902</v>
      </c>
      <c r="N437" s="43" t="n">
        <v>14535</v>
      </c>
      <c r="O437" s="44">
        <f>IFERROR((F437-G437)/(F437+G437),"")</f>
        <v/>
      </c>
      <c r="P437" s="44">
        <f>IFERROR((I437-J437)/(I437+J437),"")</f>
        <v/>
      </c>
      <c r="Q437" s="45">
        <f>IFERROR(O437-P437,"")</f>
        <v/>
      </c>
      <c r="R437" s="44">
        <f>IFERROR((L437-M437)/(L437+M437),"")</f>
        <v/>
      </c>
      <c r="S437" s="46">
        <f>H437/SUMIFS(Counties!$H$2:$H$1583,Counties!$A$2:$A$1583,$A437)</f>
        <v/>
      </c>
      <c r="T437" s="44">
        <f>O437+INDEX(Dashboard!$F$6:$F$22,MATCH($A437,Dashboard!$A$6:$A$22,0))</f>
        <v/>
      </c>
      <c r="U437" s="43">
        <f>AQ437*INDEX(Dashboard!$G$6:$G$22,MATCH($A437,Dashboard!$A$6:$A$22,0))</f>
        <v/>
      </c>
      <c r="V437" s="47" t="n"/>
      <c r="W437" s="47" t="n"/>
      <c r="X437" s="47" t="n"/>
      <c r="Y437" s="48" t="n"/>
      <c r="Z437" s="49" t="n"/>
      <c r="AA437" s="49" t="n"/>
      <c r="AB437" s="49" t="n"/>
      <c r="AC437" s="50" t="n"/>
      <c r="AD437" s="43">
        <f>IF(Z437&lt;&gt;"",Z437,N(V437))</f>
        <v/>
      </c>
      <c r="AE437" s="43">
        <f>IF(AA437&lt;&gt;"",AA437,N(W437))</f>
        <v/>
      </c>
      <c r="AF437" s="43">
        <f>AD437+AE437</f>
        <v/>
      </c>
      <c r="AG437" s="42">
        <f>IF(UPPER(AC437)="Y",1,IF(AF437=0,0,IF(AND(Z437="",Y437&lt;&gt;""),IF(Y437&gt;=0.999,1,0),IF(AF437&gt;=U437,1,0))))</f>
        <v/>
      </c>
      <c r="AH437" s="44">
        <f>IF(AF437&gt;0,(AD437-AE437)/AF437,"")</f>
        <v/>
      </c>
      <c r="AI437" s="45">
        <f>IF(AG437=1,AH437-O437,"")</f>
        <v/>
      </c>
      <c r="AJ437" s="44">
        <f>IF(AG437=1,AH437,MAX(-1,MIN(1,O437+INDEX(Types!$H:$H,MATCH($A437&amp;"|"&amp;$D437,Types!$A:$A,0)))))</f>
        <v/>
      </c>
      <c r="AK437" s="43">
        <f>IF(AG437=1,AF437,MAX(AQ437*AS437,AF437))</f>
        <v/>
      </c>
      <c r="AL437" s="43">
        <f>IF(AG437=1,AD437,AK437*(1+AJ437)/2)</f>
        <v/>
      </c>
      <c r="AM437" s="43">
        <f>IF(AG437=1,AE437,AK437*(1-AJ437)/2)</f>
        <v/>
      </c>
      <c r="AN437" s="45">
        <f>IF(AH437="","",AH437-T437)</f>
        <v/>
      </c>
      <c r="AO437" s="51">
        <f>IF(AG437=1,1,IF(U437&gt;0,MIN(AF437/U437,0.99),0))</f>
        <v/>
      </c>
      <c r="AP437" s="43">
        <f>IF(AG437=1,AI437*AF437,0)</f>
        <v/>
      </c>
      <c r="AQ437" s="43">
        <f>N437*(F437+G437)/H437</f>
        <v/>
      </c>
      <c r="AR437" s="43">
        <f>O437*AQ437</f>
        <v/>
      </c>
      <c r="AS437" s="52">
        <f>IF(AG437=1,IF(AQ437&gt;0,AF437/AQ437,1),IFERROR(INDEX(Types!$K:$K,MATCH($A437&amp;"|"&amp;$D437,Types!$A:$A,0)),INDEX(Dashboard!$X$6:$X$22,MATCH($A437,Dashboard!$A$6:$A$22,0))))</f>
        <v/>
      </c>
      <c r="AT437" s="43">
        <f>AQ437*INDEX(Dashboard!$Y$6:$Y$22,MATCH($A437,Dashboard!$A$6:$A$22,0))</f>
        <v/>
      </c>
      <c r="AU437" s="53">
        <f>IF(AND(AG437=1,AT437&gt;0,AF437&gt;0),100*AF437/AT437,"")</f>
        <v/>
      </c>
      <c r="AV437" s="44">
        <f>IF(AU437="","",T437/(AU437/100))</f>
        <v/>
      </c>
      <c r="AW437" s="53">
        <f>IF(AU437="","",IF(AND(ABS(AH437)&gt;=0.1,ABS(T437)&gt;=0.05,SIGN(AH437)=SIGN(T437)),100*T437/AH437,""))</f>
        <v/>
      </c>
      <c r="AX437" s="45">
        <f>IF(AU437="","",T437-AV437)</f>
        <v/>
      </c>
      <c r="AY437" s="45">
        <f>IF(AU437="","",AH437-AV437)</f>
        <v/>
      </c>
      <c r="AZ437" s="54">
        <f>(AL437-AM437)-T437*AT437</f>
        <v/>
      </c>
      <c r="BA437" s="43">
        <f>IF(AU437="",0,(AH437-T437)*AF437)</f>
        <v/>
      </c>
      <c r="BB437" s="43">
        <f>IF(AU437="",0,T437*(AF437-AT437))</f>
        <v/>
      </c>
      <c r="BC437" s="51" t="n">
        <v>0.06058349878667549</v>
      </c>
      <c r="BD437" s="51" t="n">
        <v>0.02324619457313038</v>
      </c>
      <c r="BE437" s="51" t="n">
        <v>0.2185324258781194</v>
      </c>
      <c r="BF437" s="43" t="n">
        <v>36264</v>
      </c>
    </row>
    <row r="438">
      <c r="A438" s="42" t="inlineStr">
        <is>
          <t>MI</t>
        </is>
      </c>
      <c r="B438" s="42" t="inlineStr">
        <is>
          <t>26035</t>
        </is>
      </c>
      <c r="C438" s="42" t="inlineStr">
        <is>
          <t>Clare</t>
        </is>
      </c>
      <c r="D438" s="42" t="inlineStr">
        <is>
          <t>Small town &amp; rural</t>
        </is>
      </c>
      <c r="E438" s="42" t="inlineStr"/>
      <c r="F438" s="43" t="n">
        <v>5273</v>
      </c>
      <c r="G438" s="43" t="n">
        <v>11772</v>
      </c>
      <c r="H438" s="43" t="n">
        <v>17288</v>
      </c>
      <c r="I438" s="43" t="n">
        <v>5199</v>
      </c>
      <c r="J438" s="43" t="n">
        <v>10861</v>
      </c>
      <c r="K438" s="42" t="inlineStr">
        <is>
          <t>Governor</t>
        </is>
      </c>
      <c r="L438" s="43" t="n">
        <v>5057</v>
      </c>
      <c r="M438" s="43" t="n">
        <v>7950</v>
      </c>
      <c r="N438" s="43" t="n">
        <v>13298</v>
      </c>
      <c r="O438" s="44">
        <f>IFERROR((F438-G438)/(F438+G438),"")</f>
        <v/>
      </c>
      <c r="P438" s="44">
        <f>IFERROR((I438-J438)/(I438+J438),"")</f>
        <v/>
      </c>
      <c r="Q438" s="45">
        <f>IFERROR(O438-P438,"")</f>
        <v/>
      </c>
      <c r="R438" s="44">
        <f>IFERROR((L438-M438)/(L438+M438),"")</f>
        <v/>
      </c>
      <c r="S438" s="46">
        <f>H438/SUMIFS(Counties!$H$2:$H$1583,Counties!$A$2:$A$1583,$A438)</f>
        <v/>
      </c>
      <c r="T438" s="44">
        <f>O438+INDEX(Dashboard!$F$6:$F$22,MATCH($A438,Dashboard!$A$6:$A$22,0))</f>
        <v/>
      </c>
      <c r="U438" s="43">
        <f>AQ438*INDEX(Dashboard!$G$6:$G$22,MATCH($A438,Dashboard!$A$6:$A$22,0))</f>
        <v/>
      </c>
      <c r="V438" s="47" t="n"/>
      <c r="W438" s="47" t="n"/>
      <c r="X438" s="47" t="n"/>
      <c r="Y438" s="48" t="n"/>
      <c r="Z438" s="49" t="n"/>
      <c r="AA438" s="49" t="n"/>
      <c r="AB438" s="49" t="n"/>
      <c r="AC438" s="50" t="n"/>
      <c r="AD438" s="43">
        <f>IF(Z438&lt;&gt;"",Z438,N(V438))</f>
        <v/>
      </c>
      <c r="AE438" s="43">
        <f>IF(AA438&lt;&gt;"",AA438,N(W438))</f>
        <v/>
      </c>
      <c r="AF438" s="43">
        <f>AD438+AE438</f>
        <v/>
      </c>
      <c r="AG438" s="42">
        <f>IF(UPPER(AC438)="Y",1,IF(AF438=0,0,IF(AND(Z438="",Y438&lt;&gt;""),IF(Y438&gt;=0.999,1,0),IF(AF438&gt;=U438,1,0))))</f>
        <v/>
      </c>
      <c r="AH438" s="44">
        <f>IF(AF438&gt;0,(AD438-AE438)/AF438,"")</f>
        <v/>
      </c>
      <c r="AI438" s="45">
        <f>IF(AG438=1,AH438-O438,"")</f>
        <v/>
      </c>
      <c r="AJ438" s="44">
        <f>IF(AG438=1,AH438,MAX(-1,MIN(1,O438+INDEX(Types!$H:$H,MATCH($A438&amp;"|"&amp;$D438,Types!$A:$A,0)))))</f>
        <v/>
      </c>
      <c r="AK438" s="43">
        <f>IF(AG438=1,AF438,MAX(AQ438*AS438,AF438))</f>
        <v/>
      </c>
      <c r="AL438" s="43">
        <f>IF(AG438=1,AD438,AK438*(1+AJ438)/2)</f>
        <v/>
      </c>
      <c r="AM438" s="43">
        <f>IF(AG438=1,AE438,AK438*(1-AJ438)/2)</f>
        <v/>
      </c>
      <c r="AN438" s="45">
        <f>IF(AH438="","",AH438-T438)</f>
        <v/>
      </c>
      <c r="AO438" s="51">
        <f>IF(AG438=1,1,IF(U438&gt;0,MIN(AF438/U438,0.99),0))</f>
        <v/>
      </c>
      <c r="AP438" s="43">
        <f>IF(AG438=1,AI438*AF438,0)</f>
        <v/>
      </c>
      <c r="AQ438" s="43">
        <f>N438*(F438+G438)/H438</f>
        <v/>
      </c>
      <c r="AR438" s="43">
        <f>O438*AQ438</f>
        <v/>
      </c>
      <c r="AS438" s="52">
        <f>IF(AG438=1,IF(AQ438&gt;0,AF438/AQ438,1),IFERROR(INDEX(Types!$K:$K,MATCH($A438&amp;"|"&amp;$D438,Types!$A:$A,0)),INDEX(Dashboard!$X$6:$X$22,MATCH($A438,Dashboard!$A$6:$A$22,0))))</f>
        <v/>
      </c>
      <c r="AT438" s="43">
        <f>AQ438*INDEX(Dashboard!$Y$6:$Y$22,MATCH($A438,Dashboard!$A$6:$A$22,0))</f>
        <v/>
      </c>
      <c r="AU438" s="53">
        <f>IF(AND(AG438=1,AT438&gt;0,AF438&gt;0),100*AF438/AT438,"")</f>
        <v/>
      </c>
      <c r="AV438" s="44">
        <f>IF(AU438="","",T438/(AU438/100))</f>
        <v/>
      </c>
      <c r="AW438" s="53">
        <f>IF(AU438="","",IF(AND(ABS(AH438)&gt;=0.1,ABS(T438)&gt;=0.05,SIGN(AH438)=SIGN(T438)),100*T438/AH438,""))</f>
        <v/>
      </c>
      <c r="AX438" s="45">
        <f>IF(AU438="","",T438-AV438)</f>
        <v/>
      </c>
      <c r="AY438" s="45">
        <f>IF(AU438="","",AH438-AV438)</f>
        <v/>
      </c>
      <c r="AZ438" s="54">
        <f>(AL438-AM438)-T438*AT438</f>
        <v/>
      </c>
      <c r="BA438" s="43">
        <f>IF(AU438="",0,(AH438-T438)*AF438)</f>
        <v/>
      </c>
      <c r="BB438" s="43">
        <f>IF(AU438="",0,T438*(AF438-AT438))</f>
        <v/>
      </c>
      <c r="BC438" s="51" t="n">
        <v>0.008494060544130795</v>
      </c>
      <c r="BD438" s="51" t="n">
        <v>0.02378975603525355</v>
      </c>
      <c r="BE438" s="51" t="n">
        <v>0.1298854080432225</v>
      </c>
      <c r="BF438" s="43" t="n">
        <v>31316</v>
      </c>
    </row>
    <row r="439">
      <c r="A439" s="42" t="inlineStr">
        <is>
          <t>MI</t>
        </is>
      </c>
      <c r="B439" s="42" t="inlineStr">
        <is>
          <t>26037</t>
        </is>
      </c>
      <c r="C439" s="42" t="inlineStr">
        <is>
          <t>Clinton</t>
        </is>
      </c>
      <c r="D439" s="42" t="inlineStr">
        <is>
          <t>Small town &amp; rural</t>
        </is>
      </c>
      <c r="E439" s="42" t="inlineStr"/>
      <c r="F439" s="43" t="n">
        <v>22450</v>
      </c>
      <c r="G439" s="43" t="n">
        <v>26751</v>
      </c>
      <c r="H439" s="43" t="n">
        <v>49961</v>
      </c>
      <c r="I439" s="43" t="n">
        <v>21968</v>
      </c>
      <c r="J439" s="43" t="n">
        <v>25098</v>
      </c>
      <c r="K439" s="42" t="inlineStr">
        <is>
          <t>Governor</t>
        </is>
      </c>
      <c r="L439" s="43" t="n">
        <v>20664</v>
      </c>
      <c r="M439" s="43" t="n">
        <v>19904</v>
      </c>
      <c r="N439" s="43" t="n">
        <v>41204</v>
      </c>
      <c r="O439" s="44">
        <f>IFERROR((F439-G439)/(F439+G439),"")</f>
        <v/>
      </c>
      <c r="P439" s="44">
        <f>IFERROR((I439-J439)/(I439+J439),"")</f>
        <v/>
      </c>
      <c r="Q439" s="45">
        <f>IFERROR(O439-P439,"")</f>
        <v/>
      </c>
      <c r="R439" s="44">
        <f>IFERROR((L439-M439)/(L439+M439),"")</f>
        <v/>
      </c>
      <c r="S439" s="46">
        <f>H439/SUMIFS(Counties!$H$2:$H$1583,Counties!$A$2:$A$1583,$A439)</f>
        <v/>
      </c>
      <c r="T439" s="44">
        <f>O439+INDEX(Dashboard!$F$6:$F$22,MATCH($A439,Dashboard!$A$6:$A$22,0))</f>
        <v/>
      </c>
      <c r="U439" s="43">
        <f>AQ439*INDEX(Dashboard!$G$6:$G$22,MATCH($A439,Dashboard!$A$6:$A$22,0))</f>
        <v/>
      </c>
      <c r="V439" s="47" t="n"/>
      <c r="W439" s="47" t="n"/>
      <c r="X439" s="47" t="n"/>
      <c r="Y439" s="48" t="n"/>
      <c r="Z439" s="49" t="n"/>
      <c r="AA439" s="49" t="n"/>
      <c r="AB439" s="49" t="n"/>
      <c r="AC439" s="50" t="n"/>
      <c r="AD439" s="43">
        <f>IF(Z439&lt;&gt;"",Z439,N(V439))</f>
        <v/>
      </c>
      <c r="AE439" s="43">
        <f>IF(AA439&lt;&gt;"",AA439,N(W439))</f>
        <v/>
      </c>
      <c r="AF439" s="43">
        <f>AD439+AE439</f>
        <v/>
      </c>
      <c r="AG439" s="42">
        <f>IF(UPPER(AC439)="Y",1,IF(AF439=0,0,IF(AND(Z439="",Y439&lt;&gt;""),IF(Y439&gt;=0.999,1,0),IF(AF439&gt;=U439,1,0))))</f>
        <v/>
      </c>
      <c r="AH439" s="44">
        <f>IF(AF439&gt;0,(AD439-AE439)/AF439,"")</f>
        <v/>
      </c>
      <c r="AI439" s="45">
        <f>IF(AG439=1,AH439-O439,"")</f>
        <v/>
      </c>
      <c r="AJ439" s="44">
        <f>IF(AG439=1,AH439,MAX(-1,MIN(1,O439+INDEX(Types!$H:$H,MATCH($A439&amp;"|"&amp;$D439,Types!$A:$A,0)))))</f>
        <v/>
      </c>
      <c r="AK439" s="43">
        <f>IF(AG439=1,AF439,MAX(AQ439*AS439,AF439))</f>
        <v/>
      </c>
      <c r="AL439" s="43">
        <f>IF(AG439=1,AD439,AK439*(1+AJ439)/2)</f>
        <v/>
      </c>
      <c r="AM439" s="43">
        <f>IF(AG439=1,AE439,AK439*(1-AJ439)/2)</f>
        <v/>
      </c>
      <c r="AN439" s="45">
        <f>IF(AH439="","",AH439-T439)</f>
        <v/>
      </c>
      <c r="AO439" s="51">
        <f>IF(AG439=1,1,IF(U439&gt;0,MIN(AF439/U439,0.99),0))</f>
        <v/>
      </c>
      <c r="AP439" s="43">
        <f>IF(AG439=1,AI439*AF439,0)</f>
        <v/>
      </c>
      <c r="AQ439" s="43">
        <f>N439*(F439+G439)/H439</f>
        <v/>
      </c>
      <c r="AR439" s="43">
        <f>O439*AQ439</f>
        <v/>
      </c>
      <c r="AS439" s="52">
        <f>IF(AG439=1,IF(AQ439&gt;0,AF439/AQ439,1),IFERROR(INDEX(Types!$K:$K,MATCH($A439&amp;"|"&amp;$D439,Types!$A:$A,0)),INDEX(Dashboard!$X$6:$X$22,MATCH($A439,Dashboard!$A$6:$A$22,0))))</f>
        <v/>
      </c>
      <c r="AT439" s="43">
        <f>AQ439*INDEX(Dashboard!$Y$6:$Y$22,MATCH($A439,Dashboard!$A$6:$A$22,0))</f>
        <v/>
      </c>
      <c r="AU439" s="53">
        <f>IF(AND(AG439=1,AT439&gt;0,AF439&gt;0),100*AF439/AT439,"")</f>
        <v/>
      </c>
      <c r="AV439" s="44">
        <f>IF(AU439="","",T439/(AU439/100))</f>
        <v/>
      </c>
      <c r="AW439" s="53">
        <f>IF(AU439="","",IF(AND(ABS(AH439)&gt;=0.1,ABS(T439)&gt;=0.05,SIGN(AH439)=SIGN(T439)),100*T439/AH439,""))</f>
        <v/>
      </c>
      <c r="AX439" s="45">
        <f>IF(AU439="","",T439-AV439)</f>
        <v/>
      </c>
      <c r="AY439" s="45">
        <f>IF(AU439="","",AH439-AV439)</f>
        <v/>
      </c>
      <c r="AZ439" s="54">
        <f>(AL439-AM439)-T439*AT439</f>
        <v/>
      </c>
      <c r="BA439" s="43">
        <f>IF(AU439="",0,(AH439-T439)*AF439)</f>
        <v/>
      </c>
      <c r="BB439" s="43">
        <f>IF(AU439="",0,T439*(AF439-AT439))</f>
        <v/>
      </c>
      <c r="BC439" s="51" t="n">
        <v>0.01949322629202208</v>
      </c>
      <c r="BD439" s="51" t="n">
        <v>0.0533492222779729</v>
      </c>
      <c r="BE439" s="51" t="n">
        <v>0.3423528566811506</v>
      </c>
      <c r="BF439" s="43" t="n">
        <v>79720</v>
      </c>
    </row>
    <row r="440">
      <c r="A440" s="42" t="inlineStr">
        <is>
          <t>MI</t>
        </is>
      </c>
      <c r="B440" s="42" t="inlineStr">
        <is>
          <t>26039</t>
        </is>
      </c>
      <c r="C440" s="42" t="inlineStr">
        <is>
          <t>Crawford</t>
        </is>
      </c>
      <c r="D440" s="42" t="inlineStr">
        <is>
          <t>Small town &amp; rural</t>
        </is>
      </c>
      <c r="E440" s="42" t="inlineStr"/>
      <c r="F440" s="43" t="n">
        <v>2752</v>
      </c>
      <c r="G440" s="43" t="n">
        <v>5613</v>
      </c>
      <c r="H440" s="43" t="n">
        <v>8476</v>
      </c>
      <c r="I440" s="43" t="n">
        <v>2672</v>
      </c>
      <c r="J440" s="43" t="n">
        <v>5087</v>
      </c>
      <c r="K440" s="42" t="inlineStr">
        <is>
          <t>Governor</t>
        </is>
      </c>
      <c r="L440" s="43" t="n">
        <v>2655</v>
      </c>
      <c r="M440" s="43" t="n">
        <v>3728</v>
      </c>
      <c r="N440" s="43" t="n">
        <v>6530</v>
      </c>
      <c r="O440" s="44">
        <f>IFERROR((F440-G440)/(F440+G440),"")</f>
        <v/>
      </c>
      <c r="P440" s="44">
        <f>IFERROR((I440-J440)/(I440+J440),"")</f>
        <v/>
      </c>
      <c r="Q440" s="45">
        <f>IFERROR(O440-P440,"")</f>
        <v/>
      </c>
      <c r="R440" s="44">
        <f>IFERROR((L440-M440)/(L440+M440),"")</f>
        <v/>
      </c>
      <c r="S440" s="46">
        <f>H440/SUMIFS(Counties!$H$2:$H$1583,Counties!$A$2:$A$1583,$A440)</f>
        <v/>
      </c>
      <c r="T440" s="44">
        <f>O440+INDEX(Dashboard!$F$6:$F$22,MATCH($A440,Dashboard!$A$6:$A$22,0))</f>
        <v/>
      </c>
      <c r="U440" s="43">
        <f>AQ440*INDEX(Dashboard!$G$6:$G$22,MATCH($A440,Dashboard!$A$6:$A$22,0))</f>
        <v/>
      </c>
      <c r="V440" s="47" t="n"/>
      <c r="W440" s="47" t="n"/>
      <c r="X440" s="47" t="n"/>
      <c r="Y440" s="48" t="n"/>
      <c r="Z440" s="49" t="n"/>
      <c r="AA440" s="49" t="n"/>
      <c r="AB440" s="49" t="n"/>
      <c r="AC440" s="50" t="n"/>
      <c r="AD440" s="43">
        <f>IF(Z440&lt;&gt;"",Z440,N(V440))</f>
        <v/>
      </c>
      <c r="AE440" s="43">
        <f>IF(AA440&lt;&gt;"",AA440,N(W440))</f>
        <v/>
      </c>
      <c r="AF440" s="43">
        <f>AD440+AE440</f>
        <v/>
      </c>
      <c r="AG440" s="42">
        <f>IF(UPPER(AC440)="Y",1,IF(AF440=0,0,IF(AND(Z440="",Y440&lt;&gt;""),IF(Y440&gt;=0.999,1,0),IF(AF440&gt;=U440,1,0))))</f>
        <v/>
      </c>
      <c r="AH440" s="44">
        <f>IF(AF440&gt;0,(AD440-AE440)/AF440,"")</f>
        <v/>
      </c>
      <c r="AI440" s="45">
        <f>IF(AG440=1,AH440-O440,"")</f>
        <v/>
      </c>
      <c r="AJ440" s="44">
        <f>IF(AG440=1,AH440,MAX(-1,MIN(1,O440+INDEX(Types!$H:$H,MATCH($A440&amp;"|"&amp;$D440,Types!$A:$A,0)))))</f>
        <v/>
      </c>
      <c r="AK440" s="43">
        <f>IF(AG440=1,AF440,MAX(AQ440*AS440,AF440))</f>
        <v/>
      </c>
      <c r="AL440" s="43">
        <f>IF(AG440=1,AD440,AK440*(1+AJ440)/2)</f>
        <v/>
      </c>
      <c r="AM440" s="43">
        <f>IF(AG440=1,AE440,AK440*(1-AJ440)/2)</f>
        <v/>
      </c>
      <c r="AN440" s="45">
        <f>IF(AH440="","",AH440-T440)</f>
        <v/>
      </c>
      <c r="AO440" s="51">
        <f>IF(AG440=1,1,IF(U440&gt;0,MIN(AF440/U440,0.99),0))</f>
        <v/>
      </c>
      <c r="AP440" s="43">
        <f>IF(AG440=1,AI440*AF440,0)</f>
        <v/>
      </c>
      <c r="AQ440" s="43">
        <f>N440*(F440+G440)/H440</f>
        <v/>
      </c>
      <c r="AR440" s="43">
        <f>O440*AQ440</f>
        <v/>
      </c>
      <c r="AS440" s="52">
        <f>IF(AG440=1,IF(AQ440&gt;0,AF440/AQ440,1),IFERROR(INDEX(Types!$K:$K,MATCH($A440&amp;"|"&amp;$D440,Types!$A:$A,0)),INDEX(Dashboard!$X$6:$X$22,MATCH($A440,Dashboard!$A$6:$A$22,0))))</f>
        <v/>
      </c>
      <c r="AT440" s="43">
        <f>AQ440*INDEX(Dashboard!$Y$6:$Y$22,MATCH($A440,Dashboard!$A$6:$A$22,0))</f>
        <v/>
      </c>
      <c r="AU440" s="53">
        <f>IF(AND(AG440=1,AT440&gt;0,AF440&gt;0),100*AF440/AT440,"")</f>
        <v/>
      </c>
      <c r="AV440" s="44">
        <f>IF(AU440="","",T440/(AU440/100))</f>
        <v/>
      </c>
      <c r="AW440" s="53">
        <f>IF(AU440="","",IF(AND(ABS(AH440)&gt;=0.1,ABS(T440)&gt;=0.05,SIGN(AH440)=SIGN(T440)),100*T440/AH440,""))</f>
        <v/>
      </c>
      <c r="AX440" s="45">
        <f>IF(AU440="","",T440-AV440)</f>
        <v/>
      </c>
      <c r="AY440" s="45">
        <f>IF(AU440="","",AH440-AV440)</f>
        <v/>
      </c>
      <c r="AZ440" s="54">
        <f>(AL440-AM440)-T440*AT440</f>
        <v/>
      </c>
      <c r="BA440" s="43">
        <f>IF(AU440="",0,(AH440-T440)*AF440)</f>
        <v/>
      </c>
      <c r="BB440" s="43">
        <f>IF(AU440="",0,T440*(AF440-AT440))</f>
        <v/>
      </c>
      <c r="BC440" s="51" t="n">
        <v>0.007682080070911508</v>
      </c>
      <c r="BD440" s="51" t="n">
        <v>0.02437583099423844</v>
      </c>
      <c r="BE440" s="51" t="n">
        <v>0.2020033388981636</v>
      </c>
      <c r="BF440" s="43" t="n">
        <v>13538</v>
      </c>
    </row>
    <row r="441">
      <c r="A441" s="42" t="inlineStr">
        <is>
          <t>MI</t>
        </is>
      </c>
      <c r="B441" s="42" t="inlineStr">
        <is>
          <t>26041</t>
        </is>
      </c>
      <c r="C441" s="42" t="inlineStr">
        <is>
          <t>Delta</t>
        </is>
      </c>
      <c r="D441" s="42" t="inlineStr">
        <is>
          <t>Small town &amp; rural</t>
        </is>
      </c>
      <c r="E441" s="42" t="inlineStr"/>
      <c r="F441" s="43" t="n">
        <v>7462</v>
      </c>
      <c r="G441" s="43" t="n">
        <v>14109</v>
      </c>
      <c r="H441" s="43" t="n">
        <v>21874</v>
      </c>
      <c r="I441" s="43" t="n">
        <v>7606</v>
      </c>
      <c r="J441" s="43" t="n">
        <v>13207</v>
      </c>
      <c r="K441" s="42" t="inlineStr">
        <is>
          <t>Governor</t>
        </is>
      </c>
      <c r="L441" s="43" t="n">
        <v>6890</v>
      </c>
      <c r="M441" s="43" t="n">
        <v>10097</v>
      </c>
      <c r="N441" s="43" t="n">
        <v>17341</v>
      </c>
      <c r="O441" s="44">
        <f>IFERROR((F441-G441)/(F441+G441),"")</f>
        <v/>
      </c>
      <c r="P441" s="44">
        <f>IFERROR((I441-J441)/(I441+J441),"")</f>
        <v/>
      </c>
      <c r="Q441" s="45">
        <f>IFERROR(O441-P441,"")</f>
        <v/>
      </c>
      <c r="R441" s="44">
        <f>IFERROR((L441-M441)/(L441+M441),"")</f>
        <v/>
      </c>
      <c r="S441" s="46">
        <f>H441/SUMIFS(Counties!$H$2:$H$1583,Counties!$A$2:$A$1583,$A441)</f>
        <v/>
      </c>
      <c r="T441" s="44">
        <f>O441+INDEX(Dashboard!$F$6:$F$22,MATCH($A441,Dashboard!$A$6:$A$22,0))</f>
        <v/>
      </c>
      <c r="U441" s="43">
        <f>AQ441*INDEX(Dashboard!$G$6:$G$22,MATCH($A441,Dashboard!$A$6:$A$22,0))</f>
        <v/>
      </c>
      <c r="V441" s="47" t="n"/>
      <c r="W441" s="47" t="n"/>
      <c r="X441" s="47" t="n"/>
      <c r="Y441" s="48" t="n"/>
      <c r="Z441" s="49" t="n"/>
      <c r="AA441" s="49" t="n"/>
      <c r="AB441" s="49" t="n"/>
      <c r="AC441" s="50" t="n"/>
      <c r="AD441" s="43">
        <f>IF(Z441&lt;&gt;"",Z441,N(V441))</f>
        <v/>
      </c>
      <c r="AE441" s="43">
        <f>IF(AA441&lt;&gt;"",AA441,N(W441))</f>
        <v/>
      </c>
      <c r="AF441" s="43">
        <f>AD441+AE441</f>
        <v/>
      </c>
      <c r="AG441" s="42">
        <f>IF(UPPER(AC441)="Y",1,IF(AF441=0,0,IF(AND(Z441="",Y441&lt;&gt;""),IF(Y441&gt;=0.999,1,0),IF(AF441&gt;=U441,1,0))))</f>
        <v/>
      </c>
      <c r="AH441" s="44">
        <f>IF(AF441&gt;0,(AD441-AE441)/AF441,"")</f>
        <v/>
      </c>
      <c r="AI441" s="45">
        <f>IF(AG441=1,AH441-O441,"")</f>
        <v/>
      </c>
      <c r="AJ441" s="44">
        <f>IF(AG441=1,AH441,MAX(-1,MIN(1,O441+INDEX(Types!$H:$H,MATCH($A441&amp;"|"&amp;$D441,Types!$A:$A,0)))))</f>
        <v/>
      </c>
      <c r="AK441" s="43">
        <f>IF(AG441=1,AF441,MAX(AQ441*AS441,AF441))</f>
        <v/>
      </c>
      <c r="AL441" s="43">
        <f>IF(AG441=1,AD441,AK441*(1+AJ441)/2)</f>
        <v/>
      </c>
      <c r="AM441" s="43">
        <f>IF(AG441=1,AE441,AK441*(1-AJ441)/2)</f>
        <v/>
      </c>
      <c r="AN441" s="45">
        <f>IF(AH441="","",AH441-T441)</f>
        <v/>
      </c>
      <c r="AO441" s="51">
        <f>IF(AG441=1,1,IF(U441&gt;0,MIN(AF441/U441,0.99),0))</f>
        <v/>
      </c>
      <c r="AP441" s="43">
        <f>IF(AG441=1,AI441*AF441,0)</f>
        <v/>
      </c>
      <c r="AQ441" s="43">
        <f>N441*(F441+G441)/H441</f>
        <v/>
      </c>
      <c r="AR441" s="43">
        <f>O441*AQ441</f>
        <v/>
      </c>
      <c r="AS441" s="52">
        <f>IF(AG441=1,IF(AQ441&gt;0,AF441/AQ441,1),IFERROR(INDEX(Types!$K:$K,MATCH($A441&amp;"|"&amp;$D441,Types!$A:$A,0)),INDEX(Dashboard!$X$6:$X$22,MATCH($A441,Dashboard!$A$6:$A$22,0))))</f>
        <v/>
      </c>
      <c r="AT441" s="43">
        <f>AQ441*INDEX(Dashboard!$Y$6:$Y$22,MATCH($A441,Dashboard!$A$6:$A$22,0))</f>
        <v/>
      </c>
      <c r="AU441" s="53">
        <f>IF(AND(AG441=1,AT441&gt;0,AF441&gt;0),100*AF441/AT441,"")</f>
        <v/>
      </c>
      <c r="AV441" s="44">
        <f>IF(AU441="","",T441/(AU441/100))</f>
        <v/>
      </c>
      <c r="AW441" s="53">
        <f>IF(AU441="","",IF(AND(ABS(AH441)&gt;=0.1,ABS(T441)&gt;=0.05,SIGN(AH441)=SIGN(T441)),100*T441/AH441,""))</f>
        <v/>
      </c>
      <c r="AX441" s="45">
        <f>IF(AU441="","",T441-AV441)</f>
        <v/>
      </c>
      <c r="AY441" s="45">
        <f>IF(AU441="","",AH441-AV441)</f>
        <v/>
      </c>
      <c r="AZ441" s="54">
        <f>(AL441-AM441)-T441*AT441</f>
        <v/>
      </c>
      <c r="BA441" s="43">
        <f>IF(AU441="",0,(AH441-T441)*AF441)</f>
        <v/>
      </c>
      <c r="BB441" s="43">
        <f>IF(AU441="",0,T441*(AF441-AT441))</f>
        <v/>
      </c>
      <c r="BC441" s="51" t="n">
        <v>0.004702364773036151</v>
      </c>
      <c r="BD441" s="51" t="n">
        <v>0.01530307148681707</v>
      </c>
      <c r="BE441" s="51" t="n">
        <v>0.2001762049851327</v>
      </c>
      <c r="BF441" s="43" t="n">
        <v>36790</v>
      </c>
    </row>
    <row r="442">
      <c r="A442" s="42" t="inlineStr">
        <is>
          <t>MI</t>
        </is>
      </c>
      <c r="B442" s="42" t="inlineStr">
        <is>
          <t>26043</t>
        </is>
      </c>
      <c r="C442" s="42" t="inlineStr">
        <is>
          <t>Dickinson</t>
        </is>
      </c>
      <c r="D442" s="42" t="inlineStr">
        <is>
          <t>Small town &amp; rural</t>
        </is>
      </c>
      <c r="E442" s="42" t="inlineStr"/>
      <c r="F442" s="43" t="n">
        <v>4763</v>
      </c>
      <c r="G442" s="43" t="n">
        <v>10324</v>
      </c>
      <c r="H442" s="43" t="n">
        <v>15311</v>
      </c>
      <c r="I442" s="43" t="n">
        <v>4744</v>
      </c>
      <c r="J442" s="43" t="n">
        <v>9617</v>
      </c>
      <c r="K442" s="42" t="inlineStr">
        <is>
          <t>Governor</t>
        </is>
      </c>
      <c r="L442" s="43" t="n">
        <v>4310</v>
      </c>
      <c r="M442" s="43" t="n">
        <v>7446</v>
      </c>
      <c r="N442" s="43" t="n">
        <v>11997</v>
      </c>
      <c r="O442" s="44">
        <f>IFERROR((F442-G442)/(F442+G442),"")</f>
        <v/>
      </c>
      <c r="P442" s="44">
        <f>IFERROR((I442-J442)/(I442+J442),"")</f>
        <v/>
      </c>
      <c r="Q442" s="45">
        <f>IFERROR(O442-P442,"")</f>
        <v/>
      </c>
      <c r="R442" s="44">
        <f>IFERROR((L442-M442)/(L442+M442),"")</f>
        <v/>
      </c>
      <c r="S442" s="46">
        <f>H442/SUMIFS(Counties!$H$2:$H$1583,Counties!$A$2:$A$1583,$A442)</f>
        <v/>
      </c>
      <c r="T442" s="44">
        <f>O442+INDEX(Dashboard!$F$6:$F$22,MATCH($A442,Dashboard!$A$6:$A$22,0))</f>
        <v/>
      </c>
      <c r="U442" s="43">
        <f>AQ442*INDEX(Dashboard!$G$6:$G$22,MATCH($A442,Dashboard!$A$6:$A$22,0))</f>
        <v/>
      </c>
      <c r="V442" s="47" t="n"/>
      <c r="W442" s="47" t="n"/>
      <c r="X442" s="47" t="n"/>
      <c r="Y442" s="48" t="n"/>
      <c r="Z442" s="49" t="n"/>
      <c r="AA442" s="49" t="n"/>
      <c r="AB442" s="49" t="n"/>
      <c r="AC442" s="50" t="n"/>
      <c r="AD442" s="43">
        <f>IF(Z442&lt;&gt;"",Z442,N(V442))</f>
        <v/>
      </c>
      <c r="AE442" s="43">
        <f>IF(AA442&lt;&gt;"",AA442,N(W442))</f>
        <v/>
      </c>
      <c r="AF442" s="43">
        <f>AD442+AE442</f>
        <v/>
      </c>
      <c r="AG442" s="42">
        <f>IF(UPPER(AC442)="Y",1,IF(AF442=0,0,IF(AND(Z442="",Y442&lt;&gt;""),IF(Y442&gt;=0.999,1,0),IF(AF442&gt;=U442,1,0))))</f>
        <v/>
      </c>
      <c r="AH442" s="44">
        <f>IF(AF442&gt;0,(AD442-AE442)/AF442,"")</f>
        <v/>
      </c>
      <c r="AI442" s="45">
        <f>IF(AG442=1,AH442-O442,"")</f>
        <v/>
      </c>
      <c r="AJ442" s="44">
        <f>IF(AG442=1,AH442,MAX(-1,MIN(1,O442+INDEX(Types!$H:$H,MATCH($A442&amp;"|"&amp;$D442,Types!$A:$A,0)))))</f>
        <v/>
      </c>
      <c r="AK442" s="43">
        <f>IF(AG442=1,AF442,MAX(AQ442*AS442,AF442))</f>
        <v/>
      </c>
      <c r="AL442" s="43">
        <f>IF(AG442=1,AD442,AK442*(1+AJ442)/2)</f>
        <v/>
      </c>
      <c r="AM442" s="43">
        <f>IF(AG442=1,AE442,AK442*(1-AJ442)/2)</f>
        <v/>
      </c>
      <c r="AN442" s="45">
        <f>IF(AH442="","",AH442-T442)</f>
        <v/>
      </c>
      <c r="AO442" s="51">
        <f>IF(AG442=1,1,IF(U442&gt;0,MIN(AF442/U442,0.99),0))</f>
        <v/>
      </c>
      <c r="AP442" s="43">
        <f>IF(AG442=1,AI442*AF442,0)</f>
        <v/>
      </c>
      <c r="AQ442" s="43">
        <f>N442*(F442+G442)/H442</f>
        <v/>
      </c>
      <c r="AR442" s="43">
        <f>O442*AQ442</f>
        <v/>
      </c>
      <c r="AS442" s="52">
        <f>IF(AG442=1,IF(AQ442&gt;0,AF442/AQ442,1),IFERROR(INDEX(Types!$K:$K,MATCH($A442&amp;"|"&amp;$D442,Types!$A:$A,0)),INDEX(Dashboard!$X$6:$X$22,MATCH($A442,Dashboard!$A$6:$A$22,0))))</f>
        <v/>
      </c>
      <c r="AT442" s="43">
        <f>AQ442*INDEX(Dashboard!$Y$6:$Y$22,MATCH($A442,Dashboard!$A$6:$A$22,0))</f>
        <v/>
      </c>
      <c r="AU442" s="53">
        <f>IF(AND(AG442=1,AT442&gt;0,AF442&gt;0),100*AF442/AT442,"")</f>
        <v/>
      </c>
      <c r="AV442" s="44">
        <f>IF(AU442="","",T442/(AU442/100))</f>
        <v/>
      </c>
      <c r="AW442" s="53">
        <f>IF(AU442="","",IF(AND(ABS(AH442)&gt;=0.1,ABS(T442)&gt;=0.05,SIGN(AH442)=SIGN(T442)),100*T442/AH442,""))</f>
        <v/>
      </c>
      <c r="AX442" s="45">
        <f>IF(AU442="","",T442-AV442)</f>
        <v/>
      </c>
      <c r="AY442" s="45">
        <f>IF(AU442="","",AH442-AV442)</f>
        <v/>
      </c>
      <c r="AZ442" s="54">
        <f>(AL442-AM442)-T442*AT442</f>
        <v/>
      </c>
      <c r="BA442" s="43">
        <f>IF(AU442="",0,(AH442-T442)*AF442)</f>
        <v/>
      </c>
      <c r="BB442" s="43">
        <f>IF(AU442="",0,T442*(AF442-AT442))</f>
        <v/>
      </c>
      <c r="BC442" s="51" t="n">
        <v>0.005465322146101147</v>
      </c>
      <c r="BD442" s="51" t="n">
        <v>0.02055269032407051</v>
      </c>
      <c r="BE442" s="51" t="n">
        <v>0.2432036037923629</v>
      </c>
      <c r="BF442" s="43" t="n">
        <v>25982</v>
      </c>
    </row>
    <row r="443">
      <c r="A443" s="42" t="inlineStr">
        <is>
          <t>MI</t>
        </is>
      </c>
      <c r="B443" s="42" t="inlineStr">
        <is>
          <t>26045</t>
        </is>
      </c>
      <c r="C443" s="42" t="inlineStr">
        <is>
          <t>Eaton</t>
        </is>
      </c>
      <c r="D443" s="42" t="inlineStr">
        <is>
          <t>Mid-size/working metro</t>
        </is>
      </c>
      <c r="E443" s="42" t="inlineStr"/>
      <c r="F443" s="43" t="n">
        <v>31056</v>
      </c>
      <c r="G443" s="43" t="n">
        <v>33102</v>
      </c>
      <c r="H443" s="43" t="n">
        <v>65171</v>
      </c>
      <c r="I443" s="43" t="n">
        <v>31299</v>
      </c>
      <c r="J443" s="43" t="n">
        <v>31798</v>
      </c>
      <c r="K443" s="42" t="inlineStr">
        <is>
          <t>Governor</t>
        </is>
      </c>
      <c r="L443" s="43" t="n">
        <v>28806</v>
      </c>
      <c r="M443" s="43" t="n">
        <v>23828</v>
      </c>
      <c r="N443" s="43" t="n">
        <v>53558</v>
      </c>
      <c r="O443" s="44">
        <f>IFERROR((F443-G443)/(F443+G443),"")</f>
        <v/>
      </c>
      <c r="P443" s="44">
        <f>IFERROR((I443-J443)/(I443+J443),"")</f>
        <v/>
      </c>
      <c r="Q443" s="45">
        <f>IFERROR(O443-P443,"")</f>
        <v/>
      </c>
      <c r="R443" s="44">
        <f>IFERROR((L443-M443)/(L443+M443),"")</f>
        <v/>
      </c>
      <c r="S443" s="46">
        <f>H443/SUMIFS(Counties!$H$2:$H$1583,Counties!$A$2:$A$1583,$A443)</f>
        <v/>
      </c>
      <c r="T443" s="44">
        <f>O443+INDEX(Dashboard!$F$6:$F$22,MATCH($A443,Dashboard!$A$6:$A$22,0))</f>
        <v/>
      </c>
      <c r="U443" s="43">
        <f>AQ443*INDEX(Dashboard!$G$6:$G$22,MATCH($A443,Dashboard!$A$6:$A$22,0))</f>
        <v/>
      </c>
      <c r="V443" s="47" t="n"/>
      <c r="W443" s="47" t="n"/>
      <c r="X443" s="47" t="n"/>
      <c r="Y443" s="48" t="n"/>
      <c r="Z443" s="49" t="n"/>
      <c r="AA443" s="49" t="n"/>
      <c r="AB443" s="49" t="n"/>
      <c r="AC443" s="50" t="n"/>
      <c r="AD443" s="43">
        <f>IF(Z443&lt;&gt;"",Z443,N(V443))</f>
        <v/>
      </c>
      <c r="AE443" s="43">
        <f>IF(AA443&lt;&gt;"",AA443,N(W443))</f>
        <v/>
      </c>
      <c r="AF443" s="43">
        <f>AD443+AE443</f>
        <v/>
      </c>
      <c r="AG443" s="42">
        <f>IF(UPPER(AC443)="Y",1,IF(AF443=0,0,IF(AND(Z443="",Y443&lt;&gt;""),IF(Y443&gt;=0.999,1,0),IF(AF443&gt;=U443,1,0))))</f>
        <v/>
      </c>
      <c r="AH443" s="44">
        <f>IF(AF443&gt;0,(AD443-AE443)/AF443,"")</f>
        <v/>
      </c>
      <c r="AI443" s="45">
        <f>IF(AG443=1,AH443-O443,"")</f>
        <v/>
      </c>
      <c r="AJ443" s="44">
        <f>IF(AG443=1,AH443,MAX(-1,MIN(1,O443+INDEX(Types!$H:$H,MATCH($A443&amp;"|"&amp;$D443,Types!$A:$A,0)))))</f>
        <v/>
      </c>
      <c r="AK443" s="43">
        <f>IF(AG443=1,AF443,MAX(AQ443*AS443,AF443))</f>
        <v/>
      </c>
      <c r="AL443" s="43">
        <f>IF(AG443=1,AD443,AK443*(1+AJ443)/2)</f>
        <v/>
      </c>
      <c r="AM443" s="43">
        <f>IF(AG443=1,AE443,AK443*(1-AJ443)/2)</f>
        <v/>
      </c>
      <c r="AN443" s="45">
        <f>IF(AH443="","",AH443-T443)</f>
        <v/>
      </c>
      <c r="AO443" s="51">
        <f>IF(AG443=1,1,IF(U443&gt;0,MIN(AF443/U443,0.99),0))</f>
        <v/>
      </c>
      <c r="AP443" s="43">
        <f>IF(AG443=1,AI443*AF443,0)</f>
        <v/>
      </c>
      <c r="AQ443" s="43">
        <f>N443*(F443+G443)/H443</f>
        <v/>
      </c>
      <c r="AR443" s="43">
        <f>O443*AQ443</f>
        <v/>
      </c>
      <c r="AS443" s="52">
        <f>IF(AG443=1,IF(AQ443&gt;0,AF443/AQ443,1),IFERROR(INDEX(Types!$K:$K,MATCH($A443&amp;"|"&amp;$D443,Types!$A:$A,0)),INDEX(Dashboard!$X$6:$X$22,MATCH($A443,Dashboard!$A$6:$A$22,0))))</f>
        <v/>
      </c>
      <c r="AT443" s="43">
        <f>AQ443*INDEX(Dashboard!$Y$6:$Y$22,MATCH($A443,Dashboard!$A$6:$A$22,0))</f>
        <v/>
      </c>
      <c r="AU443" s="53">
        <f>IF(AND(AG443=1,AT443&gt;0,AF443&gt;0),100*AF443/AT443,"")</f>
        <v/>
      </c>
      <c r="AV443" s="44">
        <f>IF(AU443="","",T443/(AU443/100))</f>
        <v/>
      </c>
      <c r="AW443" s="53">
        <f>IF(AU443="","",IF(AND(ABS(AH443)&gt;=0.1,ABS(T443)&gt;=0.05,SIGN(AH443)=SIGN(T443)),100*T443/AH443,""))</f>
        <v/>
      </c>
      <c r="AX443" s="45">
        <f>IF(AU443="","",T443-AV443)</f>
        <v/>
      </c>
      <c r="AY443" s="45">
        <f>IF(AU443="","",AH443-AV443)</f>
        <v/>
      </c>
      <c r="AZ443" s="54">
        <f>(AL443-AM443)-T443*AT443</f>
        <v/>
      </c>
      <c r="BA443" s="43">
        <f>IF(AU443="",0,(AH443-T443)*AF443)</f>
        <v/>
      </c>
      <c r="BB443" s="43">
        <f>IF(AU443="",0,T443*(AF443-AT443))</f>
        <v/>
      </c>
      <c r="BC443" s="51" t="n">
        <v>0.06994118728174968</v>
      </c>
      <c r="BD443" s="51" t="n">
        <v>0.0646939900753538</v>
      </c>
      <c r="BE443" s="51" t="n">
        <v>0.3040608353277233</v>
      </c>
      <c r="BF443" s="43" t="n">
        <v>108820</v>
      </c>
    </row>
    <row r="444">
      <c r="A444" s="42" t="inlineStr">
        <is>
          <t>MI</t>
        </is>
      </c>
      <c r="B444" s="42" t="inlineStr">
        <is>
          <t>26047</t>
        </is>
      </c>
      <c r="C444" s="42" t="inlineStr">
        <is>
          <t>Emmet</t>
        </is>
      </c>
      <c r="D444" s="42" t="inlineStr">
        <is>
          <t>Small town &amp; rural</t>
        </is>
      </c>
      <c r="E444" s="42" t="inlineStr"/>
      <c r="F444" s="43" t="n">
        <v>10005</v>
      </c>
      <c r="G444" s="43" t="n">
        <v>12465</v>
      </c>
      <c r="H444" s="43" t="n">
        <v>22848</v>
      </c>
      <c r="I444" s="43" t="n">
        <v>9662</v>
      </c>
      <c r="J444" s="43" t="n">
        <v>12135</v>
      </c>
      <c r="K444" s="42" t="inlineStr">
        <is>
          <t>Governor</t>
        </is>
      </c>
      <c r="L444" s="43" t="n">
        <v>9285</v>
      </c>
      <c r="M444" s="43" t="n">
        <v>9590</v>
      </c>
      <c r="N444" s="43" t="n">
        <v>19203</v>
      </c>
      <c r="O444" s="44">
        <f>IFERROR((F444-G444)/(F444+G444),"")</f>
        <v/>
      </c>
      <c r="P444" s="44">
        <f>IFERROR((I444-J444)/(I444+J444),"")</f>
        <v/>
      </c>
      <c r="Q444" s="45">
        <f>IFERROR(O444-P444,"")</f>
        <v/>
      </c>
      <c r="R444" s="44">
        <f>IFERROR((L444-M444)/(L444+M444),"")</f>
        <v/>
      </c>
      <c r="S444" s="46">
        <f>H444/SUMIFS(Counties!$H$2:$H$1583,Counties!$A$2:$A$1583,$A444)</f>
        <v/>
      </c>
      <c r="T444" s="44">
        <f>O444+INDEX(Dashboard!$F$6:$F$22,MATCH($A444,Dashboard!$A$6:$A$22,0))</f>
        <v/>
      </c>
      <c r="U444" s="43">
        <f>AQ444*INDEX(Dashboard!$G$6:$G$22,MATCH($A444,Dashboard!$A$6:$A$22,0))</f>
        <v/>
      </c>
      <c r="V444" s="47" t="n"/>
      <c r="W444" s="47" t="n"/>
      <c r="X444" s="47" t="n"/>
      <c r="Y444" s="48" t="n"/>
      <c r="Z444" s="49" t="n"/>
      <c r="AA444" s="49" t="n"/>
      <c r="AB444" s="49" t="n"/>
      <c r="AC444" s="50" t="n"/>
      <c r="AD444" s="43">
        <f>IF(Z444&lt;&gt;"",Z444,N(V444))</f>
        <v/>
      </c>
      <c r="AE444" s="43">
        <f>IF(AA444&lt;&gt;"",AA444,N(W444))</f>
        <v/>
      </c>
      <c r="AF444" s="43">
        <f>AD444+AE444</f>
        <v/>
      </c>
      <c r="AG444" s="42">
        <f>IF(UPPER(AC444)="Y",1,IF(AF444=0,0,IF(AND(Z444="",Y444&lt;&gt;""),IF(Y444&gt;=0.999,1,0),IF(AF444&gt;=U444,1,0))))</f>
        <v/>
      </c>
      <c r="AH444" s="44">
        <f>IF(AF444&gt;0,(AD444-AE444)/AF444,"")</f>
        <v/>
      </c>
      <c r="AI444" s="45">
        <f>IF(AG444=1,AH444-O444,"")</f>
        <v/>
      </c>
      <c r="AJ444" s="44">
        <f>IF(AG444=1,AH444,MAX(-1,MIN(1,O444+INDEX(Types!$H:$H,MATCH($A444&amp;"|"&amp;$D444,Types!$A:$A,0)))))</f>
        <v/>
      </c>
      <c r="AK444" s="43">
        <f>IF(AG444=1,AF444,MAX(AQ444*AS444,AF444))</f>
        <v/>
      </c>
      <c r="AL444" s="43">
        <f>IF(AG444=1,AD444,AK444*(1+AJ444)/2)</f>
        <v/>
      </c>
      <c r="AM444" s="43">
        <f>IF(AG444=1,AE444,AK444*(1-AJ444)/2)</f>
        <v/>
      </c>
      <c r="AN444" s="45">
        <f>IF(AH444="","",AH444-T444)</f>
        <v/>
      </c>
      <c r="AO444" s="51">
        <f>IF(AG444=1,1,IF(U444&gt;0,MIN(AF444/U444,0.99),0))</f>
        <v/>
      </c>
      <c r="AP444" s="43">
        <f>IF(AG444=1,AI444*AF444,0)</f>
        <v/>
      </c>
      <c r="AQ444" s="43">
        <f>N444*(F444+G444)/H444</f>
        <v/>
      </c>
      <c r="AR444" s="43">
        <f>O444*AQ444</f>
        <v/>
      </c>
      <c r="AS444" s="52">
        <f>IF(AG444=1,IF(AQ444&gt;0,AF444/AQ444,1),IFERROR(INDEX(Types!$K:$K,MATCH($A444&amp;"|"&amp;$D444,Types!$A:$A,0)),INDEX(Dashboard!$X$6:$X$22,MATCH($A444,Dashboard!$A$6:$A$22,0))))</f>
        <v/>
      </c>
      <c r="AT444" s="43">
        <f>AQ444*INDEX(Dashboard!$Y$6:$Y$22,MATCH($A444,Dashboard!$A$6:$A$22,0))</f>
        <v/>
      </c>
      <c r="AU444" s="53">
        <f>IF(AND(AG444=1,AT444&gt;0,AF444&gt;0),100*AF444/AT444,"")</f>
        <v/>
      </c>
      <c r="AV444" s="44">
        <f>IF(AU444="","",T444/(AU444/100))</f>
        <v/>
      </c>
      <c r="AW444" s="53">
        <f>IF(AU444="","",IF(AND(ABS(AH444)&gt;=0.1,ABS(T444)&gt;=0.05,SIGN(AH444)=SIGN(T444)),100*T444/AH444,""))</f>
        <v/>
      </c>
      <c r="AX444" s="45">
        <f>IF(AU444="","",T444-AV444)</f>
        <v/>
      </c>
      <c r="AY444" s="45">
        <f>IF(AU444="","",AH444-AV444)</f>
        <v/>
      </c>
      <c r="AZ444" s="54">
        <f>(AL444-AM444)-T444*AT444</f>
        <v/>
      </c>
      <c r="BA444" s="43">
        <f>IF(AU444="",0,(AH444-T444)*AF444)</f>
        <v/>
      </c>
      <c r="BB444" s="43">
        <f>IF(AU444="",0,T444*(AF444-AT444))</f>
        <v/>
      </c>
      <c r="BC444" s="51" t="n">
        <v>0.007736717170237084</v>
      </c>
      <c r="BD444" s="51" t="n">
        <v>0.02171555842100636</v>
      </c>
      <c r="BE444" s="51" t="n">
        <v>0.4024294052689699</v>
      </c>
      <c r="BF444" s="43" t="n">
        <v>34123</v>
      </c>
    </row>
    <row r="445">
      <c r="A445" s="42" t="inlineStr">
        <is>
          <t>MI</t>
        </is>
      </c>
      <c r="B445" s="42" t="inlineStr">
        <is>
          <t>26049</t>
        </is>
      </c>
      <c r="C445" s="42" t="inlineStr">
        <is>
          <t>Genesee</t>
        </is>
      </c>
      <c r="D445" s="42" t="inlineStr">
        <is>
          <t>Mid-size/working metro</t>
        </is>
      </c>
      <c r="E445" s="42" t="inlineStr">
        <is>
          <t>★</t>
        </is>
      </c>
      <c r="F445" s="43" t="n">
        <v>114670</v>
      </c>
      <c r="G445" s="43" t="n">
        <v>105303</v>
      </c>
      <c r="H445" s="43" t="n">
        <v>223203</v>
      </c>
      <c r="I445" s="43" t="n">
        <v>119390</v>
      </c>
      <c r="J445" s="43" t="n">
        <v>98714</v>
      </c>
      <c r="K445" s="42" t="inlineStr">
        <is>
          <t>Governor</t>
        </is>
      </c>
      <c r="L445" s="43" t="n">
        <v>100325</v>
      </c>
      <c r="M445" s="43" t="n">
        <v>68282</v>
      </c>
      <c r="N445" s="43" t="n">
        <v>171594</v>
      </c>
      <c r="O445" s="44">
        <f>IFERROR((F445-G445)/(F445+G445),"")</f>
        <v/>
      </c>
      <c r="P445" s="44">
        <f>IFERROR((I445-J445)/(I445+J445),"")</f>
        <v/>
      </c>
      <c r="Q445" s="45">
        <f>IFERROR(O445-P445,"")</f>
        <v/>
      </c>
      <c r="R445" s="44">
        <f>IFERROR((L445-M445)/(L445+M445),"")</f>
        <v/>
      </c>
      <c r="S445" s="46">
        <f>H445/SUMIFS(Counties!$H$2:$H$1583,Counties!$A$2:$A$1583,$A445)</f>
        <v/>
      </c>
      <c r="T445" s="44">
        <f>O445+INDEX(Dashboard!$F$6:$F$22,MATCH($A445,Dashboard!$A$6:$A$22,0))</f>
        <v/>
      </c>
      <c r="U445" s="43">
        <f>AQ445*INDEX(Dashboard!$G$6:$G$22,MATCH($A445,Dashboard!$A$6:$A$22,0))</f>
        <v/>
      </c>
      <c r="V445" s="47" t="n"/>
      <c r="W445" s="47" t="n"/>
      <c r="X445" s="47" t="n"/>
      <c r="Y445" s="48" t="n"/>
      <c r="Z445" s="49" t="n"/>
      <c r="AA445" s="49" t="n"/>
      <c r="AB445" s="49" t="n"/>
      <c r="AC445" s="50" t="n"/>
      <c r="AD445" s="43">
        <f>IF(Z445&lt;&gt;"",Z445,N(V445))</f>
        <v/>
      </c>
      <c r="AE445" s="43">
        <f>IF(AA445&lt;&gt;"",AA445,N(W445))</f>
        <v/>
      </c>
      <c r="AF445" s="43">
        <f>AD445+AE445</f>
        <v/>
      </c>
      <c r="AG445" s="42">
        <f>IF(UPPER(AC445)="Y",1,IF(AF445=0,0,IF(AND(Z445="",Y445&lt;&gt;""),IF(Y445&gt;=0.999,1,0),IF(AF445&gt;=U445,1,0))))</f>
        <v/>
      </c>
      <c r="AH445" s="44">
        <f>IF(AF445&gt;0,(AD445-AE445)/AF445,"")</f>
        <v/>
      </c>
      <c r="AI445" s="45">
        <f>IF(AG445=1,AH445-O445,"")</f>
        <v/>
      </c>
      <c r="AJ445" s="44">
        <f>IF(AG445=1,AH445,MAX(-1,MIN(1,O445+INDEX(Types!$H:$H,MATCH($A445&amp;"|"&amp;$D445,Types!$A:$A,0)))))</f>
        <v/>
      </c>
      <c r="AK445" s="43">
        <f>IF(AG445=1,AF445,MAX(AQ445*AS445,AF445))</f>
        <v/>
      </c>
      <c r="AL445" s="43">
        <f>IF(AG445=1,AD445,AK445*(1+AJ445)/2)</f>
        <v/>
      </c>
      <c r="AM445" s="43">
        <f>IF(AG445=1,AE445,AK445*(1-AJ445)/2)</f>
        <v/>
      </c>
      <c r="AN445" s="45">
        <f>IF(AH445="","",AH445-T445)</f>
        <v/>
      </c>
      <c r="AO445" s="51">
        <f>IF(AG445=1,1,IF(U445&gt;0,MIN(AF445/U445,0.99),0))</f>
        <v/>
      </c>
      <c r="AP445" s="43">
        <f>IF(AG445=1,AI445*AF445,0)</f>
        <v/>
      </c>
      <c r="AQ445" s="43">
        <f>N445*(F445+G445)/H445</f>
        <v/>
      </c>
      <c r="AR445" s="43">
        <f>O445*AQ445</f>
        <v/>
      </c>
      <c r="AS445" s="52">
        <f>IF(AG445=1,IF(AQ445&gt;0,AF445/AQ445,1),IFERROR(INDEX(Types!$K:$K,MATCH($A445&amp;"|"&amp;$D445,Types!$A:$A,0)),INDEX(Dashboard!$X$6:$X$22,MATCH($A445,Dashboard!$A$6:$A$22,0))))</f>
        <v/>
      </c>
      <c r="AT445" s="43">
        <f>AQ445*INDEX(Dashboard!$Y$6:$Y$22,MATCH($A445,Dashboard!$A$6:$A$22,0))</f>
        <v/>
      </c>
      <c r="AU445" s="53">
        <f>IF(AND(AG445=1,AT445&gt;0,AF445&gt;0),100*AF445/AT445,"")</f>
        <v/>
      </c>
      <c r="AV445" s="44">
        <f>IF(AU445="","",T445/(AU445/100))</f>
        <v/>
      </c>
      <c r="AW445" s="53">
        <f>IF(AU445="","",IF(AND(ABS(AH445)&gt;=0.1,ABS(T445)&gt;=0.05,SIGN(AH445)=SIGN(T445)),100*T445/AH445,""))</f>
        <v/>
      </c>
      <c r="AX445" s="45">
        <f>IF(AU445="","",T445-AV445)</f>
        <v/>
      </c>
      <c r="AY445" s="45">
        <f>IF(AU445="","",AH445-AV445)</f>
        <v/>
      </c>
      <c r="AZ445" s="54">
        <f>(AL445-AM445)-T445*AT445</f>
        <v/>
      </c>
      <c r="BA445" s="43">
        <f>IF(AU445="",0,(AH445-T445)*AF445)</f>
        <v/>
      </c>
      <c r="BB445" s="43">
        <f>IF(AU445="",0,T445*(AF445-AT445))</f>
        <v/>
      </c>
      <c r="BC445" s="51" t="n">
        <v>0.1988857397602124</v>
      </c>
      <c r="BD445" s="51" t="n">
        <v>0.04360159592749588</v>
      </c>
      <c r="BE445" s="51" t="n">
        <v>0.2283822920976417</v>
      </c>
      <c r="BF445" s="43" t="n">
        <v>401522</v>
      </c>
    </row>
    <row r="446">
      <c r="A446" s="42" t="inlineStr">
        <is>
          <t>MI</t>
        </is>
      </c>
      <c r="B446" s="42" t="inlineStr">
        <is>
          <t>26051</t>
        </is>
      </c>
      <c r="C446" s="42" t="inlineStr">
        <is>
          <t>Gladwin</t>
        </is>
      </c>
      <c r="D446" s="42" t="inlineStr">
        <is>
          <t>Small town &amp; rural</t>
        </is>
      </c>
      <c r="E446" s="42" t="inlineStr"/>
      <c r="F446" s="43" t="n">
        <v>4501</v>
      </c>
      <c r="G446" s="43" t="n">
        <v>10809</v>
      </c>
      <c r="H446" s="43" t="n">
        <v>15488</v>
      </c>
      <c r="I446" s="43" t="n">
        <v>4524</v>
      </c>
      <c r="J446" s="43" t="n">
        <v>9893</v>
      </c>
      <c r="K446" s="42" t="inlineStr">
        <is>
          <t>Governor</t>
        </is>
      </c>
      <c r="L446" s="43" t="n">
        <v>4422</v>
      </c>
      <c r="M446" s="43" t="n">
        <v>7357</v>
      </c>
      <c r="N446" s="43" t="n">
        <v>12041</v>
      </c>
      <c r="O446" s="44">
        <f>IFERROR((F446-G446)/(F446+G446),"")</f>
        <v/>
      </c>
      <c r="P446" s="44">
        <f>IFERROR((I446-J446)/(I446+J446),"")</f>
        <v/>
      </c>
      <c r="Q446" s="45">
        <f>IFERROR(O446-P446,"")</f>
        <v/>
      </c>
      <c r="R446" s="44">
        <f>IFERROR((L446-M446)/(L446+M446),"")</f>
        <v/>
      </c>
      <c r="S446" s="46">
        <f>H446/SUMIFS(Counties!$H$2:$H$1583,Counties!$A$2:$A$1583,$A446)</f>
        <v/>
      </c>
      <c r="T446" s="44">
        <f>O446+INDEX(Dashboard!$F$6:$F$22,MATCH($A446,Dashboard!$A$6:$A$22,0))</f>
        <v/>
      </c>
      <c r="U446" s="43">
        <f>AQ446*INDEX(Dashboard!$G$6:$G$22,MATCH($A446,Dashboard!$A$6:$A$22,0))</f>
        <v/>
      </c>
      <c r="V446" s="47" t="n"/>
      <c r="W446" s="47" t="n"/>
      <c r="X446" s="47" t="n"/>
      <c r="Y446" s="48" t="n"/>
      <c r="Z446" s="49" t="n"/>
      <c r="AA446" s="49" t="n"/>
      <c r="AB446" s="49" t="n"/>
      <c r="AC446" s="50" t="n"/>
      <c r="AD446" s="43">
        <f>IF(Z446&lt;&gt;"",Z446,N(V446))</f>
        <v/>
      </c>
      <c r="AE446" s="43">
        <f>IF(AA446&lt;&gt;"",AA446,N(W446))</f>
        <v/>
      </c>
      <c r="AF446" s="43">
        <f>AD446+AE446</f>
        <v/>
      </c>
      <c r="AG446" s="42">
        <f>IF(UPPER(AC446)="Y",1,IF(AF446=0,0,IF(AND(Z446="",Y446&lt;&gt;""),IF(Y446&gt;=0.999,1,0),IF(AF446&gt;=U446,1,0))))</f>
        <v/>
      </c>
      <c r="AH446" s="44">
        <f>IF(AF446&gt;0,(AD446-AE446)/AF446,"")</f>
        <v/>
      </c>
      <c r="AI446" s="45">
        <f>IF(AG446=1,AH446-O446,"")</f>
        <v/>
      </c>
      <c r="AJ446" s="44">
        <f>IF(AG446=1,AH446,MAX(-1,MIN(1,O446+INDEX(Types!$H:$H,MATCH($A446&amp;"|"&amp;$D446,Types!$A:$A,0)))))</f>
        <v/>
      </c>
      <c r="AK446" s="43">
        <f>IF(AG446=1,AF446,MAX(AQ446*AS446,AF446))</f>
        <v/>
      </c>
      <c r="AL446" s="43">
        <f>IF(AG446=1,AD446,AK446*(1+AJ446)/2)</f>
        <v/>
      </c>
      <c r="AM446" s="43">
        <f>IF(AG446=1,AE446,AK446*(1-AJ446)/2)</f>
        <v/>
      </c>
      <c r="AN446" s="45">
        <f>IF(AH446="","",AH446-T446)</f>
        <v/>
      </c>
      <c r="AO446" s="51">
        <f>IF(AG446=1,1,IF(U446&gt;0,MIN(AF446/U446,0.99),0))</f>
        <v/>
      </c>
      <c r="AP446" s="43">
        <f>IF(AG446=1,AI446*AF446,0)</f>
        <v/>
      </c>
      <c r="AQ446" s="43">
        <f>N446*(F446+G446)/H446</f>
        <v/>
      </c>
      <c r="AR446" s="43">
        <f>O446*AQ446</f>
        <v/>
      </c>
      <c r="AS446" s="52">
        <f>IF(AG446=1,IF(AQ446&gt;0,AF446/AQ446,1),IFERROR(INDEX(Types!$K:$K,MATCH($A446&amp;"|"&amp;$D446,Types!$A:$A,0)),INDEX(Dashboard!$X$6:$X$22,MATCH($A446,Dashboard!$A$6:$A$22,0))))</f>
        <v/>
      </c>
      <c r="AT446" s="43">
        <f>AQ446*INDEX(Dashboard!$Y$6:$Y$22,MATCH($A446,Dashboard!$A$6:$A$22,0))</f>
        <v/>
      </c>
      <c r="AU446" s="53">
        <f>IF(AND(AG446=1,AT446&gt;0,AF446&gt;0),100*AF446/AT446,"")</f>
        <v/>
      </c>
      <c r="AV446" s="44">
        <f>IF(AU446="","",T446/(AU446/100))</f>
        <v/>
      </c>
      <c r="AW446" s="53">
        <f>IF(AU446="","",IF(AND(ABS(AH446)&gt;=0.1,ABS(T446)&gt;=0.05,SIGN(AH446)=SIGN(T446)),100*T446/AH446,""))</f>
        <v/>
      </c>
      <c r="AX446" s="45">
        <f>IF(AU446="","",T446-AV446)</f>
        <v/>
      </c>
      <c r="AY446" s="45">
        <f>IF(AU446="","",AH446-AV446)</f>
        <v/>
      </c>
      <c r="AZ446" s="54">
        <f>(AL446-AM446)-T446*AT446</f>
        <v/>
      </c>
      <c r="BA446" s="43">
        <f>IF(AU446="",0,(AH446-T446)*AF446)</f>
        <v/>
      </c>
      <c r="BB446" s="43">
        <f>IF(AU446="",0,T446*(AF446-AT446))</f>
        <v/>
      </c>
      <c r="BC446" s="51" t="n">
        <v>0.005569953196921054</v>
      </c>
      <c r="BD446" s="51" t="n">
        <v>0.02320813832050439</v>
      </c>
      <c r="BE446" s="51" t="n">
        <v>0.1544617637828225</v>
      </c>
      <c r="BF446" s="43" t="n">
        <v>25853</v>
      </c>
    </row>
    <row r="447">
      <c r="A447" s="42" t="inlineStr">
        <is>
          <t>MI</t>
        </is>
      </c>
      <c r="B447" s="42" t="inlineStr">
        <is>
          <t>26053</t>
        </is>
      </c>
      <c r="C447" s="42" t="inlineStr">
        <is>
          <t>Gogebic</t>
        </is>
      </c>
      <c r="D447" s="42" t="inlineStr">
        <is>
          <t>Small town &amp; rural</t>
        </is>
      </c>
      <c r="E447" s="42" t="inlineStr"/>
      <c r="F447" s="43" t="n">
        <v>3385</v>
      </c>
      <c r="G447" s="43" t="n">
        <v>4803</v>
      </c>
      <c r="H447" s="43" t="n">
        <v>8292</v>
      </c>
      <c r="I447" s="43" t="n">
        <v>3570</v>
      </c>
      <c r="J447" s="43" t="n">
        <v>4600</v>
      </c>
      <c r="K447" s="42" t="inlineStr">
        <is>
          <t>Governor</t>
        </is>
      </c>
      <c r="L447" s="43" t="n">
        <v>2940</v>
      </c>
      <c r="M447" s="43" t="n">
        <v>3413</v>
      </c>
      <c r="N447" s="43" t="n">
        <v>6469</v>
      </c>
      <c r="O447" s="44">
        <f>IFERROR((F447-G447)/(F447+G447),"")</f>
        <v/>
      </c>
      <c r="P447" s="44">
        <f>IFERROR((I447-J447)/(I447+J447),"")</f>
        <v/>
      </c>
      <c r="Q447" s="45">
        <f>IFERROR(O447-P447,"")</f>
        <v/>
      </c>
      <c r="R447" s="44">
        <f>IFERROR((L447-M447)/(L447+M447),"")</f>
        <v/>
      </c>
      <c r="S447" s="46">
        <f>H447/SUMIFS(Counties!$H$2:$H$1583,Counties!$A$2:$A$1583,$A447)</f>
        <v/>
      </c>
      <c r="T447" s="44">
        <f>O447+INDEX(Dashboard!$F$6:$F$22,MATCH($A447,Dashboard!$A$6:$A$22,0))</f>
        <v/>
      </c>
      <c r="U447" s="43">
        <f>AQ447*INDEX(Dashboard!$G$6:$G$22,MATCH($A447,Dashboard!$A$6:$A$22,0))</f>
        <v/>
      </c>
      <c r="V447" s="47" t="n"/>
      <c r="W447" s="47" t="n"/>
      <c r="X447" s="47" t="n"/>
      <c r="Y447" s="48" t="n"/>
      <c r="Z447" s="49" t="n"/>
      <c r="AA447" s="49" t="n"/>
      <c r="AB447" s="49" t="n"/>
      <c r="AC447" s="50" t="n"/>
      <c r="AD447" s="43">
        <f>IF(Z447&lt;&gt;"",Z447,N(V447))</f>
        <v/>
      </c>
      <c r="AE447" s="43">
        <f>IF(AA447&lt;&gt;"",AA447,N(W447))</f>
        <v/>
      </c>
      <c r="AF447" s="43">
        <f>AD447+AE447</f>
        <v/>
      </c>
      <c r="AG447" s="42">
        <f>IF(UPPER(AC447)="Y",1,IF(AF447=0,0,IF(AND(Z447="",Y447&lt;&gt;""),IF(Y447&gt;=0.999,1,0),IF(AF447&gt;=U447,1,0))))</f>
        <v/>
      </c>
      <c r="AH447" s="44">
        <f>IF(AF447&gt;0,(AD447-AE447)/AF447,"")</f>
        <v/>
      </c>
      <c r="AI447" s="45">
        <f>IF(AG447=1,AH447-O447,"")</f>
        <v/>
      </c>
      <c r="AJ447" s="44">
        <f>IF(AG447=1,AH447,MAX(-1,MIN(1,O447+INDEX(Types!$H:$H,MATCH($A447&amp;"|"&amp;$D447,Types!$A:$A,0)))))</f>
        <v/>
      </c>
      <c r="AK447" s="43">
        <f>IF(AG447=1,AF447,MAX(AQ447*AS447,AF447))</f>
        <v/>
      </c>
      <c r="AL447" s="43">
        <f>IF(AG447=1,AD447,AK447*(1+AJ447)/2)</f>
        <v/>
      </c>
      <c r="AM447" s="43">
        <f>IF(AG447=1,AE447,AK447*(1-AJ447)/2)</f>
        <v/>
      </c>
      <c r="AN447" s="45">
        <f>IF(AH447="","",AH447-T447)</f>
        <v/>
      </c>
      <c r="AO447" s="51">
        <f>IF(AG447=1,1,IF(U447&gt;0,MIN(AF447/U447,0.99),0))</f>
        <v/>
      </c>
      <c r="AP447" s="43">
        <f>IF(AG447=1,AI447*AF447,0)</f>
        <v/>
      </c>
      <c r="AQ447" s="43">
        <f>N447*(F447+G447)/H447</f>
        <v/>
      </c>
      <c r="AR447" s="43">
        <f>O447*AQ447</f>
        <v/>
      </c>
      <c r="AS447" s="52">
        <f>IF(AG447=1,IF(AQ447&gt;0,AF447/AQ447,1),IFERROR(INDEX(Types!$K:$K,MATCH($A447&amp;"|"&amp;$D447,Types!$A:$A,0)),INDEX(Dashboard!$X$6:$X$22,MATCH($A447,Dashboard!$A$6:$A$22,0))))</f>
        <v/>
      </c>
      <c r="AT447" s="43">
        <f>AQ447*INDEX(Dashboard!$Y$6:$Y$22,MATCH($A447,Dashboard!$A$6:$A$22,0))</f>
        <v/>
      </c>
      <c r="AU447" s="53">
        <f>IF(AND(AG447=1,AT447&gt;0,AF447&gt;0),100*AF447/AT447,"")</f>
        <v/>
      </c>
      <c r="AV447" s="44">
        <f>IF(AU447="","",T447/(AU447/100))</f>
        <v/>
      </c>
      <c r="AW447" s="53">
        <f>IF(AU447="","",IF(AND(ABS(AH447)&gt;=0.1,ABS(T447)&gt;=0.05,SIGN(AH447)=SIGN(T447)),100*T447/AH447,""))</f>
        <v/>
      </c>
      <c r="AX447" s="45">
        <f>IF(AU447="","",T447-AV447)</f>
        <v/>
      </c>
      <c r="AY447" s="45">
        <f>IF(AU447="","",AH447-AV447)</f>
        <v/>
      </c>
      <c r="AZ447" s="54">
        <f>(AL447-AM447)-T447*AT447</f>
        <v/>
      </c>
      <c r="BA447" s="43">
        <f>IF(AU447="",0,(AH447-T447)*AF447)</f>
        <v/>
      </c>
      <c r="BB447" s="43">
        <f>IF(AU447="",0,T447*(AF447-AT447))</f>
        <v/>
      </c>
      <c r="BC447" s="51" t="n">
        <v>0.007874015748031496</v>
      </c>
      <c r="BD447" s="51" t="n">
        <v>0.02088020247469066</v>
      </c>
      <c r="BE447" s="51" t="n">
        <v>0.2190790647867214</v>
      </c>
      <c r="BF447" s="43" t="n">
        <v>14224</v>
      </c>
    </row>
    <row r="448">
      <c r="A448" s="42" t="inlineStr">
        <is>
          <t>MI</t>
        </is>
      </c>
      <c r="B448" s="42" t="inlineStr">
        <is>
          <t>26055</t>
        </is>
      </c>
      <c r="C448" s="42" t="inlineStr">
        <is>
          <t>Grand Traverse</t>
        </is>
      </c>
      <c r="D448" s="42" t="inlineStr">
        <is>
          <t>Small town &amp; rural</t>
        </is>
      </c>
      <c r="E448" s="42" t="inlineStr"/>
      <c r="F448" s="43" t="n">
        <v>30339</v>
      </c>
      <c r="G448" s="43" t="n">
        <v>31423</v>
      </c>
      <c r="H448" s="43" t="n">
        <v>62760</v>
      </c>
      <c r="I448" s="43" t="n">
        <v>28683</v>
      </c>
      <c r="J448" s="43" t="n">
        <v>30502</v>
      </c>
      <c r="K448" s="42" t="inlineStr">
        <is>
          <t>Governor</t>
        </is>
      </c>
      <c r="L448" s="43" t="n">
        <v>27396</v>
      </c>
      <c r="M448" s="43" t="n">
        <v>24005</v>
      </c>
      <c r="N448" s="43" t="n">
        <v>52301</v>
      </c>
      <c r="O448" s="44">
        <f>IFERROR((F448-G448)/(F448+G448),"")</f>
        <v/>
      </c>
      <c r="P448" s="44">
        <f>IFERROR((I448-J448)/(I448+J448),"")</f>
        <v/>
      </c>
      <c r="Q448" s="45">
        <f>IFERROR(O448-P448,"")</f>
        <v/>
      </c>
      <c r="R448" s="44">
        <f>IFERROR((L448-M448)/(L448+M448),"")</f>
        <v/>
      </c>
      <c r="S448" s="46">
        <f>H448/SUMIFS(Counties!$H$2:$H$1583,Counties!$A$2:$A$1583,$A448)</f>
        <v/>
      </c>
      <c r="T448" s="44">
        <f>O448+INDEX(Dashboard!$F$6:$F$22,MATCH($A448,Dashboard!$A$6:$A$22,0))</f>
        <v/>
      </c>
      <c r="U448" s="43">
        <f>AQ448*INDEX(Dashboard!$G$6:$G$22,MATCH($A448,Dashboard!$A$6:$A$22,0))</f>
        <v/>
      </c>
      <c r="V448" s="47" t="n"/>
      <c r="W448" s="47" t="n"/>
      <c r="X448" s="47" t="n"/>
      <c r="Y448" s="48" t="n"/>
      <c r="Z448" s="49" t="n"/>
      <c r="AA448" s="49" t="n"/>
      <c r="AB448" s="49" t="n"/>
      <c r="AC448" s="50" t="n"/>
      <c r="AD448" s="43">
        <f>IF(Z448&lt;&gt;"",Z448,N(V448))</f>
        <v/>
      </c>
      <c r="AE448" s="43">
        <f>IF(AA448&lt;&gt;"",AA448,N(W448))</f>
        <v/>
      </c>
      <c r="AF448" s="43">
        <f>AD448+AE448</f>
        <v/>
      </c>
      <c r="AG448" s="42">
        <f>IF(UPPER(AC448)="Y",1,IF(AF448=0,0,IF(AND(Z448="",Y448&lt;&gt;""),IF(Y448&gt;=0.999,1,0),IF(AF448&gt;=U448,1,0))))</f>
        <v/>
      </c>
      <c r="AH448" s="44">
        <f>IF(AF448&gt;0,(AD448-AE448)/AF448,"")</f>
        <v/>
      </c>
      <c r="AI448" s="45">
        <f>IF(AG448=1,AH448-O448,"")</f>
        <v/>
      </c>
      <c r="AJ448" s="44">
        <f>IF(AG448=1,AH448,MAX(-1,MIN(1,O448+INDEX(Types!$H:$H,MATCH($A448&amp;"|"&amp;$D448,Types!$A:$A,0)))))</f>
        <v/>
      </c>
      <c r="AK448" s="43">
        <f>IF(AG448=1,AF448,MAX(AQ448*AS448,AF448))</f>
        <v/>
      </c>
      <c r="AL448" s="43">
        <f>IF(AG448=1,AD448,AK448*(1+AJ448)/2)</f>
        <v/>
      </c>
      <c r="AM448" s="43">
        <f>IF(AG448=1,AE448,AK448*(1-AJ448)/2)</f>
        <v/>
      </c>
      <c r="AN448" s="45">
        <f>IF(AH448="","",AH448-T448)</f>
        <v/>
      </c>
      <c r="AO448" s="51">
        <f>IF(AG448=1,1,IF(U448&gt;0,MIN(AF448/U448,0.99),0))</f>
        <v/>
      </c>
      <c r="AP448" s="43">
        <f>IF(AG448=1,AI448*AF448,0)</f>
        <v/>
      </c>
      <c r="AQ448" s="43">
        <f>N448*(F448+G448)/H448</f>
        <v/>
      </c>
      <c r="AR448" s="43">
        <f>O448*AQ448</f>
        <v/>
      </c>
      <c r="AS448" s="52">
        <f>IF(AG448=1,IF(AQ448&gt;0,AF448/AQ448,1),IFERROR(INDEX(Types!$K:$K,MATCH($A448&amp;"|"&amp;$D448,Types!$A:$A,0)),INDEX(Dashboard!$X$6:$X$22,MATCH($A448,Dashboard!$A$6:$A$22,0))))</f>
        <v/>
      </c>
      <c r="AT448" s="43">
        <f>AQ448*INDEX(Dashboard!$Y$6:$Y$22,MATCH($A448,Dashboard!$A$6:$A$22,0))</f>
        <v/>
      </c>
      <c r="AU448" s="53">
        <f>IF(AND(AG448=1,AT448&gt;0,AF448&gt;0),100*AF448/AT448,"")</f>
        <v/>
      </c>
      <c r="AV448" s="44">
        <f>IF(AU448="","",T448/(AU448/100))</f>
        <v/>
      </c>
      <c r="AW448" s="53">
        <f>IF(AU448="","",IF(AND(ABS(AH448)&gt;=0.1,ABS(T448)&gt;=0.05,SIGN(AH448)=SIGN(T448)),100*T448/AH448,""))</f>
        <v/>
      </c>
      <c r="AX448" s="45">
        <f>IF(AU448="","",T448-AV448)</f>
        <v/>
      </c>
      <c r="AY448" s="45">
        <f>IF(AU448="","",AH448-AV448)</f>
        <v/>
      </c>
      <c r="AZ448" s="54">
        <f>(AL448-AM448)-T448*AT448</f>
        <v/>
      </c>
      <c r="BA448" s="43">
        <f>IF(AU448="",0,(AH448-T448)*AF448)</f>
        <v/>
      </c>
      <c r="BB448" s="43">
        <f>IF(AU448="",0,T448*(AF448-AT448))</f>
        <v/>
      </c>
      <c r="BC448" s="51" t="n">
        <v>0.008317690129743521</v>
      </c>
      <c r="BD448" s="51" t="n">
        <v>0.03458790097592848</v>
      </c>
      <c r="BE448" s="51" t="n">
        <v>0.4026393172201104</v>
      </c>
      <c r="BF448" s="43" t="n">
        <v>96421</v>
      </c>
    </row>
    <row r="449">
      <c r="A449" s="42" t="inlineStr">
        <is>
          <t>MI</t>
        </is>
      </c>
      <c r="B449" s="42" t="inlineStr">
        <is>
          <t>26057</t>
        </is>
      </c>
      <c r="C449" s="42" t="inlineStr">
        <is>
          <t>Gratiot</t>
        </is>
      </c>
      <c r="D449" s="42" t="inlineStr">
        <is>
          <t>Small town &amp; rural</t>
        </is>
      </c>
      <c r="E449" s="42" t="inlineStr"/>
      <c r="F449" s="43" t="n">
        <v>6682</v>
      </c>
      <c r="G449" s="43" t="n">
        <v>12894</v>
      </c>
      <c r="H449" s="43" t="n">
        <v>19848</v>
      </c>
      <c r="I449" s="43" t="n">
        <v>6693</v>
      </c>
      <c r="J449" s="43" t="n">
        <v>12102</v>
      </c>
      <c r="K449" s="42" t="inlineStr">
        <is>
          <t>Governor</t>
        </is>
      </c>
      <c r="L449" s="43" t="n">
        <v>6385</v>
      </c>
      <c r="M449" s="43" t="n">
        <v>8659</v>
      </c>
      <c r="N449" s="43" t="n">
        <v>15436</v>
      </c>
      <c r="O449" s="44">
        <f>IFERROR((F449-G449)/(F449+G449),"")</f>
        <v/>
      </c>
      <c r="P449" s="44">
        <f>IFERROR((I449-J449)/(I449+J449),"")</f>
        <v/>
      </c>
      <c r="Q449" s="45">
        <f>IFERROR(O449-P449,"")</f>
        <v/>
      </c>
      <c r="R449" s="44">
        <f>IFERROR((L449-M449)/(L449+M449),"")</f>
        <v/>
      </c>
      <c r="S449" s="46">
        <f>H449/SUMIFS(Counties!$H$2:$H$1583,Counties!$A$2:$A$1583,$A449)</f>
        <v/>
      </c>
      <c r="T449" s="44">
        <f>O449+INDEX(Dashboard!$F$6:$F$22,MATCH($A449,Dashboard!$A$6:$A$22,0))</f>
        <v/>
      </c>
      <c r="U449" s="43">
        <f>AQ449*INDEX(Dashboard!$G$6:$G$22,MATCH($A449,Dashboard!$A$6:$A$22,0))</f>
        <v/>
      </c>
      <c r="V449" s="47" t="n"/>
      <c r="W449" s="47" t="n"/>
      <c r="X449" s="47" t="n"/>
      <c r="Y449" s="48" t="n"/>
      <c r="Z449" s="49" t="n"/>
      <c r="AA449" s="49" t="n"/>
      <c r="AB449" s="49" t="n"/>
      <c r="AC449" s="50" t="n"/>
      <c r="AD449" s="43">
        <f>IF(Z449&lt;&gt;"",Z449,N(V449))</f>
        <v/>
      </c>
      <c r="AE449" s="43">
        <f>IF(AA449&lt;&gt;"",AA449,N(W449))</f>
        <v/>
      </c>
      <c r="AF449" s="43">
        <f>AD449+AE449</f>
        <v/>
      </c>
      <c r="AG449" s="42">
        <f>IF(UPPER(AC449)="Y",1,IF(AF449=0,0,IF(AND(Z449="",Y449&lt;&gt;""),IF(Y449&gt;=0.999,1,0),IF(AF449&gt;=U449,1,0))))</f>
        <v/>
      </c>
      <c r="AH449" s="44">
        <f>IF(AF449&gt;0,(AD449-AE449)/AF449,"")</f>
        <v/>
      </c>
      <c r="AI449" s="45">
        <f>IF(AG449=1,AH449-O449,"")</f>
        <v/>
      </c>
      <c r="AJ449" s="44">
        <f>IF(AG449=1,AH449,MAX(-1,MIN(1,O449+INDEX(Types!$H:$H,MATCH($A449&amp;"|"&amp;$D449,Types!$A:$A,0)))))</f>
        <v/>
      </c>
      <c r="AK449" s="43">
        <f>IF(AG449=1,AF449,MAX(AQ449*AS449,AF449))</f>
        <v/>
      </c>
      <c r="AL449" s="43">
        <f>IF(AG449=1,AD449,AK449*(1+AJ449)/2)</f>
        <v/>
      </c>
      <c r="AM449" s="43">
        <f>IF(AG449=1,AE449,AK449*(1-AJ449)/2)</f>
        <v/>
      </c>
      <c r="AN449" s="45">
        <f>IF(AH449="","",AH449-T449)</f>
        <v/>
      </c>
      <c r="AO449" s="51">
        <f>IF(AG449=1,1,IF(U449&gt;0,MIN(AF449/U449,0.99),0))</f>
        <v/>
      </c>
      <c r="AP449" s="43">
        <f>IF(AG449=1,AI449*AF449,0)</f>
        <v/>
      </c>
      <c r="AQ449" s="43">
        <f>N449*(F449+G449)/H449</f>
        <v/>
      </c>
      <c r="AR449" s="43">
        <f>O449*AQ449</f>
        <v/>
      </c>
      <c r="AS449" s="52">
        <f>IF(AG449=1,IF(AQ449&gt;0,AF449/AQ449,1),IFERROR(INDEX(Types!$K:$K,MATCH($A449&amp;"|"&amp;$D449,Types!$A:$A,0)),INDEX(Dashboard!$X$6:$X$22,MATCH($A449,Dashboard!$A$6:$A$22,0))))</f>
        <v/>
      </c>
      <c r="AT449" s="43">
        <f>AQ449*INDEX(Dashboard!$Y$6:$Y$22,MATCH($A449,Dashboard!$A$6:$A$22,0))</f>
        <v/>
      </c>
      <c r="AU449" s="53">
        <f>IF(AND(AG449=1,AT449&gt;0,AF449&gt;0),100*AF449/AT449,"")</f>
        <v/>
      </c>
      <c r="AV449" s="44">
        <f>IF(AU449="","",T449/(AU449/100))</f>
        <v/>
      </c>
      <c r="AW449" s="53">
        <f>IF(AU449="","",IF(AND(ABS(AH449)&gt;=0.1,ABS(T449)&gt;=0.05,SIGN(AH449)=SIGN(T449)),100*T449/AH449,""))</f>
        <v/>
      </c>
      <c r="AX449" s="45">
        <f>IF(AU449="","",T449-AV449)</f>
        <v/>
      </c>
      <c r="AY449" s="45">
        <f>IF(AU449="","",AH449-AV449)</f>
        <v/>
      </c>
      <c r="AZ449" s="54">
        <f>(AL449-AM449)-T449*AT449</f>
        <v/>
      </c>
      <c r="BA449" s="43">
        <f>IF(AU449="",0,(AH449-T449)*AF449)</f>
        <v/>
      </c>
      <c r="BB449" s="43">
        <f>IF(AU449="",0,T449*(AF449-AT449))</f>
        <v/>
      </c>
      <c r="BC449" s="51" t="n">
        <v>0.06243956681492941</v>
      </c>
      <c r="BD449" s="51" t="n">
        <v>0.07716109069812416</v>
      </c>
      <c r="BE449" s="51" t="n">
        <v>0.1901941543421883</v>
      </c>
      <c r="BF449" s="43" t="n">
        <v>41368</v>
      </c>
    </row>
    <row r="450">
      <c r="A450" s="42" t="inlineStr">
        <is>
          <t>MI</t>
        </is>
      </c>
      <c r="B450" s="42" t="inlineStr">
        <is>
          <t>26059</t>
        </is>
      </c>
      <c r="C450" s="42" t="inlineStr">
        <is>
          <t>Hillsdale</t>
        </is>
      </c>
      <c r="D450" s="42" t="inlineStr">
        <is>
          <t>Small town &amp; rural</t>
        </is>
      </c>
      <c r="E450" s="42" t="inlineStr"/>
      <c r="F450" s="43" t="n">
        <v>5875</v>
      </c>
      <c r="G450" s="43" t="n">
        <v>18631</v>
      </c>
      <c r="H450" s="43" t="n">
        <v>24813</v>
      </c>
      <c r="I450" s="43" t="n">
        <v>5883</v>
      </c>
      <c r="J450" s="43" t="n">
        <v>17037</v>
      </c>
      <c r="K450" s="42" t="inlineStr">
        <is>
          <t>Governor</t>
        </is>
      </c>
      <c r="L450" s="43" t="n">
        <v>5575</v>
      </c>
      <c r="M450" s="43" t="n">
        <v>12644</v>
      </c>
      <c r="N450" s="43" t="n">
        <v>18650</v>
      </c>
      <c r="O450" s="44">
        <f>IFERROR((F450-G450)/(F450+G450),"")</f>
        <v/>
      </c>
      <c r="P450" s="44">
        <f>IFERROR((I450-J450)/(I450+J450),"")</f>
        <v/>
      </c>
      <c r="Q450" s="45">
        <f>IFERROR(O450-P450,"")</f>
        <v/>
      </c>
      <c r="R450" s="44">
        <f>IFERROR((L450-M450)/(L450+M450),"")</f>
        <v/>
      </c>
      <c r="S450" s="46">
        <f>H450/SUMIFS(Counties!$H$2:$H$1583,Counties!$A$2:$A$1583,$A450)</f>
        <v/>
      </c>
      <c r="T450" s="44">
        <f>O450+INDEX(Dashboard!$F$6:$F$22,MATCH($A450,Dashboard!$A$6:$A$22,0))</f>
        <v/>
      </c>
      <c r="U450" s="43">
        <f>AQ450*INDEX(Dashboard!$G$6:$G$22,MATCH($A450,Dashboard!$A$6:$A$22,0))</f>
        <v/>
      </c>
      <c r="V450" s="47" t="n"/>
      <c r="W450" s="47" t="n"/>
      <c r="X450" s="47" t="n"/>
      <c r="Y450" s="48" t="n"/>
      <c r="Z450" s="49" t="n"/>
      <c r="AA450" s="49" t="n"/>
      <c r="AB450" s="49" t="n"/>
      <c r="AC450" s="50" t="n"/>
      <c r="AD450" s="43">
        <f>IF(Z450&lt;&gt;"",Z450,N(V450))</f>
        <v/>
      </c>
      <c r="AE450" s="43">
        <f>IF(AA450&lt;&gt;"",AA450,N(W450))</f>
        <v/>
      </c>
      <c r="AF450" s="43">
        <f>AD450+AE450</f>
        <v/>
      </c>
      <c r="AG450" s="42">
        <f>IF(UPPER(AC450)="Y",1,IF(AF450=0,0,IF(AND(Z450="",Y450&lt;&gt;""),IF(Y450&gt;=0.999,1,0),IF(AF450&gt;=U450,1,0))))</f>
        <v/>
      </c>
      <c r="AH450" s="44">
        <f>IF(AF450&gt;0,(AD450-AE450)/AF450,"")</f>
        <v/>
      </c>
      <c r="AI450" s="45">
        <f>IF(AG450=1,AH450-O450,"")</f>
        <v/>
      </c>
      <c r="AJ450" s="44">
        <f>IF(AG450=1,AH450,MAX(-1,MIN(1,O450+INDEX(Types!$H:$H,MATCH($A450&amp;"|"&amp;$D450,Types!$A:$A,0)))))</f>
        <v/>
      </c>
      <c r="AK450" s="43">
        <f>IF(AG450=1,AF450,MAX(AQ450*AS450,AF450))</f>
        <v/>
      </c>
      <c r="AL450" s="43">
        <f>IF(AG450=1,AD450,AK450*(1+AJ450)/2)</f>
        <v/>
      </c>
      <c r="AM450" s="43">
        <f>IF(AG450=1,AE450,AK450*(1-AJ450)/2)</f>
        <v/>
      </c>
      <c r="AN450" s="45">
        <f>IF(AH450="","",AH450-T450)</f>
        <v/>
      </c>
      <c r="AO450" s="51">
        <f>IF(AG450=1,1,IF(U450&gt;0,MIN(AF450/U450,0.99),0))</f>
        <v/>
      </c>
      <c r="AP450" s="43">
        <f>IF(AG450=1,AI450*AF450,0)</f>
        <v/>
      </c>
      <c r="AQ450" s="43">
        <f>N450*(F450+G450)/H450</f>
        <v/>
      </c>
      <c r="AR450" s="43">
        <f>O450*AQ450</f>
        <v/>
      </c>
      <c r="AS450" s="52">
        <f>IF(AG450=1,IF(AQ450&gt;0,AF450/AQ450,1),IFERROR(INDEX(Types!$K:$K,MATCH($A450&amp;"|"&amp;$D450,Types!$A:$A,0)),INDEX(Dashboard!$X$6:$X$22,MATCH($A450,Dashboard!$A$6:$A$22,0))))</f>
        <v/>
      </c>
      <c r="AT450" s="43">
        <f>AQ450*INDEX(Dashboard!$Y$6:$Y$22,MATCH($A450,Dashboard!$A$6:$A$22,0))</f>
        <v/>
      </c>
      <c r="AU450" s="53">
        <f>IF(AND(AG450=1,AT450&gt;0,AF450&gt;0),100*AF450/AT450,"")</f>
        <v/>
      </c>
      <c r="AV450" s="44">
        <f>IF(AU450="","",T450/(AU450/100))</f>
        <v/>
      </c>
      <c r="AW450" s="53">
        <f>IF(AU450="","",IF(AND(ABS(AH450)&gt;=0.1,ABS(T450)&gt;=0.05,SIGN(AH450)=SIGN(T450)),100*T450/AH450,""))</f>
        <v/>
      </c>
      <c r="AX450" s="45">
        <f>IF(AU450="","",T450-AV450)</f>
        <v/>
      </c>
      <c r="AY450" s="45">
        <f>IF(AU450="","",AH450-AV450)</f>
        <v/>
      </c>
      <c r="AZ450" s="54">
        <f>(AL450-AM450)-T450*AT450</f>
        <v/>
      </c>
      <c r="BA450" s="43">
        <f>IF(AU450="",0,(AH450-T450)*AF450)</f>
        <v/>
      </c>
      <c r="BB450" s="43">
        <f>IF(AU450="",0,T450*(AF450-AT450))</f>
        <v/>
      </c>
      <c r="BC450" s="51" t="n">
        <v>0.006690503871717815</v>
      </c>
      <c r="BD450" s="51" t="n">
        <v>0.02910917586153947</v>
      </c>
      <c r="BE450" s="51" t="n">
        <v>0.2063033611578379</v>
      </c>
      <c r="BF450" s="43" t="n">
        <v>45587</v>
      </c>
    </row>
    <row r="451">
      <c r="A451" s="42" t="inlineStr">
        <is>
          <t>MI</t>
        </is>
      </c>
      <c r="B451" s="42" t="inlineStr">
        <is>
          <t>26061</t>
        </is>
      </c>
      <c r="C451" s="42" t="inlineStr">
        <is>
          <t>Houghton</t>
        </is>
      </c>
      <c r="D451" s="42" t="inlineStr">
        <is>
          <t>Small town &amp; rural</t>
        </is>
      </c>
      <c r="E451" s="42" t="inlineStr"/>
      <c r="F451" s="43" t="n">
        <v>7881</v>
      </c>
      <c r="G451" s="43" t="n">
        <v>11181</v>
      </c>
      <c r="H451" s="43" t="n">
        <v>19364</v>
      </c>
      <c r="I451" s="43" t="n">
        <v>7750</v>
      </c>
      <c r="J451" s="43" t="n">
        <v>10378</v>
      </c>
      <c r="K451" s="42" t="inlineStr">
        <is>
          <t>Governor</t>
        </is>
      </c>
      <c r="L451" s="43" t="n">
        <v>7030</v>
      </c>
      <c r="M451" s="43" t="n">
        <v>8128</v>
      </c>
      <c r="N451" s="43" t="n">
        <v>15480</v>
      </c>
      <c r="O451" s="44">
        <f>IFERROR((F451-G451)/(F451+G451),"")</f>
        <v/>
      </c>
      <c r="P451" s="44">
        <f>IFERROR((I451-J451)/(I451+J451),"")</f>
        <v/>
      </c>
      <c r="Q451" s="45">
        <f>IFERROR(O451-P451,"")</f>
        <v/>
      </c>
      <c r="R451" s="44">
        <f>IFERROR((L451-M451)/(L451+M451),"")</f>
        <v/>
      </c>
      <c r="S451" s="46">
        <f>H451/SUMIFS(Counties!$H$2:$H$1583,Counties!$A$2:$A$1583,$A451)</f>
        <v/>
      </c>
      <c r="T451" s="44">
        <f>O451+INDEX(Dashboard!$F$6:$F$22,MATCH($A451,Dashboard!$A$6:$A$22,0))</f>
        <v/>
      </c>
      <c r="U451" s="43">
        <f>AQ451*INDEX(Dashboard!$G$6:$G$22,MATCH($A451,Dashboard!$A$6:$A$22,0))</f>
        <v/>
      </c>
      <c r="V451" s="47" t="n"/>
      <c r="W451" s="47" t="n"/>
      <c r="X451" s="47" t="n"/>
      <c r="Y451" s="48" t="n"/>
      <c r="Z451" s="49" t="n"/>
      <c r="AA451" s="49" t="n"/>
      <c r="AB451" s="49" t="n"/>
      <c r="AC451" s="50" t="n"/>
      <c r="AD451" s="43">
        <f>IF(Z451&lt;&gt;"",Z451,N(V451))</f>
        <v/>
      </c>
      <c r="AE451" s="43">
        <f>IF(AA451&lt;&gt;"",AA451,N(W451))</f>
        <v/>
      </c>
      <c r="AF451" s="43">
        <f>AD451+AE451</f>
        <v/>
      </c>
      <c r="AG451" s="42">
        <f>IF(UPPER(AC451)="Y",1,IF(AF451=0,0,IF(AND(Z451="",Y451&lt;&gt;""),IF(Y451&gt;=0.999,1,0),IF(AF451&gt;=U451,1,0))))</f>
        <v/>
      </c>
      <c r="AH451" s="44">
        <f>IF(AF451&gt;0,(AD451-AE451)/AF451,"")</f>
        <v/>
      </c>
      <c r="AI451" s="45">
        <f>IF(AG451=1,AH451-O451,"")</f>
        <v/>
      </c>
      <c r="AJ451" s="44">
        <f>IF(AG451=1,AH451,MAX(-1,MIN(1,O451+INDEX(Types!$H:$H,MATCH($A451&amp;"|"&amp;$D451,Types!$A:$A,0)))))</f>
        <v/>
      </c>
      <c r="AK451" s="43">
        <f>IF(AG451=1,AF451,MAX(AQ451*AS451,AF451))</f>
        <v/>
      </c>
      <c r="AL451" s="43">
        <f>IF(AG451=1,AD451,AK451*(1+AJ451)/2)</f>
        <v/>
      </c>
      <c r="AM451" s="43">
        <f>IF(AG451=1,AE451,AK451*(1-AJ451)/2)</f>
        <v/>
      </c>
      <c r="AN451" s="45">
        <f>IF(AH451="","",AH451-T451)</f>
        <v/>
      </c>
      <c r="AO451" s="51">
        <f>IF(AG451=1,1,IF(U451&gt;0,MIN(AF451/U451,0.99),0))</f>
        <v/>
      </c>
      <c r="AP451" s="43">
        <f>IF(AG451=1,AI451*AF451,0)</f>
        <v/>
      </c>
      <c r="AQ451" s="43">
        <f>N451*(F451+G451)/H451</f>
        <v/>
      </c>
      <c r="AR451" s="43">
        <f>O451*AQ451</f>
        <v/>
      </c>
      <c r="AS451" s="52">
        <f>IF(AG451=1,IF(AQ451&gt;0,AF451/AQ451,1),IFERROR(INDEX(Types!$K:$K,MATCH($A451&amp;"|"&amp;$D451,Types!$A:$A,0)),INDEX(Dashboard!$X$6:$X$22,MATCH($A451,Dashboard!$A$6:$A$22,0))))</f>
        <v/>
      </c>
      <c r="AT451" s="43">
        <f>AQ451*INDEX(Dashboard!$Y$6:$Y$22,MATCH($A451,Dashboard!$A$6:$A$22,0))</f>
        <v/>
      </c>
      <c r="AU451" s="53">
        <f>IF(AND(AG451=1,AT451&gt;0,AF451&gt;0),100*AF451/AT451,"")</f>
        <v/>
      </c>
      <c r="AV451" s="44">
        <f>IF(AU451="","",T451/(AU451/100))</f>
        <v/>
      </c>
      <c r="AW451" s="53">
        <f>IF(AU451="","",IF(AND(ABS(AH451)&gt;=0.1,ABS(T451)&gt;=0.05,SIGN(AH451)=SIGN(T451)),100*T451/AH451,""))</f>
        <v/>
      </c>
      <c r="AX451" s="45">
        <f>IF(AU451="","",T451-AV451)</f>
        <v/>
      </c>
      <c r="AY451" s="45">
        <f>IF(AU451="","",AH451-AV451)</f>
        <v/>
      </c>
      <c r="AZ451" s="54">
        <f>(AL451-AM451)-T451*AT451</f>
        <v/>
      </c>
      <c r="BA451" s="43">
        <f>IF(AU451="",0,(AH451-T451)*AF451)</f>
        <v/>
      </c>
      <c r="BB451" s="43">
        <f>IF(AU451="",0,T451*(AF451-AT451))</f>
        <v/>
      </c>
      <c r="BC451" s="51" t="n">
        <v>0.01008005532062023</v>
      </c>
      <c r="BD451" s="51" t="n">
        <v>0.01880369158754222</v>
      </c>
      <c r="BE451" s="51" t="n">
        <v>0.3659758283167134</v>
      </c>
      <c r="BF451" s="43" t="n">
        <v>37599</v>
      </c>
    </row>
    <row r="452">
      <c r="A452" s="42" t="inlineStr">
        <is>
          <t>MI</t>
        </is>
      </c>
      <c r="B452" s="42" t="inlineStr">
        <is>
          <t>26063</t>
        </is>
      </c>
      <c r="C452" s="42" t="inlineStr">
        <is>
          <t>Huron</t>
        </is>
      </c>
      <c r="D452" s="42" t="inlineStr">
        <is>
          <t>Small town &amp; rural</t>
        </is>
      </c>
      <c r="E452" s="42" t="inlineStr"/>
      <c r="F452" s="43" t="n">
        <v>5522</v>
      </c>
      <c r="G452" s="43" t="n">
        <v>13224</v>
      </c>
      <c r="H452" s="43" t="n">
        <v>18969</v>
      </c>
      <c r="I452" s="43" t="n">
        <v>5490</v>
      </c>
      <c r="J452" s="43" t="n">
        <v>12731</v>
      </c>
      <c r="K452" s="42" t="inlineStr">
        <is>
          <t>Governor</t>
        </is>
      </c>
      <c r="L452" s="43" t="n">
        <v>5310</v>
      </c>
      <c r="M452" s="43" t="n">
        <v>9395</v>
      </c>
      <c r="N452" s="43" t="n">
        <v>15019</v>
      </c>
      <c r="O452" s="44">
        <f>IFERROR((F452-G452)/(F452+G452),"")</f>
        <v/>
      </c>
      <c r="P452" s="44">
        <f>IFERROR((I452-J452)/(I452+J452),"")</f>
        <v/>
      </c>
      <c r="Q452" s="45">
        <f>IFERROR(O452-P452,"")</f>
        <v/>
      </c>
      <c r="R452" s="44">
        <f>IFERROR((L452-M452)/(L452+M452),"")</f>
        <v/>
      </c>
      <c r="S452" s="46">
        <f>H452/SUMIFS(Counties!$H$2:$H$1583,Counties!$A$2:$A$1583,$A452)</f>
        <v/>
      </c>
      <c r="T452" s="44">
        <f>O452+INDEX(Dashboard!$F$6:$F$22,MATCH($A452,Dashboard!$A$6:$A$22,0))</f>
        <v/>
      </c>
      <c r="U452" s="43">
        <f>AQ452*INDEX(Dashboard!$G$6:$G$22,MATCH($A452,Dashboard!$A$6:$A$22,0))</f>
        <v/>
      </c>
      <c r="V452" s="47" t="n"/>
      <c r="W452" s="47" t="n"/>
      <c r="X452" s="47" t="n"/>
      <c r="Y452" s="48" t="n"/>
      <c r="Z452" s="49" t="n"/>
      <c r="AA452" s="49" t="n"/>
      <c r="AB452" s="49" t="n"/>
      <c r="AC452" s="50" t="n"/>
      <c r="AD452" s="43">
        <f>IF(Z452&lt;&gt;"",Z452,N(V452))</f>
        <v/>
      </c>
      <c r="AE452" s="43">
        <f>IF(AA452&lt;&gt;"",AA452,N(W452))</f>
        <v/>
      </c>
      <c r="AF452" s="43">
        <f>AD452+AE452</f>
        <v/>
      </c>
      <c r="AG452" s="42">
        <f>IF(UPPER(AC452)="Y",1,IF(AF452=0,0,IF(AND(Z452="",Y452&lt;&gt;""),IF(Y452&gt;=0.999,1,0),IF(AF452&gt;=U452,1,0))))</f>
        <v/>
      </c>
      <c r="AH452" s="44">
        <f>IF(AF452&gt;0,(AD452-AE452)/AF452,"")</f>
        <v/>
      </c>
      <c r="AI452" s="45">
        <f>IF(AG452=1,AH452-O452,"")</f>
        <v/>
      </c>
      <c r="AJ452" s="44">
        <f>IF(AG452=1,AH452,MAX(-1,MIN(1,O452+INDEX(Types!$H:$H,MATCH($A452&amp;"|"&amp;$D452,Types!$A:$A,0)))))</f>
        <v/>
      </c>
      <c r="AK452" s="43">
        <f>IF(AG452=1,AF452,MAX(AQ452*AS452,AF452))</f>
        <v/>
      </c>
      <c r="AL452" s="43">
        <f>IF(AG452=1,AD452,AK452*(1+AJ452)/2)</f>
        <v/>
      </c>
      <c r="AM452" s="43">
        <f>IF(AG452=1,AE452,AK452*(1-AJ452)/2)</f>
        <v/>
      </c>
      <c r="AN452" s="45">
        <f>IF(AH452="","",AH452-T452)</f>
        <v/>
      </c>
      <c r="AO452" s="51">
        <f>IF(AG452=1,1,IF(U452&gt;0,MIN(AF452/U452,0.99),0))</f>
        <v/>
      </c>
      <c r="AP452" s="43">
        <f>IF(AG452=1,AI452*AF452,0)</f>
        <v/>
      </c>
      <c r="AQ452" s="43">
        <f>N452*(F452+G452)/H452</f>
        <v/>
      </c>
      <c r="AR452" s="43">
        <f>O452*AQ452</f>
        <v/>
      </c>
      <c r="AS452" s="52">
        <f>IF(AG452=1,IF(AQ452&gt;0,AF452/AQ452,1),IFERROR(INDEX(Types!$K:$K,MATCH($A452&amp;"|"&amp;$D452,Types!$A:$A,0)),INDEX(Dashboard!$X$6:$X$22,MATCH($A452,Dashboard!$A$6:$A$22,0))))</f>
        <v/>
      </c>
      <c r="AT452" s="43">
        <f>AQ452*INDEX(Dashboard!$Y$6:$Y$22,MATCH($A452,Dashboard!$A$6:$A$22,0))</f>
        <v/>
      </c>
      <c r="AU452" s="53">
        <f>IF(AND(AG452=1,AT452&gt;0,AF452&gt;0),100*AF452/AT452,"")</f>
        <v/>
      </c>
      <c r="AV452" s="44">
        <f>IF(AU452="","",T452/(AU452/100))</f>
        <v/>
      </c>
      <c r="AW452" s="53">
        <f>IF(AU452="","",IF(AND(ABS(AH452)&gt;=0.1,ABS(T452)&gt;=0.05,SIGN(AH452)=SIGN(T452)),100*T452/AH452,""))</f>
        <v/>
      </c>
      <c r="AX452" s="45">
        <f>IF(AU452="","",T452-AV452)</f>
        <v/>
      </c>
      <c r="AY452" s="45">
        <f>IF(AU452="","",AH452-AV452)</f>
        <v/>
      </c>
      <c r="AZ452" s="54">
        <f>(AL452-AM452)-T452*AT452</f>
        <v/>
      </c>
      <c r="BA452" s="43">
        <f>IF(AU452="",0,(AH452-T452)*AF452)</f>
        <v/>
      </c>
      <c r="BB452" s="43">
        <f>IF(AU452="",0,T452*(AF452-AT452))</f>
        <v/>
      </c>
      <c r="BC452" s="51" t="n">
        <v>0.007275196430303619</v>
      </c>
      <c r="BD452" s="51" t="n">
        <v>0.02897144889578685</v>
      </c>
      <c r="BE452" s="51" t="n">
        <v>0.176203843662276</v>
      </c>
      <c r="BF452" s="43" t="n">
        <v>30927</v>
      </c>
    </row>
    <row r="453">
      <c r="A453" s="42" t="inlineStr">
        <is>
          <t>MI</t>
        </is>
      </c>
      <c r="B453" s="42" t="inlineStr">
        <is>
          <t>26065</t>
        </is>
      </c>
      <c r="C453" s="42" t="inlineStr">
        <is>
          <t>Ingham</t>
        </is>
      </c>
      <c r="D453" s="42" t="inlineStr">
        <is>
          <t>College suburb/metro</t>
        </is>
      </c>
      <c r="E453" s="42" t="inlineStr"/>
      <c r="F453" s="43" t="n">
        <v>94542</v>
      </c>
      <c r="G453" s="43" t="n">
        <v>50564</v>
      </c>
      <c r="H453" s="43" t="n">
        <v>148012</v>
      </c>
      <c r="I453" s="43" t="n">
        <v>94212</v>
      </c>
      <c r="J453" s="43" t="n">
        <v>47639</v>
      </c>
      <c r="K453" s="42" t="inlineStr">
        <is>
          <t>Governor</t>
        </is>
      </c>
      <c r="L453" s="43" t="n">
        <v>82408</v>
      </c>
      <c r="M453" s="43" t="n">
        <v>34869</v>
      </c>
      <c r="N453" s="43" t="n">
        <v>119041</v>
      </c>
      <c r="O453" s="44">
        <f>IFERROR((F453-G453)/(F453+G453),"")</f>
        <v/>
      </c>
      <c r="P453" s="44">
        <f>IFERROR((I453-J453)/(I453+J453),"")</f>
        <v/>
      </c>
      <c r="Q453" s="45">
        <f>IFERROR(O453-P453,"")</f>
        <v/>
      </c>
      <c r="R453" s="44">
        <f>IFERROR((L453-M453)/(L453+M453),"")</f>
        <v/>
      </c>
      <c r="S453" s="46">
        <f>H453/SUMIFS(Counties!$H$2:$H$1583,Counties!$A$2:$A$1583,$A453)</f>
        <v/>
      </c>
      <c r="T453" s="44">
        <f>O453+INDEX(Dashboard!$F$6:$F$22,MATCH($A453,Dashboard!$A$6:$A$22,0))</f>
        <v/>
      </c>
      <c r="U453" s="43">
        <f>AQ453*INDEX(Dashboard!$G$6:$G$22,MATCH($A453,Dashboard!$A$6:$A$22,0))</f>
        <v/>
      </c>
      <c r="V453" s="47" t="n"/>
      <c r="W453" s="47" t="n"/>
      <c r="X453" s="47" t="n"/>
      <c r="Y453" s="48" t="n"/>
      <c r="Z453" s="49" t="n"/>
      <c r="AA453" s="49" t="n"/>
      <c r="AB453" s="49" t="n"/>
      <c r="AC453" s="50" t="n"/>
      <c r="AD453" s="43">
        <f>IF(Z453&lt;&gt;"",Z453,N(V453))</f>
        <v/>
      </c>
      <c r="AE453" s="43">
        <f>IF(AA453&lt;&gt;"",AA453,N(W453))</f>
        <v/>
      </c>
      <c r="AF453" s="43">
        <f>AD453+AE453</f>
        <v/>
      </c>
      <c r="AG453" s="42">
        <f>IF(UPPER(AC453)="Y",1,IF(AF453=0,0,IF(AND(Z453="",Y453&lt;&gt;""),IF(Y453&gt;=0.999,1,0),IF(AF453&gt;=U453,1,0))))</f>
        <v/>
      </c>
      <c r="AH453" s="44">
        <f>IF(AF453&gt;0,(AD453-AE453)/AF453,"")</f>
        <v/>
      </c>
      <c r="AI453" s="45">
        <f>IF(AG453=1,AH453-O453,"")</f>
        <v/>
      </c>
      <c r="AJ453" s="44">
        <f>IF(AG453=1,AH453,MAX(-1,MIN(1,O453+INDEX(Types!$H:$H,MATCH($A453&amp;"|"&amp;$D453,Types!$A:$A,0)))))</f>
        <v/>
      </c>
      <c r="AK453" s="43">
        <f>IF(AG453=1,AF453,MAX(AQ453*AS453,AF453))</f>
        <v/>
      </c>
      <c r="AL453" s="43">
        <f>IF(AG453=1,AD453,AK453*(1+AJ453)/2)</f>
        <v/>
      </c>
      <c r="AM453" s="43">
        <f>IF(AG453=1,AE453,AK453*(1-AJ453)/2)</f>
        <v/>
      </c>
      <c r="AN453" s="45">
        <f>IF(AH453="","",AH453-T453)</f>
        <v/>
      </c>
      <c r="AO453" s="51">
        <f>IF(AG453=1,1,IF(U453&gt;0,MIN(AF453/U453,0.99),0))</f>
        <v/>
      </c>
      <c r="AP453" s="43">
        <f>IF(AG453=1,AI453*AF453,0)</f>
        <v/>
      </c>
      <c r="AQ453" s="43">
        <f>N453*(F453+G453)/H453</f>
        <v/>
      </c>
      <c r="AR453" s="43">
        <f>O453*AQ453</f>
        <v/>
      </c>
      <c r="AS453" s="52">
        <f>IF(AG453=1,IF(AQ453&gt;0,AF453/AQ453,1),IFERROR(INDEX(Types!$K:$K,MATCH($A453&amp;"|"&amp;$D453,Types!$A:$A,0)),INDEX(Dashboard!$X$6:$X$22,MATCH($A453,Dashboard!$A$6:$A$22,0))))</f>
        <v/>
      </c>
      <c r="AT453" s="43">
        <f>AQ453*INDEX(Dashboard!$Y$6:$Y$22,MATCH($A453,Dashboard!$A$6:$A$22,0))</f>
        <v/>
      </c>
      <c r="AU453" s="53">
        <f>IF(AND(AG453=1,AT453&gt;0,AF453&gt;0),100*AF453/AT453,"")</f>
        <v/>
      </c>
      <c r="AV453" s="44">
        <f>IF(AU453="","",T453/(AU453/100))</f>
        <v/>
      </c>
      <c r="AW453" s="53">
        <f>IF(AU453="","",IF(AND(ABS(AH453)&gt;=0.1,ABS(T453)&gt;=0.05,SIGN(AH453)=SIGN(T453)),100*T453/AH453,""))</f>
        <v/>
      </c>
      <c r="AX453" s="45">
        <f>IF(AU453="","",T453-AV453)</f>
        <v/>
      </c>
      <c r="AY453" s="45">
        <f>IF(AU453="","",AH453-AV453)</f>
        <v/>
      </c>
      <c r="AZ453" s="54">
        <f>(AL453-AM453)-T453*AT453</f>
        <v/>
      </c>
      <c r="BA453" s="43">
        <f>IF(AU453="",0,(AH453-T453)*AF453)</f>
        <v/>
      </c>
      <c r="BB453" s="43">
        <f>IF(AU453="",0,T453*(AF453-AT453))</f>
        <v/>
      </c>
      <c r="BC453" s="51" t="n">
        <v>0.1173318999286811</v>
      </c>
      <c r="BD453" s="51" t="n">
        <v>0.08733579963251439</v>
      </c>
      <c r="BE453" s="51" t="n">
        <v>0.4125294427039264</v>
      </c>
      <c r="BF453" s="43" t="n">
        <v>284637</v>
      </c>
    </row>
    <row r="454">
      <c r="A454" s="42" t="inlineStr">
        <is>
          <t>MI</t>
        </is>
      </c>
      <c r="B454" s="42" t="inlineStr">
        <is>
          <t>26067</t>
        </is>
      </c>
      <c r="C454" s="42" t="inlineStr">
        <is>
          <t>Ionia</t>
        </is>
      </c>
      <c r="D454" s="42" t="inlineStr">
        <is>
          <t>Small town &amp; rural</t>
        </is>
      </c>
      <c r="E454" s="42" t="inlineStr"/>
      <c r="F454" s="43" t="n">
        <v>11338</v>
      </c>
      <c r="G454" s="43" t="n">
        <v>22179</v>
      </c>
      <c r="H454" s="43" t="n">
        <v>34013</v>
      </c>
      <c r="I454" s="43" t="n">
        <v>10901</v>
      </c>
      <c r="J454" s="43" t="n">
        <v>20657</v>
      </c>
      <c r="K454" s="42" t="inlineStr">
        <is>
          <t>Governor</t>
        </is>
      </c>
      <c r="L454" s="43" t="n">
        <v>10845</v>
      </c>
      <c r="M454" s="43" t="n">
        <v>15786</v>
      </c>
      <c r="N454" s="43" t="n">
        <v>27208</v>
      </c>
      <c r="O454" s="44">
        <f>IFERROR((F454-G454)/(F454+G454),"")</f>
        <v/>
      </c>
      <c r="P454" s="44">
        <f>IFERROR((I454-J454)/(I454+J454),"")</f>
        <v/>
      </c>
      <c r="Q454" s="45">
        <f>IFERROR(O454-P454,"")</f>
        <v/>
      </c>
      <c r="R454" s="44">
        <f>IFERROR((L454-M454)/(L454+M454),"")</f>
        <v/>
      </c>
      <c r="S454" s="46">
        <f>H454/SUMIFS(Counties!$H$2:$H$1583,Counties!$A$2:$A$1583,$A454)</f>
        <v/>
      </c>
      <c r="T454" s="44">
        <f>O454+INDEX(Dashboard!$F$6:$F$22,MATCH($A454,Dashboard!$A$6:$A$22,0))</f>
        <v/>
      </c>
      <c r="U454" s="43">
        <f>AQ454*INDEX(Dashboard!$G$6:$G$22,MATCH($A454,Dashboard!$A$6:$A$22,0))</f>
        <v/>
      </c>
      <c r="V454" s="47" t="n"/>
      <c r="W454" s="47" t="n"/>
      <c r="X454" s="47" t="n"/>
      <c r="Y454" s="48" t="n"/>
      <c r="Z454" s="49" t="n"/>
      <c r="AA454" s="49" t="n"/>
      <c r="AB454" s="49" t="n"/>
      <c r="AC454" s="50" t="n"/>
      <c r="AD454" s="43">
        <f>IF(Z454&lt;&gt;"",Z454,N(V454))</f>
        <v/>
      </c>
      <c r="AE454" s="43">
        <f>IF(AA454&lt;&gt;"",AA454,N(W454))</f>
        <v/>
      </c>
      <c r="AF454" s="43">
        <f>AD454+AE454</f>
        <v/>
      </c>
      <c r="AG454" s="42">
        <f>IF(UPPER(AC454)="Y",1,IF(AF454=0,0,IF(AND(Z454="",Y454&lt;&gt;""),IF(Y454&gt;=0.999,1,0),IF(AF454&gt;=U454,1,0))))</f>
        <v/>
      </c>
      <c r="AH454" s="44">
        <f>IF(AF454&gt;0,(AD454-AE454)/AF454,"")</f>
        <v/>
      </c>
      <c r="AI454" s="45">
        <f>IF(AG454=1,AH454-O454,"")</f>
        <v/>
      </c>
      <c r="AJ454" s="44">
        <f>IF(AG454=1,AH454,MAX(-1,MIN(1,O454+INDEX(Types!$H:$H,MATCH($A454&amp;"|"&amp;$D454,Types!$A:$A,0)))))</f>
        <v/>
      </c>
      <c r="AK454" s="43">
        <f>IF(AG454=1,AF454,MAX(AQ454*AS454,AF454))</f>
        <v/>
      </c>
      <c r="AL454" s="43">
        <f>IF(AG454=1,AD454,AK454*(1+AJ454)/2)</f>
        <v/>
      </c>
      <c r="AM454" s="43">
        <f>IF(AG454=1,AE454,AK454*(1-AJ454)/2)</f>
        <v/>
      </c>
      <c r="AN454" s="45">
        <f>IF(AH454="","",AH454-T454)</f>
        <v/>
      </c>
      <c r="AO454" s="51">
        <f>IF(AG454=1,1,IF(U454&gt;0,MIN(AF454/U454,0.99),0))</f>
        <v/>
      </c>
      <c r="AP454" s="43">
        <f>IF(AG454=1,AI454*AF454,0)</f>
        <v/>
      </c>
      <c r="AQ454" s="43">
        <f>N454*(F454+G454)/H454</f>
        <v/>
      </c>
      <c r="AR454" s="43">
        <f>O454*AQ454</f>
        <v/>
      </c>
      <c r="AS454" s="52">
        <f>IF(AG454=1,IF(AQ454&gt;0,AF454/AQ454,1),IFERROR(INDEX(Types!$K:$K,MATCH($A454&amp;"|"&amp;$D454,Types!$A:$A,0)),INDEX(Dashboard!$X$6:$X$22,MATCH($A454,Dashboard!$A$6:$A$22,0))))</f>
        <v/>
      </c>
      <c r="AT454" s="43">
        <f>AQ454*INDEX(Dashboard!$Y$6:$Y$22,MATCH($A454,Dashboard!$A$6:$A$22,0))</f>
        <v/>
      </c>
      <c r="AU454" s="53">
        <f>IF(AND(AG454=1,AT454&gt;0,AF454&gt;0),100*AF454/AT454,"")</f>
        <v/>
      </c>
      <c r="AV454" s="44">
        <f>IF(AU454="","",T454/(AU454/100))</f>
        <v/>
      </c>
      <c r="AW454" s="53">
        <f>IF(AU454="","",IF(AND(ABS(AH454)&gt;=0.1,ABS(T454)&gt;=0.05,SIGN(AH454)=SIGN(T454)),100*T454/AH454,""))</f>
        <v/>
      </c>
      <c r="AX454" s="45">
        <f>IF(AU454="","",T454-AV454)</f>
        <v/>
      </c>
      <c r="AY454" s="45">
        <f>IF(AU454="","",AH454-AV454)</f>
        <v/>
      </c>
      <c r="AZ454" s="54">
        <f>(AL454-AM454)-T454*AT454</f>
        <v/>
      </c>
      <c r="BA454" s="43">
        <f>IF(AU454="",0,(AH454-T454)*AF454)</f>
        <v/>
      </c>
      <c r="BB454" s="43">
        <f>IF(AU454="",0,T454*(AF454-AT454))</f>
        <v/>
      </c>
      <c r="BC454" s="51" t="n">
        <v>0.05472216353264314</v>
      </c>
      <c r="BD454" s="51" t="n">
        <v>0.05449578944191241</v>
      </c>
      <c r="BE454" s="51" t="n">
        <v>0.1802236963568837</v>
      </c>
      <c r="BF454" s="43" t="n">
        <v>66262</v>
      </c>
    </row>
    <row r="455">
      <c r="A455" s="42" t="inlineStr">
        <is>
          <t>MI</t>
        </is>
      </c>
      <c r="B455" s="42" t="inlineStr">
        <is>
          <t>26069</t>
        </is>
      </c>
      <c r="C455" s="42" t="inlineStr">
        <is>
          <t>Iosco</t>
        </is>
      </c>
      <c r="D455" s="42" t="inlineStr">
        <is>
          <t>Small town &amp; rural</t>
        </is>
      </c>
      <c r="E455" s="42" t="inlineStr"/>
      <c r="F455" s="43" t="n">
        <v>5344</v>
      </c>
      <c r="G455" s="43" t="n">
        <v>10155</v>
      </c>
      <c r="H455" s="43" t="n">
        <v>15731</v>
      </c>
      <c r="I455" s="43" t="n">
        <v>5373</v>
      </c>
      <c r="J455" s="43" t="n">
        <v>9759</v>
      </c>
      <c r="K455" s="42" t="inlineStr">
        <is>
          <t>Governor</t>
        </is>
      </c>
      <c r="L455" s="43" t="n">
        <v>5266</v>
      </c>
      <c r="M455" s="43" t="n">
        <v>7111</v>
      </c>
      <c r="N455" s="43" t="n">
        <v>12644</v>
      </c>
      <c r="O455" s="44">
        <f>IFERROR((F455-G455)/(F455+G455),"")</f>
        <v/>
      </c>
      <c r="P455" s="44">
        <f>IFERROR((I455-J455)/(I455+J455),"")</f>
        <v/>
      </c>
      <c r="Q455" s="45">
        <f>IFERROR(O455-P455,"")</f>
        <v/>
      </c>
      <c r="R455" s="44">
        <f>IFERROR((L455-M455)/(L455+M455),"")</f>
        <v/>
      </c>
      <c r="S455" s="46">
        <f>H455/SUMIFS(Counties!$H$2:$H$1583,Counties!$A$2:$A$1583,$A455)</f>
        <v/>
      </c>
      <c r="T455" s="44">
        <f>O455+INDEX(Dashboard!$F$6:$F$22,MATCH($A455,Dashboard!$A$6:$A$22,0))</f>
        <v/>
      </c>
      <c r="U455" s="43">
        <f>AQ455*INDEX(Dashboard!$G$6:$G$22,MATCH($A455,Dashboard!$A$6:$A$22,0))</f>
        <v/>
      </c>
      <c r="V455" s="47" t="n"/>
      <c r="W455" s="47" t="n"/>
      <c r="X455" s="47" t="n"/>
      <c r="Y455" s="48" t="n"/>
      <c r="Z455" s="49" t="n"/>
      <c r="AA455" s="49" t="n"/>
      <c r="AB455" s="49" t="n"/>
      <c r="AC455" s="50" t="n"/>
      <c r="AD455" s="43">
        <f>IF(Z455&lt;&gt;"",Z455,N(V455))</f>
        <v/>
      </c>
      <c r="AE455" s="43">
        <f>IF(AA455&lt;&gt;"",AA455,N(W455))</f>
        <v/>
      </c>
      <c r="AF455" s="43">
        <f>AD455+AE455</f>
        <v/>
      </c>
      <c r="AG455" s="42">
        <f>IF(UPPER(AC455)="Y",1,IF(AF455=0,0,IF(AND(Z455="",Y455&lt;&gt;""),IF(Y455&gt;=0.999,1,0),IF(AF455&gt;=U455,1,0))))</f>
        <v/>
      </c>
      <c r="AH455" s="44">
        <f>IF(AF455&gt;0,(AD455-AE455)/AF455,"")</f>
        <v/>
      </c>
      <c r="AI455" s="45">
        <f>IF(AG455=1,AH455-O455,"")</f>
        <v/>
      </c>
      <c r="AJ455" s="44">
        <f>IF(AG455=1,AH455,MAX(-1,MIN(1,O455+INDEX(Types!$H:$H,MATCH($A455&amp;"|"&amp;$D455,Types!$A:$A,0)))))</f>
        <v/>
      </c>
      <c r="AK455" s="43">
        <f>IF(AG455=1,AF455,MAX(AQ455*AS455,AF455))</f>
        <v/>
      </c>
      <c r="AL455" s="43">
        <f>IF(AG455=1,AD455,AK455*(1+AJ455)/2)</f>
        <v/>
      </c>
      <c r="AM455" s="43">
        <f>IF(AG455=1,AE455,AK455*(1-AJ455)/2)</f>
        <v/>
      </c>
      <c r="AN455" s="45">
        <f>IF(AH455="","",AH455-T455)</f>
        <v/>
      </c>
      <c r="AO455" s="51">
        <f>IF(AG455=1,1,IF(U455&gt;0,MIN(AF455/U455,0.99),0))</f>
        <v/>
      </c>
      <c r="AP455" s="43">
        <f>IF(AG455=1,AI455*AF455,0)</f>
        <v/>
      </c>
      <c r="AQ455" s="43">
        <f>N455*(F455+G455)/H455</f>
        <v/>
      </c>
      <c r="AR455" s="43">
        <f>O455*AQ455</f>
        <v/>
      </c>
      <c r="AS455" s="52">
        <f>IF(AG455=1,IF(AQ455&gt;0,AF455/AQ455,1),IFERROR(INDEX(Types!$K:$K,MATCH($A455&amp;"|"&amp;$D455,Types!$A:$A,0)),INDEX(Dashboard!$X$6:$X$22,MATCH($A455,Dashboard!$A$6:$A$22,0))))</f>
        <v/>
      </c>
      <c r="AT455" s="43">
        <f>AQ455*INDEX(Dashboard!$Y$6:$Y$22,MATCH($A455,Dashboard!$A$6:$A$22,0))</f>
        <v/>
      </c>
      <c r="AU455" s="53">
        <f>IF(AND(AG455=1,AT455&gt;0,AF455&gt;0),100*AF455/AT455,"")</f>
        <v/>
      </c>
      <c r="AV455" s="44">
        <f>IF(AU455="","",T455/(AU455/100))</f>
        <v/>
      </c>
      <c r="AW455" s="53">
        <f>IF(AU455="","",IF(AND(ABS(AH455)&gt;=0.1,ABS(T455)&gt;=0.05,SIGN(AH455)=SIGN(T455)),100*T455/AH455,""))</f>
        <v/>
      </c>
      <c r="AX455" s="45">
        <f>IF(AU455="","",T455-AV455)</f>
        <v/>
      </c>
      <c r="AY455" s="45">
        <f>IF(AU455="","",AH455-AV455)</f>
        <v/>
      </c>
      <c r="AZ455" s="54">
        <f>(AL455-AM455)-T455*AT455</f>
        <v/>
      </c>
      <c r="BA455" s="43">
        <f>IF(AU455="",0,(AH455-T455)*AF455)</f>
        <v/>
      </c>
      <c r="BB455" s="43">
        <f>IF(AU455="",0,T455*(AF455-AT455))</f>
        <v/>
      </c>
      <c r="BC455" s="51" t="n">
        <v>0.008670634138651323</v>
      </c>
      <c r="BD455" s="51" t="n">
        <v>0.02971662791155953</v>
      </c>
      <c r="BE455" s="51" t="n">
        <v>0.1757872210333231</v>
      </c>
      <c r="BF455" s="43" t="n">
        <v>25373</v>
      </c>
    </row>
    <row r="456">
      <c r="A456" s="42" t="inlineStr">
        <is>
          <t>MI</t>
        </is>
      </c>
      <c r="B456" s="42" t="inlineStr">
        <is>
          <t>26071</t>
        </is>
      </c>
      <c r="C456" s="42" t="inlineStr">
        <is>
          <t>Iron</t>
        </is>
      </c>
      <c r="D456" s="42" t="inlineStr">
        <is>
          <t>Small town &amp; rural</t>
        </is>
      </c>
      <c r="E456" s="42" t="inlineStr"/>
      <c r="F456" s="43" t="n">
        <v>2441</v>
      </c>
      <c r="G456" s="43" t="n">
        <v>4501</v>
      </c>
      <c r="H456" s="43" t="n">
        <v>7027</v>
      </c>
      <c r="I456" s="43" t="n">
        <v>2493</v>
      </c>
      <c r="J456" s="43" t="n">
        <v>4216</v>
      </c>
      <c r="K456" s="42" t="inlineStr">
        <is>
          <t>Governor</t>
        </is>
      </c>
      <c r="L456" s="43" t="n">
        <v>2236</v>
      </c>
      <c r="M456" s="43" t="n">
        <v>3282</v>
      </c>
      <c r="N456" s="43" t="n">
        <v>5625</v>
      </c>
      <c r="O456" s="44">
        <f>IFERROR((F456-G456)/(F456+G456),"")</f>
        <v/>
      </c>
      <c r="P456" s="44">
        <f>IFERROR((I456-J456)/(I456+J456),"")</f>
        <v/>
      </c>
      <c r="Q456" s="45">
        <f>IFERROR(O456-P456,"")</f>
        <v/>
      </c>
      <c r="R456" s="44">
        <f>IFERROR((L456-M456)/(L456+M456),"")</f>
        <v/>
      </c>
      <c r="S456" s="46">
        <f>H456/SUMIFS(Counties!$H$2:$H$1583,Counties!$A$2:$A$1583,$A456)</f>
        <v/>
      </c>
      <c r="T456" s="44">
        <f>O456+INDEX(Dashboard!$F$6:$F$22,MATCH($A456,Dashboard!$A$6:$A$22,0))</f>
        <v/>
      </c>
      <c r="U456" s="43">
        <f>AQ456*INDEX(Dashboard!$G$6:$G$22,MATCH($A456,Dashboard!$A$6:$A$22,0))</f>
        <v/>
      </c>
      <c r="V456" s="47" t="n"/>
      <c r="W456" s="47" t="n"/>
      <c r="X456" s="47" t="n"/>
      <c r="Y456" s="48" t="n"/>
      <c r="Z456" s="49" t="n"/>
      <c r="AA456" s="49" t="n"/>
      <c r="AB456" s="49" t="n"/>
      <c r="AC456" s="50" t="n"/>
      <c r="AD456" s="43">
        <f>IF(Z456&lt;&gt;"",Z456,N(V456))</f>
        <v/>
      </c>
      <c r="AE456" s="43">
        <f>IF(AA456&lt;&gt;"",AA456,N(W456))</f>
        <v/>
      </c>
      <c r="AF456" s="43">
        <f>AD456+AE456</f>
        <v/>
      </c>
      <c r="AG456" s="42">
        <f>IF(UPPER(AC456)="Y",1,IF(AF456=0,0,IF(AND(Z456="",Y456&lt;&gt;""),IF(Y456&gt;=0.999,1,0),IF(AF456&gt;=U456,1,0))))</f>
        <v/>
      </c>
      <c r="AH456" s="44">
        <f>IF(AF456&gt;0,(AD456-AE456)/AF456,"")</f>
        <v/>
      </c>
      <c r="AI456" s="45">
        <f>IF(AG456=1,AH456-O456,"")</f>
        <v/>
      </c>
      <c r="AJ456" s="44">
        <f>IF(AG456=1,AH456,MAX(-1,MIN(1,O456+INDEX(Types!$H:$H,MATCH($A456&amp;"|"&amp;$D456,Types!$A:$A,0)))))</f>
        <v/>
      </c>
      <c r="AK456" s="43">
        <f>IF(AG456=1,AF456,MAX(AQ456*AS456,AF456))</f>
        <v/>
      </c>
      <c r="AL456" s="43">
        <f>IF(AG456=1,AD456,AK456*(1+AJ456)/2)</f>
        <v/>
      </c>
      <c r="AM456" s="43">
        <f>IF(AG456=1,AE456,AK456*(1-AJ456)/2)</f>
        <v/>
      </c>
      <c r="AN456" s="45">
        <f>IF(AH456="","",AH456-T456)</f>
        <v/>
      </c>
      <c r="AO456" s="51">
        <f>IF(AG456=1,1,IF(U456&gt;0,MIN(AF456/U456,0.99),0))</f>
        <v/>
      </c>
      <c r="AP456" s="43">
        <f>IF(AG456=1,AI456*AF456,0)</f>
        <v/>
      </c>
      <c r="AQ456" s="43">
        <f>N456*(F456+G456)/H456</f>
        <v/>
      </c>
      <c r="AR456" s="43">
        <f>O456*AQ456</f>
        <v/>
      </c>
      <c r="AS456" s="52">
        <f>IF(AG456=1,IF(AQ456&gt;0,AF456/AQ456,1),IFERROR(INDEX(Types!$K:$K,MATCH($A456&amp;"|"&amp;$D456,Types!$A:$A,0)),INDEX(Dashboard!$X$6:$X$22,MATCH($A456,Dashboard!$A$6:$A$22,0))))</f>
        <v/>
      </c>
      <c r="AT456" s="43">
        <f>AQ456*INDEX(Dashboard!$Y$6:$Y$22,MATCH($A456,Dashboard!$A$6:$A$22,0))</f>
        <v/>
      </c>
      <c r="AU456" s="53">
        <f>IF(AND(AG456=1,AT456&gt;0,AF456&gt;0),100*AF456/AT456,"")</f>
        <v/>
      </c>
      <c r="AV456" s="44">
        <f>IF(AU456="","",T456/(AU456/100))</f>
        <v/>
      </c>
      <c r="AW456" s="53">
        <f>IF(AU456="","",IF(AND(ABS(AH456)&gt;=0.1,ABS(T456)&gt;=0.05,SIGN(AH456)=SIGN(T456)),100*T456/AH456,""))</f>
        <v/>
      </c>
      <c r="AX456" s="45">
        <f>IF(AU456="","",T456-AV456)</f>
        <v/>
      </c>
      <c r="AY456" s="45">
        <f>IF(AU456="","",AH456-AV456)</f>
        <v/>
      </c>
      <c r="AZ456" s="54">
        <f>(AL456-AM456)-T456*AT456</f>
        <v/>
      </c>
      <c r="BA456" s="43">
        <f>IF(AU456="",0,(AH456-T456)*AF456)</f>
        <v/>
      </c>
      <c r="BB456" s="43">
        <f>IF(AU456="",0,T456*(AF456-AT456))</f>
        <v/>
      </c>
      <c r="BC456" s="51" t="n">
        <v>0.007325383304940375</v>
      </c>
      <c r="BD456" s="51" t="n">
        <v>0.0237649063032368</v>
      </c>
      <c r="BE456" s="51" t="n">
        <v>0.2058041648205583</v>
      </c>
      <c r="BF456" s="43" t="n">
        <v>11740</v>
      </c>
    </row>
    <row r="457">
      <c r="A457" s="42" t="inlineStr">
        <is>
          <t>MI</t>
        </is>
      </c>
      <c r="B457" s="42" t="inlineStr">
        <is>
          <t>26073</t>
        </is>
      </c>
      <c r="C457" s="42" t="inlineStr">
        <is>
          <t>Isabella</t>
        </is>
      </c>
      <c r="D457" s="42" t="inlineStr">
        <is>
          <t>Small town &amp; rural</t>
        </is>
      </c>
      <c r="E457" s="42" t="inlineStr"/>
      <c r="F457" s="43" t="n">
        <v>14011</v>
      </c>
      <c r="G457" s="43" t="n">
        <v>16320</v>
      </c>
      <c r="H457" s="43" t="n">
        <v>30817</v>
      </c>
      <c r="I457" s="43" t="n">
        <v>14072</v>
      </c>
      <c r="J457" s="43" t="n">
        <v>14815</v>
      </c>
      <c r="K457" s="42" t="inlineStr">
        <is>
          <t>Governor</t>
        </is>
      </c>
      <c r="L457" s="43" t="n">
        <v>12581</v>
      </c>
      <c r="M457" s="43" t="n">
        <v>10927</v>
      </c>
      <c r="N457" s="43" t="n">
        <v>23972</v>
      </c>
      <c r="O457" s="44">
        <f>IFERROR((F457-G457)/(F457+G457),"")</f>
        <v/>
      </c>
      <c r="P457" s="44">
        <f>IFERROR((I457-J457)/(I457+J457),"")</f>
        <v/>
      </c>
      <c r="Q457" s="45">
        <f>IFERROR(O457-P457,"")</f>
        <v/>
      </c>
      <c r="R457" s="44">
        <f>IFERROR((L457-M457)/(L457+M457),"")</f>
        <v/>
      </c>
      <c r="S457" s="46">
        <f>H457/SUMIFS(Counties!$H$2:$H$1583,Counties!$A$2:$A$1583,$A457)</f>
        <v/>
      </c>
      <c r="T457" s="44">
        <f>O457+INDEX(Dashboard!$F$6:$F$22,MATCH($A457,Dashboard!$A$6:$A$22,0))</f>
        <v/>
      </c>
      <c r="U457" s="43">
        <f>AQ457*INDEX(Dashboard!$G$6:$G$22,MATCH($A457,Dashboard!$A$6:$A$22,0))</f>
        <v/>
      </c>
      <c r="V457" s="47" t="n"/>
      <c r="W457" s="47" t="n"/>
      <c r="X457" s="47" t="n"/>
      <c r="Y457" s="48" t="n"/>
      <c r="Z457" s="49" t="n"/>
      <c r="AA457" s="49" t="n"/>
      <c r="AB457" s="49" t="n"/>
      <c r="AC457" s="50" t="n"/>
      <c r="AD457" s="43">
        <f>IF(Z457&lt;&gt;"",Z457,N(V457))</f>
        <v/>
      </c>
      <c r="AE457" s="43">
        <f>IF(AA457&lt;&gt;"",AA457,N(W457))</f>
        <v/>
      </c>
      <c r="AF457" s="43">
        <f>AD457+AE457</f>
        <v/>
      </c>
      <c r="AG457" s="42">
        <f>IF(UPPER(AC457)="Y",1,IF(AF457=0,0,IF(AND(Z457="",Y457&lt;&gt;""),IF(Y457&gt;=0.999,1,0),IF(AF457&gt;=U457,1,0))))</f>
        <v/>
      </c>
      <c r="AH457" s="44">
        <f>IF(AF457&gt;0,(AD457-AE457)/AF457,"")</f>
        <v/>
      </c>
      <c r="AI457" s="45">
        <f>IF(AG457=1,AH457-O457,"")</f>
        <v/>
      </c>
      <c r="AJ457" s="44">
        <f>IF(AG457=1,AH457,MAX(-1,MIN(1,O457+INDEX(Types!$H:$H,MATCH($A457&amp;"|"&amp;$D457,Types!$A:$A,0)))))</f>
        <v/>
      </c>
      <c r="AK457" s="43">
        <f>IF(AG457=1,AF457,MAX(AQ457*AS457,AF457))</f>
        <v/>
      </c>
      <c r="AL457" s="43">
        <f>IF(AG457=1,AD457,AK457*(1+AJ457)/2)</f>
        <v/>
      </c>
      <c r="AM457" s="43">
        <f>IF(AG457=1,AE457,AK457*(1-AJ457)/2)</f>
        <v/>
      </c>
      <c r="AN457" s="45">
        <f>IF(AH457="","",AH457-T457)</f>
        <v/>
      </c>
      <c r="AO457" s="51">
        <f>IF(AG457=1,1,IF(U457&gt;0,MIN(AF457/U457,0.99),0))</f>
        <v/>
      </c>
      <c r="AP457" s="43">
        <f>IF(AG457=1,AI457*AF457,0)</f>
        <v/>
      </c>
      <c r="AQ457" s="43">
        <f>N457*(F457+G457)/H457</f>
        <v/>
      </c>
      <c r="AR457" s="43">
        <f>O457*AQ457</f>
        <v/>
      </c>
      <c r="AS457" s="52">
        <f>IF(AG457=1,IF(AQ457&gt;0,AF457/AQ457,1),IFERROR(INDEX(Types!$K:$K,MATCH($A457&amp;"|"&amp;$D457,Types!$A:$A,0)),INDEX(Dashboard!$X$6:$X$22,MATCH($A457,Dashboard!$A$6:$A$22,0))))</f>
        <v/>
      </c>
      <c r="AT457" s="43">
        <f>AQ457*INDEX(Dashboard!$Y$6:$Y$22,MATCH($A457,Dashboard!$A$6:$A$22,0))</f>
        <v/>
      </c>
      <c r="AU457" s="53">
        <f>IF(AND(AG457=1,AT457&gt;0,AF457&gt;0),100*AF457/AT457,"")</f>
        <v/>
      </c>
      <c r="AV457" s="44">
        <f>IF(AU457="","",T457/(AU457/100))</f>
        <v/>
      </c>
      <c r="AW457" s="53">
        <f>IF(AU457="","",IF(AND(ABS(AH457)&gt;=0.1,ABS(T457)&gt;=0.05,SIGN(AH457)=SIGN(T457)),100*T457/AH457,""))</f>
        <v/>
      </c>
      <c r="AX457" s="45">
        <f>IF(AU457="","",T457-AV457)</f>
        <v/>
      </c>
      <c r="AY457" s="45">
        <f>IF(AU457="","",AH457-AV457)</f>
        <v/>
      </c>
      <c r="AZ457" s="54">
        <f>(AL457-AM457)-T457*AT457</f>
        <v/>
      </c>
      <c r="BA457" s="43">
        <f>IF(AU457="",0,(AH457-T457)*AF457)</f>
        <v/>
      </c>
      <c r="BB457" s="43">
        <f>IF(AU457="",0,T457*(AF457-AT457))</f>
        <v/>
      </c>
      <c r="BC457" s="51" t="n">
        <v>0.02532830094513241</v>
      </c>
      <c r="BD457" s="51" t="n">
        <v>0.05241897751021554</v>
      </c>
      <c r="BE457" s="51" t="n">
        <v>0.3080400209476034</v>
      </c>
      <c r="BF457" s="43" t="n">
        <v>64118</v>
      </c>
    </row>
    <row r="458">
      <c r="A458" s="42" t="inlineStr">
        <is>
          <t>MI</t>
        </is>
      </c>
      <c r="B458" s="42" t="inlineStr">
        <is>
          <t>26075</t>
        </is>
      </c>
      <c r="C458" s="42" t="inlineStr">
        <is>
          <t>Jackson</t>
        </is>
      </c>
      <c r="D458" s="42" t="inlineStr">
        <is>
          <t>Mid-size/working metro</t>
        </is>
      </c>
      <c r="E458" s="42" t="inlineStr"/>
      <c r="F458" s="43" t="n">
        <v>32348</v>
      </c>
      <c r="G458" s="43" t="n">
        <v>50199</v>
      </c>
      <c r="H458" s="43" t="n">
        <v>83803</v>
      </c>
      <c r="I458" s="43" t="n">
        <v>31995</v>
      </c>
      <c r="J458" s="43" t="n">
        <v>47372</v>
      </c>
      <c r="K458" s="42" t="inlineStr">
        <is>
          <t>Governor</t>
        </is>
      </c>
      <c r="L458" s="43" t="n">
        <v>29011</v>
      </c>
      <c r="M458" s="43" t="n">
        <v>34439</v>
      </c>
      <c r="N458" s="43" t="n">
        <v>64783</v>
      </c>
      <c r="O458" s="44">
        <f>IFERROR((F458-G458)/(F458+G458),"")</f>
        <v/>
      </c>
      <c r="P458" s="44">
        <f>IFERROR((I458-J458)/(I458+J458),"")</f>
        <v/>
      </c>
      <c r="Q458" s="45">
        <f>IFERROR(O458-P458,"")</f>
        <v/>
      </c>
      <c r="R458" s="44">
        <f>IFERROR((L458-M458)/(L458+M458),"")</f>
        <v/>
      </c>
      <c r="S458" s="46">
        <f>H458/SUMIFS(Counties!$H$2:$H$1583,Counties!$A$2:$A$1583,$A458)</f>
        <v/>
      </c>
      <c r="T458" s="44">
        <f>O458+INDEX(Dashboard!$F$6:$F$22,MATCH($A458,Dashboard!$A$6:$A$22,0))</f>
        <v/>
      </c>
      <c r="U458" s="43">
        <f>AQ458*INDEX(Dashboard!$G$6:$G$22,MATCH($A458,Dashboard!$A$6:$A$22,0))</f>
        <v/>
      </c>
      <c r="V458" s="47" t="n"/>
      <c r="W458" s="47" t="n"/>
      <c r="X458" s="47" t="n"/>
      <c r="Y458" s="48" t="n"/>
      <c r="Z458" s="49" t="n"/>
      <c r="AA458" s="49" t="n"/>
      <c r="AB458" s="49" t="n"/>
      <c r="AC458" s="50" t="n"/>
      <c r="AD458" s="43">
        <f>IF(Z458&lt;&gt;"",Z458,N(V458))</f>
        <v/>
      </c>
      <c r="AE458" s="43">
        <f>IF(AA458&lt;&gt;"",AA458,N(W458))</f>
        <v/>
      </c>
      <c r="AF458" s="43">
        <f>AD458+AE458</f>
        <v/>
      </c>
      <c r="AG458" s="42">
        <f>IF(UPPER(AC458)="Y",1,IF(AF458=0,0,IF(AND(Z458="",Y458&lt;&gt;""),IF(Y458&gt;=0.999,1,0),IF(AF458&gt;=U458,1,0))))</f>
        <v/>
      </c>
      <c r="AH458" s="44">
        <f>IF(AF458&gt;0,(AD458-AE458)/AF458,"")</f>
        <v/>
      </c>
      <c r="AI458" s="45">
        <f>IF(AG458=1,AH458-O458,"")</f>
        <v/>
      </c>
      <c r="AJ458" s="44">
        <f>IF(AG458=1,AH458,MAX(-1,MIN(1,O458+INDEX(Types!$H:$H,MATCH($A458&amp;"|"&amp;$D458,Types!$A:$A,0)))))</f>
        <v/>
      </c>
      <c r="AK458" s="43">
        <f>IF(AG458=1,AF458,MAX(AQ458*AS458,AF458))</f>
        <v/>
      </c>
      <c r="AL458" s="43">
        <f>IF(AG458=1,AD458,AK458*(1+AJ458)/2)</f>
        <v/>
      </c>
      <c r="AM458" s="43">
        <f>IF(AG458=1,AE458,AK458*(1-AJ458)/2)</f>
        <v/>
      </c>
      <c r="AN458" s="45">
        <f>IF(AH458="","",AH458-T458)</f>
        <v/>
      </c>
      <c r="AO458" s="51">
        <f>IF(AG458=1,1,IF(U458&gt;0,MIN(AF458/U458,0.99),0))</f>
        <v/>
      </c>
      <c r="AP458" s="43">
        <f>IF(AG458=1,AI458*AF458,0)</f>
        <v/>
      </c>
      <c r="AQ458" s="43">
        <f>N458*(F458+G458)/H458</f>
        <v/>
      </c>
      <c r="AR458" s="43">
        <f>O458*AQ458</f>
        <v/>
      </c>
      <c r="AS458" s="52">
        <f>IF(AG458=1,IF(AQ458&gt;0,AF458/AQ458,1),IFERROR(INDEX(Types!$K:$K,MATCH($A458&amp;"|"&amp;$D458,Types!$A:$A,0)),INDEX(Dashboard!$X$6:$X$22,MATCH($A458,Dashboard!$A$6:$A$22,0))))</f>
        <v/>
      </c>
      <c r="AT458" s="43">
        <f>AQ458*INDEX(Dashboard!$Y$6:$Y$22,MATCH($A458,Dashboard!$A$6:$A$22,0))</f>
        <v/>
      </c>
      <c r="AU458" s="53">
        <f>IF(AND(AG458=1,AT458&gt;0,AF458&gt;0),100*AF458/AT458,"")</f>
        <v/>
      </c>
      <c r="AV458" s="44">
        <f>IF(AU458="","",T458/(AU458/100))</f>
        <v/>
      </c>
      <c r="AW458" s="53">
        <f>IF(AU458="","",IF(AND(ABS(AH458)&gt;=0.1,ABS(T458)&gt;=0.05,SIGN(AH458)=SIGN(T458)),100*T458/AH458,""))</f>
        <v/>
      </c>
      <c r="AX458" s="45">
        <f>IF(AU458="","",T458-AV458)</f>
        <v/>
      </c>
      <c r="AY458" s="45">
        <f>IF(AU458="","",AH458-AV458)</f>
        <v/>
      </c>
      <c r="AZ458" s="54">
        <f>(AL458-AM458)-T458*AT458</f>
        <v/>
      </c>
      <c r="BA458" s="43">
        <f>IF(AU458="",0,(AH458-T458)*AF458)</f>
        <v/>
      </c>
      <c r="BB458" s="43">
        <f>IF(AU458="",0,T458*(AF458-AT458))</f>
        <v/>
      </c>
      <c r="BC458" s="51" t="n">
        <v>0.07755419510236852</v>
      </c>
      <c r="BD458" s="51" t="n">
        <v>0.04170639301485347</v>
      </c>
      <c r="BE458" s="51" t="n">
        <v>0.2298902741810609</v>
      </c>
      <c r="BF458" s="43" t="n">
        <v>159424</v>
      </c>
    </row>
    <row r="459">
      <c r="A459" s="42" t="inlineStr">
        <is>
          <t>MI</t>
        </is>
      </c>
      <c r="B459" s="42" t="inlineStr">
        <is>
          <t>26077</t>
        </is>
      </c>
      <c r="C459" s="42" t="inlineStr">
        <is>
          <t>Kalamazoo</t>
        </is>
      </c>
      <c r="D459" s="42" t="inlineStr">
        <is>
          <t>College suburb/metro</t>
        </is>
      </c>
      <c r="E459" s="42" t="inlineStr"/>
      <c r="F459" s="43" t="n">
        <v>84501</v>
      </c>
      <c r="G459" s="43" t="n">
        <v>58671</v>
      </c>
      <c r="H459" s="43" t="n">
        <v>145646</v>
      </c>
      <c r="I459" s="43" t="n">
        <v>83686</v>
      </c>
      <c r="J459" s="43" t="n">
        <v>56823</v>
      </c>
      <c r="K459" s="42" t="inlineStr">
        <is>
          <t>Governor</t>
        </is>
      </c>
      <c r="L459" s="43" t="n">
        <v>72516</v>
      </c>
      <c r="M459" s="43" t="n">
        <v>42436</v>
      </c>
      <c r="N459" s="43" t="n">
        <v>116837</v>
      </c>
      <c r="O459" s="44">
        <f>IFERROR((F459-G459)/(F459+G459),"")</f>
        <v/>
      </c>
      <c r="P459" s="44">
        <f>IFERROR((I459-J459)/(I459+J459),"")</f>
        <v/>
      </c>
      <c r="Q459" s="45">
        <f>IFERROR(O459-P459,"")</f>
        <v/>
      </c>
      <c r="R459" s="44">
        <f>IFERROR((L459-M459)/(L459+M459),"")</f>
        <v/>
      </c>
      <c r="S459" s="46">
        <f>H459/SUMIFS(Counties!$H$2:$H$1583,Counties!$A$2:$A$1583,$A459)</f>
        <v/>
      </c>
      <c r="T459" s="44">
        <f>O459+INDEX(Dashboard!$F$6:$F$22,MATCH($A459,Dashboard!$A$6:$A$22,0))</f>
        <v/>
      </c>
      <c r="U459" s="43">
        <f>AQ459*INDEX(Dashboard!$G$6:$G$22,MATCH($A459,Dashboard!$A$6:$A$22,0))</f>
        <v/>
      </c>
      <c r="V459" s="47" t="n"/>
      <c r="W459" s="47" t="n"/>
      <c r="X459" s="47" t="n"/>
      <c r="Y459" s="48" t="n"/>
      <c r="Z459" s="49" t="n"/>
      <c r="AA459" s="49" t="n"/>
      <c r="AB459" s="49" t="n"/>
      <c r="AC459" s="50" t="n"/>
      <c r="AD459" s="43">
        <f>IF(Z459&lt;&gt;"",Z459,N(V459))</f>
        <v/>
      </c>
      <c r="AE459" s="43">
        <f>IF(AA459&lt;&gt;"",AA459,N(W459))</f>
        <v/>
      </c>
      <c r="AF459" s="43">
        <f>AD459+AE459</f>
        <v/>
      </c>
      <c r="AG459" s="42">
        <f>IF(UPPER(AC459)="Y",1,IF(AF459=0,0,IF(AND(Z459="",Y459&lt;&gt;""),IF(Y459&gt;=0.999,1,0),IF(AF459&gt;=U459,1,0))))</f>
        <v/>
      </c>
      <c r="AH459" s="44">
        <f>IF(AF459&gt;0,(AD459-AE459)/AF459,"")</f>
        <v/>
      </c>
      <c r="AI459" s="45">
        <f>IF(AG459=1,AH459-O459,"")</f>
        <v/>
      </c>
      <c r="AJ459" s="44">
        <f>IF(AG459=1,AH459,MAX(-1,MIN(1,O459+INDEX(Types!$H:$H,MATCH($A459&amp;"|"&amp;$D459,Types!$A:$A,0)))))</f>
        <v/>
      </c>
      <c r="AK459" s="43">
        <f>IF(AG459=1,AF459,MAX(AQ459*AS459,AF459))</f>
        <v/>
      </c>
      <c r="AL459" s="43">
        <f>IF(AG459=1,AD459,AK459*(1+AJ459)/2)</f>
        <v/>
      </c>
      <c r="AM459" s="43">
        <f>IF(AG459=1,AE459,AK459*(1-AJ459)/2)</f>
        <v/>
      </c>
      <c r="AN459" s="45">
        <f>IF(AH459="","",AH459-T459)</f>
        <v/>
      </c>
      <c r="AO459" s="51">
        <f>IF(AG459=1,1,IF(U459&gt;0,MIN(AF459/U459,0.99),0))</f>
        <v/>
      </c>
      <c r="AP459" s="43">
        <f>IF(AG459=1,AI459*AF459,0)</f>
        <v/>
      </c>
      <c r="AQ459" s="43">
        <f>N459*(F459+G459)/H459</f>
        <v/>
      </c>
      <c r="AR459" s="43">
        <f>O459*AQ459</f>
        <v/>
      </c>
      <c r="AS459" s="52">
        <f>IF(AG459=1,IF(AQ459&gt;0,AF459/AQ459,1),IFERROR(INDEX(Types!$K:$K,MATCH($A459&amp;"|"&amp;$D459,Types!$A:$A,0)),INDEX(Dashboard!$X$6:$X$22,MATCH($A459,Dashboard!$A$6:$A$22,0))))</f>
        <v/>
      </c>
      <c r="AT459" s="43">
        <f>AQ459*INDEX(Dashboard!$Y$6:$Y$22,MATCH($A459,Dashboard!$A$6:$A$22,0))</f>
        <v/>
      </c>
      <c r="AU459" s="53">
        <f>IF(AND(AG459=1,AT459&gt;0,AF459&gt;0),100*AF459/AT459,"")</f>
        <v/>
      </c>
      <c r="AV459" s="44">
        <f>IF(AU459="","",T459/(AU459/100))</f>
        <v/>
      </c>
      <c r="AW459" s="53">
        <f>IF(AU459="","",IF(AND(ABS(AH459)&gt;=0.1,ABS(T459)&gt;=0.05,SIGN(AH459)=SIGN(T459)),100*T459/AH459,""))</f>
        <v/>
      </c>
      <c r="AX459" s="45">
        <f>IF(AU459="","",T459-AV459)</f>
        <v/>
      </c>
      <c r="AY459" s="45">
        <f>IF(AU459="","",AH459-AV459)</f>
        <v/>
      </c>
      <c r="AZ459" s="54">
        <f>(AL459-AM459)-T459*AT459</f>
        <v/>
      </c>
      <c r="BA459" s="43">
        <f>IF(AU459="",0,(AH459-T459)*AF459)</f>
        <v/>
      </c>
      <c r="BB459" s="43">
        <f>IF(AU459="",0,T459*(AF459-AT459))</f>
        <v/>
      </c>
      <c r="BC459" s="51" t="n">
        <v>0.1131819308582652</v>
      </c>
      <c r="BD459" s="51" t="n">
        <v>0.06073641858780009</v>
      </c>
      <c r="BE459" s="51" t="n">
        <v>0.4084325522291881</v>
      </c>
      <c r="BF459" s="43" t="n">
        <v>262215</v>
      </c>
    </row>
    <row r="460">
      <c r="A460" s="42" t="inlineStr">
        <is>
          <t>MI</t>
        </is>
      </c>
      <c r="B460" s="42" t="inlineStr">
        <is>
          <t>26079</t>
        </is>
      </c>
      <c r="C460" s="42" t="inlineStr">
        <is>
          <t>Kalkaska</t>
        </is>
      </c>
      <c r="D460" s="42" t="inlineStr">
        <is>
          <t>Small town &amp; rural</t>
        </is>
      </c>
      <c r="E460" s="42" t="inlineStr"/>
      <c r="F460" s="43" t="n">
        <v>3206</v>
      </c>
      <c r="G460" s="43" t="n">
        <v>8149</v>
      </c>
      <c r="H460" s="43" t="n">
        <v>11529</v>
      </c>
      <c r="I460" s="43" t="n">
        <v>3002</v>
      </c>
      <c r="J460" s="43" t="n">
        <v>7436</v>
      </c>
      <c r="K460" s="42" t="inlineStr">
        <is>
          <t>Governor</t>
        </is>
      </c>
      <c r="L460" s="43" t="n">
        <v>3009</v>
      </c>
      <c r="M460" s="43" t="n">
        <v>5616</v>
      </c>
      <c r="N460" s="43" t="n">
        <v>8854</v>
      </c>
      <c r="O460" s="44">
        <f>IFERROR((F460-G460)/(F460+G460),"")</f>
        <v/>
      </c>
      <c r="P460" s="44">
        <f>IFERROR((I460-J460)/(I460+J460),"")</f>
        <v/>
      </c>
      <c r="Q460" s="45">
        <f>IFERROR(O460-P460,"")</f>
        <v/>
      </c>
      <c r="R460" s="44">
        <f>IFERROR((L460-M460)/(L460+M460),"")</f>
        <v/>
      </c>
      <c r="S460" s="46">
        <f>H460/SUMIFS(Counties!$H$2:$H$1583,Counties!$A$2:$A$1583,$A460)</f>
        <v/>
      </c>
      <c r="T460" s="44">
        <f>O460+INDEX(Dashboard!$F$6:$F$22,MATCH($A460,Dashboard!$A$6:$A$22,0))</f>
        <v/>
      </c>
      <c r="U460" s="43">
        <f>AQ460*INDEX(Dashboard!$G$6:$G$22,MATCH($A460,Dashboard!$A$6:$A$22,0))</f>
        <v/>
      </c>
      <c r="V460" s="47" t="n"/>
      <c r="W460" s="47" t="n"/>
      <c r="X460" s="47" t="n"/>
      <c r="Y460" s="48" t="n"/>
      <c r="Z460" s="49" t="n"/>
      <c r="AA460" s="49" t="n"/>
      <c r="AB460" s="49" t="n"/>
      <c r="AC460" s="50" t="n"/>
      <c r="AD460" s="43">
        <f>IF(Z460&lt;&gt;"",Z460,N(V460))</f>
        <v/>
      </c>
      <c r="AE460" s="43">
        <f>IF(AA460&lt;&gt;"",AA460,N(W460))</f>
        <v/>
      </c>
      <c r="AF460" s="43">
        <f>AD460+AE460</f>
        <v/>
      </c>
      <c r="AG460" s="42">
        <f>IF(UPPER(AC460)="Y",1,IF(AF460=0,0,IF(AND(Z460="",Y460&lt;&gt;""),IF(Y460&gt;=0.999,1,0),IF(AF460&gt;=U460,1,0))))</f>
        <v/>
      </c>
      <c r="AH460" s="44">
        <f>IF(AF460&gt;0,(AD460-AE460)/AF460,"")</f>
        <v/>
      </c>
      <c r="AI460" s="45">
        <f>IF(AG460=1,AH460-O460,"")</f>
        <v/>
      </c>
      <c r="AJ460" s="44">
        <f>IF(AG460=1,AH460,MAX(-1,MIN(1,O460+INDEX(Types!$H:$H,MATCH($A460&amp;"|"&amp;$D460,Types!$A:$A,0)))))</f>
        <v/>
      </c>
      <c r="AK460" s="43">
        <f>IF(AG460=1,AF460,MAX(AQ460*AS460,AF460))</f>
        <v/>
      </c>
      <c r="AL460" s="43">
        <f>IF(AG460=1,AD460,AK460*(1+AJ460)/2)</f>
        <v/>
      </c>
      <c r="AM460" s="43">
        <f>IF(AG460=1,AE460,AK460*(1-AJ460)/2)</f>
        <v/>
      </c>
      <c r="AN460" s="45">
        <f>IF(AH460="","",AH460-T460)</f>
        <v/>
      </c>
      <c r="AO460" s="51">
        <f>IF(AG460=1,1,IF(U460&gt;0,MIN(AF460/U460,0.99),0))</f>
        <v/>
      </c>
      <c r="AP460" s="43">
        <f>IF(AG460=1,AI460*AF460,0)</f>
        <v/>
      </c>
      <c r="AQ460" s="43">
        <f>N460*(F460+G460)/H460</f>
        <v/>
      </c>
      <c r="AR460" s="43">
        <f>O460*AQ460</f>
        <v/>
      </c>
      <c r="AS460" s="52">
        <f>IF(AG460=1,IF(AQ460&gt;0,AF460/AQ460,1),IFERROR(INDEX(Types!$K:$K,MATCH($A460&amp;"|"&amp;$D460,Types!$A:$A,0)),INDEX(Dashboard!$X$6:$X$22,MATCH($A460,Dashboard!$A$6:$A$22,0))))</f>
        <v/>
      </c>
      <c r="AT460" s="43">
        <f>AQ460*INDEX(Dashboard!$Y$6:$Y$22,MATCH($A460,Dashboard!$A$6:$A$22,0))</f>
        <v/>
      </c>
      <c r="AU460" s="53">
        <f>IF(AND(AG460=1,AT460&gt;0,AF460&gt;0),100*AF460/AT460,"")</f>
        <v/>
      </c>
      <c r="AV460" s="44">
        <f>IF(AU460="","",T460/(AU460/100))</f>
        <v/>
      </c>
      <c r="AW460" s="53">
        <f>IF(AU460="","",IF(AND(ABS(AH460)&gt;=0.1,ABS(T460)&gt;=0.05,SIGN(AH460)=SIGN(T460)),100*T460/AH460,""))</f>
        <v/>
      </c>
      <c r="AX460" s="45">
        <f>IF(AU460="","",T460-AV460)</f>
        <v/>
      </c>
      <c r="AY460" s="45">
        <f>IF(AU460="","",AH460-AV460)</f>
        <v/>
      </c>
      <c r="AZ460" s="54">
        <f>(AL460-AM460)-T460*AT460</f>
        <v/>
      </c>
      <c r="BA460" s="43">
        <f>IF(AU460="",0,(AH460-T460)*AF460)</f>
        <v/>
      </c>
      <c r="BB460" s="43">
        <f>IF(AU460="",0,T460*(AF460-AT460))</f>
        <v/>
      </c>
      <c r="BC460" s="51" t="n">
        <v>0.008436992969172526</v>
      </c>
      <c r="BD460" s="51" t="n">
        <v>0.0241211465657112</v>
      </c>
      <c r="BE460" s="51" t="n">
        <v>0.1824089466525616</v>
      </c>
      <c r="BF460" s="43" t="n">
        <v>18490</v>
      </c>
    </row>
    <row r="461">
      <c r="A461" s="42" t="inlineStr">
        <is>
          <t>MI</t>
        </is>
      </c>
      <c r="B461" s="42" t="inlineStr">
        <is>
          <t>26081</t>
        </is>
      </c>
      <c r="C461" s="42" t="inlineStr">
        <is>
          <t>Kent</t>
        </is>
      </c>
      <c r="D461" s="42" t="inlineStr">
        <is>
          <t>Mid-size/working metro</t>
        </is>
      </c>
      <c r="E461" s="42" t="inlineStr">
        <is>
          <t>★</t>
        </is>
      </c>
      <c r="F461" s="43" t="n">
        <v>192668</v>
      </c>
      <c r="G461" s="43" t="n">
        <v>172720</v>
      </c>
      <c r="H461" s="43" t="n">
        <v>371722</v>
      </c>
      <c r="I461" s="43" t="n">
        <v>187915</v>
      </c>
      <c r="J461" s="43" t="n">
        <v>165741</v>
      </c>
      <c r="K461" s="42" t="inlineStr">
        <is>
          <t>Governor</t>
        </is>
      </c>
      <c r="L461" s="43" t="n">
        <v>162899</v>
      </c>
      <c r="M461" s="43" t="n">
        <v>132172</v>
      </c>
      <c r="N461" s="43" t="n">
        <v>299870</v>
      </c>
      <c r="O461" s="44">
        <f>IFERROR((F461-G461)/(F461+G461),"")</f>
        <v/>
      </c>
      <c r="P461" s="44">
        <f>IFERROR((I461-J461)/(I461+J461),"")</f>
        <v/>
      </c>
      <c r="Q461" s="45">
        <f>IFERROR(O461-P461,"")</f>
        <v/>
      </c>
      <c r="R461" s="44">
        <f>IFERROR((L461-M461)/(L461+M461),"")</f>
        <v/>
      </c>
      <c r="S461" s="46">
        <f>H461/SUMIFS(Counties!$H$2:$H$1583,Counties!$A$2:$A$1583,$A461)</f>
        <v/>
      </c>
      <c r="T461" s="44">
        <f>O461+INDEX(Dashboard!$F$6:$F$22,MATCH($A461,Dashboard!$A$6:$A$22,0))</f>
        <v/>
      </c>
      <c r="U461" s="43">
        <f>AQ461*INDEX(Dashboard!$G$6:$G$22,MATCH($A461,Dashboard!$A$6:$A$22,0))</f>
        <v/>
      </c>
      <c r="V461" s="47" t="n"/>
      <c r="W461" s="47" t="n"/>
      <c r="X461" s="47" t="n"/>
      <c r="Y461" s="48" t="n"/>
      <c r="Z461" s="49" t="n"/>
      <c r="AA461" s="49" t="n"/>
      <c r="AB461" s="49" t="n"/>
      <c r="AC461" s="50" t="n"/>
      <c r="AD461" s="43">
        <f>IF(Z461&lt;&gt;"",Z461,N(V461))</f>
        <v/>
      </c>
      <c r="AE461" s="43">
        <f>IF(AA461&lt;&gt;"",AA461,N(W461))</f>
        <v/>
      </c>
      <c r="AF461" s="43">
        <f>AD461+AE461</f>
        <v/>
      </c>
      <c r="AG461" s="42">
        <f>IF(UPPER(AC461)="Y",1,IF(AF461=0,0,IF(AND(Z461="",Y461&lt;&gt;""),IF(Y461&gt;=0.999,1,0),IF(AF461&gt;=U461,1,0))))</f>
        <v/>
      </c>
      <c r="AH461" s="44">
        <f>IF(AF461&gt;0,(AD461-AE461)/AF461,"")</f>
        <v/>
      </c>
      <c r="AI461" s="45">
        <f>IF(AG461=1,AH461-O461,"")</f>
        <v/>
      </c>
      <c r="AJ461" s="44">
        <f>IF(AG461=1,AH461,MAX(-1,MIN(1,O461+INDEX(Types!$H:$H,MATCH($A461&amp;"|"&amp;$D461,Types!$A:$A,0)))))</f>
        <v/>
      </c>
      <c r="AK461" s="43">
        <f>IF(AG461=1,AF461,MAX(AQ461*AS461,AF461))</f>
        <v/>
      </c>
      <c r="AL461" s="43">
        <f>IF(AG461=1,AD461,AK461*(1+AJ461)/2)</f>
        <v/>
      </c>
      <c r="AM461" s="43">
        <f>IF(AG461=1,AE461,AK461*(1-AJ461)/2)</f>
        <v/>
      </c>
      <c r="AN461" s="45">
        <f>IF(AH461="","",AH461-T461)</f>
        <v/>
      </c>
      <c r="AO461" s="51">
        <f>IF(AG461=1,1,IF(U461&gt;0,MIN(AF461/U461,0.99),0))</f>
        <v/>
      </c>
      <c r="AP461" s="43">
        <f>IF(AG461=1,AI461*AF461,0)</f>
        <v/>
      </c>
      <c r="AQ461" s="43">
        <f>N461*(F461+G461)/H461</f>
        <v/>
      </c>
      <c r="AR461" s="43">
        <f>O461*AQ461</f>
        <v/>
      </c>
      <c r="AS461" s="52">
        <f>IF(AG461=1,IF(AQ461&gt;0,AF461/AQ461,1),IFERROR(INDEX(Types!$K:$K,MATCH($A461&amp;"|"&amp;$D461,Types!$A:$A,0)),INDEX(Dashboard!$X$6:$X$22,MATCH($A461,Dashboard!$A$6:$A$22,0))))</f>
        <v/>
      </c>
      <c r="AT461" s="43">
        <f>AQ461*INDEX(Dashboard!$Y$6:$Y$22,MATCH($A461,Dashboard!$A$6:$A$22,0))</f>
        <v/>
      </c>
      <c r="AU461" s="53">
        <f>IF(AND(AG461=1,AT461&gt;0,AF461&gt;0),100*AF461/AT461,"")</f>
        <v/>
      </c>
      <c r="AV461" s="44">
        <f>IF(AU461="","",T461/(AU461/100))</f>
        <v/>
      </c>
      <c r="AW461" s="53">
        <f>IF(AU461="","",IF(AND(ABS(AH461)&gt;=0.1,ABS(T461)&gt;=0.05,SIGN(AH461)=SIGN(T461)),100*T461/AH461,""))</f>
        <v/>
      </c>
      <c r="AX461" s="45">
        <f>IF(AU461="","",T461-AV461)</f>
        <v/>
      </c>
      <c r="AY461" s="45">
        <f>IF(AU461="","",AH461-AV461)</f>
        <v/>
      </c>
      <c r="AZ461" s="54">
        <f>(AL461-AM461)-T461*AT461</f>
        <v/>
      </c>
      <c r="BA461" s="43">
        <f>IF(AU461="",0,(AH461-T461)*AF461)</f>
        <v/>
      </c>
      <c r="BB461" s="43">
        <f>IF(AU461="",0,T461*(AF461-AT461))</f>
        <v/>
      </c>
      <c r="BC461" s="51" t="n">
        <v>0.0991163582589657</v>
      </c>
      <c r="BD461" s="51" t="n">
        <v>0.1169585426261881</v>
      </c>
      <c r="BE461" s="51" t="n">
        <v>0.396317563661671</v>
      </c>
      <c r="BF461" s="43" t="n">
        <v>661354</v>
      </c>
    </row>
    <row r="462">
      <c r="A462" s="42" t="inlineStr">
        <is>
          <t>MI</t>
        </is>
      </c>
      <c r="B462" s="42" t="inlineStr">
        <is>
          <t>26083</t>
        </is>
      </c>
      <c r="C462" s="42" t="inlineStr">
        <is>
          <t>Keweenaw</t>
        </is>
      </c>
      <c r="D462" s="42" t="inlineStr">
        <is>
          <t>Small town &amp; rural</t>
        </is>
      </c>
      <c r="E462" s="42" t="inlineStr"/>
      <c r="F462" s="43" t="n">
        <v>690</v>
      </c>
      <c r="G462" s="43" t="n">
        <v>896</v>
      </c>
      <c r="H462" s="43" t="n">
        <v>1611</v>
      </c>
      <c r="I462" s="43" t="n">
        <v>672</v>
      </c>
      <c r="J462" s="43" t="n">
        <v>862</v>
      </c>
      <c r="K462" s="42" t="inlineStr">
        <is>
          <t>Governor</t>
        </is>
      </c>
      <c r="L462" s="43" t="n">
        <v>1332</v>
      </c>
      <c r="M462" s="43" t="n">
        <v>1402</v>
      </c>
      <c r="N462" s="43" t="n">
        <v>2780</v>
      </c>
      <c r="O462" s="44">
        <f>IFERROR((F462-G462)/(F462+G462),"")</f>
        <v/>
      </c>
      <c r="P462" s="44">
        <f>IFERROR((I462-J462)/(I462+J462),"")</f>
        <v/>
      </c>
      <c r="Q462" s="45">
        <f>IFERROR(O462-P462,"")</f>
        <v/>
      </c>
      <c r="R462" s="44">
        <f>IFERROR((L462-M462)/(L462+M462),"")</f>
        <v/>
      </c>
      <c r="S462" s="46">
        <f>H462/SUMIFS(Counties!$H$2:$H$1583,Counties!$A$2:$A$1583,$A462)</f>
        <v/>
      </c>
      <c r="T462" s="44">
        <f>O462+INDEX(Dashboard!$F$6:$F$22,MATCH($A462,Dashboard!$A$6:$A$22,0))</f>
        <v/>
      </c>
      <c r="U462" s="43">
        <f>AQ462*INDEX(Dashboard!$G$6:$G$22,MATCH($A462,Dashboard!$A$6:$A$22,0))</f>
        <v/>
      </c>
      <c r="V462" s="47" t="n"/>
      <c r="W462" s="47" t="n"/>
      <c r="X462" s="47" t="n"/>
      <c r="Y462" s="48" t="n"/>
      <c r="Z462" s="49" t="n"/>
      <c r="AA462" s="49" t="n"/>
      <c r="AB462" s="49" t="n"/>
      <c r="AC462" s="50" t="n"/>
      <c r="AD462" s="43">
        <f>IF(Z462&lt;&gt;"",Z462,N(V462))</f>
        <v/>
      </c>
      <c r="AE462" s="43">
        <f>IF(AA462&lt;&gt;"",AA462,N(W462))</f>
        <v/>
      </c>
      <c r="AF462" s="43">
        <f>AD462+AE462</f>
        <v/>
      </c>
      <c r="AG462" s="42">
        <f>IF(UPPER(AC462)="Y",1,IF(AF462=0,0,IF(AND(Z462="",Y462&lt;&gt;""),IF(Y462&gt;=0.999,1,0),IF(AF462&gt;=U462,1,0))))</f>
        <v/>
      </c>
      <c r="AH462" s="44">
        <f>IF(AF462&gt;0,(AD462-AE462)/AF462,"")</f>
        <v/>
      </c>
      <c r="AI462" s="45">
        <f>IF(AG462=1,AH462-O462,"")</f>
        <v/>
      </c>
      <c r="AJ462" s="44">
        <f>IF(AG462=1,AH462,MAX(-1,MIN(1,O462+INDEX(Types!$H:$H,MATCH($A462&amp;"|"&amp;$D462,Types!$A:$A,0)))))</f>
        <v/>
      </c>
      <c r="AK462" s="43">
        <f>IF(AG462=1,AF462,MAX(AQ462*AS462,AF462))</f>
        <v/>
      </c>
      <c r="AL462" s="43">
        <f>IF(AG462=1,AD462,AK462*(1+AJ462)/2)</f>
        <v/>
      </c>
      <c r="AM462" s="43">
        <f>IF(AG462=1,AE462,AK462*(1-AJ462)/2)</f>
        <v/>
      </c>
      <c r="AN462" s="45">
        <f>IF(AH462="","",AH462-T462)</f>
        <v/>
      </c>
      <c r="AO462" s="51">
        <f>IF(AG462=1,1,IF(U462&gt;0,MIN(AF462/U462,0.99),0))</f>
        <v/>
      </c>
      <c r="AP462" s="43">
        <f>IF(AG462=1,AI462*AF462,0)</f>
        <v/>
      </c>
      <c r="AQ462" s="43">
        <f>N462*(F462+G462)/H462</f>
        <v/>
      </c>
      <c r="AR462" s="43">
        <f>O462*AQ462</f>
        <v/>
      </c>
      <c r="AS462" s="52">
        <f>IF(AG462=1,IF(AQ462&gt;0,AF462/AQ462,1),IFERROR(INDEX(Types!$K:$K,MATCH($A462&amp;"|"&amp;$D462,Types!$A:$A,0)),INDEX(Dashboard!$X$6:$X$22,MATCH($A462,Dashboard!$A$6:$A$22,0))))</f>
        <v/>
      </c>
      <c r="AT462" s="43">
        <f>AQ462*INDEX(Dashboard!$Y$6:$Y$22,MATCH($A462,Dashboard!$A$6:$A$22,0))</f>
        <v/>
      </c>
      <c r="AU462" s="53">
        <f>IF(AND(AG462=1,AT462&gt;0,AF462&gt;0),100*AF462/AT462,"")</f>
        <v/>
      </c>
      <c r="AV462" s="44">
        <f>IF(AU462="","",T462/(AU462/100))</f>
        <v/>
      </c>
      <c r="AW462" s="53">
        <f>IF(AU462="","",IF(AND(ABS(AH462)&gt;=0.1,ABS(T462)&gt;=0.05,SIGN(AH462)=SIGN(T462)),100*T462/AH462,""))</f>
        <v/>
      </c>
      <c r="AX462" s="45">
        <f>IF(AU462="","",T462-AV462)</f>
        <v/>
      </c>
      <c r="AY462" s="45">
        <f>IF(AU462="","",AH462-AV462)</f>
        <v/>
      </c>
      <c r="AZ462" s="54">
        <f>(AL462-AM462)-T462*AT462</f>
        <v/>
      </c>
      <c r="BA462" s="43">
        <f>IF(AU462="",0,(AH462-T462)*AF462)</f>
        <v/>
      </c>
      <c r="BB462" s="43">
        <f>IF(AU462="",0,T462*(AF462-AT462))</f>
        <v/>
      </c>
      <c r="BC462" s="51" t="n">
        <v>0.003222836095764273</v>
      </c>
      <c r="BD462" s="51" t="n">
        <v>0.01611418047882136</v>
      </c>
      <c r="BE462" s="51" t="n">
        <v>0.4355655599324705</v>
      </c>
      <c r="BF462" s="43" t="n">
        <v>2172</v>
      </c>
    </row>
    <row r="463">
      <c r="A463" s="42" t="inlineStr">
        <is>
          <t>MI</t>
        </is>
      </c>
      <c r="B463" s="42" t="inlineStr">
        <is>
          <t>26085</t>
        </is>
      </c>
      <c r="C463" s="42" t="inlineStr">
        <is>
          <t>Lake</t>
        </is>
      </c>
      <c r="D463" s="42" t="inlineStr">
        <is>
          <t>Small town &amp; rural</t>
        </is>
      </c>
      <c r="E463" s="42" t="inlineStr"/>
      <c r="F463" s="43" t="n">
        <v>2298</v>
      </c>
      <c r="G463" s="43" t="n">
        <v>4523</v>
      </c>
      <c r="H463" s="43" t="n">
        <v>6915</v>
      </c>
      <c r="I463" s="43" t="n">
        <v>2288</v>
      </c>
      <c r="J463" s="43" t="n">
        <v>3946</v>
      </c>
      <c r="K463" s="42" t="inlineStr">
        <is>
          <t>Governor</t>
        </is>
      </c>
      <c r="L463" s="43" t="n">
        <v>2081</v>
      </c>
      <c r="M463" s="43" t="n">
        <v>3055</v>
      </c>
      <c r="N463" s="43" t="n">
        <v>5264</v>
      </c>
      <c r="O463" s="44">
        <f>IFERROR((F463-G463)/(F463+G463),"")</f>
        <v/>
      </c>
      <c r="P463" s="44">
        <f>IFERROR((I463-J463)/(I463+J463),"")</f>
        <v/>
      </c>
      <c r="Q463" s="45">
        <f>IFERROR(O463-P463,"")</f>
        <v/>
      </c>
      <c r="R463" s="44">
        <f>IFERROR((L463-M463)/(L463+M463),"")</f>
        <v/>
      </c>
      <c r="S463" s="46">
        <f>H463/SUMIFS(Counties!$H$2:$H$1583,Counties!$A$2:$A$1583,$A463)</f>
        <v/>
      </c>
      <c r="T463" s="44">
        <f>O463+INDEX(Dashboard!$F$6:$F$22,MATCH($A463,Dashboard!$A$6:$A$22,0))</f>
        <v/>
      </c>
      <c r="U463" s="43">
        <f>AQ463*INDEX(Dashboard!$G$6:$G$22,MATCH($A463,Dashboard!$A$6:$A$22,0))</f>
        <v/>
      </c>
      <c r="V463" s="47" t="n"/>
      <c r="W463" s="47" t="n"/>
      <c r="X463" s="47" t="n"/>
      <c r="Y463" s="48" t="n"/>
      <c r="Z463" s="49" t="n"/>
      <c r="AA463" s="49" t="n"/>
      <c r="AB463" s="49" t="n"/>
      <c r="AC463" s="50" t="n"/>
      <c r="AD463" s="43">
        <f>IF(Z463&lt;&gt;"",Z463,N(V463))</f>
        <v/>
      </c>
      <c r="AE463" s="43">
        <f>IF(AA463&lt;&gt;"",AA463,N(W463))</f>
        <v/>
      </c>
      <c r="AF463" s="43">
        <f>AD463+AE463</f>
        <v/>
      </c>
      <c r="AG463" s="42">
        <f>IF(UPPER(AC463)="Y",1,IF(AF463=0,0,IF(AND(Z463="",Y463&lt;&gt;""),IF(Y463&gt;=0.999,1,0),IF(AF463&gt;=U463,1,0))))</f>
        <v/>
      </c>
      <c r="AH463" s="44">
        <f>IF(AF463&gt;0,(AD463-AE463)/AF463,"")</f>
        <v/>
      </c>
      <c r="AI463" s="45">
        <f>IF(AG463=1,AH463-O463,"")</f>
        <v/>
      </c>
      <c r="AJ463" s="44">
        <f>IF(AG463=1,AH463,MAX(-1,MIN(1,O463+INDEX(Types!$H:$H,MATCH($A463&amp;"|"&amp;$D463,Types!$A:$A,0)))))</f>
        <v/>
      </c>
      <c r="AK463" s="43">
        <f>IF(AG463=1,AF463,MAX(AQ463*AS463,AF463))</f>
        <v/>
      </c>
      <c r="AL463" s="43">
        <f>IF(AG463=1,AD463,AK463*(1+AJ463)/2)</f>
        <v/>
      </c>
      <c r="AM463" s="43">
        <f>IF(AG463=1,AE463,AK463*(1-AJ463)/2)</f>
        <v/>
      </c>
      <c r="AN463" s="45">
        <f>IF(AH463="","",AH463-T463)</f>
        <v/>
      </c>
      <c r="AO463" s="51">
        <f>IF(AG463=1,1,IF(U463&gt;0,MIN(AF463/U463,0.99),0))</f>
        <v/>
      </c>
      <c r="AP463" s="43">
        <f>IF(AG463=1,AI463*AF463,0)</f>
        <v/>
      </c>
      <c r="AQ463" s="43">
        <f>N463*(F463+G463)/H463</f>
        <v/>
      </c>
      <c r="AR463" s="43">
        <f>O463*AQ463</f>
        <v/>
      </c>
      <c r="AS463" s="52">
        <f>IF(AG463=1,IF(AQ463&gt;0,AF463/AQ463,1),IFERROR(INDEX(Types!$K:$K,MATCH($A463&amp;"|"&amp;$D463,Types!$A:$A,0)),INDEX(Dashboard!$X$6:$X$22,MATCH($A463,Dashboard!$A$6:$A$22,0))))</f>
        <v/>
      </c>
      <c r="AT463" s="43">
        <f>AQ463*INDEX(Dashboard!$Y$6:$Y$22,MATCH($A463,Dashboard!$A$6:$A$22,0))</f>
        <v/>
      </c>
      <c r="AU463" s="53">
        <f>IF(AND(AG463=1,AT463&gt;0,AF463&gt;0),100*AF463/AT463,"")</f>
        <v/>
      </c>
      <c r="AV463" s="44">
        <f>IF(AU463="","",T463/(AU463/100))</f>
        <v/>
      </c>
      <c r="AW463" s="53">
        <f>IF(AU463="","",IF(AND(ABS(AH463)&gt;=0.1,ABS(T463)&gt;=0.05,SIGN(AH463)=SIGN(T463)),100*T463/AH463,""))</f>
        <v/>
      </c>
      <c r="AX463" s="45">
        <f>IF(AU463="","",T463-AV463)</f>
        <v/>
      </c>
      <c r="AY463" s="45">
        <f>IF(AU463="","",AH463-AV463)</f>
        <v/>
      </c>
      <c r="AZ463" s="54">
        <f>(AL463-AM463)-T463*AT463</f>
        <v/>
      </c>
      <c r="BA463" s="43">
        <f>IF(AU463="",0,(AH463-T463)*AF463)</f>
        <v/>
      </c>
      <c r="BB463" s="43">
        <f>IF(AU463="",0,T463*(AF463-AT463))</f>
        <v/>
      </c>
      <c r="BC463" s="51" t="n">
        <v>0.0969844510758599</v>
      </c>
      <c r="BD463" s="51" t="n">
        <v>0.09093764724359982</v>
      </c>
      <c r="BE463" s="51" t="n">
        <v>0.1249220536271046</v>
      </c>
      <c r="BF463" s="43" t="n">
        <v>12734</v>
      </c>
    </row>
    <row r="464">
      <c r="A464" s="42" t="inlineStr">
        <is>
          <t>MI</t>
        </is>
      </c>
      <c r="B464" s="42" t="inlineStr">
        <is>
          <t>26087</t>
        </is>
      </c>
      <c r="C464" s="42" t="inlineStr">
        <is>
          <t>Lapeer</t>
        </is>
      </c>
      <c r="D464" s="42" t="inlineStr">
        <is>
          <t>Small town &amp; rural</t>
        </is>
      </c>
      <c r="E464" s="42" t="inlineStr"/>
      <c r="F464" s="43" t="n">
        <v>16338</v>
      </c>
      <c r="G464" s="43" t="n">
        <v>38398</v>
      </c>
      <c r="H464" s="43" t="n">
        <v>55435</v>
      </c>
      <c r="I464" s="43" t="n">
        <v>16367</v>
      </c>
      <c r="J464" s="43" t="n">
        <v>35482</v>
      </c>
      <c r="K464" s="42" t="inlineStr">
        <is>
          <t>Governor</t>
        </is>
      </c>
      <c r="L464" s="43" t="n">
        <v>15983</v>
      </c>
      <c r="M464" s="43" t="n">
        <v>26940</v>
      </c>
      <c r="N464" s="43" t="n">
        <v>43867</v>
      </c>
      <c r="O464" s="44">
        <f>IFERROR((F464-G464)/(F464+G464),"")</f>
        <v/>
      </c>
      <c r="P464" s="44">
        <f>IFERROR((I464-J464)/(I464+J464),"")</f>
        <v/>
      </c>
      <c r="Q464" s="45">
        <f>IFERROR(O464-P464,"")</f>
        <v/>
      </c>
      <c r="R464" s="44">
        <f>IFERROR((L464-M464)/(L464+M464),"")</f>
        <v/>
      </c>
      <c r="S464" s="46">
        <f>H464/SUMIFS(Counties!$H$2:$H$1583,Counties!$A$2:$A$1583,$A464)</f>
        <v/>
      </c>
      <c r="T464" s="44">
        <f>O464+INDEX(Dashboard!$F$6:$F$22,MATCH($A464,Dashboard!$A$6:$A$22,0))</f>
        <v/>
      </c>
      <c r="U464" s="43">
        <f>AQ464*INDEX(Dashboard!$G$6:$G$22,MATCH($A464,Dashboard!$A$6:$A$22,0))</f>
        <v/>
      </c>
      <c r="V464" s="47" t="n"/>
      <c r="W464" s="47" t="n"/>
      <c r="X464" s="47" t="n"/>
      <c r="Y464" s="48" t="n"/>
      <c r="Z464" s="49" t="n"/>
      <c r="AA464" s="49" t="n"/>
      <c r="AB464" s="49" t="n"/>
      <c r="AC464" s="50" t="n"/>
      <c r="AD464" s="43">
        <f>IF(Z464&lt;&gt;"",Z464,N(V464))</f>
        <v/>
      </c>
      <c r="AE464" s="43">
        <f>IF(AA464&lt;&gt;"",AA464,N(W464))</f>
        <v/>
      </c>
      <c r="AF464" s="43">
        <f>AD464+AE464</f>
        <v/>
      </c>
      <c r="AG464" s="42">
        <f>IF(UPPER(AC464)="Y",1,IF(AF464=0,0,IF(AND(Z464="",Y464&lt;&gt;""),IF(Y464&gt;=0.999,1,0),IF(AF464&gt;=U464,1,0))))</f>
        <v/>
      </c>
      <c r="AH464" s="44">
        <f>IF(AF464&gt;0,(AD464-AE464)/AF464,"")</f>
        <v/>
      </c>
      <c r="AI464" s="45">
        <f>IF(AG464=1,AH464-O464,"")</f>
        <v/>
      </c>
      <c r="AJ464" s="44">
        <f>IF(AG464=1,AH464,MAX(-1,MIN(1,O464+INDEX(Types!$H:$H,MATCH($A464&amp;"|"&amp;$D464,Types!$A:$A,0)))))</f>
        <v/>
      </c>
      <c r="AK464" s="43">
        <f>IF(AG464=1,AF464,MAX(AQ464*AS464,AF464))</f>
        <v/>
      </c>
      <c r="AL464" s="43">
        <f>IF(AG464=1,AD464,AK464*(1+AJ464)/2)</f>
        <v/>
      </c>
      <c r="AM464" s="43">
        <f>IF(AG464=1,AE464,AK464*(1-AJ464)/2)</f>
        <v/>
      </c>
      <c r="AN464" s="45">
        <f>IF(AH464="","",AH464-T464)</f>
        <v/>
      </c>
      <c r="AO464" s="51">
        <f>IF(AG464=1,1,IF(U464&gt;0,MIN(AF464/U464,0.99),0))</f>
        <v/>
      </c>
      <c r="AP464" s="43">
        <f>IF(AG464=1,AI464*AF464,0)</f>
        <v/>
      </c>
      <c r="AQ464" s="43">
        <f>N464*(F464+G464)/H464</f>
        <v/>
      </c>
      <c r="AR464" s="43">
        <f>O464*AQ464</f>
        <v/>
      </c>
      <c r="AS464" s="52">
        <f>IF(AG464=1,IF(AQ464&gt;0,AF464/AQ464,1),IFERROR(INDEX(Types!$K:$K,MATCH($A464&amp;"|"&amp;$D464,Types!$A:$A,0)),INDEX(Dashboard!$X$6:$X$22,MATCH($A464,Dashboard!$A$6:$A$22,0))))</f>
        <v/>
      </c>
      <c r="AT464" s="43">
        <f>AQ464*INDEX(Dashboard!$Y$6:$Y$22,MATCH($A464,Dashboard!$A$6:$A$22,0))</f>
        <v/>
      </c>
      <c r="AU464" s="53">
        <f>IF(AND(AG464=1,AT464&gt;0,AF464&gt;0),100*AF464/AT464,"")</f>
        <v/>
      </c>
      <c r="AV464" s="44">
        <f>IF(AU464="","",T464/(AU464/100))</f>
        <v/>
      </c>
      <c r="AW464" s="53">
        <f>IF(AU464="","",IF(AND(ABS(AH464)&gt;=0.1,ABS(T464)&gt;=0.05,SIGN(AH464)=SIGN(T464)),100*T464/AH464,""))</f>
        <v/>
      </c>
      <c r="AX464" s="45">
        <f>IF(AU464="","",T464-AV464)</f>
        <v/>
      </c>
      <c r="AY464" s="45">
        <f>IF(AU464="","",AH464-AV464)</f>
        <v/>
      </c>
      <c r="AZ464" s="54">
        <f>(AL464-AM464)-T464*AT464</f>
        <v/>
      </c>
      <c r="BA464" s="43">
        <f>IF(AU464="",0,(AH464-T464)*AF464)</f>
        <v/>
      </c>
      <c r="BB464" s="43">
        <f>IF(AU464="",0,T464*(AF464-AT464))</f>
        <v/>
      </c>
      <c r="BC464" s="51" t="n">
        <v>0.01390246917742788</v>
      </c>
      <c r="BD464" s="51" t="n">
        <v>0.05200220281645818</v>
      </c>
      <c r="BE464" s="51" t="n">
        <v>0.198043284909576</v>
      </c>
      <c r="BF464" s="43" t="n">
        <v>88977</v>
      </c>
    </row>
    <row r="465">
      <c r="A465" s="42" t="inlineStr">
        <is>
          <t>MI</t>
        </is>
      </c>
      <c r="B465" s="42" t="inlineStr">
        <is>
          <t>26089</t>
        </is>
      </c>
      <c r="C465" s="42" t="inlineStr">
        <is>
          <t>Leelanau</t>
        </is>
      </c>
      <c r="D465" s="42" t="inlineStr">
        <is>
          <t>Small town &amp; rural</t>
        </is>
      </c>
      <c r="E465" s="42" t="inlineStr"/>
      <c r="F465" s="43" t="n">
        <v>9406</v>
      </c>
      <c r="G465" s="43" t="n">
        <v>8035</v>
      </c>
      <c r="H465" s="43" t="n">
        <v>17680</v>
      </c>
      <c r="I465" s="43" t="n">
        <v>8795</v>
      </c>
      <c r="J465" s="43" t="n">
        <v>7916</v>
      </c>
      <c r="K465" s="42" t="inlineStr">
        <is>
          <t>Governor</t>
        </is>
      </c>
      <c r="L465" s="43" t="n">
        <v>8540</v>
      </c>
      <c r="M465" s="43" t="n">
        <v>6752</v>
      </c>
      <c r="N465" s="43" t="n">
        <v>15474</v>
      </c>
      <c r="O465" s="44">
        <f>IFERROR((F465-G465)/(F465+G465),"")</f>
        <v/>
      </c>
      <c r="P465" s="44">
        <f>IFERROR((I465-J465)/(I465+J465),"")</f>
        <v/>
      </c>
      <c r="Q465" s="45">
        <f>IFERROR(O465-P465,"")</f>
        <v/>
      </c>
      <c r="R465" s="44">
        <f>IFERROR((L465-M465)/(L465+M465),"")</f>
        <v/>
      </c>
      <c r="S465" s="46">
        <f>H465/SUMIFS(Counties!$H$2:$H$1583,Counties!$A$2:$A$1583,$A465)</f>
        <v/>
      </c>
      <c r="T465" s="44">
        <f>O465+INDEX(Dashboard!$F$6:$F$22,MATCH($A465,Dashboard!$A$6:$A$22,0))</f>
        <v/>
      </c>
      <c r="U465" s="43">
        <f>AQ465*INDEX(Dashboard!$G$6:$G$22,MATCH($A465,Dashboard!$A$6:$A$22,0))</f>
        <v/>
      </c>
      <c r="V465" s="47" t="n"/>
      <c r="W465" s="47" t="n"/>
      <c r="X465" s="47" t="n"/>
      <c r="Y465" s="48" t="n"/>
      <c r="Z465" s="49" t="n"/>
      <c r="AA465" s="49" t="n"/>
      <c r="AB465" s="49" t="n"/>
      <c r="AC465" s="50" t="n"/>
      <c r="AD465" s="43">
        <f>IF(Z465&lt;&gt;"",Z465,N(V465))</f>
        <v/>
      </c>
      <c r="AE465" s="43">
        <f>IF(AA465&lt;&gt;"",AA465,N(W465))</f>
        <v/>
      </c>
      <c r="AF465" s="43">
        <f>AD465+AE465</f>
        <v/>
      </c>
      <c r="AG465" s="42">
        <f>IF(UPPER(AC465)="Y",1,IF(AF465=0,0,IF(AND(Z465="",Y465&lt;&gt;""),IF(Y465&gt;=0.999,1,0),IF(AF465&gt;=U465,1,0))))</f>
        <v/>
      </c>
      <c r="AH465" s="44">
        <f>IF(AF465&gt;0,(AD465-AE465)/AF465,"")</f>
        <v/>
      </c>
      <c r="AI465" s="45">
        <f>IF(AG465=1,AH465-O465,"")</f>
        <v/>
      </c>
      <c r="AJ465" s="44">
        <f>IF(AG465=1,AH465,MAX(-1,MIN(1,O465+INDEX(Types!$H:$H,MATCH($A465&amp;"|"&amp;$D465,Types!$A:$A,0)))))</f>
        <v/>
      </c>
      <c r="AK465" s="43">
        <f>IF(AG465=1,AF465,MAX(AQ465*AS465,AF465))</f>
        <v/>
      </c>
      <c r="AL465" s="43">
        <f>IF(AG465=1,AD465,AK465*(1+AJ465)/2)</f>
        <v/>
      </c>
      <c r="AM465" s="43">
        <f>IF(AG465=1,AE465,AK465*(1-AJ465)/2)</f>
        <v/>
      </c>
      <c r="AN465" s="45">
        <f>IF(AH465="","",AH465-T465)</f>
        <v/>
      </c>
      <c r="AO465" s="51">
        <f>IF(AG465=1,1,IF(U465&gt;0,MIN(AF465/U465,0.99),0))</f>
        <v/>
      </c>
      <c r="AP465" s="43">
        <f>IF(AG465=1,AI465*AF465,0)</f>
        <v/>
      </c>
      <c r="AQ465" s="43">
        <f>N465*(F465+G465)/H465</f>
        <v/>
      </c>
      <c r="AR465" s="43">
        <f>O465*AQ465</f>
        <v/>
      </c>
      <c r="AS465" s="52">
        <f>IF(AG465=1,IF(AQ465&gt;0,AF465/AQ465,1),IFERROR(INDEX(Types!$K:$K,MATCH($A465&amp;"|"&amp;$D465,Types!$A:$A,0)),INDEX(Dashboard!$X$6:$X$22,MATCH($A465,Dashboard!$A$6:$A$22,0))))</f>
        <v/>
      </c>
      <c r="AT465" s="43">
        <f>AQ465*INDEX(Dashboard!$Y$6:$Y$22,MATCH($A465,Dashboard!$A$6:$A$22,0))</f>
        <v/>
      </c>
      <c r="AU465" s="53">
        <f>IF(AND(AG465=1,AT465&gt;0,AF465&gt;0),100*AF465/AT465,"")</f>
        <v/>
      </c>
      <c r="AV465" s="44">
        <f>IF(AU465="","",T465/(AU465/100))</f>
        <v/>
      </c>
      <c r="AW465" s="53">
        <f>IF(AU465="","",IF(AND(ABS(AH465)&gt;=0.1,ABS(T465)&gt;=0.05,SIGN(AH465)=SIGN(T465)),100*T465/AH465,""))</f>
        <v/>
      </c>
      <c r="AX465" s="45">
        <f>IF(AU465="","",T465-AV465)</f>
        <v/>
      </c>
      <c r="AY465" s="45">
        <f>IF(AU465="","",AH465-AV465)</f>
        <v/>
      </c>
      <c r="AZ465" s="54">
        <f>(AL465-AM465)-T465*AT465</f>
        <v/>
      </c>
      <c r="BA465" s="43">
        <f>IF(AU465="",0,(AH465-T465)*AF465)</f>
        <v/>
      </c>
      <c r="BB465" s="43">
        <f>IF(AU465="",0,T465*(AF465-AT465))</f>
        <v/>
      </c>
      <c r="BC465" s="51" t="n">
        <v>0.005734393327251401</v>
      </c>
      <c r="BD465" s="51" t="n">
        <v>0.04357270081237239</v>
      </c>
      <c r="BE465" s="51" t="n">
        <v>0.4989339019189765</v>
      </c>
      <c r="BF465" s="43" t="n">
        <v>23019</v>
      </c>
    </row>
    <row r="466">
      <c r="A466" s="42" t="inlineStr">
        <is>
          <t>MI</t>
        </is>
      </c>
      <c r="B466" s="42" t="inlineStr">
        <is>
          <t>26091</t>
        </is>
      </c>
      <c r="C466" s="42" t="inlineStr">
        <is>
          <t>Lenawee</t>
        </is>
      </c>
      <c r="D466" s="42" t="inlineStr">
        <is>
          <t>Small town &amp; rural</t>
        </is>
      </c>
      <c r="E466" s="42" t="inlineStr"/>
      <c r="F466" s="43" t="n">
        <v>20787</v>
      </c>
      <c r="G466" s="43" t="n">
        <v>33463</v>
      </c>
      <c r="H466" s="43" t="n">
        <v>55012</v>
      </c>
      <c r="I466" s="43" t="n">
        <v>20918</v>
      </c>
      <c r="J466" s="43" t="n">
        <v>31541</v>
      </c>
      <c r="K466" s="42" t="inlineStr">
        <is>
          <t>Governor</t>
        </is>
      </c>
      <c r="L466" s="43" t="n">
        <v>18248</v>
      </c>
      <c r="M466" s="43" t="n">
        <v>23796</v>
      </c>
      <c r="N466" s="43" t="n">
        <v>42897</v>
      </c>
      <c r="O466" s="44">
        <f>IFERROR((F466-G466)/(F466+G466),"")</f>
        <v/>
      </c>
      <c r="P466" s="44">
        <f>IFERROR((I466-J466)/(I466+J466),"")</f>
        <v/>
      </c>
      <c r="Q466" s="45">
        <f>IFERROR(O466-P466,"")</f>
        <v/>
      </c>
      <c r="R466" s="44">
        <f>IFERROR((L466-M466)/(L466+M466),"")</f>
        <v/>
      </c>
      <c r="S466" s="46">
        <f>H466/SUMIFS(Counties!$H$2:$H$1583,Counties!$A$2:$A$1583,$A466)</f>
        <v/>
      </c>
      <c r="T466" s="44">
        <f>O466+INDEX(Dashboard!$F$6:$F$22,MATCH($A466,Dashboard!$A$6:$A$22,0))</f>
        <v/>
      </c>
      <c r="U466" s="43">
        <f>AQ466*INDEX(Dashboard!$G$6:$G$22,MATCH($A466,Dashboard!$A$6:$A$22,0))</f>
        <v/>
      </c>
      <c r="V466" s="47" t="n"/>
      <c r="W466" s="47" t="n"/>
      <c r="X466" s="47" t="n"/>
      <c r="Y466" s="48" t="n"/>
      <c r="Z466" s="49" t="n"/>
      <c r="AA466" s="49" t="n"/>
      <c r="AB466" s="49" t="n"/>
      <c r="AC466" s="50" t="n"/>
      <c r="AD466" s="43">
        <f>IF(Z466&lt;&gt;"",Z466,N(V466))</f>
        <v/>
      </c>
      <c r="AE466" s="43">
        <f>IF(AA466&lt;&gt;"",AA466,N(W466))</f>
        <v/>
      </c>
      <c r="AF466" s="43">
        <f>AD466+AE466</f>
        <v/>
      </c>
      <c r="AG466" s="42">
        <f>IF(UPPER(AC466)="Y",1,IF(AF466=0,0,IF(AND(Z466="",Y466&lt;&gt;""),IF(Y466&gt;=0.999,1,0),IF(AF466&gt;=U466,1,0))))</f>
        <v/>
      </c>
      <c r="AH466" s="44">
        <f>IF(AF466&gt;0,(AD466-AE466)/AF466,"")</f>
        <v/>
      </c>
      <c r="AI466" s="45">
        <f>IF(AG466=1,AH466-O466,"")</f>
        <v/>
      </c>
      <c r="AJ466" s="44">
        <f>IF(AG466=1,AH466,MAX(-1,MIN(1,O466+INDEX(Types!$H:$H,MATCH($A466&amp;"|"&amp;$D466,Types!$A:$A,0)))))</f>
        <v/>
      </c>
      <c r="AK466" s="43">
        <f>IF(AG466=1,AF466,MAX(AQ466*AS466,AF466))</f>
        <v/>
      </c>
      <c r="AL466" s="43">
        <f>IF(AG466=1,AD466,AK466*(1+AJ466)/2)</f>
        <v/>
      </c>
      <c r="AM466" s="43">
        <f>IF(AG466=1,AE466,AK466*(1-AJ466)/2)</f>
        <v/>
      </c>
      <c r="AN466" s="45">
        <f>IF(AH466="","",AH466-T466)</f>
        <v/>
      </c>
      <c r="AO466" s="51">
        <f>IF(AG466=1,1,IF(U466&gt;0,MIN(AF466/U466,0.99),0))</f>
        <v/>
      </c>
      <c r="AP466" s="43">
        <f>IF(AG466=1,AI466*AF466,0)</f>
        <v/>
      </c>
      <c r="AQ466" s="43">
        <f>N466*(F466+G466)/H466</f>
        <v/>
      </c>
      <c r="AR466" s="43">
        <f>O466*AQ466</f>
        <v/>
      </c>
      <c r="AS466" s="52">
        <f>IF(AG466=1,IF(AQ466&gt;0,AF466/AQ466,1),IFERROR(INDEX(Types!$K:$K,MATCH($A466&amp;"|"&amp;$D466,Types!$A:$A,0)),INDEX(Dashboard!$X$6:$X$22,MATCH($A466,Dashboard!$A$6:$A$22,0))))</f>
        <v/>
      </c>
      <c r="AT466" s="43">
        <f>AQ466*INDEX(Dashboard!$Y$6:$Y$22,MATCH($A466,Dashboard!$A$6:$A$22,0))</f>
        <v/>
      </c>
      <c r="AU466" s="53">
        <f>IF(AND(AG466=1,AT466&gt;0,AF466&gt;0),100*AF466/AT466,"")</f>
        <v/>
      </c>
      <c r="AV466" s="44">
        <f>IF(AU466="","",T466/(AU466/100))</f>
        <v/>
      </c>
      <c r="AW466" s="53">
        <f>IF(AU466="","",IF(AND(ABS(AH466)&gt;=0.1,ABS(T466)&gt;=0.05,SIGN(AH466)=SIGN(T466)),100*T466/AH466,""))</f>
        <v/>
      </c>
      <c r="AX466" s="45">
        <f>IF(AU466="","",T466-AV466)</f>
        <v/>
      </c>
      <c r="AY466" s="45">
        <f>IF(AU466="","",AH466-AV466)</f>
        <v/>
      </c>
      <c r="AZ466" s="54">
        <f>(AL466-AM466)-T466*AT466</f>
        <v/>
      </c>
      <c r="BA466" s="43">
        <f>IF(AU466="",0,(AH466-T466)*AF466)</f>
        <v/>
      </c>
      <c r="BB466" s="43">
        <f>IF(AU466="",0,T466*(AF466-AT466))</f>
        <v/>
      </c>
      <c r="BC466" s="51" t="n">
        <v>0.02253896636587367</v>
      </c>
      <c r="BD466" s="51" t="n">
        <v>0.0911402789171452</v>
      </c>
      <c r="BE466" s="51" t="n">
        <v>0.2227321115171045</v>
      </c>
      <c r="BF466" s="43" t="n">
        <v>97520</v>
      </c>
    </row>
    <row r="467">
      <c r="A467" s="42" t="inlineStr">
        <is>
          <t>MI</t>
        </is>
      </c>
      <c r="B467" s="42" t="inlineStr">
        <is>
          <t>26093</t>
        </is>
      </c>
      <c r="C467" s="42" t="inlineStr">
        <is>
          <t>Livingston</t>
        </is>
      </c>
      <c r="D467" s="42" t="inlineStr">
        <is>
          <t>Mid-size/working metro</t>
        </is>
      </c>
      <c r="E467" s="42" t="inlineStr">
        <is>
          <t>★</t>
        </is>
      </c>
      <c r="F467" s="43" t="n">
        <v>49503</v>
      </c>
      <c r="G467" s="43" t="n">
        <v>81217</v>
      </c>
      <c r="H467" s="43" t="n">
        <v>132402</v>
      </c>
      <c r="I467" s="43" t="n">
        <v>48220</v>
      </c>
      <c r="J467" s="43" t="n">
        <v>76982</v>
      </c>
      <c r="K467" s="42" t="inlineStr">
        <is>
          <t>Governor</t>
        </is>
      </c>
      <c r="L467" s="43" t="n">
        <v>46524</v>
      </c>
      <c r="M467" s="43" t="n">
        <v>60494</v>
      </c>
      <c r="N467" s="43" t="n">
        <v>108839</v>
      </c>
      <c r="O467" s="44">
        <f>IFERROR((F467-G467)/(F467+G467),"")</f>
        <v/>
      </c>
      <c r="P467" s="44">
        <f>IFERROR((I467-J467)/(I467+J467),"")</f>
        <v/>
      </c>
      <c r="Q467" s="45">
        <f>IFERROR(O467-P467,"")</f>
        <v/>
      </c>
      <c r="R467" s="44">
        <f>IFERROR((L467-M467)/(L467+M467),"")</f>
        <v/>
      </c>
      <c r="S467" s="46">
        <f>H467/SUMIFS(Counties!$H$2:$H$1583,Counties!$A$2:$A$1583,$A467)</f>
        <v/>
      </c>
      <c r="T467" s="44">
        <f>O467+INDEX(Dashboard!$F$6:$F$22,MATCH($A467,Dashboard!$A$6:$A$22,0))</f>
        <v/>
      </c>
      <c r="U467" s="43">
        <f>AQ467*INDEX(Dashboard!$G$6:$G$22,MATCH($A467,Dashboard!$A$6:$A$22,0))</f>
        <v/>
      </c>
      <c r="V467" s="47" t="n"/>
      <c r="W467" s="47" t="n"/>
      <c r="X467" s="47" t="n"/>
      <c r="Y467" s="48" t="n"/>
      <c r="Z467" s="49" t="n"/>
      <c r="AA467" s="49" t="n"/>
      <c r="AB467" s="49" t="n"/>
      <c r="AC467" s="50" t="n"/>
      <c r="AD467" s="43">
        <f>IF(Z467&lt;&gt;"",Z467,N(V467))</f>
        <v/>
      </c>
      <c r="AE467" s="43">
        <f>IF(AA467&lt;&gt;"",AA467,N(W467))</f>
        <v/>
      </c>
      <c r="AF467" s="43">
        <f>AD467+AE467</f>
        <v/>
      </c>
      <c r="AG467" s="42">
        <f>IF(UPPER(AC467)="Y",1,IF(AF467=0,0,IF(AND(Z467="",Y467&lt;&gt;""),IF(Y467&gt;=0.999,1,0),IF(AF467&gt;=U467,1,0))))</f>
        <v/>
      </c>
      <c r="AH467" s="44">
        <f>IF(AF467&gt;0,(AD467-AE467)/AF467,"")</f>
        <v/>
      </c>
      <c r="AI467" s="45">
        <f>IF(AG467=1,AH467-O467,"")</f>
        <v/>
      </c>
      <c r="AJ467" s="44">
        <f>IF(AG467=1,AH467,MAX(-1,MIN(1,O467+INDEX(Types!$H:$H,MATCH($A467&amp;"|"&amp;$D467,Types!$A:$A,0)))))</f>
        <v/>
      </c>
      <c r="AK467" s="43">
        <f>IF(AG467=1,AF467,MAX(AQ467*AS467,AF467))</f>
        <v/>
      </c>
      <c r="AL467" s="43">
        <f>IF(AG467=1,AD467,AK467*(1+AJ467)/2)</f>
        <v/>
      </c>
      <c r="AM467" s="43">
        <f>IF(AG467=1,AE467,AK467*(1-AJ467)/2)</f>
        <v/>
      </c>
      <c r="AN467" s="45">
        <f>IF(AH467="","",AH467-T467)</f>
        <v/>
      </c>
      <c r="AO467" s="51">
        <f>IF(AG467=1,1,IF(U467&gt;0,MIN(AF467/U467,0.99),0))</f>
        <v/>
      </c>
      <c r="AP467" s="43">
        <f>IF(AG467=1,AI467*AF467,0)</f>
        <v/>
      </c>
      <c r="AQ467" s="43">
        <f>N467*(F467+G467)/H467</f>
        <v/>
      </c>
      <c r="AR467" s="43">
        <f>O467*AQ467</f>
        <v/>
      </c>
      <c r="AS467" s="52">
        <f>IF(AG467=1,IF(AQ467&gt;0,AF467/AQ467,1),IFERROR(INDEX(Types!$K:$K,MATCH($A467&amp;"|"&amp;$D467,Types!$A:$A,0)),INDEX(Dashboard!$X$6:$X$22,MATCH($A467,Dashboard!$A$6:$A$22,0))))</f>
        <v/>
      </c>
      <c r="AT467" s="43">
        <f>AQ467*INDEX(Dashboard!$Y$6:$Y$22,MATCH($A467,Dashboard!$A$6:$A$22,0))</f>
        <v/>
      </c>
      <c r="AU467" s="53">
        <f>IF(AND(AG467=1,AT467&gt;0,AF467&gt;0),100*AF467/AT467,"")</f>
        <v/>
      </c>
      <c r="AV467" s="44">
        <f>IF(AU467="","",T467/(AU467/100))</f>
        <v/>
      </c>
      <c r="AW467" s="53">
        <f>IF(AU467="","",IF(AND(ABS(AH467)&gt;=0.1,ABS(T467)&gt;=0.05,SIGN(AH467)=SIGN(T467)),100*T467/AH467,""))</f>
        <v/>
      </c>
      <c r="AX467" s="45">
        <f>IF(AU467="","",T467-AV467)</f>
        <v/>
      </c>
      <c r="AY467" s="45">
        <f>IF(AU467="","",AH467-AV467)</f>
        <v/>
      </c>
      <c r="AZ467" s="54">
        <f>(AL467-AM467)-T467*AT467</f>
        <v/>
      </c>
      <c r="BA467" s="43">
        <f>IF(AU467="",0,(AH467-T467)*AF467)</f>
        <v/>
      </c>
      <c r="BB467" s="43">
        <f>IF(AU467="",0,T467*(AF467-AT467))</f>
        <v/>
      </c>
      <c r="BC467" s="51" t="n">
        <v>0.006876502487840331</v>
      </c>
      <c r="BD467" s="51" t="n">
        <v>0.02947798553545744</v>
      </c>
      <c r="BE467" s="51" t="n">
        <v>0.3920047476726394</v>
      </c>
      <c r="BF467" s="43" t="n">
        <v>196757</v>
      </c>
    </row>
    <row r="468">
      <c r="A468" s="42" t="inlineStr">
        <is>
          <t>MI</t>
        </is>
      </c>
      <c r="B468" s="42" t="inlineStr">
        <is>
          <t>26095</t>
        </is>
      </c>
      <c r="C468" s="42" t="inlineStr">
        <is>
          <t>Luce</t>
        </is>
      </c>
      <c r="D468" s="42" t="inlineStr">
        <is>
          <t>Small town &amp; rural</t>
        </is>
      </c>
      <c r="E468" s="42" t="inlineStr"/>
      <c r="F468" s="43" t="n">
        <v>769</v>
      </c>
      <c r="G468" s="43" t="n">
        <v>2170</v>
      </c>
      <c r="H468" s="43" t="n">
        <v>2985</v>
      </c>
      <c r="I468" s="43" t="n">
        <v>842</v>
      </c>
      <c r="J468" s="43" t="n">
        <v>2109</v>
      </c>
      <c r="K468" s="42" t="inlineStr">
        <is>
          <t>Governor</t>
        </is>
      </c>
      <c r="L468" s="43" t="n">
        <v>786</v>
      </c>
      <c r="M468" s="43" t="n">
        <v>1520</v>
      </c>
      <c r="N468" s="43" t="n">
        <v>2366</v>
      </c>
      <c r="O468" s="44">
        <f>IFERROR((F468-G468)/(F468+G468),"")</f>
        <v/>
      </c>
      <c r="P468" s="44">
        <f>IFERROR((I468-J468)/(I468+J468),"")</f>
        <v/>
      </c>
      <c r="Q468" s="45">
        <f>IFERROR(O468-P468,"")</f>
        <v/>
      </c>
      <c r="R468" s="44">
        <f>IFERROR((L468-M468)/(L468+M468),"")</f>
        <v/>
      </c>
      <c r="S468" s="46">
        <f>H468/SUMIFS(Counties!$H$2:$H$1583,Counties!$A$2:$A$1583,$A468)</f>
        <v/>
      </c>
      <c r="T468" s="44">
        <f>O468+INDEX(Dashboard!$F$6:$F$22,MATCH($A468,Dashboard!$A$6:$A$22,0))</f>
        <v/>
      </c>
      <c r="U468" s="43">
        <f>AQ468*INDEX(Dashboard!$G$6:$G$22,MATCH($A468,Dashboard!$A$6:$A$22,0))</f>
        <v/>
      </c>
      <c r="V468" s="47" t="n"/>
      <c r="W468" s="47" t="n"/>
      <c r="X468" s="47" t="n"/>
      <c r="Y468" s="48" t="n"/>
      <c r="Z468" s="49" t="n"/>
      <c r="AA468" s="49" t="n"/>
      <c r="AB468" s="49" t="n"/>
      <c r="AC468" s="50" t="n"/>
      <c r="AD468" s="43">
        <f>IF(Z468&lt;&gt;"",Z468,N(V468))</f>
        <v/>
      </c>
      <c r="AE468" s="43">
        <f>IF(AA468&lt;&gt;"",AA468,N(W468))</f>
        <v/>
      </c>
      <c r="AF468" s="43">
        <f>AD468+AE468</f>
        <v/>
      </c>
      <c r="AG468" s="42">
        <f>IF(UPPER(AC468)="Y",1,IF(AF468=0,0,IF(AND(Z468="",Y468&lt;&gt;""),IF(Y468&gt;=0.999,1,0),IF(AF468&gt;=U468,1,0))))</f>
        <v/>
      </c>
      <c r="AH468" s="44">
        <f>IF(AF468&gt;0,(AD468-AE468)/AF468,"")</f>
        <v/>
      </c>
      <c r="AI468" s="45">
        <f>IF(AG468=1,AH468-O468,"")</f>
        <v/>
      </c>
      <c r="AJ468" s="44">
        <f>IF(AG468=1,AH468,MAX(-1,MIN(1,O468+INDEX(Types!$H:$H,MATCH($A468&amp;"|"&amp;$D468,Types!$A:$A,0)))))</f>
        <v/>
      </c>
      <c r="AK468" s="43">
        <f>IF(AG468=1,AF468,MAX(AQ468*AS468,AF468))</f>
        <v/>
      </c>
      <c r="AL468" s="43">
        <f>IF(AG468=1,AD468,AK468*(1+AJ468)/2)</f>
        <v/>
      </c>
      <c r="AM468" s="43">
        <f>IF(AG468=1,AE468,AK468*(1-AJ468)/2)</f>
        <v/>
      </c>
      <c r="AN468" s="45">
        <f>IF(AH468="","",AH468-T468)</f>
        <v/>
      </c>
      <c r="AO468" s="51">
        <f>IF(AG468=1,1,IF(U468&gt;0,MIN(AF468/U468,0.99),0))</f>
        <v/>
      </c>
      <c r="AP468" s="43">
        <f>IF(AG468=1,AI468*AF468,0)</f>
        <v/>
      </c>
      <c r="AQ468" s="43">
        <f>N468*(F468+G468)/H468</f>
        <v/>
      </c>
      <c r="AR468" s="43">
        <f>O468*AQ468</f>
        <v/>
      </c>
      <c r="AS468" s="52">
        <f>IF(AG468=1,IF(AQ468&gt;0,AF468/AQ468,1),IFERROR(INDEX(Types!$K:$K,MATCH($A468&amp;"|"&amp;$D468,Types!$A:$A,0)),INDEX(Dashboard!$X$6:$X$22,MATCH($A468,Dashboard!$A$6:$A$22,0))))</f>
        <v/>
      </c>
      <c r="AT468" s="43">
        <f>AQ468*INDEX(Dashboard!$Y$6:$Y$22,MATCH($A468,Dashboard!$A$6:$A$22,0))</f>
        <v/>
      </c>
      <c r="AU468" s="53">
        <f>IF(AND(AG468=1,AT468&gt;0,AF468&gt;0),100*AF468/AT468,"")</f>
        <v/>
      </c>
      <c r="AV468" s="44">
        <f>IF(AU468="","",T468/(AU468/100))</f>
        <v/>
      </c>
      <c r="AW468" s="53">
        <f>IF(AU468="","",IF(AND(ABS(AH468)&gt;=0.1,ABS(T468)&gt;=0.05,SIGN(AH468)=SIGN(T468)),100*T468/AH468,""))</f>
        <v/>
      </c>
      <c r="AX468" s="45">
        <f>IF(AU468="","",T468-AV468)</f>
        <v/>
      </c>
      <c r="AY468" s="45">
        <f>IF(AU468="","",AH468-AV468)</f>
        <v/>
      </c>
      <c r="AZ468" s="54">
        <f>(AL468-AM468)-T468*AT468</f>
        <v/>
      </c>
      <c r="BA468" s="43">
        <f>IF(AU468="",0,(AH468-T468)*AF468)</f>
        <v/>
      </c>
      <c r="BB468" s="43">
        <f>IF(AU468="",0,T468*(AF468-AT468))</f>
        <v/>
      </c>
      <c r="BC468" s="51" t="n">
        <v>0.1305361305361305</v>
      </c>
      <c r="BD468" s="51" t="n">
        <v>0.02082362082362083</v>
      </c>
      <c r="BE468" s="51" t="n">
        <v>0.1931374563386069</v>
      </c>
      <c r="BF468" s="43" t="n">
        <v>6435</v>
      </c>
    </row>
    <row r="469">
      <c r="A469" s="42" t="inlineStr">
        <is>
          <t>MI</t>
        </is>
      </c>
      <c r="B469" s="42" t="inlineStr">
        <is>
          <t>26097</t>
        </is>
      </c>
      <c r="C469" s="42" t="inlineStr">
        <is>
          <t>Mackinac</t>
        </is>
      </c>
      <c r="D469" s="42" t="inlineStr">
        <is>
          <t>Small town &amp; rural</t>
        </is>
      </c>
      <c r="E469" s="42" t="inlineStr"/>
      <c r="F469" s="43" t="n">
        <v>2675</v>
      </c>
      <c r="G469" s="43" t="n">
        <v>4476</v>
      </c>
      <c r="H469" s="43" t="n">
        <v>7238</v>
      </c>
      <c r="I469" s="43" t="n">
        <v>2632</v>
      </c>
      <c r="J469" s="43" t="n">
        <v>4304</v>
      </c>
      <c r="K469" s="42" t="inlineStr">
        <is>
          <t>Governor</t>
        </is>
      </c>
      <c r="L469" s="43" t="n">
        <v>5134</v>
      </c>
      <c r="M469" s="43" t="n">
        <v>6650</v>
      </c>
      <c r="N469" s="43" t="n">
        <v>12006</v>
      </c>
      <c r="O469" s="44">
        <f>IFERROR((F469-G469)/(F469+G469),"")</f>
        <v/>
      </c>
      <c r="P469" s="44">
        <f>IFERROR((I469-J469)/(I469+J469),"")</f>
        <v/>
      </c>
      <c r="Q469" s="45">
        <f>IFERROR(O469-P469,"")</f>
        <v/>
      </c>
      <c r="R469" s="44">
        <f>IFERROR((L469-M469)/(L469+M469),"")</f>
        <v/>
      </c>
      <c r="S469" s="46">
        <f>H469/SUMIFS(Counties!$H$2:$H$1583,Counties!$A$2:$A$1583,$A469)</f>
        <v/>
      </c>
      <c r="T469" s="44">
        <f>O469+INDEX(Dashboard!$F$6:$F$22,MATCH($A469,Dashboard!$A$6:$A$22,0))</f>
        <v/>
      </c>
      <c r="U469" s="43">
        <f>AQ469*INDEX(Dashboard!$G$6:$G$22,MATCH($A469,Dashboard!$A$6:$A$22,0))</f>
        <v/>
      </c>
      <c r="V469" s="47" t="n"/>
      <c r="W469" s="47" t="n"/>
      <c r="X469" s="47" t="n"/>
      <c r="Y469" s="48" t="n"/>
      <c r="Z469" s="49" t="n"/>
      <c r="AA469" s="49" t="n"/>
      <c r="AB469" s="49" t="n"/>
      <c r="AC469" s="50" t="n"/>
      <c r="AD469" s="43">
        <f>IF(Z469&lt;&gt;"",Z469,N(V469))</f>
        <v/>
      </c>
      <c r="AE469" s="43">
        <f>IF(AA469&lt;&gt;"",AA469,N(W469))</f>
        <v/>
      </c>
      <c r="AF469" s="43">
        <f>AD469+AE469</f>
        <v/>
      </c>
      <c r="AG469" s="42">
        <f>IF(UPPER(AC469)="Y",1,IF(AF469=0,0,IF(AND(Z469="",Y469&lt;&gt;""),IF(Y469&gt;=0.999,1,0),IF(AF469&gt;=U469,1,0))))</f>
        <v/>
      </c>
      <c r="AH469" s="44">
        <f>IF(AF469&gt;0,(AD469-AE469)/AF469,"")</f>
        <v/>
      </c>
      <c r="AI469" s="45">
        <f>IF(AG469=1,AH469-O469,"")</f>
        <v/>
      </c>
      <c r="AJ469" s="44">
        <f>IF(AG469=1,AH469,MAX(-1,MIN(1,O469+INDEX(Types!$H:$H,MATCH($A469&amp;"|"&amp;$D469,Types!$A:$A,0)))))</f>
        <v/>
      </c>
      <c r="AK469" s="43">
        <f>IF(AG469=1,AF469,MAX(AQ469*AS469,AF469))</f>
        <v/>
      </c>
      <c r="AL469" s="43">
        <f>IF(AG469=1,AD469,AK469*(1+AJ469)/2)</f>
        <v/>
      </c>
      <c r="AM469" s="43">
        <f>IF(AG469=1,AE469,AK469*(1-AJ469)/2)</f>
        <v/>
      </c>
      <c r="AN469" s="45">
        <f>IF(AH469="","",AH469-T469)</f>
        <v/>
      </c>
      <c r="AO469" s="51">
        <f>IF(AG469=1,1,IF(U469&gt;0,MIN(AF469/U469,0.99),0))</f>
        <v/>
      </c>
      <c r="AP469" s="43">
        <f>IF(AG469=1,AI469*AF469,0)</f>
        <v/>
      </c>
      <c r="AQ469" s="43">
        <f>N469*(F469+G469)/H469</f>
        <v/>
      </c>
      <c r="AR469" s="43">
        <f>O469*AQ469</f>
        <v/>
      </c>
      <c r="AS469" s="52">
        <f>IF(AG469=1,IF(AQ469&gt;0,AF469/AQ469,1),IFERROR(INDEX(Types!$K:$K,MATCH($A469&amp;"|"&amp;$D469,Types!$A:$A,0)),INDEX(Dashboard!$X$6:$X$22,MATCH($A469,Dashboard!$A$6:$A$22,0))))</f>
        <v/>
      </c>
      <c r="AT469" s="43">
        <f>AQ469*INDEX(Dashboard!$Y$6:$Y$22,MATCH($A469,Dashboard!$A$6:$A$22,0))</f>
        <v/>
      </c>
      <c r="AU469" s="53">
        <f>IF(AND(AG469=1,AT469&gt;0,AF469&gt;0),100*AF469/AT469,"")</f>
        <v/>
      </c>
      <c r="AV469" s="44">
        <f>IF(AU469="","",T469/(AU469/100))</f>
        <v/>
      </c>
      <c r="AW469" s="53">
        <f>IF(AU469="","",IF(AND(ABS(AH469)&gt;=0.1,ABS(T469)&gt;=0.05,SIGN(AH469)=SIGN(T469)),100*T469/AH469,""))</f>
        <v/>
      </c>
      <c r="AX469" s="45">
        <f>IF(AU469="","",T469-AV469)</f>
        <v/>
      </c>
      <c r="AY469" s="45">
        <f>IF(AU469="","",AH469-AV469)</f>
        <v/>
      </c>
      <c r="AZ469" s="54">
        <f>(AL469-AM469)-T469*AT469</f>
        <v/>
      </c>
      <c r="BA469" s="43">
        <f>IF(AU469="",0,(AH469-T469)*AF469)</f>
        <v/>
      </c>
      <c r="BB469" s="43">
        <f>IF(AU469="",0,T469*(AF469-AT469))</f>
        <v/>
      </c>
      <c r="BC469" s="51" t="n">
        <v>0.04110220256197585</v>
      </c>
      <c r="BD469" s="51" t="n">
        <v>0.02617270297668418</v>
      </c>
      <c r="BE469" s="51" t="n">
        <v>0.2346486107868317</v>
      </c>
      <c r="BF469" s="43" t="n">
        <v>10851</v>
      </c>
    </row>
    <row r="470">
      <c r="A470" s="42" t="inlineStr">
        <is>
          <t>MI</t>
        </is>
      </c>
      <c r="B470" s="42" t="inlineStr">
        <is>
          <t>26099</t>
        </is>
      </c>
      <c r="C470" s="42" t="inlineStr">
        <is>
          <t>Macomb</t>
        </is>
      </c>
      <c r="D470" s="42" t="inlineStr">
        <is>
          <t>Big metro core</t>
        </is>
      </c>
      <c r="E470" s="42" t="inlineStr">
        <is>
          <t>★</t>
        </is>
      </c>
      <c r="F470" s="43" t="n">
        <v>214977</v>
      </c>
      <c r="G470" s="43" t="n">
        <v>284660</v>
      </c>
      <c r="H470" s="43" t="n">
        <v>509056</v>
      </c>
      <c r="I470" s="43" t="n">
        <v>223952</v>
      </c>
      <c r="J470" s="43" t="n">
        <v>263863</v>
      </c>
      <c r="K470" s="42" t="inlineStr">
        <is>
          <t>Governor</t>
        </is>
      </c>
      <c r="L470" s="43" t="n">
        <v>199277</v>
      </c>
      <c r="M470" s="43" t="n">
        <v>179258</v>
      </c>
      <c r="N470" s="43" t="n">
        <v>384540</v>
      </c>
      <c r="O470" s="44">
        <f>IFERROR((F470-G470)/(F470+G470),"")</f>
        <v/>
      </c>
      <c r="P470" s="44">
        <f>IFERROR((I470-J470)/(I470+J470),"")</f>
        <v/>
      </c>
      <c r="Q470" s="45">
        <f>IFERROR(O470-P470,"")</f>
        <v/>
      </c>
      <c r="R470" s="44">
        <f>IFERROR((L470-M470)/(L470+M470),"")</f>
        <v/>
      </c>
      <c r="S470" s="46">
        <f>H470/SUMIFS(Counties!$H$2:$H$1583,Counties!$A$2:$A$1583,$A470)</f>
        <v/>
      </c>
      <c r="T470" s="44">
        <f>O470+INDEX(Dashboard!$F$6:$F$22,MATCH($A470,Dashboard!$A$6:$A$22,0))</f>
        <v/>
      </c>
      <c r="U470" s="43">
        <f>AQ470*INDEX(Dashboard!$G$6:$G$22,MATCH($A470,Dashboard!$A$6:$A$22,0))</f>
        <v/>
      </c>
      <c r="V470" s="47" t="n"/>
      <c r="W470" s="47" t="n"/>
      <c r="X470" s="47" t="n"/>
      <c r="Y470" s="48" t="n"/>
      <c r="Z470" s="49" t="n"/>
      <c r="AA470" s="49" t="n"/>
      <c r="AB470" s="49" t="n"/>
      <c r="AC470" s="50" t="n"/>
      <c r="AD470" s="43">
        <f>IF(Z470&lt;&gt;"",Z470,N(V470))</f>
        <v/>
      </c>
      <c r="AE470" s="43">
        <f>IF(AA470&lt;&gt;"",AA470,N(W470))</f>
        <v/>
      </c>
      <c r="AF470" s="43">
        <f>AD470+AE470</f>
        <v/>
      </c>
      <c r="AG470" s="42">
        <f>IF(UPPER(AC470)="Y",1,IF(AF470=0,0,IF(AND(Z470="",Y470&lt;&gt;""),IF(Y470&gt;=0.999,1,0),IF(AF470&gt;=U470,1,0))))</f>
        <v/>
      </c>
      <c r="AH470" s="44">
        <f>IF(AF470&gt;0,(AD470-AE470)/AF470,"")</f>
        <v/>
      </c>
      <c r="AI470" s="45">
        <f>IF(AG470=1,AH470-O470,"")</f>
        <v/>
      </c>
      <c r="AJ470" s="44">
        <f>IF(AG470=1,AH470,MAX(-1,MIN(1,O470+INDEX(Types!$H:$H,MATCH($A470&amp;"|"&amp;$D470,Types!$A:$A,0)))))</f>
        <v/>
      </c>
      <c r="AK470" s="43">
        <f>IF(AG470=1,AF470,MAX(AQ470*AS470,AF470))</f>
        <v/>
      </c>
      <c r="AL470" s="43">
        <f>IF(AG470=1,AD470,AK470*(1+AJ470)/2)</f>
        <v/>
      </c>
      <c r="AM470" s="43">
        <f>IF(AG470=1,AE470,AK470*(1-AJ470)/2)</f>
        <v/>
      </c>
      <c r="AN470" s="45">
        <f>IF(AH470="","",AH470-T470)</f>
        <v/>
      </c>
      <c r="AO470" s="51">
        <f>IF(AG470=1,1,IF(U470&gt;0,MIN(AF470/U470,0.99),0))</f>
        <v/>
      </c>
      <c r="AP470" s="43">
        <f>IF(AG470=1,AI470*AF470,0)</f>
        <v/>
      </c>
      <c r="AQ470" s="43">
        <f>N470*(F470+G470)/H470</f>
        <v/>
      </c>
      <c r="AR470" s="43">
        <f>O470*AQ470</f>
        <v/>
      </c>
      <c r="AS470" s="52">
        <f>IF(AG470=1,IF(AQ470&gt;0,AF470/AQ470,1),IFERROR(INDEX(Types!$K:$K,MATCH($A470&amp;"|"&amp;$D470,Types!$A:$A,0)),INDEX(Dashboard!$X$6:$X$22,MATCH($A470,Dashboard!$A$6:$A$22,0))))</f>
        <v/>
      </c>
      <c r="AT470" s="43">
        <f>AQ470*INDEX(Dashboard!$Y$6:$Y$22,MATCH($A470,Dashboard!$A$6:$A$22,0))</f>
        <v/>
      </c>
      <c r="AU470" s="53">
        <f>IF(AND(AG470=1,AT470&gt;0,AF470&gt;0),100*AF470/AT470,"")</f>
        <v/>
      </c>
      <c r="AV470" s="44">
        <f>IF(AU470="","",T470/(AU470/100))</f>
        <v/>
      </c>
      <c r="AW470" s="53">
        <f>IF(AU470="","",IF(AND(ABS(AH470)&gt;=0.1,ABS(T470)&gt;=0.05,SIGN(AH470)=SIGN(T470)),100*T470/AH470,""))</f>
        <v/>
      </c>
      <c r="AX470" s="45">
        <f>IF(AU470="","",T470-AV470)</f>
        <v/>
      </c>
      <c r="AY470" s="45">
        <f>IF(AU470="","",AH470-AV470)</f>
        <v/>
      </c>
      <c r="AZ470" s="54">
        <f>(AL470-AM470)-T470*AT470</f>
        <v/>
      </c>
      <c r="BA470" s="43">
        <f>IF(AU470="",0,(AH470-T470)*AF470)</f>
        <v/>
      </c>
      <c r="BB470" s="43">
        <f>IF(AU470="",0,T470*(AF470-AT470))</f>
        <v/>
      </c>
      <c r="BC470" s="51" t="n">
        <v>0.1385268671844736</v>
      </c>
      <c r="BD470" s="51" t="n">
        <v>0.03256424115616369</v>
      </c>
      <c r="BE470" s="51" t="n">
        <v>0.2716925613180873</v>
      </c>
      <c r="BF470" s="43" t="n">
        <v>875101</v>
      </c>
    </row>
    <row r="471">
      <c r="A471" s="42" t="inlineStr">
        <is>
          <t>MI</t>
        </is>
      </c>
      <c r="B471" s="42" t="inlineStr">
        <is>
          <t>26101</t>
        </is>
      </c>
      <c r="C471" s="42" t="inlineStr">
        <is>
          <t>Manistee</t>
        </is>
      </c>
      <c r="D471" s="42" t="inlineStr">
        <is>
          <t>Small town &amp; rural</t>
        </is>
      </c>
      <c r="E471" s="42" t="inlineStr"/>
      <c r="F471" s="43" t="n">
        <v>6309</v>
      </c>
      <c r="G471" s="43" t="n">
        <v>8748</v>
      </c>
      <c r="H471" s="43" t="n">
        <v>15296</v>
      </c>
      <c r="I471" s="43" t="n">
        <v>6107</v>
      </c>
      <c r="J471" s="43" t="n">
        <v>8321</v>
      </c>
      <c r="K471" s="42" t="inlineStr">
        <is>
          <t>Governor</t>
        </is>
      </c>
      <c r="L471" s="43" t="n">
        <v>6026</v>
      </c>
      <c r="M471" s="43" t="n">
        <v>6364</v>
      </c>
      <c r="N471" s="43" t="n">
        <v>12646</v>
      </c>
      <c r="O471" s="44">
        <f>IFERROR((F471-G471)/(F471+G471),"")</f>
        <v/>
      </c>
      <c r="P471" s="44">
        <f>IFERROR((I471-J471)/(I471+J471),"")</f>
        <v/>
      </c>
      <c r="Q471" s="45">
        <f>IFERROR(O471-P471,"")</f>
        <v/>
      </c>
      <c r="R471" s="44">
        <f>IFERROR((L471-M471)/(L471+M471),"")</f>
        <v/>
      </c>
      <c r="S471" s="46">
        <f>H471/SUMIFS(Counties!$H$2:$H$1583,Counties!$A$2:$A$1583,$A471)</f>
        <v/>
      </c>
      <c r="T471" s="44">
        <f>O471+INDEX(Dashboard!$F$6:$F$22,MATCH($A471,Dashboard!$A$6:$A$22,0))</f>
        <v/>
      </c>
      <c r="U471" s="43">
        <f>AQ471*INDEX(Dashboard!$G$6:$G$22,MATCH($A471,Dashboard!$A$6:$A$22,0))</f>
        <v/>
      </c>
      <c r="V471" s="47" t="n"/>
      <c r="W471" s="47" t="n"/>
      <c r="X471" s="47" t="n"/>
      <c r="Y471" s="48" t="n"/>
      <c r="Z471" s="49" t="n"/>
      <c r="AA471" s="49" t="n"/>
      <c r="AB471" s="49" t="n"/>
      <c r="AC471" s="50" t="n"/>
      <c r="AD471" s="43">
        <f>IF(Z471&lt;&gt;"",Z471,N(V471))</f>
        <v/>
      </c>
      <c r="AE471" s="43">
        <f>IF(AA471&lt;&gt;"",AA471,N(W471))</f>
        <v/>
      </c>
      <c r="AF471" s="43">
        <f>AD471+AE471</f>
        <v/>
      </c>
      <c r="AG471" s="42">
        <f>IF(UPPER(AC471)="Y",1,IF(AF471=0,0,IF(AND(Z471="",Y471&lt;&gt;""),IF(Y471&gt;=0.999,1,0),IF(AF471&gt;=U471,1,0))))</f>
        <v/>
      </c>
      <c r="AH471" s="44">
        <f>IF(AF471&gt;0,(AD471-AE471)/AF471,"")</f>
        <v/>
      </c>
      <c r="AI471" s="45">
        <f>IF(AG471=1,AH471-O471,"")</f>
        <v/>
      </c>
      <c r="AJ471" s="44">
        <f>IF(AG471=1,AH471,MAX(-1,MIN(1,O471+INDEX(Types!$H:$H,MATCH($A471&amp;"|"&amp;$D471,Types!$A:$A,0)))))</f>
        <v/>
      </c>
      <c r="AK471" s="43">
        <f>IF(AG471=1,AF471,MAX(AQ471*AS471,AF471))</f>
        <v/>
      </c>
      <c r="AL471" s="43">
        <f>IF(AG471=1,AD471,AK471*(1+AJ471)/2)</f>
        <v/>
      </c>
      <c r="AM471" s="43">
        <f>IF(AG471=1,AE471,AK471*(1-AJ471)/2)</f>
        <v/>
      </c>
      <c r="AN471" s="45">
        <f>IF(AH471="","",AH471-T471)</f>
        <v/>
      </c>
      <c r="AO471" s="51">
        <f>IF(AG471=1,1,IF(U471&gt;0,MIN(AF471/U471,0.99),0))</f>
        <v/>
      </c>
      <c r="AP471" s="43">
        <f>IF(AG471=1,AI471*AF471,0)</f>
        <v/>
      </c>
      <c r="AQ471" s="43">
        <f>N471*(F471+G471)/H471</f>
        <v/>
      </c>
      <c r="AR471" s="43">
        <f>O471*AQ471</f>
        <v/>
      </c>
      <c r="AS471" s="52">
        <f>IF(AG471=1,IF(AQ471&gt;0,AF471/AQ471,1),IFERROR(INDEX(Types!$K:$K,MATCH($A471&amp;"|"&amp;$D471,Types!$A:$A,0)),INDEX(Dashboard!$X$6:$X$22,MATCH($A471,Dashboard!$A$6:$A$22,0))))</f>
        <v/>
      </c>
      <c r="AT471" s="43">
        <f>AQ471*INDEX(Dashboard!$Y$6:$Y$22,MATCH($A471,Dashboard!$A$6:$A$22,0))</f>
        <v/>
      </c>
      <c r="AU471" s="53">
        <f>IF(AND(AG471=1,AT471&gt;0,AF471&gt;0),100*AF471/AT471,"")</f>
        <v/>
      </c>
      <c r="AV471" s="44">
        <f>IF(AU471="","",T471/(AU471/100))</f>
        <v/>
      </c>
      <c r="AW471" s="53">
        <f>IF(AU471="","",IF(AND(ABS(AH471)&gt;=0.1,ABS(T471)&gt;=0.05,SIGN(AH471)=SIGN(T471)),100*T471/AH471,""))</f>
        <v/>
      </c>
      <c r="AX471" s="45">
        <f>IF(AU471="","",T471-AV471)</f>
        <v/>
      </c>
      <c r="AY471" s="45">
        <f>IF(AU471="","",AH471-AV471)</f>
        <v/>
      </c>
      <c r="AZ471" s="54">
        <f>(AL471-AM471)-T471*AT471</f>
        <v/>
      </c>
      <c r="BA471" s="43">
        <f>IF(AU471="",0,(AH471-T471)*AF471)</f>
        <v/>
      </c>
      <c r="BB471" s="43">
        <f>IF(AU471="",0,T471*(AF471-AT471))</f>
        <v/>
      </c>
      <c r="BC471" s="51" t="n">
        <v>0.03411313668727017</v>
      </c>
      <c r="BD471" s="51" t="n">
        <v>0.03649949143259526</v>
      </c>
      <c r="BE471" s="51" t="n">
        <v>0.2338918192160513</v>
      </c>
      <c r="BF471" s="43" t="n">
        <v>25562</v>
      </c>
    </row>
    <row r="472">
      <c r="A472" s="42" t="inlineStr">
        <is>
          <t>MI</t>
        </is>
      </c>
      <c r="B472" s="42" t="inlineStr">
        <is>
          <t>26103</t>
        </is>
      </c>
      <c r="C472" s="42" t="inlineStr">
        <is>
          <t>Marquette</t>
        </is>
      </c>
      <c r="D472" s="42" t="inlineStr">
        <is>
          <t>Small town &amp; rural</t>
        </is>
      </c>
      <c r="E472" s="42" t="inlineStr"/>
      <c r="F472" s="43" t="n">
        <v>20866</v>
      </c>
      <c r="G472" s="43" t="n">
        <v>17459</v>
      </c>
      <c r="H472" s="43" t="n">
        <v>38992</v>
      </c>
      <c r="I472" s="43" t="n">
        <v>20465</v>
      </c>
      <c r="J472" s="43" t="n">
        <v>16286</v>
      </c>
      <c r="K472" s="42" t="inlineStr">
        <is>
          <t>Governor</t>
        </is>
      </c>
      <c r="L472" s="43" t="n">
        <v>18880</v>
      </c>
      <c r="M472" s="43" t="n">
        <v>11967</v>
      </c>
      <c r="N472" s="43" t="n">
        <v>31387</v>
      </c>
      <c r="O472" s="44">
        <f>IFERROR((F472-G472)/(F472+G472),"")</f>
        <v/>
      </c>
      <c r="P472" s="44">
        <f>IFERROR((I472-J472)/(I472+J472),"")</f>
        <v/>
      </c>
      <c r="Q472" s="45">
        <f>IFERROR(O472-P472,"")</f>
        <v/>
      </c>
      <c r="R472" s="44">
        <f>IFERROR((L472-M472)/(L472+M472),"")</f>
        <v/>
      </c>
      <c r="S472" s="46">
        <f>H472/SUMIFS(Counties!$H$2:$H$1583,Counties!$A$2:$A$1583,$A472)</f>
        <v/>
      </c>
      <c r="T472" s="44">
        <f>O472+INDEX(Dashboard!$F$6:$F$22,MATCH($A472,Dashboard!$A$6:$A$22,0))</f>
        <v/>
      </c>
      <c r="U472" s="43">
        <f>AQ472*INDEX(Dashboard!$G$6:$G$22,MATCH($A472,Dashboard!$A$6:$A$22,0))</f>
        <v/>
      </c>
      <c r="V472" s="47" t="n"/>
      <c r="W472" s="47" t="n"/>
      <c r="X472" s="47" t="n"/>
      <c r="Y472" s="48" t="n"/>
      <c r="Z472" s="49" t="n"/>
      <c r="AA472" s="49" t="n"/>
      <c r="AB472" s="49" t="n"/>
      <c r="AC472" s="50" t="n"/>
      <c r="AD472" s="43">
        <f>IF(Z472&lt;&gt;"",Z472,N(V472))</f>
        <v/>
      </c>
      <c r="AE472" s="43">
        <f>IF(AA472&lt;&gt;"",AA472,N(W472))</f>
        <v/>
      </c>
      <c r="AF472" s="43">
        <f>AD472+AE472</f>
        <v/>
      </c>
      <c r="AG472" s="42">
        <f>IF(UPPER(AC472)="Y",1,IF(AF472=0,0,IF(AND(Z472="",Y472&lt;&gt;""),IF(Y472&gt;=0.999,1,0),IF(AF472&gt;=U472,1,0))))</f>
        <v/>
      </c>
      <c r="AH472" s="44">
        <f>IF(AF472&gt;0,(AD472-AE472)/AF472,"")</f>
        <v/>
      </c>
      <c r="AI472" s="45">
        <f>IF(AG472=1,AH472-O472,"")</f>
        <v/>
      </c>
      <c r="AJ472" s="44">
        <f>IF(AG472=1,AH472,MAX(-1,MIN(1,O472+INDEX(Types!$H:$H,MATCH($A472&amp;"|"&amp;$D472,Types!$A:$A,0)))))</f>
        <v/>
      </c>
      <c r="AK472" s="43">
        <f>IF(AG472=1,AF472,MAX(AQ472*AS472,AF472))</f>
        <v/>
      </c>
      <c r="AL472" s="43">
        <f>IF(AG472=1,AD472,AK472*(1+AJ472)/2)</f>
        <v/>
      </c>
      <c r="AM472" s="43">
        <f>IF(AG472=1,AE472,AK472*(1-AJ472)/2)</f>
        <v/>
      </c>
      <c r="AN472" s="45">
        <f>IF(AH472="","",AH472-T472)</f>
        <v/>
      </c>
      <c r="AO472" s="51">
        <f>IF(AG472=1,1,IF(U472&gt;0,MIN(AF472/U472,0.99),0))</f>
        <v/>
      </c>
      <c r="AP472" s="43">
        <f>IF(AG472=1,AI472*AF472,0)</f>
        <v/>
      </c>
      <c r="AQ472" s="43">
        <f>N472*(F472+G472)/H472</f>
        <v/>
      </c>
      <c r="AR472" s="43">
        <f>O472*AQ472</f>
        <v/>
      </c>
      <c r="AS472" s="52">
        <f>IF(AG472=1,IF(AQ472&gt;0,AF472/AQ472,1),IFERROR(INDEX(Types!$K:$K,MATCH($A472&amp;"|"&amp;$D472,Types!$A:$A,0)),INDEX(Dashboard!$X$6:$X$22,MATCH($A472,Dashboard!$A$6:$A$22,0))))</f>
        <v/>
      </c>
      <c r="AT472" s="43">
        <f>AQ472*INDEX(Dashboard!$Y$6:$Y$22,MATCH($A472,Dashboard!$A$6:$A$22,0))</f>
        <v/>
      </c>
      <c r="AU472" s="53">
        <f>IF(AND(AG472=1,AT472&gt;0,AF472&gt;0),100*AF472/AT472,"")</f>
        <v/>
      </c>
      <c r="AV472" s="44">
        <f>IF(AU472="","",T472/(AU472/100))</f>
        <v/>
      </c>
      <c r="AW472" s="53">
        <f>IF(AU472="","",IF(AND(ABS(AH472)&gt;=0.1,ABS(T472)&gt;=0.05,SIGN(AH472)=SIGN(T472)),100*T472/AH472,""))</f>
        <v/>
      </c>
      <c r="AX472" s="45">
        <f>IF(AU472="","",T472-AV472)</f>
        <v/>
      </c>
      <c r="AY472" s="45">
        <f>IF(AU472="","",AH472-AV472)</f>
        <v/>
      </c>
      <c r="AZ472" s="54">
        <f>(AL472-AM472)-T472*AT472</f>
        <v/>
      </c>
      <c r="BA472" s="43">
        <f>IF(AU472="",0,(AH472-T472)*AF472)</f>
        <v/>
      </c>
      <c r="BB472" s="43">
        <f>IF(AU472="",0,T472*(AF472-AT472))</f>
        <v/>
      </c>
      <c r="BC472" s="51" t="n">
        <v>0.0150300750757474</v>
      </c>
      <c r="BD472" s="51" t="n">
        <v>0.02091075986208749</v>
      </c>
      <c r="BE472" s="51" t="n">
        <v>0.3583194563211666</v>
      </c>
      <c r="BF472" s="43" t="n">
        <v>66999</v>
      </c>
    </row>
    <row r="473">
      <c r="A473" s="42" t="inlineStr">
        <is>
          <t>MI</t>
        </is>
      </c>
      <c r="B473" s="42" t="inlineStr">
        <is>
          <t>26105</t>
        </is>
      </c>
      <c r="C473" s="42" t="inlineStr">
        <is>
          <t>Mason</t>
        </is>
      </c>
      <c r="D473" s="42" t="inlineStr">
        <is>
          <t>Small town &amp; rural</t>
        </is>
      </c>
      <c r="E473" s="42" t="inlineStr"/>
      <c r="F473" s="43" t="n">
        <v>6973</v>
      </c>
      <c r="G473" s="43" t="n">
        <v>10830</v>
      </c>
      <c r="H473" s="43" t="n">
        <v>18056</v>
      </c>
      <c r="I473" s="43" t="n">
        <v>6802</v>
      </c>
      <c r="J473" s="43" t="n">
        <v>10207</v>
      </c>
      <c r="K473" s="42" t="inlineStr">
        <is>
          <t>Governor</t>
        </is>
      </c>
      <c r="L473" s="43" t="n">
        <v>6419</v>
      </c>
      <c r="M473" s="43" t="n">
        <v>8018</v>
      </c>
      <c r="N473" s="43" t="n">
        <v>14770</v>
      </c>
      <c r="O473" s="44">
        <f>IFERROR((F473-G473)/(F473+G473),"")</f>
        <v/>
      </c>
      <c r="P473" s="44">
        <f>IFERROR((I473-J473)/(I473+J473),"")</f>
        <v/>
      </c>
      <c r="Q473" s="45">
        <f>IFERROR(O473-P473,"")</f>
        <v/>
      </c>
      <c r="R473" s="44">
        <f>IFERROR((L473-M473)/(L473+M473),"")</f>
        <v/>
      </c>
      <c r="S473" s="46">
        <f>H473/SUMIFS(Counties!$H$2:$H$1583,Counties!$A$2:$A$1583,$A473)</f>
        <v/>
      </c>
      <c r="T473" s="44">
        <f>O473+INDEX(Dashboard!$F$6:$F$22,MATCH($A473,Dashboard!$A$6:$A$22,0))</f>
        <v/>
      </c>
      <c r="U473" s="43">
        <f>AQ473*INDEX(Dashboard!$G$6:$G$22,MATCH($A473,Dashboard!$A$6:$A$22,0))</f>
        <v/>
      </c>
      <c r="V473" s="47" t="n"/>
      <c r="W473" s="47" t="n"/>
      <c r="X473" s="47" t="n"/>
      <c r="Y473" s="48" t="n"/>
      <c r="Z473" s="49" t="n"/>
      <c r="AA473" s="49" t="n"/>
      <c r="AB473" s="49" t="n"/>
      <c r="AC473" s="50" t="n"/>
      <c r="AD473" s="43">
        <f>IF(Z473&lt;&gt;"",Z473,N(V473))</f>
        <v/>
      </c>
      <c r="AE473" s="43">
        <f>IF(AA473&lt;&gt;"",AA473,N(W473))</f>
        <v/>
      </c>
      <c r="AF473" s="43">
        <f>AD473+AE473</f>
        <v/>
      </c>
      <c r="AG473" s="42">
        <f>IF(UPPER(AC473)="Y",1,IF(AF473=0,0,IF(AND(Z473="",Y473&lt;&gt;""),IF(Y473&gt;=0.999,1,0),IF(AF473&gt;=U473,1,0))))</f>
        <v/>
      </c>
      <c r="AH473" s="44">
        <f>IF(AF473&gt;0,(AD473-AE473)/AF473,"")</f>
        <v/>
      </c>
      <c r="AI473" s="45">
        <f>IF(AG473=1,AH473-O473,"")</f>
        <v/>
      </c>
      <c r="AJ473" s="44">
        <f>IF(AG473=1,AH473,MAX(-1,MIN(1,O473+INDEX(Types!$H:$H,MATCH($A473&amp;"|"&amp;$D473,Types!$A:$A,0)))))</f>
        <v/>
      </c>
      <c r="AK473" s="43">
        <f>IF(AG473=1,AF473,MAX(AQ473*AS473,AF473))</f>
        <v/>
      </c>
      <c r="AL473" s="43">
        <f>IF(AG473=1,AD473,AK473*(1+AJ473)/2)</f>
        <v/>
      </c>
      <c r="AM473" s="43">
        <f>IF(AG473=1,AE473,AK473*(1-AJ473)/2)</f>
        <v/>
      </c>
      <c r="AN473" s="45">
        <f>IF(AH473="","",AH473-T473)</f>
        <v/>
      </c>
      <c r="AO473" s="51">
        <f>IF(AG473=1,1,IF(U473&gt;0,MIN(AF473/U473,0.99),0))</f>
        <v/>
      </c>
      <c r="AP473" s="43">
        <f>IF(AG473=1,AI473*AF473,0)</f>
        <v/>
      </c>
      <c r="AQ473" s="43">
        <f>N473*(F473+G473)/H473</f>
        <v/>
      </c>
      <c r="AR473" s="43">
        <f>O473*AQ473</f>
        <v/>
      </c>
      <c r="AS473" s="52">
        <f>IF(AG473=1,IF(AQ473&gt;0,AF473/AQ473,1),IFERROR(INDEX(Types!$K:$K,MATCH($A473&amp;"|"&amp;$D473,Types!$A:$A,0)),INDEX(Dashboard!$X$6:$X$22,MATCH($A473,Dashboard!$A$6:$A$22,0))))</f>
        <v/>
      </c>
      <c r="AT473" s="43">
        <f>AQ473*INDEX(Dashboard!$Y$6:$Y$22,MATCH($A473,Dashboard!$A$6:$A$22,0))</f>
        <v/>
      </c>
      <c r="AU473" s="53">
        <f>IF(AND(AG473=1,AT473&gt;0,AF473&gt;0),100*AF473/AT473,"")</f>
        <v/>
      </c>
      <c r="AV473" s="44">
        <f>IF(AU473="","",T473/(AU473/100))</f>
        <v/>
      </c>
      <c r="AW473" s="53">
        <f>IF(AU473="","",IF(AND(ABS(AH473)&gt;=0.1,ABS(T473)&gt;=0.05,SIGN(AH473)=SIGN(T473)),100*T473/AH473,""))</f>
        <v/>
      </c>
      <c r="AX473" s="45">
        <f>IF(AU473="","",T473-AV473)</f>
        <v/>
      </c>
      <c r="AY473" s="45">
        <f>IF(AU473="","",AH473-AV473)</f>
        <v/>
      </c>
      <c r="AZ473" s="54">
        <f>(AL473-AM473)-T473*AT473</f>
        <v/>
      </c>
      <c r="BA473" s="43">
        <f>IF(AU473="",0,(AH473-T473)*AF473)</f>
        <v/>
      </c>
      <c r="BB473" s="43">
        <f>IF(AU473="",0,T473*(AF473-AT473))</f>
        <v/>
      </c>
      <c r="BC473" s="51" t="n">
        <v>0.008779450598443019</v>
      </c>
      <c r="BD473" s="51" t="n">
        <v>0.05072190404334854</v>
      </c>
      <c r="BE473" s="51" t="n">
        <v>0.2503151113393399</v>
      </c>
      <c r="BF473" s="43" t="n">
        <v>29159</v>
      </c>
    </row>
    <row r="474">
      <c r="A474" s="42" t="inlineStr">
        <is>
          <t>MI</t>
        </is>
      </c>
      <c r="B474" s="42" t="inlineStr">
        <is>
          <t>26107</t>
        </is>
      </c>
      <c r="C474" s="42" t="inlineStr">
        <is>
          <t>Mecosta</t>
        </is>
      </c>
      <c r="D474" s="42" t="inlineStr">
        <is>
          <t>Small town &amp; rural</t>
        </is>
      </c>
      <c r="E474" s="42" t="inlineStr"/>
      <c r="F474" s="43" t="n">
        <v>7688</v>
      </c>
      <c r="G474" s="43" t="n">
        <v>14445</v>
      </c>
      <c r="H474" s="43" t="n">
        <v>22489</v>
      </c>
      <c r="I474" s="43" t="n">
        <v>7375</v>
      </c>
      <c r="J474" s="43" t="n">
        <v>13267</v>
      </c>
      <c r="K474" s="42" t="inlineStr">
        <is>
          <t>Governor</t>
        </is>
      </c>
      <c r="L474" s="43" t="n">
        <v>6867</v>
      </c>
      <c r="M474" s="43" t="n">
        <v>10262</v>
      </c>
      <c r="N474" s="43" t="n">
        <v>17523</v>
      </c>
      <c r="O474" s="44">
        <f>IFERROR((F474-G474)/(F474+G474),"")</f>
        <v/>
      </c>
      <c r="P474" s="44">
        <f>IFERROR((I474-J474)/(I474+J474),"")</f>
        <v/>
      </c>
      <c r="Q474" s="45">
        <f>IFERROR(O474-P474,"")</f>
        <v/>
      </c>
      <c r="R474" s="44">
        <f>IFERROR((L474-M474)/(L474+M474),"")</f>
        <v/>
      </c>
      <c r="S474" s="46">
        <f>H474/SUMIFS(Counties!$H$2:$H$1583,Counties!$A$2:$A$1583,$A474)</f>
        <v/>
      </c>
      <c r="T474" s="44">
        <f>O474+INDEX(Dashboard!$F$6:$F$22,MATCH($A474,Dashboard!$A$6:$A$22,0))</f>
        <v/>
      </c>
      <c r="U474" s="43">
        <f>AQ474*INDEX(Dashboard!$G$6:$G$22,MATCH($A474,Dashboard!$A$6:$A$22,0))</f>
        <v/>
      </c>
      <c r="V474" s="47" t="n"/>
      <c r="W474" s="47" t="n"/>
      <c r="X474" s="47" t="n"/>
      <c r="Y474" s="48" t="n"/>
      <c r="Z474" s="49" t="n"/>
      <c r="AA474" s="49" t="n"/>
      <c r="AB474" s="49" t="n"/>
      <c r="AC474" s="50" t="n"/>
      <c r="AD474" s="43">
        <f>IF(Z474&lt;&gt;"",Z474,N(V474))</f>
        <v/>
      </c>
      <c r="AE474" s="43">
        <f>IF(AA474&lt;&gt;"",AA474,N(W474))</f>
        <v/>
      </c>
      <c r="AF474" s="43">
        <f>AD474+AE474</f>
        <v/>
      </c>
      <c r="AG474" s="42">
        <f>IF(UPPER(AC474)="Y",1,IF(AF474=0,0,IF(AND(Z474="",Y474&lt;&gt;""),IF(Y474&gt;=0.999,1,0),IF(AF474&gt;=U474,1,0))))</f>
        <v/>
      </c>
      <c r="AH474" s="44">
        <f>IF(AF474&gt;0,(AD474-AE474)/AF474,"")</f>
        <v/>
      </c>
      <c r="AI474" s="45">
        <f>IF(AG474=1,AH474-O474,"")</f>
        <v/>
      </c>
      <c r="AJ474" s="44">
        <f>IF(AG474=1,AH474,MAX(-1,MIN(1,O474+INDEX(Types!$H:$H,MATCH($A474&amp;"|"&amp;$D474,Types!$A:$A,0)))))</f>
        <v/>
      </c>
      <c r="AK474" s="43">
        <f>IF(AG474=1,AF474,MAX(AQ474*AS474,AF474))</f>
        <v/>
      </c>
      <c r="AL474" s="43">
        <f>IF(AG474=1,AD474,AK474*(1+AJ474)/2)</f>
        <v/>
      </c>
      <c r="AM474" s="43">
        <f>IF(AG474=1,AE474,AK474*(1-AJ474)/2)</f>
        <v/>
      </c>
      <c r="AN474" s="45">
        <f>IF(AH474="","",AH474-T474)</f>
        <v/>
      </c>
      <c r="AO474" s="51">
        <f>IF(AG474=1,1,IF(U474&gt;0,MIN(AF474/U474,0.99),0))</f>
        <v/>
      </c>
      <c r="AP474" s="43">
        <f>IF(AG474=1,AI474*AF474,0)</f>
        <v/>
      </c>
      <c r="AQ474" s="43">
        <f>N474*(F474+G474)/H474</f>
        <v/>
      </c>
      <c r="AR474" s="43">
        <f>O474*AQ474</f>
        <v/>
      </c>
      <c r="AS474" s="52">
        <f>IF(AG474=1,IF(AQ474&gt;0,AF474/AQ474,1),IFERROR(INDEX(Types!$K:$K,MATCH($A474&amp;"|"&amp;$D474,Types!$A:$A,0)),INDEX(Dashboard!$X$6:$X$22,MATCH($A474,Dashboard!$A$6:$A$22,0))))</f>
        <v/>
      </c>
      <c r="AT474" s="43">
        <f>AQ474*INDEX(Dashboard!$Y$6:$Y$22,MATCH($A474,Dashboard!$A$6:$A$22,0))</f>
        <v/>
      </c>
      <c r="AU474" s="53">
        <f>IF(AND(AG474=1,AT474&gt;0,AF474&gt;0),100*AF474/AT474,"")</f>
        <v/>
      </c>
      <c r="AV474" s="44">
        <f>IF(AU474="","",T474/(AU474/100))</f>
        <v/>
      </c>
      <c r="AW474" s="53">
        <f>IF(AU474="","",IF(AND(ABS(AH474)&gt;=0.1,ABS(T474)&gt;=0.05,SIGN(AH474)=SIGN(T474)),100*T474/AH474,""))</f>
        <v/>
      </c>
      <c r="AX474" s="45">
        <f>IF(AU474="","",T474-AV474)</f>
        <v/>
      </c>
      <c r="AY474" s="45">
        <f>IF(AU474="","",AH474-AV474)</f>
        <v/>
      </c>
      <c r="AZ474" s="54">
        <f>(AL474-AM474)-T474*AT474</f>
        <v/>
      </c>
      <c r="BA474" s="43">
        <f>IF(AU474="",0,(AH474-T474)*AF474)</f>
        <v/>
      </c>
      <c r="BB474" s="43">
        <f>IF(AU474="",0,T474*(AF474-AT474))</f>
        <v/>
      </c>
      <c r="BC474" s="51" t="n">
        <v>0.02347989002165503</v>
      </c>
      <c r="BD474" s="51" t="n">
        <v>0.03070634322002969</v>
      </c>
      <c r="BE474" s="51" t="n">
        <v>0.2272218073188947</v>
      </c>
      <c r="BF474" s="43" t="n">
        <v>41099</v>
      </c>
    </row>
    <row r="475">
      <c r="A475" s="42" t="inlineStr">
        <is>
          <t>MI</t>
        </is>
      </c>
      <c r="B475" s="42" t="inlineStr">
        <is>
          <t>26109</t>
        </is>
      </c>
      <c r="C475" s="42" t="inlineStr">
        <is>
          <t>Menominee</t>
        </is>
      </c>
      <c r="D475" s="42" t="inlineStr">
        <is>
          <t>Small town &amp; rural</t>
        </is>
      </c>
      <c r="E475" s="42" t="inlineStr"/>
      <c r="F475" s="43" t="n">
        <v>4256</v>
      </c>
      <c r="G475" s="43" t="n">
        <v>8647</v>
      </c>
      <c r="H475" s="43" t="n">
        <v>13060</v>
      </c>
      <c r="I475" s="43" t="n">
        <v>4316</v>
      </c>
      <c r="J475" s="43" t="n">
        <v>8117</v>
      </c>
      <c r="K475" s="42" t="inlineStr">
        <is>
          <t>Governor</t>
        </is>
      </c>
      <c r="L475" s="43" t="n">
        <v>3347</v>
      </c>
      <c r="M475" s="43" t="n">
        <v>6129</v>
      </c>
      <c r="N475" s="43" t="n">
        <v>9681</v>
      </c>
      <c r="O475" s="44">
        <f>IFERROR((F475-G475)/(F475+G475),"")</f>
        <v/>
      </c>
      <c r="P475" s="44">
        <f>IFERROR((I475-J475)/(I475+J475),"")</f>
        <v/>
      </c>
      <c r="Q475" s="45">
        <f>IFERROR(O475-P475,"")</f>
        <v/>
      </c>
      <c r="R475" s="44">
        <f>IFERROR((L475-M475)/(L475+M475),"")</f>
        <v/>
      </c>
      <c r="S475" s="46">
        <f>H475/SUMIFS(Counties!$H$2:$H$1583,Counties!$A$2:$A$1583,$A475)</f>
        <v/>
      </c>
      <c r="T475" s="44">
        <f>O475+INDEX(Dashboard!$F$6:$F$22,MATCH($A475,Dashboard!$A$6:$A$22,0))</f>
        <v/>
      </c>
      <c r="U475" s="43">
        <f>AQ475*INDEX(Dashboard!$G$6:$G$22,MATCH($A475,Dashboard!$A$6:$A$22,0))</f>
        <v/>
      </c>
      <c r="V475" s="47" t="n"/>
      <c r="W475" s="47" t="n"/>
      <c r="X475" s="47" t="n"/>
      <c r="Y475" s="48" t="n"/>
      <c r="Z475" s="49" t="n"/>
      <c r="AA475" s="49" t="n"/>
      <c r="AB475" s="49" t="n"/>
      <c r="AC475" s="50" t="n"/>
      <c r="AD475" s="43">
        <f>IF(Z475&lt;&gt;"",Z475,N(V475))</f>
        <v/>
      </c>
      <c r="AE475" s="43">
        <f>IF(AA475&lt;&gt;"",AA475,N(W475))</f>
        <v/>
      </c>
      <c r="AF475" s="43">
        <f>AD475+AE475</f>
        <v/>
      </c>
      <c r="AG475" s="42">
        <f>IF(UPPER(AC475)="Y",1,IF(AF475=0,0,IF(AND(Z475="",Y475&lt;&gt;""),IF(Y475&gt;=0.999,1,0),IF(AF475&gt;=U475,1,0))))</f>
        <v/>
      </c>
      <c r="AH475" s="44">
        <f>IF(AF475&gt;0,(AD475-AE475)/AF475,"")</f>
        <v/>
      </c>
      <c r="AI475" s="45">
        <f>IF(AG475=1,AH475-O475,"")</f>
        <v/>
      </c>
      <c r="AJ475" s="44">
        <f>IF(AG475=1,AH475,MAX(-1,MIN(1,O475+INDEX(Types!$H:$H,MATCH($A475&amp;"|"&amp;$D475,Types!$A:$A,0)))))</f>
        <v/>
      </c>
      <c r="AK475" s="43">
        <f>IF(AG475=1,AF475,MAX(AQ475*AS475,AF475))</f>
        <v/>
      </c>
      <c r="AL475" s="43">
        <f>IF(AG475=1,AD475,AK475*(1+AJ475)/2)</f>
        <v/>
      </c>
      <c r="AM475" s="43">
        <f>IF(AG475=1,AE475,AK475*(1-AJ475)/2)</f>
        <v/>
      </c>
      <c r="AN475" s="45">
        <f>IF(AH475="","",AH475-T475)</f>
        <v/>
      </c>
      <c r="AO475" s="51">
        <f>IF(AG475=1,1,IF(U475&gt;0,MIN(AF475/U475,0.99),0))</f>
        <v/>
      </c>
      <c r="AP475" s="43">
        <f>IF(AG475=1,AI475*AF475,0)</f>
        <v/>
      </c>
      <c r="AQ475" s="43">
        <f>N475*(F475+G475)/H475</f>
        <v/>
      </c>
      <c r="AR475" s="43">
        <f>O475*AQ475</f>
        <v/>
      </c>
      <c r="AS475" s="52">
        <f>IF(AG475=1,IF(AQ475&gt;0,AF475/AQ475,1),IFERROR(INDEX(Types!$K:$K,MATCH($A475&amp;"|"&amp;$D475,Types!$A:$A,0)),INDEX(Dashboard!$X$6:$X$22,MATCH($A475,Dashboard!$A$6:$A$22,0))))</f>
        <v/>
      </c>
      <c r="AT475" s="43">
        <f>AQ475*INDEX(Dashboard!$Y$6:$Y$22,MATCH($A475,Dashboard!$A$6:$A$22,0))</f>
        <v/>
      </c>
      <c r="AU475" s="53">
        <f>IF(AND(AG475=1,AT475&gt;0,AF475&gt;0),100*AF475/AT475,"")</f>
        <v/>
      </c>
      <c r="AV475" s="44">
        <f>IF(AU475="","",T475/(AU475/100))</f>
        <v/>
      </c>
      <c r="AW475" s="53">
        <f>IF(AU475="","",IF(AND(ABS(AH475)&gt;=0.1,ABS(T475)&gt;=0.05,SIGN(AH475)=SIGN(T475)),100*T475/AH475,""))</f>
        <v/>
      </c>
      <c r="AX475" s="45">
        <f>IF(AU475="","",T475-AV475)</f>
        <v/>
      </c>
      <c r="AY475" s="45">
        <f>IF(AU475="","",AH475-AV475)</f>
        <v/>
      </c>
      <c r="AZ475" s="54">
        <f>(AL475-AM475)-T475*AT475</f>
        <v/>
      </c>
      <c r="BA475" s="43">
        <f>IF(AU475="",0,(AH475-T475)*AF475)</f>
        <v/>
      </c>
      <c r="BB475" s="43">
        <f>IF(AU475="",0,T475*(AF475-AT475))</f>
        <v/>
      </c>
      <c r="BC475" s="51" t="n">
        <v>0.0084985835694051</v>
      </c>
      <c r="BD475" s="51" t="n">
        <v>0.02675964262366529</v>
      </c>
      <c r="BE475" s="51" t="n">
        <v>0.1799189451452708</v>
      </c>
      <c r="BF475" s="43" t="n">
        <v>22945</v>
      </c>
    </row>
    <row r="476">
      <c r="A476" s="42" t="inlineStr">
        <is>
          <t>MI</t>
        </is>
      </c>
      <c r="B476" s="42" t="inlineStr">
        <is>
          <t>26111</t>
        </is>
      </c>
      <c r="C476" s="42" t="inlineStr">
        <is>
          <t>Midland</t>
        </is>
      </c>
      <c r="D476" s="42" t="inlineStr">
        <is>
          <t>Small town &amp; rural</t>
        </is>
      </c>
      <c r="E476" s="42" t="inlineStr"/>
      <c r="F476" s="43" t="n">
        <v>20926</v>
      </c>
      <c r="G476" s="43" t="n">
        <v>28571</v>
      </c>
      <c r="H476" s="43" t="n">
        <v>50287</v>
      </c>
      <c r="I476" s="43" t="n">
        <v>20493</v>
      </c>
      <c r="J476" s="43" t="n">
        <v>27675</v>
      </c>
      <c r="K476" s="42" t="inlineStr">
        <is>
          <t>Governor</t>
        </is>
      </c>
      <c r="L476" s="43" t="n">
        <v>19497</v>
      </c>
      <c r="M476" s="43" t="n">
        <v>20964</v>
      </c>
      <c r="N476" s="43" t="n">
        <v>41249</v>
      </c>
      <c r="O476" s="44">
        <f>IFERROR((F476-G476)/(F476+G476),"")</f>
        <v/>
      </c>
      <c r="P476" s="44">
        <f>IFERROR((I476-J476)/(I476+J476),"")</f>
        <v/>
      </c>
      <c r="Q476" s="45">
        <f>IFERROR(O476-P476,"")</f>
        <v/>
      </c>
      <c r="R476" s="44">
        <f>IFERROR((L476-M476)/(L476+M476),"")</f>
        <v/>
      </c>
      <c r="S476" s="46">
        <f>H476/SUMIFS(Counties!$H$2:$H$1583,Counties!$A$2:$A$1583,$A476)</f>
        <v/>
      </c>
      <c r="T476" s="44">
        <f>O476+INDEX(Dashboard!$F$6:$F$22,MATCH($A476,Dashboard!$A$6:$A$22,0))</f>
        <v/>
      </c>
      <c r="U476" s="43">
        <f>AQ476*INDEX(Dashboard!$G$6:$G$22,MATCH($A476,Dashboard!$A$6:$A$22,0))</f>
        <v/>
      </c>
      <c r="V476" s="47" t="n"/>
      <c r="W476" s="47" t="n"/>
      <c r="X476" s="47" t="n"/>
      <c r="Y476" s="48" t="n"/>
      <c r="Z476" s="49" t="n"/>
      <c r="AA476" s="49" t="n"/>
      <c r="AB476" s="49" t="n"/>
      <c r="AC476" s="50" t="n"/>
      <c r="AD476" s="43">
        <f>IF(Z476&lt;&gt;"",Z476,N(V476))</f>
        <v/>
      </c>
      <c r="AE476" s="43">
        <f>IF(AA476&lt;&gt;"",AA476,N(W476))</f>
        <v/>
      </c>
      <c r="AF476" s="43">
        <f>AD476+AE476</f>
        <v/>
      </c>
      <c r="AG476" s="42">
        <f>IF(UPPER(AC476)="Y",1,IF(AF476=0,0,IF(AND(Z476="",Y476&lt;&gt;""),IF(Y476&gt;=0.999,1,0),IF(AF476&gt;=U476,1,0))))</f>
        <v/>
      </c>
      <c r="AH476" s="44">
        <f>IF(AF476&gt;0,(AD476-AE476)/AF476,"")</f>
        <v/>
      </c>
      <c r="AI476" s="45">
        <f>IF(AG476=1,AH476-O476,"")</f>
        <v/>
      </c>
      <c r="AJ476" s="44">
        <f>IF(AG476=1,AH476,MAX(-1,MIN(1,O476+INDEX(Types!$H:$H,MATCH($A476&amp;"|"&amp;$D476,Types!$A:$A,0)))))</f>
        <v/>
      </c>
      <c r="AK476" s="43">
        <f>IF(AG476=1,AF476,MAX(AQ476*AS476,AF476))</f>
        <v/>
      </c>
      <c r="AL476" s="43">
        <f>IF(AG476=1,AD476,AK476*(1+AJ476)/2)</f>
        <v/>
      </c>
      <c r="AM476" s="43">
        <f>IF(AG476=1,AE476,AK476*(1-AJ476)/2)</f>
        <v/>
      </c>
      <c r="AN476" s="45">
        <f>IF(AH476="","",AH476-T476)</f>
        <v/>
      </c>
      <c r="AO476" s="51">
        <f>IF(AG476=1,1,IF(U476&gt;0,MIN(AF476/U476,0.99),0))</f>
        <v/>
      </c>
      <c r="AP476" s="43">
        <f>IF(AG476=1,AI476*AF476,0)</f>
        <v/>
      </c>
      <c r="AQ476" s="43">
        <f>N476*(F476+G476)/H476</f>
        <v/>
      </c>
      <c r="AR476" s="43">
        <f>O476*AQ476</f>
        <v/>
      </c>
      <c r="AS476" s="52">
        <f>IF(AG476=1,IF(AQ476&gt;0,AF476/AQ476,1),IFERROR(INDEX(Types!$K:$K,MATCH($A476&amp;"|"&amp;$D476,Types!$A:$A,0)),INDEX(Dashboard!$X$6:$X$22,MATCH($A476,Dashboard!$A$6:$A$22,0))))</f>
        <v/>
      </c>
      <c r="AT476" s="43">
        <f>AQ476*INDEX(Dashboard!$Y$6:$Y$22,MATCH($A476,Dashboard!$A$6:$A$22,0))</f>
        <v/>
      </c>
      <c r="AU476" s="53">
        <f>IF(AND(AG476=1,AT476&gt;0,AF476&gt;0),100*AF476/AT476,"")</f>
        <v/>
      </c>
      <c r="AV476" s="44">
        <f>IF(AU476="","",T476/(AU476/100))</f>
        <v/>
      </c>
      <c r="AW476" s="53">
        <f>IF(AU476="","",IF(AND(ABS(AH476)&gt;=0.1,ABS(T476)&gt;=0.05,SIGN(AH476)=SIGN(T476)),100*T476/AH476,""))</f>
        <v/>
      </c>
      <c r="AX476" s="45">
        <f>IF(AU476="","",T476-AV476)</f>
        <v/>
      </c>
      <c r="AY476" s="45">
        <f>IF(AU476="","",AH476-AV476)</f>
        <v/>
      </c>
      <c r="AZ476" s="54">
        <f>(AL476-AM476)-T476*AT476</f>
        <v/>
      </c>
      <c r="BA476" s="43">
        <f>IF(AU476="",0,(AH476-T476)*AF476)</f>
        <v/>
      </c>
      <c r="BB476" s="43">
        <f>IF(AU476="",0,T476*(AF476-AT476))</f>
        <v/>
      </c>
      <c r="BC476" s="51" t="n">
        <v>0.01363652589868989</v>
      </c>
      <c r="BD476" s="51" t="n">
        <v>0.03592379728459406</v>
      </c>
      <c r="BE476" s="51" t="n">
        <v>0.3634928631402183</v>
      </c>
      <c r="BF476" s="43" t="n">
        <v>84039</v>
      </c>
    </row>
    <row r="477">
      <c r="A477" s="42" t="inlineStr">
        <is>
          <t>MI</t>
        </is>
      </c>
      <c r="B477" s="42" t="inlineStr">
        <is>
          <t>26113</t>
        </is>
      </c>
      <c r="C477" s="42" t="inlineStr">
        <is>
          <t>Missaukee</t>
        </is>
      </c>
      <c r="D477" s="42" t="inlineStr">
        <is>
          <t>Small town &amp; rural</t>
        </is>
      </c>
      <c r="E477" s="42" t="inlineStr"/>
      <c r="F477" s="43" t="n">
        <v>1945</v>
      </c>
      <c r="G477" s="43" t="n">
        <v>7066</v>
      </c>
      <c r="H477" s="43" t="n">
        <v>9151</v>
      </c>
      <c r="I477" s="43" t="n">
        <v>1967</v>
      </c>
      <c r="J477" s="43" t="n">
        <v>6648</v>
      </c>
      <c r="K477" s="42" t="inlineStr">
        <is>
          <t>Governor</t>
        </is>
      </c>
      <c r="L477" s="43" t="n">
        <v>1995</v>
      </c>
      <c r="M477" s="43" t="n">
        <v>5306</v>
      </c>
      <c r="N477" s="43" t="n">
        <v>7448</v>
      </c>
      <c r="O477" s="44">
        <f>IFERROR((F477-G477)/(F477+G477),"")</f>
        <v/>
      </c>
      <c r="P477" s="44">
        <f>IFERROR((I477-J477)/(I477+J477),"")</f>
        <v/>
      </c>
      <c r="Q477" s="45">
        <f>IFERROR(O477-P477,"")</f>
        <v/>
      </c>
      <c r="R477" s="44">
        <f>IFERROR((L477-M477)/(L477+M477),"")</f>
        <v/>
      </c>
      <c r="S477" s="46">
        <f>H477/SUMIFS(Counties!$H$2:$H$1583,Counties!$A$2:$A$1583,$A477)</f>
        <v/>
      </c>
      <c r="T477" s="44">
        <f>O477+INDEX(Dashboard!$F$6:$F$22,MATCH($A477,Dashboard!$A$6:$A$22,0))</f>
        <v/>
      </c>
      <c r="U477" s="43">
        <f>AQ477*INDEX(Dashboard!$G$6:$G$22,MATCH($A477,Dashboard!$A$6:$A$22,0))</f>
        <v/>
      </c>
      <c r="V477" s="47" t="n"/>
      <c r="W477" s="47" t="n"/>
      <c r="X477" s="47" t="n"/>
      <c r="Y477" s="48" t="n"/>
      <c r="Z477" s="49" t="n"/>
      <c r="AA477" s="49" t="n"/>
      <c r="AB477" s="49" t="n"/>
      <c r="AC477" s="50" t="n"/>
      <c r="AD477" s="43">
        <f>IF(Z477&lt;&gt;"",Z477,N(V477))</f>
        <v/>
      </c>
      <c r="AE477" s="43">
        <f>IF(AA477&lt;&gt;"",AA477,N(W477))</f>
        <v/>
      </c>
      <c r="AF477" s="43">
        <f>AD477+AE477</f>
        <v/>
      </c>
      <c r="AG477" s="42">
        <f>IF(UPPER(AC477)="Y",1,IF(AF477=0,0,IF(AND(Z477="",Y477&lt;&gt;""),IF(Y477&gt;=0.999,1,0),IF(AF477&gt;=U477,1,0))))</f>
        <v/>
      </c>
      <c r="AH477" s="44">
        <f>IF(AF477&gt;0,(AD477-AE477)/AF477,"")</f>
        <v/>
      </c>
      <c r="AI477" s="45">
        <f>IF(AG477=1,AH477-O477,"")</f>
        <v/>
      </c>
      <c r="AJ477" s="44">
        <f>IF(AG477=1,AH477,MAX(-1,MIN(1,O477+INDEX(Types!$H:$H,MATCH($A477&amp;"|"&amp;$D477,Types!$A:$A,0)))))</f>
        <v/>
      </c>
      <c r="AK477" s="43">
        <f>IF(AG477=1,AF477,MAX(AQ477*AS477,AF477))</f>
        <v/>
      </c>
      <c r="AL477" s="43">
        <f>IF(AG477=1,AD477,AK477*(1+AJ477)/2)</f>
        <v/>
      </c>
      <c r="AM477" s="43">
        <f>IF(AG477=1,AE477,AK477*(1-AJ477)/2)</f>
        <v/>
      </c>
      <c r="AN477" s="45">
        <f>IF(AH477="","",AH477-T477)</f>
        <v/>
      </c>
      <c r="AO477" s="51">
        <f>IF(AG477=1,1,IF(U477&gt;0,MIN(AF477/U477,0.99),0))</f>
        <v/>
      </c>
      <c r="AP477" s="43">
        <f>IF(AG477=1,AI477*AF477,0)</f>
        <v/>
      </c>
      <c r="AQ477" s="43">
        <f>N477*(F477+G477)/H477</f>
        <v/>
      </c>
      <c r="AR477" s="43">
        <f>O477*AQ477</f>
        <v/>
      </c>
      <c r="AS477" s="52">
        <f>IF(AG477=1,IF(AQ477&gt;0,AF477/AQ477,1),IFERROR(INDEX(Types!$K:$K,MATCH($A477&amp;"|"&amp;$D477,Types!$A:$A,0)),INDEX(Dashboard!$X$6:$X$22,MATCH($A477,Dashboard!$A$6:$A$22,0))))</f>
        <v/>
      </c>
      <c r="AT477" s="43">
        <f>AQ477*INDEX(Dashboard!$Y$6:$Y$22,MATCH($A477,Dashboard!$A$6:$A$22,0))</f>
        <v/>
      </c>
      <c r="AU477" s="53">
        <f>IF(AND(AG477=1,AT477&gt;0,AF477&gt;0),100*AF477/AT477,"")</f>
        <v/>
      </c>
      <c r="AV477" s="44">
        <f>IF(AU477="","",T477/(AU477/100))</f>
        <v/>
      </c>
      <c r="AW477" s="53">
        <f>IF(AU477="","",IF(AND(ABS(AH477)&gt;=0.1,ABS(T477)&gt;=0.05,SIGN(AH477)=SIGN(T477)),100*T477/AH477,""))</f>
        <v/>
      </c>
      <c r="AX477" s="45">
        <f>IF(AU477="","",T477-AV477)</f>
        <v/>
      </c>
      <c r="AY477" s="45">
        <f>IF(AU477="","",AH477-AV477)</f>
        <v/>
      </c>
      <c r="AZ477" s="54">
        <f>(AL477-AM477)-T477*AT477</f>
        <v/>
      </c>
      <c r="BA477" s="43">
        <f>IF(AU477="",0,(AH477-T477)*AF477)</f>
        <v/>
      </c>
      <c r="BB477" s="43">
        <f>IF(AU477="",0,T477*(AF477-AT477))</f>
        <v/>
      </c>
      <c r="BC477" s="51" t="n">
        <v>0.005616876755273986</v>
      </c>
      <c r="BD477" s="51" t="n">
        <v>0.03526876102148782</v>
      </c>
      <c r="BE477" s="51" t="n">
        <v>0.1795038558022856</v>
      </c>
      <c r="BF477" s="43" t="n">
        <v>15311</v>
      </c>
    </row>
    <row r="478">
      <c r="A478" s="42" t="inlineStr">
        <is>
          <t>MI</t>
        </is>
      </c>
      <c r="B478" s="42" t="inlineStr">
        <is>
          <t>26115</t>
        </is>
      </c>
      <c r="C478" s="42" t="inlineStr">
        <is>
          <t>Monroe</t>
        </is>
      </c>
      <c r="D478" s="42" t="inlineStr">
        <is>
          <t>Mid-size/working metro</t>
        </is>
      </c>
      <c r="E478" s="42" t="inlineStr"/>
      <c r="F478" s="43" t="n">
        <v>32622</v>
      </c>
      <c r="G478" s="43" t="n">
        <v>57405</v>
      </c>
      <c r="H478" s="43" t="n">
        <v>91338</v>
      </c>
      <c r="I478" s="43" t="n">
        <v>32975</v>
      </c>
      <c r="J478" s="43" t="n">
        <v>52710</v>
      </c>
      <c r="K478" s="42" t="inlineStr">
        <is>
          <t>Governor</t>
        </is>
      </c>
      <c r="L478" s="43" t="n">
        <v>30452</v>
      </c>
      <c r="M478" s="43" t="n">
        <v>38312</v>
      </c>
      <c r="N478" s="43" t="n">
        <v>70044</v>
      </c>
      <c r="O478" s="44">
        <f>IFERROR((F478-G478)/(F478+G478),"")</f>
        <v/>
      </c>
      <c r="P478" s="44">
        <f>IFERROR((I478-J478)/(I478+J478),"")</f>
        <v/>
      </c>
      <c r="Q478" s="45">
        <f>IFERROR(O478-P478,"")</f>
        <v/>
      </c>
      <c r="R478" s="44">
        <f>IFERROR((L478-M478)/(L478+M478),"")</f>
        <v/>
      </c>
      <c r="S478" s="46">
        <f>H478/SUMIFS(Counties!$H$2:$H$1583,Counties!$A$2:$A$1583,$A478)</f>
        <v/>
      </c>
      <c r="T478" s="44">
        <f>O478+INDEX(Dashboard!$F$6:$F$22,MATCH($A478,Dashboard!$A$6:$A$22,0))</f>
        <v/>
      </c>
      <c r="U478" s="43">
        <f>AQ478*INDEX(Dashboard!$G$6:$G$22,MATCH($A478,Dashboard!$A$6:$A$22,0))</f>
        <v/>
      </c>
      <c r="V478" s="47" t="n"/>
      <c r="W478" s="47" t="n"/>
      <c r="X478" s="47" t="n"/>
      <c r="Y478" s="48" t="n"/>
      <c r="Z478" s="49" t="n"/>
      <c r="AA478" s="49" t="n"/>
      <c r="AB478" s="49" t="n"/>
      <c r="AC478" s="50" t="n"/>
      <c r="AD478" s="43">
        <f>IF(Z478&lt;&gt;"",Z478,N(V478))</f>
        <v/>
      </c>
      <c r="AE478" s="43">
        <f>IF(AA478&lt;&gt;"",AA478,N(W478))</f>
        <v/>
      </c>
      <c r="AF478" s="43">
        <f>AD478+AE478</f>
        <v/>
      </c>
      <c r="AG478" s="42">
        <f>IF(UPPER(AC478)="Y",1,IF(AF478=0,0,IF(AND(Z478="",Y478&lt;&gt;""),IF(Y478&gt;=0.999,1,0),IF(AF478&gt;=U478,1,0))))</f>
        <v/>
      </c>
      <c r="AH478" s="44">
        <f>IF(AF478&gt;0,(AD478-AE478)/AF478,"")</f>
        <v/>
      </c>
      <c r="AI478" s="45">
        <f>IF(AG478=1,AH478-O478,"")</f>
        <v/>
      </c>
      <c r="AJ478" s="44">
        <f>IF(AG478=1,AH478,MAX(-1,MIN(1,O478+INDEX(Types!$H:$H,MATCH($A478&amp;"|"&amp;$D478,Types!$A:$A,0)))))</f>
        <v/>
      </c>
      <c r="AK478" s="43">
        <f>IF(AG478=1,AF478,MAX(AQ478*AS478,AF478))</f>
        <v/>
      </c>
      <c r="AL478" s="43">
        <f>IF(AG478=1,AD478,AK478*(1+AJ478)/2)</f>
        <v/>
      </c>
      <c r="AM478" s="43">
        <f>IF(AG478=1,AE478,AK478*(1-AJ478)/2)</f>
        <v/>
      </c>
      <c r="AN478" s="45">
        <f>IF(AH478="","",AH478-T478)</f>
        <v/>
      </c>
      <c r="AO478" s="51">
        <f>IF(AG478=1,1,IF(U478&gt;0,MIN(AF478/U478,0.99),0))</f>
        <v/>
      </c>
      <c r="AP478" s="43">
        <f>IF(AG478=1,AI478*AF478,0)</f>
        <v/>
      </c>
      <c r="AQ478" s="43">
        <f>N478*(F478+G478)/H478</f>
        <v/>
      </c>
      <c r="AR478" s="43">
        <f>O478*AQ478</f>
        <v/>
      </c>
      <c r="AS478" s="52">
        <f>IF(AG478=1,IF(AQ478&gt;0,AF478/AQ478,1),IFERROR(INDEX(Types!$K:$K,MATCH($A478&amp;"|"&amp;$D478,Types!$A:$A,0)),INDEX(Dashboard!$X$6:$X$22,MATCH($A478,Dashboard!$A$6:$A$22,0))))</f>
        <v/>
      </c>
      <c r="AT478" s="43">
        <f>AQ478*INDEX(Dashboard!$Y$6:$Y$22,MATCH($A478,Dashboard!$A$6:$A$22,0))</f>
        <v/>
      </c>
      <c r="AU478" s="53">
        <f>IF(AND(AG478=1,AT478&gt;0,AF478&gt;0),100*AF478/AT478,"")</f>
        <v/>
      </c>
      <c r="AV478" s="44">
        <f>IF(AU478="","",T478/(AU478/100))</f>
        <v/>
      </c>
      <c r="AW478" s="53">
        <f>IF(AU478="","",IF(AND(ABS(AH478)&gt;=0.1,ABS(T478)&gt;=0.05,SIGN(AH478)=SIGN(T478)),100*T478/AH478,""))</f>
        <v/>
      </c>
      <c r="AX478" s="45">
        <f>IF(AU478="","",T478-AV478)</f>
        <v/>
      </c>
      <c r="AY478" s="45">
        <f>IF(AU478="","",AH478-AV478)</f>
        <v/>
      </c>
      <c r="AZ478" s="54">
        <f>(AL478-AM478)-T478*AT478</f>
        <v/>
      </c>
      <c r="BA478" s="43">
        <f>IF(AU478="",0,(AH478-T478)*AF478)</f>
        <v/>
      </c>
      <c r="BB478" s="43">
        <f>IF(AU478="",0,T478*(AF478-AT478))</f>
        <v/>
      </c>
      <c r="BC478" s="51" t="n">
        <v>0.02906253023315811</v>
      </c>
      <c r="BD478" s="51" t="n">
        <v>0.04535457447837724</v>
      </c>
      <c r="BE478" s="51" t="n">
        <v>0.2340928438173552</v>
      </c>
      <c r="BF478" s="43" t="n">
        <v>155045</v>
      </c>
    </row>
    <row r="479">
      <c r="A479" s="42" t="inlineStr">
        <is>
          <t>MI</t>
        </is>
      </c>
      <c r="B479" s="42" t="inlineStr">
        <is>
          <t>26117</t>
        </is>
      </c>
      <c r="C479" s="42" t="inlineStr">
        <is>
          <t>Montcalm</t>
        </is>
      </c>
      <c r="D479" s="42" t="inlineStr">
        <is>
          <t>Small town &amp; rural</t>
        </is>
      </c>
      <c r="E479" s="42" t="inlineStr"/>
      <c r="F479" s="43" t="n">
        <v>10368</v>
      </c>
      <c r="G479" s="43" t="n">
        <v>23946</v>
      </c>
      <c r="H479" s="43" t="n">
        <v>34835</v>
      </c>
      <c r="I479" s="43" t="n">
        <v>9703</v>
      </c>
      <c r="J479" s="43" t="n">
        <v>21815</v>
      </c>
      <c r="K479" s="42" t="inlineStr">
        <is>
          <t>Governor</t>
        </is>
      </c>
      <c r="L479" s="43" t="n">
        <v>9622</v>
      </c>
      <c r="M479" s="43" t="n">
        <v>16165</v>
      </c>
      <c r="N479" s="43" t="n">
        <v>26395</v>
      </c>
      <c r="O479" s="44">
        <f>IFERROR((F479-G479)/(F479+G479),"")</f>
        <v/>
      </c>
      <c r="P479" s="44">
        <f>IFERROR((I479-J479)/(I479+J479),"")</f>
        <v/>
      </c>
      <c r="Q479" s="45">
        <f>IFERROR(O479-P479,"")</f>
        <v/>
      </c>
      <c r="R479" s="44">
        <f>IFERROR((L479-M479)/(L479+M479),"")</f>
        <v/>
      </c>
      <c r="S479" s="46">
        <f>H479/SUMIFS(Counties!$H$2:$H$1583,Counties!$A$2:$A$1583,$A479)</f>
        <v/>
      </c>
      <c r="T479" s="44">
        <f>O479+INDEX(Dashboard!$F$6:$F$22,MATCH($A479,Dashboard!$A$6:$A$22,0))</f>
        <v/>
      </c>
      <c r="U479" s="43">
        <f>AQ479*INDEX(Dashboard!$G$6:$G$22,MATCH($A479,Dashboard!$A$6:$A$22,0))</f>
        <v/>
      </c>
      <c r="V479" s="47" t="n"/>
      <c r="W479" s="47" t="n"/>
      <c r="X479" s="47" t="n"/>
      <c r="Y479" s="48" t="n"/>
      <c r="Z479" s="49" t="n"/>
      <c r="AA479" s="49" t="n"/>
      <c r="AB479" s="49" t="n"/>
      <c r="AC479" s="50" t="n"/>
      <c r="AD479" s="43">
        <f>IF(Z479&lt;&gt;"",Z479,N(V479))</f>
        <v/>
      </c>
      <c r="AE479" s="43">
        <f>IF(AA479&lt;&gt;"",AA479,N(W479))</f>
        <v/>
      </c>
      <c r="AF479" s="43">
        <f>AD479+AE479</f>
        <v/>
      </c>
      <c r="AG479" s="42">
        <f>IF(UPPER(AC479)="Y",1,IF(AF479=0,0,IF(AND(Z479="",Y479&lt;&gt;""),IF(Y479&gt;=0.999,1,0),IF(AF479&gt;=U479,1,0))))</f>
        <v/>
      </c>
      <c r="AH479" s="44">
        <f>IF(AF479&gt;0,(AD479-AE479)/AF479,"")</f>
        <v/>
      </c>
      <c r="AI479" s="45">
        <f>IF(AG479=1,AH479-O479,"")</f>
        <v/>
      </c>
      <c r="AJ479" s="44">
        <f>IF(AG479=1,AH479,MAX(-1,MIN(1,O479+INDEX(Types!$H:$H,MATCH($A479&amp;"|"&amp;$D479,Types!$A:$A,0)))))</f>
        <v/>
      </c>
      <c r="AK479" s="43">
        <f>IF(AG479=1,AF479,MAX(AQ479*AS479,AF479))</f>
        <v/>
      </c>
      <c r="AL479" s="43">
        <f>IF(AG479=1,AD479,AK479*(1+AJ479)/2)</f>
        <v/>
      </c>
      <c r="AM479" s="43">
        <f>IF(AG479=1,AE479,AK479*(1-AJ479)/2)</f>
        <v/>
      </c>
      <c r="AN479" s="45">
        <f>IF(AH479="","",AH479-T479)</f>
        <v/>
      </c>
      <c r="AO479" s="51">
        <f>IF(AG479=1,1,IF(U479&gt;0,MIN(AF479/U479,0.99),0))</f>
        <v/>
      </c>
      <c r="AP479" s="43">
        <f>IF(AG479=1,AI479*AF479,0)</f>
        <v/>
      </c>
      <c r="AQ479" s="43">
        <f>N479*(F479+G479)/H479</f>
        <v/>
      </c>
      <c r="AR479" s="43">
        <f>O479*AQ479</f>
        <v/>
      </c>
      <c r="AS479" s="52">
        <f>IF(AG479=1,IF(AQ479&gt;0,AF479/AQ479,1),IFERROR(INDEX(Types!$K:$K,MATCH($A479&amp;"|"&amp;$D479,Types!$A:$A,0)),INDEX(Dashboard!$X$6:$X$22,MATCH($A479,Dashboard!$A$6:$A$22,0))))</f>
        <v/>
      </c>
      <c r="AT479" s="43">
        <f>AQ479*INDEX(Dashboard!$Y$6:$Y$22,MATCH($A479,Dashboard!$A$6:$A$22,0))</f>
        <v/>
      </c>
      <c r="AU479" s="53">
        <f>IF(AND(AG479=1,AT479&gt;0,AF479&gt;0),100*AF479/AT479,"")</f>
        <v/>
      </c>
      <c r="AV479" s="44">
        <f>IF(AU479="","",T479/(AU479/100))</f>
        <v/>
      </c>
      <c r="AW479" s="53">
        <f>IF(AU479="","",IF(AND(ABS(AH479)&gt;=0.1,ABS(T479)&gt;=0.05,SIGN(AH479)=SIGN(T479)),100*T479/AH479,""))</f>
        <v/>
      </c>
      <c r="AX479" s="45">
        <f>IF(AU479="","",T479-AV479)</f>
        <v/>
      </c>
      <c r="AY479" s="45">
        <f>IF(AU479="","",AH479-AV479)</f>
        <v/>
      </c>
      <c r="AZ479" s="54">
        <f>(AL479-AM479)-T479*AT479</f>
        <v/>
      </c>
      <c r="BA479" s="43">
        <f>IF(AU479="",0,(AH479-T479)*AF479)</f>
        <v/>
      </c>
      <c r="BB479" s="43">
        <f>IF(AU479="",0,T479*(AF479-AT479))</f>
        <v/>
      </c>
      <c r="BC479" s="51" t="n">
        <v>0.04258003932271033</v>
      </c>
      <c r="BD479" s="51" t="n">
        <v>0.04519177157613639</v>
      </c>
      <c r="BE479" s="51" t="n">
        <v>0.1488656854111628</v>
      </c>
      <c r="BF479" s="43" t="n">
        <v>68154</v>
      </c>
    </row>
    <row r="480">
      <c r="A480" s="42" t="inlineStr">
        <is>
          <t>MI</t>
        </is>
      </c>
      <c r="B480" s="42" t="inlineStr">
        <is>
          <t>26119</t>
        </is>
      </c>
      <c r="C480" s="42" t="inlineStr">
        <is>
          <t>Montmorency</t>
        </is>
      </c>
      <c r="D480" s="42" t="inlineStr">
        <is>
          <t>Small town &amp; rural</t>
        </is>
      </c>
      <c r="E480" s="42" t="inlineStr"/>
      <c r="F480" s="43" t="n">
        <v>1702</v>
      </c>
      <c r="G480" s="43" t="n">
        <v>4599</v>
      </c>
      <c r="H480" s="43" t="n">
        <v>6391</v>
      </c>
      <c r="I480" s="43" t="n">
        <v>1628</v>
      </c>
      <c r="J480" s="43" t="n">
        <v>4171</v>
      </c>
      <c r="K480" s="42" t="inlineStr">
        <is>
          <t>Governor</t>
        </is>
      </c>
      <c r="L480" s="43" t="n">
        <v>1701</v>
      </c>
      <c r="M480" s="43" t="n">
        <v>3301</v>
      </c>
      <c r="N480" s="43" t="n">
        <v>5130</v>
      </c>
      <c r="O480" s="44">
        <f>IFERROR((F480-G480)/(F480+G480),"")</f>
        <v/>
      </c>
      <c r="P480" s="44">
        <f>IFERROR((I480-J480)/(I480+J480),"")</f>
        <v/>
      </c>
      <c r="Q480" s="45">
        <f>IFERROR(O480-P480,"")</f>
        <v/>
      </c>
      <c r="R480" s="44">
        <f>IFERROR((L480-M480)/(L480+M480),"")</f>
        <v/>
      </c>
      <c r="S480" s="46">
        <f>H480/SUMIFS(Counties!$H$2:$H$1583,Counties!$A$2:$A$1583,$A480)</f>
        <v/>
      </c>
      <c r="T480" s="44">
        <f>O480+INDEX(Dashboard!$F$6:$F$22,MATCH($A480,Dashboard!$A$6:$A$22,0))</f>
        <v/>
      </c>
      <c r="U480" s="43">
        <f>AQ480*INDEX(Dashboard!$G$6:$G$22,MATCH($A480,Dashboard!$A$6:$A$22,0))</f>
        <v/>
      </c>
      <c r="V480" s="47" t="n"/>
      <c r="W480" s="47" t="n"/>
      <c r="X480" s="47" t="n"/>
      <c r="Y480" s="48" t="n"/>
      <c r="Z480" s="49" t="n"/>
      <c r="AA480" s="49" t="n"/>
      <c r="AB480" s="49" t="n"/>
      <c r="AC480" s="50" t="n"/>
      <c r="AD480" s="43">
        <f>IF(Z480&lt;&gt;"",Z480,N(V480))</f>
        <v/>
      </c>
      <c r="AE480" s="43">
        <f>IF(AA480&lt;&gt;"",AA480,N(W480))</f>
        <v/>
      </c>
      <c r="AF480" s="43">
        <f>AD480+AE480</f>
        <v/>
      </c>
      <c r="AG480" s="42">
        <f>IF(UPPER(AC480)="Y",1,IF(AF480=0,0,IF(AND(Z480="",Y480&lt;&gt;""),IF(Y480&gt;=0.999,1,0),IF(AF480&gt;=U480,1,0))))</f>
        <v/>
      </c>
      <c r="AH480" s="44">
        <f>IF(AF480&gt;0,(AD480-AE480)/AF480,"")</f>
        <v/>
      </c>
      <c r="AI480" s="45">
        <f>IF(AG480=1,AH480-O480,"")</f>
        <v/>
      </c>
      <c r="AJ480" s="44">
        <f>IF(AG480=1,AH480,MAX(-1,MIN(1,O480+INDEX(Types!$H:$H,MATCH($A480&amp;"|"&amp;$D480,Types!$A:$A,0)))))</f>
        <v/>
      </c>
      <c r="AK480" s="43">
        <f>IF(AG480=1,AF480,MAX(AQ480*AS480,AF480))</f>
        <v/>
      </c>
      <c r="AL480" s="43">
        <f>IF(AG480=1,AD480,AK480*(1+AJ480)/2)</f>
        <v/>
      </c>
      <c r="AM480" s="43">
        <f>IF(AG480=1,AE480,AK480*(1-AJ480)/2)</f>
        <v/>
      </c>
      <c r="AN480" s="45">
        <f>IF(AH480="","",AH480-T480)</f>
        <v/>
      </c>
      <c r="AO480" s="51">
        <f>IF(AG480=1,1,IF(U480&gt;0,MIN(AF480/U480,0.99),0))</f>
        <v/>
      </c>
      <c r="AP480" s="43">
        <f>IF(AG480=1,AI480*AF480,0)</f>
        <v/>
      </c>
      <c r="AQ480" s="43">
        <f>N480*(F480+G480)/H480</f>
        <v/>
      </c>
      <c r="AR480" s="43">
        <f>O480*AQ480</f>
        <v/>
      </c>
      <c r="AS480" s="52">
        <f>IF(AG480=1,IF(AQ480&gt;0,AF480/AQ480,1),IFERROR(INDEX(Types!$K:$K,MATCH($A480&amp;"|"&amp;$D480,Types!$A:$A,0)),INDEX(Dashboard!$X$6:$X$22,MATCH($A480,Dashboard!$A$6:$A$22,0))))</f>
        <v/>
      </c>
      <c r="AT480" s="43">
        <f>AQ480*INDEX(Dashboard!$Y$6:$Y$22,MATCH($A480,Dashboard!$A$6:$A$22,0))</f>
        <v/>
      </c>
      <c r="AU480" s="53">
        <f>IF(AND(AG480=1,AT480&gt;0,AF480&gt;0),100*AF480/AT480,"")</f>
        <v/>
      </c>
      <c r="AV480" s="44">
        <f>IF(AU480="","",T480/(AU480/100))</f>
        <v/>
      </c>
      <c r="AW480" s="53">
        <f>IF(AU480="","",IF(AND(ABS(AH480)&gt;=0.1,ABS(T480)&gt;=0.05,SIGN(AH480)=SIGN(T480)),100*T480/AH480,""))</f>
        <v/>
      </c>
      <c r="AX480" s="45">
        <f>IF(AU480="","",T480-AV480)</f>
        <v/>
      </c>
      <c r="AY480" s="45">
        <f>IF(AU480="","",AH480-AV480)</f>
        <v/>
      </c>
      <c r="AZ480" s="54">
        <f>(AL480-AM480)-T480*AT480</f>
        <v/>
      </c>
      <c r="BA480" s="43">
        <f>IF(AU480="",0,(AH480-T480)*AF480)</f>
        <v/>
      </c>
      <c r="BB480" s="43">
        <f>IF(AU480="",0,T480*(AF480-AT480))</f>
        <v/>
      </c>
      <c r="BC480" s="51" t="n">
        <v>0.005682992353792105</v>
      </c>
      <c r="BD480" s="51" t="n">
        <v>0.01942550113659847</v>
      </c>
      <c r="BE480" s="51" t="n">
        <v>0.1602477780770267</v>
      </c>
      <c r="BF480" s="43" t="n">
        <v>9678</v>
      </c>
    </row>
    <row r="481">
      <c r="A481" s="42" t="inlineStr">
        <is>
          <t>MI</t>
        </is>
      </c>
      <c r="B481" s="42" t="inlineStr">
        <is>
          <t>26121</t>
        </is>
      </c>
      <c r="C481" s="42" t="inlineStr">
        <is>
          <t>Muskegon</t>
        </is>
      </c>
      <c r="D481" s="42" t="inlineStr">
        <is>
          <t>Mid-size/working metro</t>
        </is>
      </c>
      <c r="E481" s="42" t="inlineStr"/>
      <c r="F481" s="43" t="n">
        <v>46028</v>
      </c>
      <c r="G481" s="43" t="n">
        <v>47733</v>
      </c>
      <c r="H481" s="43" t="n">
        <v>95160</v>
      </c>
      <c r="I481" s="43" t="n">
        <v>45643</v>
      </c>
      <c r="J481" s="43" t="n">
        <v>45133</v>
      </c>
      <c r="K481" s="42" t="inlineStr">
        <is>
          <t>Governor</t>
        </is>
      </c>
      <c r="L481" s="43" t="n">
        <v>39269</v>
      </c>
      <c r="M481" s="43" t="n">
        <v>33121</v>
      </c>
      <c r="N481" s="43" t="n">
        <v>73836</v>
      </c>
      <c r="O481" s="44">
        <f>IFERROR((F481-G481)/(F481+G481),"")</f>
        <v/>
      </c>
      <c r="P481" s="44">
        <f>IFERROR((I481-J481)/(I481+J481),"")</f>
        <v/>
      </c>
      <c r="Q481" s="45">
        <f>IFERROR(O481-P481,"")</f>
        <v/>
      </c>
      <c r="R481" s="44">
        <f>IFERROR((L481-M481)/(L481+M481),"")</f>
        <v/>
      </c>
      <c r="S481" s="46">
        <f>H481/SUMIFS(Counties!$H$2:$H$1583,Counties!$A$2:$A$1583,$A481)</f>
        <v/>
      </c>
      <c r="T481" s="44">
        <f>O481+INDEX(Dashboard!$F$6:$F$22,MATCH($A481,Dashboard!$A$6:$A$22,0))</f>
        <v/>
      </c>
      <c r="U481" s="43">
        <f>AQ481*INDEX(Dashboard!$G$6:$G$22,MATCH($A481,Dashboard!$A$6:$A$22,0))</f>
        <v/>
      </c>
      <c r="V481" s="47" t="n"/>
      <c r="W481" s="47" t="n"/>
      <c r="X481" s="47" t="n"/>
      <c r="Y481" s="48" t="n"/>
      <c r="Z481" s="49" t="n"/>
      <c r="AA481" s="49" t="n"/>
      <c r="AB481" s="49" t="n"/>
      <c r="AC481" s="50" t="n"/>
      <c r="AD481" s="43">
        <f>IF(Z481&lt;&gt;"",Z481,N(V481))</f>
        <v/>
      </c>
      <c r="AE481" s="43">
        <f>IF(AA481&lt;&gt;"",AA481,N(W481))</f>
        <v/>
      </c>
      <c r="AF481" s="43">
        <f>AD481+AE481</f>
        <v/>
      </c>
      <c r="AG481" s="42">
        <f>IF(UPPER(AC481)="Y",1,IF(AF481=0,0,IF(AND(Z481="",Y481&lt;&gt;""),IF(Y481&gt;=0.999,1,0),IF(AF481&gt;=U481,1,0))))</f>
        <v/>
      </c>
      <c r="AH481" s="44">
        <f>IF(AF481&gt;0,(AD481-AE481)/AF481,"")</f>
        <v/>
      </c>
      <c r="AI481" s="45">
        <f>IF(AG481=1,AH481-O481,"")</f>
        <v/>
      </c>
      <c r="AJ481" s="44">
        <f>IF(AG481=1,AH481,MAX(-1,MIN(1,O481+INDEX(Types!$H:$H,MATCH($A481&amp;"|"&amp;$D481,Types!$A:$A,0)))))</f>
        <v/>
      </c>
      <c r="AK481" s="43">
        <f>IF(AG481=1,AF481,MAX(AQ481*AS481,AF481))</f>
        <v/>
      </c>
      <c r="AL481" s="43">
        <f>IF(AG481=1,AD481,AK481*(1+AJ481)/2)</f>
        <v/>
      </c>
      <c r="AM481" s="43">
        <f>IF(AG481=1,AE481,AK481*(1-AJ481)/2)</f>
        <v/>
      </c>
      <c r="AN481" s="45">
        <f>IF(AH481="","",AH481-T481)</f>
        <v/>
      </c>
      <c r="AO481" s="51">
        <f>IF(AG481=1,1,IF(U481&gt;0,MIN(AF481/U481,0.99),0))</f>
        <v/>
      </c>
      <c r="AP481" s="43">
        <f>IF(AG481=1,AI481*AF481,0)</f>
        <v/>
      </c>
      <c r="AQ481" s="43">
        <f>N481*(F481+G481)/H481</f>
        <v/>
      </c>
      <c r="AR481" s="43">
        <f>O481*AQ481</f>
        <v/>
      </c>
      <c r="AS481" s="52">
        <f>IF(AG481=1,IF(AQ481&gt;0,AF481/AQ481,1),IFERROR(INDEX(Types!$K:$K,MATCH($A481&amp;"|"&amp;$D481,Types!$A:$A,0)),INDEX(Dashboard!$X$6:$X$22,MATCH($A481,Dashboard!$A$6:$A$22,0))))</f>
        <v/>
      </c>
      <c r="AT481" s="43">
        <f>AQ481*INDEX(Dashboard!$Y$6:$Y$22,MATCH($A481,Dashboard!$A$6:$A$22,0))</f>
        <v/>
      </c>
      <c r="AU481" s="53">
        <f>IF(AND(AG481=1,AT481&gt;0,AF481&gt;0),100*AF481/AT481,"")</f>
        <v/>
      </c>
      <c r="AV481" s="44">
        <f>IF(AU481="","",T481/(AU481/100))</f>
        <v/>
      </c>
      <c r="AW481" s="53">
        <f>IF(AU481="","",IF(AND(ABS(AH481)&gt;=0.1,ABS(T481)&gt;=0.05,SIGN(AH481)=SIGN(T481)),100*T481/AH481,""))</f>
        <v/>
      </c>
      <c r="AX481" s="45">
        <f>IF(AU481="","",T481-AV481)</f>
        <v/>
      </c>
      <c r="AY481" s="45">
        <f>IF(AU481="","",AH481-AV481)</f>
        <v/>
      </c>
      <c r="AZ481" s="54">
        <f>(AL481-AM481)-T481*AT481</f>
        <v/>
      </c>
      <c r="BA481" s="43">
        <f>IF(AU481="",0,(AH481-T481)*AF481)</f>
        <v/>
      </c>
      <c r="BB481" s="43">
        <f>IF(AU481="",0,T481*(AF481-AT481))</f>
        <v/>
      </c>
      <c r="BC481" s="51" t="n">
        <v>0.1326148025645092</v>
      </c>
      <c r="BD481" s="51" t="n">
        <v>0.06407874764957749</v>
      </c>
      <c r="BE481" s="51" t="n">
        <v>0.2144569183503694</v>
      </c>
      <c r="BF481" s="43" t="n">
        <v>176564</v>
      </c>
    </row>
    <row r="482">
      <c r="A482" s="42" t="inlineStr">
        <is>
          <t>MI</t>
        </is>
      </c>
      <c r="B482" s="42" t="inlineStr">
        <is>
          <t>26123</t>
        </is>
      </c>
      <c r="C482" s="42" t="inlineStr">
        <is>
          <t>Newaygo</t>
        </is>
      </c>
      <c r="D482" s="42" t="inlineStr">
        <is>
          <t>Small town &amp; rural</t>
        </is>
      </c>
      <c r="E482" s="42" t="inlineStr"/>
      <c r="F482" s="43" t="n">
        <v>8131</v>
      </c>
      <c r="G482" s="43" t="n">
        <v>20630</v>
      </c>
      <c r="H482" s="43" t="n">
        <v>29197</v>
      </c>
      <c r="I482" s="43" t="n">
        <v>7873</v>
      </c>
      <c r="J482" s="43" t="n">
        <v>18857</v>
      </c>
      <c r="K482" s="42" t="inlineStr">
        <is>
          <t>Governor</t>
        </is>
      </c>
      <c r="L482" s="43" t="n">
        <v>7417</v>
      </c>
      <c r="M482" s="43" t="n">
        <v>14879</v>
      </c>
      <c r="N482" s="43" t="n">
        <v>22775</v>
      </c>
      <c r="O482" s="44">
        <f>IFERROR((F482-G482)/(F482+G482),"")</f>
        <v/>
      </c>
      <c r="P482" s="44">
        <f>IFERROR((I482-J482)/(I482+J482),"")</f>
        <v/>
      </c>
      <c r="Q482" s="45">
        <f>IFERROR(O482-P482,"")</f>
        <v/>
      </c>
      <c r="R482" s="44">
        <f>IFERROR((L482-M482)/(L482+M482),"")</f>
        <v/>
      </c>
      <c r="S482" s="46">
        <f>H482/SUMIFS(Counties!$H$2:$H$1583,Counties!$A$2:$A$1583,$A482)</f>
        <v/>
      </c>
      <c r="T482" s="44">
        <f>O482+INDEX(Dashboard!$F$6:$F$22,MATCH($A482,Dashboard!$A$6:$A$22,0))</f>
        <v/>
      </c>
      <c r="U482" s="43">
        <f>AQ482*INDEX(Dashboard!$G$6:$G$22,MATCH($A482,Dashboard!$A$6:$A$22,0))</f>
        <v/>
      </c>
      <c r="V482" s="47" t="n"/>
      <c r="W482" s="47" t="n"/>
      <c r="X482" s="47" t="n"/>
      <c r="Y482" s="48" t="n"/>
      <c r="Z482" s="49" t="n"/>
      <c r="AA482" s="49" t="n"/>
      <c r="AB482" s="49" t="n"/>
      <c r="AC482" s="50" t="n"/>
      <c r="AD482" s="43">
        <f>IF(Z482&lt;&gt;"",Z482,N(V482))</f>
        <v/>
      </c>
      <c r="AE482" s="43">
        <f>IF(AA482&lt;&gt;"",AA482,N(W482))</f>
        <v/>
      </c>
      <c r="AF482" s="43">
        <f>AD482+AE482</f>
        <v/>
      </c>
      <c r="AG482" s="42">
        <f>IF(UPPER(AC482)="Y",1,IF(AF482=0,0,IF(AND(Z482="",Y482&lt;&gt;""),IF(Y482&gt;=0.999,1,0),IF(AF482&gt;=U482,1,0))))</f>
        <v/>
      </c>
      <c r="AH482" s="44">
        <f>IF(AF482&gt;0,(AD482-AE482)/AF482,"")</f>
        <v/>
      </c>
      <c r="AI482" s="45">
        <f>IF(AG482=1,AH482-O482,"")</f>
        <v/>
      </c>
      <c r="AJ482" s="44">
        <f>IF(AG482=1,AH482,MAX(-1,MIN(1,O482+INDEX(Types!$H:$H,MATCH($A482&amp;"|"&amp;$D482,Types!$A:$A,0)))))</f>
        <v/>
      </c>
      <c r="AK482" s="43">
        <f>IF(AG482=1,AF482,MAX(AQ482*AS482,AF482))</f>
        <v/>
      </c>
      <c r="AL482" s="43">
        <f>IF(AG482=1,AD482,AK482*(1+AJ482)/2)</f>
        <v/>
      </c>
      <c r="AM482" s="43">
        <f>IF(AG482=1,AE482,AK482*(1-AJ482)/2)</f>
        <v/>
      </c>
      <c r="AN482" s="45">
        <f>IF(AH482="","",AH482-T482)</f>
        <v/>
      </c>
      <c r="AO482" s="51">
        <f>IF(AG482=1,1,IF(U482&gt;0,MIN(AF482/U482,0.99),0))</f>
        <v/>
      </c>
      <c r="AP482" s="43">
        <f>IF(AG482=1,AI482*AF482,0)</f>
        <v/>
      </c>
      <c r="AQ482" s="43">
        <f>N482*(F482+G482)/H482</f>
        <v/>
      </c>
      <c r="AR482" s="43">
        <f>O482*AQ482</f>
        <v/>
      </c>
      <c r="AS482" s="52">
        <f>IF(AG482=1,IF(AQ482&gt;0,AF482/AQ482,1),IFERROR(INDEX(Types!$K:$K,MATCH($A482&amp;"|"&amp;$D482,Types!$A:$A,0)),INDEX(Dashboard!$X$6:$X$22,MATCH($A482,Dashboard!$A$6:$A$22,0))))</f>
        <v/>
      </c>
      <c r="AT482" s="43">
        <f>AQ482*INDEX(Dashboard!$Y$6:$Y$22,MATCH($A482,Dashboard!$A$6:$A$22,0))</f>
        <v/>
      </c>
      <c r="AU482" s="53">
        <f>IF(AND(AG482=1,AT482&gt;0,AF482&gt;0),100*AF482/AT482,"")</f>
        <v/>
      </c>
      <c r="AV482" s="44">
        <f>IF(AU482="","",T482/(AU482/100))</f>
        <v/>
      </c>
      <c r="AW482" s="53">
        <f>IF(AU482="","",IF(AND(ABS(AH482)&gt;=0.1,ABS(T482)&gt;=0.05,SIGN(AH482)=SIGN(T482)),100*T482/AH482,""))</f>
        <v/>
      </c>
      <c r="AX482" s="45">
        <f>IF(AU482="","",T482-AV482)</f>
        <v/>
      </c>
      <c r="AY482" s="45">
        <f>IF(AU482="","",AH482-AV482)</f>
        <v/>
      </c>
      <c r="AZ482" s="54">
        <f>(AL482-AM482)-T482*AT482</f>
        <v/>
      </c>
      <c r="BA482" s="43">
        <f>IF(AU482="",0,(AH482-T482)*AF482)</f>
        <v/>
      </c>
      <c r="BB482" s="43">
        <f>IF(AU482="",0,T482*(AF482-AT482))</f>
        <v/>
      </c>
      <c r="BC482" s="51" t="n">
        <v>0.01103545433200282</v>
      </c>
      <c r="BD482" s="51" t="n">
        <v>0.06341472959223605</v>
      </c>
      <c r="BE482" s="51" t="n">
        <v>0.1840585398676685</v>
      </c>
      <c r="BF482" s="43" t="n">
        <v>51108</v>
      </c>
    </row>
    <row r="483">
      <c r="A483" s="42" t="inlineStr">
        <is>
          <t>MI</t>
        </is>
      </c>
      <c r="B483" s="42" t="inlineStr">
        <is>
          <t>26125</t>
        </is>
      </c>
      <c r="C483" s="42" t="inlineStr">
        <is>
          <t>Oakland</t>
        </is>
      </c>
      <c r="D483" s="42" t="inlineStr">
        <is>
          <t>Big metro core</t>
        </is>
      </c>
      <c r="E483" s="42" t="inlineStr">
        <is>
          <t>★</t>
        </is>
      </c>
      <c r="F483" s="43" t="n">
        <v>419519</v>
      </c>
      <c r="G483" s="43" t="n">
        <v>337791</v>
      </c>
      <c r="H483" s="43" t="n">
        <v>771939</v>
      </c>
      <c r="I483" s="43" t="n">
        <v>434148</v>
      </c>
      <c r="J483" s="43" t="n">
        <v>325971</v>
      </c>
      <c r="K483" s="42" t="inlineStr">
        <is>
          <t>Governor</t>
        </is>
      </c>
      <c r="L483" s="43" t="n">
        <v>383895</v>
      </c>
      <c r="M483" s="43" t="n">
        <v>238448</v>
      </c>
      <c r="N483" s="43" t="n">
        <v>630808</v>
      </c>
      <c r="O483" s="44">
        <f>IFERROR((F483-G483)/(F483+G483),"")</f>
        <v/>
      </c>
      <c r="P483" s="44">
        <f>IFERROR((I483-J483)/(I483+J483),"")</f>
        <v/>
      </c>
      <c r="Q483" s="45">
        <f>IFERROR(O483-P483,"")</f>
        <v/>
      </c>
      <c r="R483" s="44">
        <f>IFERROR((L483-M483)/(L483+M483),"")</f>
        <v/>
      </c>
      <c r="S483" s="46">
        <f>H483/SUMIFS(Counties!$H$2:$H$1583,Counties!$A$2:$A$1583,$A483)</f>
        <v/>
      </c>
      <c r="T483" s="44">
        <f>O483+INDEX(Dashboard!$F$6:$F$22,MATCH($A483,Dashboard!$A$6:$A$22,0))</f>
        <v/>
      </c>
      <c r="U483" s="43">
        <f>AQ483*INDEX(Dashboard!$G$6:$G$22,MATCH($A483,Dashboard!$A$6:$A$22,0))</f>
        <v/>
      </c>
      <c r="V483" s="47" t="n"/>
      <c r="W483" s="47" t="n"/>
      <c r="X483" s="47" t="n"/>
      <c r="Y483" s="48" t="n"/>
      <c r="Z483" s="49" t="n"/>
      <c r="AA483" s="49" t="n"/>
      <c r="AB483" s="49" t="n"/>
      <c r="AC483" s="50" t="n"/>
      <c r="AD483" s="43">
        <f>IF(Z483&lt;&gt;"",Z483,N(V483))</f>
        <v/>
      </c>
      <c r="AE483" s="43">
        <f>IF(AA483&lt;&gt;"",AA483,N(W483))</f>
        <v/>
      </c>
      <c r="AF483" s="43">
        <f>AD483+AE483</f>
        <v/>
      </c>
      <c r="AG483" s="42">
        <f>IF(UPPER(AC483)="Y",1,IF(AF483=0,0,IF(AND(Z483="",Y483&lt;&gt;""),IF(Y483&gt;=0.999,1,0),IF(AF483&gt;=U483,1,0))))</f>
        <v/>
      </c>
      <c r="AH483" s="44">
        <f>IF(AF483&gt;0,(AD483-AE483)/AF483,"")</f>
        <v/>
      </c>
      <c r="AI483" s="45">
        <f>IF(AG483=1,AH483-O483,"")</f>
        <v/>
      </c>
      <c r="AJ483" s="44">
        <f>IF(AG483=1,AH483,MAX(-1,MIN(1,O483+INDEX(Types!$H:$H,MATCH($A483&amp;"|"&amp;$D483,Types!$A:$A,0)))))</f>
        <v/>
      </c>
      <c r="AK483" s="43">
        <f>IF(AG483=1,AF483,MAX(AQ483*AS483,AF483))</f>
        <v/>
      </c>
      <c r="AL483" s="43">
        <f>IF(AG483=1,AD483,AK483*(1+AJ483)/2)</f>
        <v/>
      </c>
      <c r="AM483" s="43">
        <f>IF(AG483=1,AE483,AK483*(1-AJ483)/2)</f>
        <v/>
      </c>
      <c r="AN483" s="45">
        <f>IF(AH483="","",AH483-T483)</f>
        <v/>
      </c>
      <c r="AO483" s="51">
        <f>IF(AG483=1,1,IF(U483&gt;0,MIN(AF483/U483,0.99),0))</f>
        <v/>
      </c>
      <c r="AP483" s="43">
        <f>IF(AG483=1,AI483*AF483,0)</f>
        <v/>
      </c>
      <c r="AQ483" s="43">
        <f>N483*(F483+G483)/H483</f>
        <v/>
      </c>
      <c r="AR483" s="43">
        <f>O483*AQ483</f>
        <v/>
      </c>
      <c r="AS483" s="52">
        <f>IF(AG483=1,IF(AQ483&gt;0,AF483/AQ483,1),IFERROR(INDEX(Types!$K:$K,MATCH($A483&amp;"|"&amp;$D483,Types!$A:$A,0)),INDEX(Dashboard!$X$6:$X$22,MATCH($A483,Dashboard!$A$6:$A$22,0))))</f>
        <v/>
      </c>
      <c r="AT483" s="43">
        <f>AQ483*INDEX(Dashboard!$Y$6:$Y$22,MATCH($A483,Dashboard!$A$6:$A$22,0))</f>
        <v/>
      </c>
      <c r="AU483" s="53">
        <f>IF(AND(AG483=1,AT483&gt;0,AF483&gt;0),100*AF483/AT483,"")</f>
        <v/>
      </c>
      <c r="AV483" s="44">
        <f>IF(AU483="","",T483/(AU483/100))</f>
        <v/>
      </c>
      <c r="AW483" s="53">
        <f>IF(AU483="","",IF(AND(ABS(AH483)&gt;=0.1,ABS(T483)&gt;=0.05,SIGN(AH483)=SIGN(T483)),100*T483/AH483,""))</f>
        <v/>
      </c>
      <c r="AX483" s="45">
        <f>IF(AU483="","",T483-AV483)</f>
        <v/>
      </c>
      <c r="AY483" s="45">
        <f>IF(AU483="","",AH483-AV483)</f>
        <v/>
      </c>
      <c r="AZ483" s="54">
        <f>(AL483-AM483)-T483*AT483</f>
        <v/>
      </c>
      <c r="BA483" s="43">
        <f>IF(AU483="",0,(AH483-T483)*AF483)</f>
        <v/>
      </c>
      <c r="BB483" s="43">
        <f>IF(AU483="",0,T483*(AF483-AT483))</f>
        <v/>
      </c>
      <c r="BC483" s="51" t="n">
        <v>0.1365061798168488</v>
      </c>
      <c r="BD483" s="51" t="n">
        <v>0.05148115671436195</v>
      </c>
      <c r="BE483" s="51" t="n">
        <v>0.5020817878134753</v>
      </c>
      <c r="BF483" s="43" t="n">
        <v>1270426</v>
      </c>
    </row>
    <row r="484">
      <c r="A484" s="42" t="inlineStr">
        <is>
          <t>MI</t>
        </is>
      </c>
      <c r="B484" s="42" t="inlineStr">
        <is>
          <t>26127</t>
        </is>
      </c>
      <c r="C484" s="42" t="inlineStr">
        <is>
          <t>Oceana</t>
        </is>
      </c>
      <c r="D484" s="42" t="inlineStr">
        <is>
          <t>Small town &amp; rural</t>
        </is>
      </c>
      <c r="E484" s="42" t="inlineStr"/>
      <c r="F484" s="43" t="n">
        <v>5085</v>
      </c>
      <c r="G484" s="43" t="n">
        <v>9547</v>
      </c>
      <c r="H484" s="43" t="n">
        <v>14870</v>
      </c>
      <c r="I484" s="43" t="n">
        <v>4944</v>
      </c>
      <c r="J484" s="43" t="n">
        <v>8892</v>
      </c>
      <c r="K484" s="42" t="inlineStr">
        <is>
          <t>Governor</t>
        </is>
      </c>
      <c r="L484" s="43" t="n">
        <v>4820</v>
      </c>
      <c r="M484" s="43" t="n">
        <v>7012</v>
      </c>
      <c r="N484" s="43" t="n">
        <v>12091</v>
      </c>
      <c r="O484" s="44">
        <f>IFERROR((F484-G484)/(F484+G484),"")</f>
        <v/>
      </c>
      <c r="P484" s="44">
        <f>IFERROR((I484-J484)/(I484+J484),"")</f>
        <v/>
      </c>
      <c r="Q484" s="45">
        <f>IFERROR(O484-P484,"")</f>
        <v/>
      </c>
      <c r="R484" s="44">
        <f>IFERROR((L484-M484)/(L484+M484),"")</f>
        <v/>
      </c>
      <c r="S484" s="46">
        <f>H484/SUMIFS(Counties!$H$2:$H$1583,Counties!$A$2:$A$1583,$A484)</f>
        <v/>
      </c>
      <c r="T484" s="44">
        <f>O484+INDEX(Dashboard!$F$6:$F$22,MATCH($A484,Dashboard!$A$6:$A$22,0))</f>
        <v/>
      </c>
      <c r="U484" s="43">
        <f>AQ484*INDEX(Dashboard!$G$6:$G$22,MATCH($A484,Dashboard!$A$6:$A$22,0))</f>
        <v/>
      </c>
      <c r="V484" s="47" t="n"/>
      <c r="W484" s="47" t="n"/>
      <c r="X484" s="47" t="n"/>
      <c r="Y484" s="48" t="n"/>
      <c r="Z484" s="49" t="n"/>
      <c r="AA484" s="49" t="n"/>
      <c r="AB484" s="49" t="n"/>
      <c r="AC484" s="50" t="n"/>
      <c r="AD484" s="43">
        <f>IF(Z484&lt;&gt;"",Z484,N(V484))</f>
        <v/>
      </c>
      <c r="AE484" s="43">
        <f>IF(AA484&lt;&gt;"",AA484,N(W484))</f>
        <v/>
      </c>
      <c r="AF484" s="43">
        <f>AD484+AE484</f>
        <v/>
      </c>
      <c r="AG484" s="42">
        <f>IF(UPPER(AC484)="Y",1,IF(AF484=0,0,IF(AND(Z484="",Y484&lt;&gt;""),IF(Y484&gt;=0.999,1,0),IF(AF484&gt;=U484,1,0))))</f>
        <v/>
      </c>
      <c r="AH484" s="44">
        <f>IF(AF484&gt;0,(AD484-AE484)/AF484,"")</f>
        <v/>
      </c>
      <c r="AI484" s="45">
        <f>IF(AG484=1,AH484-O484,"")</f>
        <v/>
      </c>
      <c r="AJ484" s="44">
        <f>IF(AG484=1,AH484,MAX(-1,MIN(1,O484+INDEX(Types!$H:$H,MATCH($A484&amp;"|"&amp;$D484,Types!$A:$A,0)))))</f>
        <v/>
      </c>
      <c r="AK484" s="43">
        <f>IF(AG484=1,AF484,MAX(AQ484*AS484,AF484))</f>
        <v/>
      </c>
      <c r="AL484" s="43">
        <f>IF(AG484=1,AD484,AK484*(1+AJ484)/2)</f>
        <v/>
      </c>
      <c r="AM484" s="43">
        <f>IF(AG484=1,AE484,AK484*(1-AJ484)/2)</f>
        <v/>
      </c>
      <c r="AN484" s="45">
        <f>IF(AH484="","",AH484-T484)</f>
        <v/>
      </c>
      <c r="AO484" s="51">
        <f>IF(AG484=1,1,IF(U484&gt;0,MIN(AF484/U484,0.99),0))</f>
        <v/>
      </c>
      <c r="AP484" s="43">
        <f>IF(AG484=1,AI484*AF484,0)</f>
        <v/>
      </c>
      <c r="AQ484" s="43">
        <f>N484*(F484+G484)/H484</f>
        <v/>
      </c>
      <c r="AR484" s="43">
        <f>O484*AQ484</f>
        <v/>
      </c>
      <c r="AS484" s="52">
        <f>IF(AG484=1,IF(AQ484&gt;0,AF484/AQ484,1),IFERROR(INDEX(Types!$K:$K,MATCH($A484&amp;"|"&amp;$D484,Types!$A:$A,0)),INDEX(Dashboard!$X$6:$X$22,MATCH($A484,Dashboard!$A$6:$A$22,0))))</f>
        <v/>
      </c>
      <c r="AT484" s="43">
        <f>AQ484*INDEX(Dashboard!$Y$6:$Y$22,MATCH($A484,Dashboard!$A$6:$A$22,0))</f>
        <v/>
      </c>
      <c r="AU484" s="53">
        <f>IF(AND(AG484=1,AT484&gt;0,AF484&gt;0),100*AF484/AT484,"")</f>
        <v/>
      </c>
      <c r="AV484" s="44">
        <f>IF(AU484="","",T484/(AU484/100))</f>
        <v/>
      </c>
      <c r="AW484" s="53">
        <f>IF(AU484="","",IF(AND(ABS(AH484)&gt;=0.1,ABS(T484)&gt;=0.05,SIGN(AH484)=SIGN(T484)),100*T484/AH484,""))</f>
        <v/>
      </c>
      <c r="AX484" s="45">
        <f>IF(AU484="","",T484-AV484)</f>
        <v/>
      </c>
      <c r="AY484" s="45">
        <f>IF(AU484="","",AH484-AV484)</f>
        <v/>
      </c>
      <c r="AZ484" s="54">
        <f>(AL484-AM484)-T484*AT484</f>
        <v/>
      </c>
      <c r="BA484" s="43">
        <f>IF(AU484="",0,(AH484-T484)*AF484)</f>
        <v/>
      </c>
      <c r="BB484" s="43">
        <f>IF(AU484="",0,T484*(AF484-AT484))</f>
        <v/>
      </c>
      <c r="BC484" s="51" t="n">
        <v>0.01008116822949483</v>
      </c>
      <c r="BD484" s="51" t="n">
        <v>0.1555909714243356</v>
      </c>
      <c r="BE484" s="51" t="n">
        <v>0.2097810065276901</v>
      </c>
      <c r="BF484" s="43" t="n">
        <v>26981</v>
      </c>
    </row>
    <row r="485">
      <c r="A485" s="42" t="inlineStr">
        <is>
          <t>MI</t>
        </is>
      </c>
      <c r="B485" s="42" t="inlineStr">
        <is>
          <t>26129</t>
        </is>
      </c>
      <c r="C485" s="42" t="inlineStr">
        <is>
          <t>Ogemaw</t>
        </is>
      </c>
      <c r="D485" s="42" t="inlineStr">
        <is>
          <t>Small town &amp; rural</t>
        </is>
      </c>
      <c r="E485" s="42" t="inlineStr"/>
      <c r="F485" s="43" t="n">
        <v>3578</v>
      </c>
      <c r="G485" s="43" t="n">
        <v>8879</v>
      </c>
      <c r="H485" s="43" t="n">
        <v>12620</v>
      </c>
      <c r="I485" s="43" t="n">
        <v>3475</v>
      </c>
      <c r="J485" s="43" t="n">
        <v>8253</v>
      </c>
      <c r="K485" s="42" t="inlineStr">
        <is>
          <t>Governor</t>
        </is>
      </c>
      <c r="L485" s="43" t="n">
        <v>3532</v>
      </c>
      <c r="M485" s="43" t="n">
        <v>6151</v>
      </c>
      <c r="N485" s="43" t="n">
        <v>9906</v>
      </c>
      <c r="O485" s="44">
        <f>IFERROR((F485-G485)/(F485+G485),"")</f>
        <v/>
      </c>
      <c r="P485" s="44">
        <f>IFERROR((I485-J485)/(I485+J485),"")</f>
        <v/>
      </c>
      <c r="Q485" s="45">
        <f>IFERROR(O485-P485,"")</f>
        <v/>
      </c>
      <c r="R485" s="44">
        <f>IFERROR((L485-M485)/(L485+M485),"")</f>
        <v/>
      </c>
      <c r="S485" s="46">
        <f>H485/SUMIFS(Counties!$H$2:$H$1583,Counties!$A$2:$A$1583,$A485)</f>
        <v/>
      </c>
      <c r="T485" s="44">
        <f>O485+INDEX(Dashboard!$F$6:$F$22,MATCH($A485,Dashboard!$A$6:$A$22,0))</f>
        <v/>
      </c>
      <c r="U485" s="43">
        <f>AQ485*INDEX(Dashboard!$G$6:$G$22,MATCH($A485,Dashboard!$A$6:$A$22,0))</f>
        <v/>
      </c>
      <c r="V485" s="47" t="n"/>
      <c r="W485" s="47" t="n"/>
      <c r="X485" s="47" t="n"/>
      <c r="Y485" s="48" t="n"/>
      <c r="Z485" s="49" t="n"/>
      <c r="AA485" s="49" t="n"/>
      <c r="AB485" s="49" t="n"/>
      <c r="AC485" s="50" t="n"/>
      <c r="AD485" s="43">
        <f>IF(Z485&lt;&gt;"",Z485,N(V485))</f>
        <v/>
      </c>
      <c r="AE485" s="43">
        <f>IF(AA485&lt;&gt;"",AA485,N(W485))</f>
        <v/>
      </c>
      <c r="AF485" s="43">
        <f>AD485+AE485</f>
        <v/>
      </c>
      <c r="AG485" s="42">
        <f>IF(UPPER(AC485)="Y",1,IF(AF485=0,0,IF(AND(Z485="",Y485&lt;&gt;""),IF(Y485&gt;=0.999,1,0),IF(AF485&gt;=U485,1,0))))</f>
        <v/>
      </c>
      <c r="AH485" s="44">
        <f>IF(AF485&gt;0,(AD485-AE485)/AF485,"")</f>
        <v/>
      </c>
      <c r="AI485" s="45">
        <f>IF(AG485=1,AH485-O485,"")</f>
        <v/>
      </c>
      <c r="AJ485" s="44">
        <f>IF(AG485=1,AH485,MAX(-1,MIN(1,O485+INDEX(Types!$H:$H,MATCH($A485&amp;"|"&amp;$D485,Types!$A:$A,0)))))</f>
        <v/>
      </c>
      <c r="AK485" s="43">
        <f>IF(AG485=1,AF485,MAX(AQ485*AS485,AF485))</f>
        <v/>
      </c>
      <c r="AL485" s="43">
        <f>IF(AG485=1,AD485,AK485*(1+AJ485)/2)</f>
        <v/>
      </c>
      <c r="AM485" s="43">
        <f>IF(AG485=1,AE485,AK485*(1-AJ485)/2)</f>
        <v/>
      </c>
      <c r="AN485" s="45">
        <f>IF(AH485="","",AH485-T485)</f>
        <v/>
      </c>
      <c r="AO485" s="51">
        <f>IF(AG485=1,1,IF(U485&gt;0,MIN(AF485/U485,0.99),0))</f>
        <v/>
      </c>
      <c r="AP485" s="43">
        <f>IF(AG485=1,AI485*AF485,0)</f>
        <v/>
      </c>
      <c r="AQ485" s="43">
        <f>N485*(F485+G485)/H485</f>
        <v/>
      </c>
      <c r="AR485" s="43">
        <f>O485*AQ485</f>
        <v/>
      </c>
      <c r="AS485" s="52">
        <f>IF(AG485=1,IF(AQ485&gt;0,AF485/AQ485,1),IFERROR(INDEX(Types!$K:$K,MATCH($A485&amp;"|"&amp;$D485,Types!$A:$A,0)),INDEX(Dashboard!$X$6:$X$22,MATCH($A485,Dashboard!$A$6:$A$22,0))))</f>
        <v/>
      </c>
      <c r="AT485" s="43">
        <f>AQ485*INDEX(Dashboard!$Y$6:$Y$22,MATCH($A485,Dashboard!$A$6:$A$22,0))</f>
        <v/>
      </c>
      <c r="AU485" s="53">
        <f>IF(AND(AG485=1,AT485&gt;0,AF485&gt;0),100*AF485/AT485,"")</f>
        <v/>
      </c>
      <c r="AV485" s="44">
        <f>IF(AU485="","",T485/(AU485/100))</f>
        <v/>
      </c>
      <c r="AW485" s="53">
        <f>IF(AU485="","",IF(AND(ABS(AH485)&gt;=0.1,ABS(T485)&gt;=0.05,SIGN(AH485)=SIGN(T485)),100*T485/AH485,""))</f>
        <v/>
      </c>
      <c r="AX485" s="45">
        <f>IF(AU485="","",T485-AV485)</f>
        <v/>
      </c>
      <c r="AY485" s="45">
        <f>IF(AU485="","",AH485-AV485)</f>
        <v/>
      </c>
      <c r="AZ485" s="54">
        <f>(AL485-AM485)-T485*AT485</f>
        <v/>
      </c>
      <c r="BA485" s="43">
        <f>IF(AU485="",0,(AH485-T485)*AF485)</f>
        <v/>
      </c>
      <c r="BB485" s="43">
        <f>IF(AU485="",0,T485*(AF485-AT485))</f>
        <v/>
      </c>
      <c r="BC485" s="51" t="n">
        <v>0.006955693187232015</v>
      </c>
      <c r="BD485" s="51" t="n">
        <v>0.02272510719390186</v>
      </c>
      <c r="BE485" s="51" t="n">
        <v>0.1587614445574771</v>
      </c>
      <c r="BF485" s="43" t="n">
        <v>20990</v>
      </c>
    </row>
    <row r="486">
      <c r="A486" s="42" t="inlineStr">
        <is>
          <t>MI</t>
        </is>
      </c>
      <c r="B486" s="42" t="inlineStr">
        <is>
          <t>26131</t>
        </is>
      </c>
      <c r="C486" s="42" t="inlineStr">
        <is>
          <t>Ontonagon</t>
        </is>
      </c>
      <c r="D486" s="42" t="inlineStr">
        <is>
          <t>Small town &amp; rural</t>
        </is>
      </c>
      <c r="E486" s="42" t="inlineStr"/>
      <c r="F486" s="43" t="n">
        <v>1313</v>
      </c>
      <c r="G486" s="43" t="n">
        <v>2479</v>
      </c>
      <c r="H486" s="43" t="n">
        <v>3841</v>
      </c>
      <c r="I486" s="43" t="n">
        <v>1391</v>
      </c>
      <c r="J486" s="43" t="n">
        <v>2358</v>
      </c>
      <c r="K486" s="42" t="inlineStr">
        <is>
          <t>Governor</t>
        </is>
      </c>
      <c r="L486" s="43" t="n">
        <v>1319</v>
      </c>
      <c r="M486" s="43" t="n">
        <v>1862</v>
      </c>
      <c r="N486" s="43" t="n">
        <v>3262</v>
      </c>
      <c r="O486" s="44">
        <f>IFERROR((F486-G486)/(F486+G486),"")</f>
        <v/>
      </c>
      <c r="P486" s="44">
        <f>IFERROR((I486-J486)/(I486+J486),"")</f>
        <v/>
      </c>
      <c r="Q486" s="45">
        <f>IFERROR(O486-P486,"")</f>
        <v/>
      </c>
      <c r="R486" s="44">
        <f>IFERROR((L486-M486)/(L486+M486),"")</f>
        <v/>
      </c>
      <c r="S486" s="46">
        <f>H486/SUMIFS(Counties!$H$2:$H$1583,Counties!$A$2:$A$1583,$A486)</f>
        <v/>
      </c>
      <c r="T486" s="44">
        <f>O486+INDEX(Dashboard!$F$6:$F$22,MATCH($A486,Dashboard!$A$6:$A$22,0))</f>
        <v/>
      </c>
      <c r="U486" s="43">
        <f>AQ486*INDEX(Dashboard!$G$6:$G$22,MATCH($A486,Dashboard!$A$6:$A$22,0))</f>
        <v/>
      </c>
      <c r="V486" s="47" t="n"/>
      <c r="W486" s="47" t="n"/>
      <c r="X486" s="47" t="n"/>
      <c r="Y486" s="48" t="n"/>
      <c r="Z486" s="49" t="n"/>
      <c r="AA486" s="49" t="n"/>
      <c r="AB486" s="49" t="n"/>
      <c r="AC486" s="50" t="n"/>
      <c r="AD486" s="43">
        <f>IF(Z486&lt;&gt;"",Z486,N(V486))</f>
        <v/>
      </c>
      <c r="AE486" s="43">
        <f>IF(AA486&lt;&gt;"",AA486,N(W486))</f>
        <v/>
      </c>
      <c r="AF486" s="43">
        <f>AD486+AE486</f>
        <v/>
      </c>
      <c r="AG486" s="42">
        <f>IF(UPPER(AC486)="Y",1,IF(AF486=0,0,IF(AND(Z486="",Y486&lt;&gt;""),IF(Y486&gt;=0.999,1,0),IF(AF486&gt;=U486,1,0))))</f>
        <v/>
      </c>
      <c r="AH486" s="44">
        <f>IF(AF486&gt;0,(AD486-AE486)/AF486,"")</f>
        <v/>
      </c>
      <c r="AI486" s="45">
        <f>IF(AG486=1,AH486-O486,"")</f>
        <v/>
      </c>
      <c r="AJ486" s="44">
        <f>IF(AG486=1,AH486,MAX(-1,MIN(1,O486+INDEX(Types!$H:$H,MATCH($A486&amp;"|"&amp;$D486,Types!$A:$A,0)))))</f>
        <v/>
      </c>
      <c r="AK486" s="43">
        <f>IF(AG486=1,AF486,MAX(AQ486*AS486,AF486))</f>
        <v/>
      </c>
      <c r="AL486" s="43">
        <f>IF(AG486=1,AD486,AK486*(1+AJ486)/2)</f>
        <v/>
      </c>
      <c r="AM486" s="43">
        <f>IF(AG486=1,AE486,AK486*(1-AJ486)/2)</f>
        <v/>
      </c>
      <c r="AN486" s="45">
        <f>IF(AH486="","",AH486-T486)</f>
        <v/>
      </c>
      <c r="AO486" s="51">
        <f>IF(AG486=1,1,IF(U486&gt;0,MIN(AF486/U486,0.99),0))</f>
        <v/>
      </c>
      <c r="AP486" s="43">
        <f>IF(AG486=1,AI486*AF486,0)</f>
        <v/>
      </c>
      <c r="AQ486" s="43">
        <f>N486*(F486+G486)/H486</f>
        <v/>
      </c>
      <c r="AR486" s="43">
        <f>O486*AQ486</f>
        <v/>
      </c>
      <c r="AS486" s="52">
        <f>IF(AG486=1,IF(AQ486&gt;0,AF486/AQ486,1),IFERROR(INDEX(Types!$K:$K,MATCH($A486&amp;"|"&amp;$D486,Types!$A:$A,0)),INDEX(Dashboard!$X$6:$X$22,MATCH($A486,Dashboard!$A$6:$A$22,0))))</f>
        <v/>
      </c>
      <c r="AT486" s="43">
        <f>AQ486*INDEX(Dashboard!$Y$6:$Y$22,MATCH($A486,Dashboard!$A$6:$A$22,0))</f>
        <v/>
      </c>
      <c r="AU486" s="53">
        <f>IF(AND(AG486=1,AT486&gt;0,AF486&gt;0),100*AF486/AT486,"")</f>
        <v/>
      </c>
      <c r="AV486" s="44">
        <f>IF(AU486="","",T486/(AU486/100))</f>
        <v/>
      </c>
      <c r="AW486" s="53">
        <f>IF(AU486="","",IF(AND(ABS(AH486)&gt;=0.1,ABS(T486)&gt;=0.05,SIGN(AH486)=SIGN(T486)),100*T486/AH486,""))</f>
        <v/>
      </c>
      <c r="AX486" s="45">
        <f>IF(AU486="","",T486-AV486)</f>
        <v/>
      </c>
      <c r="AY486" s="45">
        <f>IF(AU486="","",AH486-AV486)</f>
        <v/>
      </c>
      <c r="AZ486" s="54">
        <f>(AL486-AM486)-T486*AT486</f>
        <v/>
      </c>
      <c r="BA486" s="43">
        <f>IF(AU486="",0,(AH486-T486)*AF486)</f>
        <v/>
      </c>
      <c r="BB486" s="43">
        <f>IF(AU486="",0,T486*(AF486-AT486))</f>
        <v/>
      </c>
      <c r="BC486" s="51" t="n">
        <v>0.004571622079241449</v>
      </c>
      <c r="BD486" s="51" t="n">
        <v>0.01947172367084321</v>
      </c>
      <c r="BE486" s="51" t="n">
        <v>0.1668376769956905</v>
      </c>
      <c r="BF486" s="43" t="n">
        <v>5906</v>
      </c>
    </row>
    <row r="487">
      <c r="A487" s="42" t="inlineStr">
        <is>
          <t>MI</t>
        </is>
      </c>
      <c r="B487" s="42" t="inlineStr">
        <is>
          <t>26133</t>
        </is>
      </c>
      <c r="C487" s="42" t="inlineStr">
        <is>
          <t>Osceola</t>
        </is>
      </c>
      <c r="D487" s="42" t="inlineStr">
        <is>
          <t>Small town &amp; rural</t>
        </is>
      </c>
      <c r="E487" s="42" t="inlineStr"/>
      <c r="F487" s="43" t="n">
        <v>3326</v>
      </c>
      <c r="G487" s="43" t="n">
        <v>9639</v>
      </c>
      <c r="H487" s="43" t="n">
        <v>13184</v>
      </c>
      <c r="I487" s="43" t="n">
        <v>3214</v>
      </c>
      <c r="J487" s="43" t="n">
        <v>8928</v>
      </c>
      <c r="K487" s="42" t="inlineStr">
        <is>
          <t>Governor</t>
        </is>
      </c>
      <c r="L487" s="43" t="n">
        <v>3174</v>
      </c>
      <c r="M487" s="43" t="n">
        <v>6954</v>
      </c>
      <c r="N487" s="43" t="n">
        <v>10379</v>
      </c>
      <c r="O487" s="44">
        <f>IFERROR((F487-G487)/(F487+G487),"")</f>
        <v/>
      </c>
      <c r="P487" s="44">
        <f>IFERROR((I487-J487)/(I487+J487),"")</f>
        <v/>
      </c>
      <c r="Q487" s="45">
        <f>IFERROR(O487-P487,"")</f>
        <v/>
      </c>
      <c r="R487" s="44">
        <f>IFERROR((L487-M487)/(L487+M487),"")</f>
        <v/>
      </c>
      <c r="S487" s="46">
        <f>H487/SUMIFS(Counties!$H$2:$H$1583,Counties!$A$2:$A$1583,$A487)</f>
        <v/>
      </c>
      <c r="T487" s="44">
        <f>O487+INDEX(Dashboard!$F$6:$F$22,MATCH($A487,Dashboard!$A$6:$A$22,0))</f>
        <v/>
      </c>
      <c r="U487" s="43">
        <f>AQ487*INDEX(Dashboard!$G$6:$G$22,MATCH($A487,Dashboard!$A$6:$A$22,0))</f>
        <v/>
      </c>
      <c r="V487" s="47" t="n"/>
      <c r="W487" s="47" t="n"/>
      <c r="X487" s="47" t="n"/>
      <c r="Y487" s="48" t="n"/>
      <c r="Z487" s="49" t="n"/>
      <c r="AA487" s="49" t="n"/>
      <c r="AB487" s="49" t="n"/>
      <c r="AC487" s="50" t="n"/>
      <c r="AD487" s="43">
        <f>IF(Z487&lt;&gt;"",Z487,N(V487))</f>
        <v/>
      </c>
      <c r="AE487" s="43">
        <f>IF(AA487&lt;&gt;"",AA487,N(W487))</f>
        <v/>
      </c>
      <c r="AF487" s="43">
        <f>AD487+AE487</f>
        <v/>
      </c>
      <c r="AG487" s="42">
        <f>IF(UPPER(AC487)="Y",1,IF(AF487=0,0,IF(AND(Z487="",Y487&lt;&gt;""),IF(Y487&gt;=0.999,1,0),IF(AF487&gt;=U487,1,0))))</f>
        <v/>
      </c>
      <c r="AH487" s="44">
        <f>IF(AF487&gt;0,(AD487-AE487)/AF487,"")</f>
        <v/>
      </c>
      <c r="AI487" s="45">
        <f>IF(AG487=1,AH487-O487,"")</f>
        <v/>
      </c>
      <c r="AJ487" s="44">
        <f>IF(AG487=1,AH487,MAX(-1,MIN(1,O487+INDEX(Types!$H:$H,MATCH($A487&amp;"|"&amp;$D487,Types!$A:$A,0)))))</f>
        <v/>
      </c>
      <c r="AK487" s="43">
        <f>IF(AG487=1,AF487,MAX(AQ487*AS487,AF487))</f>
        <v/>
      </c>
      <c r="AL487" s="43">
        <f>IF(AG487=1,AD487,AK487*(1+AJ487)/2)</f>
        <v/>
      </c>
      <c r="AM487" s="43">
        <f>IF(AG487=1,AE487,AK487*(1-AJ487)/2)</f>
        <v/>
      </c>
      <c r="AN487" s="45">
        <f>IF(AH487="","",AH487-T487)</f>
        <v/>
      </c>
      <c r="AO487" s="51">
        <f>IF(AG487=1,1,IF(U487&gt;0,MIN(AF487/U487,0.99),0))</f>
        <v/>
      </c>
      <c r="AP487" s="43">
        <f>IF(AG487=1,AI487*AF487,0)</f>
        <v/>
      </c>
      <c r="AQ487" s="43">
        <f>N487*(F487+G487)/H487</f>
        <v/>
      </c>
      <c r="AR487" s="43">
        <f>O487*AQ487</f>
        <v/>
      </c>
      <c r="AS487" s="52">
        <f>IF(AG487=1,IF(AQ487&gt;0,AF487/AQ487,1),IFERROR(INDEX(Types!$K:$K,MATCH($A487&amp;"|"&amp;$D487,Types!$A:$A,0)),INDEX(Dashboard!$X$6:$X$22,MATCH($A487,Dashboard!$A$6:$A$22,0))))</f>
        <v/>
      </c>
      <c r="AT487" s="43">
        <f>AQ487*INDEX(Dashboard!$Y$6:$Y$22,MATCH($A487,Dashboard!$A$6:$A$22,0))</f>
        <v/>
      </c>
      <c r="AU487" s="53">
        <f>IF(AND(AG487=1,AT487&gt;0,AF487&gt;0),100*AF487/AT487,"")</f>
        <v/>
      </c>
      <c r="AV487" s="44">
        <f>IF(AU487="","",T487/(AU487/100))</f>
        <v/>
      </c>
      <c r="AW487" s="53">
        <f>IF(AU487="","",IF(AND(ABS(AH487)&gt;=0.1,ABS(T487)&gt;=0.05,SIGN(AH487)=SIGN(T487)),100*T487/AH487,""))</f>
        <v/>
      </c>
      <c r="AX487" s="45">
        <f>IF(AU487="","",T487-AV487)</f>
        <v/>
      </c>
      <c r="AY487" s="45">
        <f>IF(AU487="","",AH487-AV487)</f>
        <v/>
      </c>
      <c r="AZ487" s="54">
        <f>(AL487-AM487)-T487*AT487</f>
        <v/>
      </c>
      <c r="BA487" s="43">
        <f>IF(AU487="",0,(AH487-T487)*AF487)</f>
        <v/>
      </c>
      <c r="BB487" s="43">
        <f>IF(AU487="",0,T487*(AF487-AT487))</f>
        <v/>
      </c>
      <c r="BC487" s="51" t="n">
        <v>0.01067295327903986</v>
      </c>
      <c r="BD487" s="51" t="n">
        <v>0.02276039434204886</v>
      </c>
      <c r="BE487" s="51" t="n">
        <v>0.1635351000673236</v>
      </c>
      <c r="BF487" s="43" t="n">
        <v>23330</v>
      </c>
    </row>
    <row r="488">
      <c r="A488" s="42" t="inlineStr">
        <is>
          <t>MI</t>
        </is>
      </c>
      <c r="B488" s="42" t="inlineStr">
        <is>
          <t>26135</t>
        </is>
      </c>
      <c r="C488" s="42" t="inlineStr">
        <is>
          <t>Oscoda</t>
        </is>
      </c>
      <c r="D488" s="42" t="inlineStr">
        <is>
          <t>Small town &amp; rural</t>
        </is>
      </c>
      <c r="E488" s="42" t="inlineStr"/>
      <c r="F488" s="43" t="n">
        <v>1414</v>
      </c>
      <c r="G488" s="43" t="n">
        <v>3716</v>
      </c>
      <c r="H488" s="43" t="n">
        <v>5192</v>
      </c>
      <c r="I488" s="43" t="n">
        <v>1342</v>
      </c>
      <c r="J488" s="43" t="n">
        <v>3466</v>
      </c>
      <c r="K488" s="42" t="inlineStr">
        <is>
          <t>Governor</t>
        </is>
      </c>
      <c r="L488" s="43" t="n">
        <v>1355</v>
      </c>
      <c r="M488" s="43" t="n">
        <v>2553</v>
      </c>
      <c r="N488" s="43" t="n">
        <v>4018</v>
      </c>
      <c r="O488" s="44">
        <f>IFERROR((F488-G488)/(F488+G488),"")</f>
        <v/>
      </c>
      <c r="P488" s="44">
        <f>IFERROR((I488-J488)/(I488+J488),"")</f>
        <v/>
      </c>
      <c r="Q488" s="45">
        <f>IFERROR(O488-P488,"")</f>
        <v/>
      </c>
      <c r="R488" s="44">
        <f>IFERROR((L488-M488)/(L488+M488),"")</f>
        <v/>
      </c>
      <c r="S488" s="46">
        <f>H488/SUMIFS(Counties!$H$2:$H$1583,Counties!$A$2:$A$1583,$A488)</f>
        <v/>
      </c>
      <c r="T488" s="44">
        <f>O488+INDEX(Dashboard!$F$6:$F$22,MATCH($A488,Dashboard!$A$6:$A$22,0))</f>
        <v/>
      </c>
      <c r="U488" s="43">
        <f>AQ488*INDEX(Dashboard!$G$6:$G$22,MATCH($A488,Dashboard!$A$6:$A$22,0))</f>
        <v/>
      </c>
      <c r="V488" s="47" t="n"/>
      <c r="W488" s="47" t="n"/>
      <c r="X488" s="47" t="n"/>
      <c r="Y488" s="48" t="n"/>
      <c r="Z488" s="49" t="n"/>
      <c r="AA488" s="49" t="n"/>
      <c r="AB488" s="49" t="n"/>
      <c r="AC488" s="50" t="n"/>
      <c r="AD488" s="43">
        <f>IF(Z488&lt;&gt;"",Z488,N(V488))</f>
        <v/>
      </c>
      <c r="AE488" s="43">
        <f>IF(AA488&lt;&gt;"",AA488,N(W488))</f>
        <v/>
      </c>
      <c r="AF488" s="43">
        <f>AD488+AE488</f>
        <v/>
      </c>
      <c r="AG488" s="42">
        <f>IF(UPPER(AC488)="Y",1,IF(AF488=0,0,IF(AND(Z488="",Y488&lt;&gt;""),IF(Y488&gt;=0.999,1,0),IF(AF488&gt;=U488,1,0))))</f>
        <v/>
      </c>
      <c r="AH488" s="44">
        <f>IF(AF488&gt;0,(AD488-AE488)/AF488,"")</f>
        <v/>
      </c>
      <c r="AI488" s="45">
        <f>IF(AG488=1,AH488-O488,"")</f>
        <v/>
      </c>
      <c r="AJ488" s="44">
        <f>IF(AG488=1,AH488,MAX(-1,MIN(1,O488+INDEX(Types!$H:$H,MATCH($A488&amp;"|"&amp;$D488,Types!$A:$A,0)))))</f>
        <v/>
      </c>
      <c r="AK488" s="43">
        <f>IF(AG488=1,AF488,MAX(AQ488*AS488,AF488))</f>
        <v/>
      </c>
      <c r="AL488" s="43">
        <f>IF(AG488=1,AD488,AK488*(1+AJ488)/2)</f>
        <v/>
      </c>
      <c r="AM488" s="43">
        <f>IF(AG488=1,AE488,AK488*(1-AJ488)/2)</f>
        <v/>
      </c>
      <c r="AN488" s="45">
        <f>IF(AH488="","",AH488-T488)</f>
        <v/>
      </c>
      <c r="AO488" s="51">
        <f>IF(AG488=1,1,IF(U488&gt;0,MIN(AF488/U488,0.99),0))</f>
        <v/>
      </c>
      <c r="AP488" s="43">
        <f>IF(AG488=1,AI488*AF488,0)</f>
        <v/>
      </c>
      <c r="AQ488" s="43">
        <f>N488*(F488+G488)/H488</f>
        <v/>
      </c>
      <c r="AR488" s="43">
        <f>O488*AQ488</f>
        <v/>
      </c>
      <c r="AS488" s="52">
        <f>IF(AG488=1,IF(AQ488&gt;0,AF488/AQ488,1),IFERROR(INDEX(Types!$K:$K,MATCH($A488&amp;"|"&amp;$D488,Types!$A:$A,0)),INDEX(Dashboard!$X$6:$X$22,MATCH($A488,Dashboard!$A$6:$A$22,0))))</f>
        <v/>
      </c>
      <c r="AT488" s="43">
        <f>AQ488*INDEX(Dashboard!$Y$6:$Y$22,MATCH($A488,Dashboard!$A$6:$A$22,0))</f>
        <v/>
      </c>
      <c r="AU488" s="53">
        <f>IF(AND(AG488=1,AT488&gt;0,AF488&gt;0),100*AF488/AT488,"")</f>
        <v/>
      </c>
      <c r="AV488" s="44">
        <f>IF(AU488="","",T488/(AU488/100))</f>
        <v/>
      </c>
      <c r="AW488" s="53">
        <f>IF(AU488="","",IF(AND(ABS(AH488)&gt;=0.1,ABS(T488)&gt;=0.05,SIGN(AH488)=SIGN(T488)),100*T488/AH488,""))</f>
        <v/>
      </c>
      <c r="AX488" s="45">
        <f>IF(AU488="","",T488-AV488)</f>
        <v/>
      </c>
      <c r="AY488" s="45">
        <f>IF(AU488="","",AH488-AV488)</f>
        <v/>
      </c>
      <c r="AZ488" s="54">
        <f>(AL488-AM488)-T488*AT488</f>
        <v/>
      </c>
      <c r="BA488" s="43">
        <f>IF(AU488="",0,(AH488-T488)*AF488)</f>
        <v/>
      </c>
      <c r="BB488" s="43">
        <f>IF(AU488="",0,T488*(AF488-AT488))</f>
        <v/>
      </c>
      <c r="BC488" s="51" t="n">
        <v>0.007255705090696314</v>
      </c>
      <c r="BD488" s="51" t="n">
        <v>0.02282036278525454</v>
      </c>
      <c r="BE488" s="51" t="n">
        <v>0.1484638893356925</v>
      </c>
      <c r="BF488" s="43" t="n">
        <v>8545</v>
      </c>
    </row>
    <row r="489">
      <c r="A489" s="42" t="inlineStr">
        <is>
          <t>MI</t>
        </is>
      </c>
      <c r="B489" s="42" t="inlineStr">
        <is>
          <t>26137</t>
        </is>
      </c>
      <c r="C489" s="42" t="inlineStr">
        <is>
          <t>Otsego</t>
        </is>
      </c>
      <c r="D489" s="42" t="inlineStr">
        <is>
          <t>Small town &amp; rural</t>
        </is>
      </c>
      <c r="E489" s="42" t="inlineStr"/>
      <c r="F489" s="43" t="n">
        <v>5052</v>
      </c>
      <c r="G489" s="43" t="n">
        <v>10693</v>
      </c>
      <c r="H489" s="43" t="n">
        <v>15971</v>
      </c>
      <c r="I489" s="43" t="n">
        <v>4743</v>
      </c>
      <c r="J489" s="43" t="n">
        <v>9779</v>
      </c>
      <c r="K489" s="42" t="inlineStr">
        <is>
          <t>Governor</t>
        </is>
      </c>
      <c r="L489" s="43" t="n">
        <v>4818</v>
      </c>
      <c r="M489" s="43" t="n">
        <v>7422</v>
      </c>
      <c r="N489" s="43" t="n">
        <v>12505</v>
      </c>
      <c r="O489" s="44">
        <f>IFERROR((F489-G489)/(F489+G489),"")</f>
        <v/>
      </c>
      <c r="P489" s="44">
        <f>IFERROR((I489-J489)/(I489+J489),"")</f>
        <v/>
      </c>
      <c r="Q489" s="45">
        <f>IFERROR(O489-P489,"")</f>
        <v/>
      </c>
      <c r="R489" s="44">
        <f>IFERROR((L489-M489)/(L489+M489),"")</f>
        <v/>
      </c>
      <c r="S489" s="46">
        <f>H489/SUMIFS(Counties!$H$2:$H$1583,Counties!$A$2:$A$1583,$A489)</f>
        <v/>
      </c>
      <c r="T489" s="44">
        <f>O489+INDEX(Dashboard!$F$6:$F$22,MATCH($A489,Dashboard!$A$6:$A$22,0))</f>
        <v/>
      </c>
      <c r="U489" s="43">
        <f>AQ489*INDEX(Dashboard!$G$6:$G$22,MATCH($A489,Dashboard!$A$6:$A$22,0))</f>
        <v/>
      </c>
      <c r="V489" s="47" t="n"/>
      <c r="W489" s="47" t="n"/>
      <c r="X489" s="47" t="n"/>
      <c r="Y489" s="48" t="n"/>
      <c r="Z489" s="49" t="n"/>
      <c r="AA489" s="49" t="n"/>
      <c r="AB489" s="49" t="n"/>
      <c r="AC489" s="50" t="n"/>
      <c r="AD489" s="43">
        <f>IF(Z489&lt;&gt;"",Z489,N(V489))</f>
        <v/>
      </c>
      <c r="AE489" s="43">
        <f>IF(AA489&lt;&gt;"",AA489,N(W489))</f>
        <v/>
      </c>
      <c r="AF489" s="43">
        <f>AD489+AE489</f>
        <v/>
      </c>
      <c r="AG489" s="42">
        <f>IF(UPPER(AC489)="Y",1,IF(AF489=0,0,IF(AND(Z489="",Y489&lt;&gt;""),IF(Y489&gt;=0.999,1,0),IF(AF489&gt;=U489,1,0))))</f>
        <v/>
      </c>
      <c r="AH489" s="44">
        <f>IF(AF489&gt;0,(AD489-AE489)/AF489,"")</f>
        <v/>
      </c>
      <c r="AI489" s="45">
        <f>IF(AG489=1,AH489-O489,"")</f>
        <v/>
      </c>
      <c r="AJ489" s="44">
        <f>IF(AG489=1,AH489,MAX(-1,MIN(1,O489+INDEX(Types!$H:$H,MATCH($A489&amp;"|"&amp;$D489,Types!$A:$A,0)))))</f>
        <v/>
      </c>
      <c r="AK489" s="43">
        <f>IF(AG489=1,AF489,MAX(AQ489*AS489,AF489))</f>
        <v/>
      </c>
      <c r="AL489" s="43">
        <f>IF(AG489=1,AD489,AK489*(1+AJ489)/2)</f>
        <v/>
      </c>
      <c r="AM489" s="43">
        <f>IF(AG489=1,AE489,AK489*(1-AJ489)/2)</f>
        <v/>
      </c>
      <c r="AN489" s="45">
        <f>IF(AH489="","",AH489-T489)</f>
        <v/>
      </c>
      <c r="AO489" s="51">
        <f>IF(AG489=1,1,IF(U489&gt;0,MIN(AF489/U489,0.99),0))</f>
        <v/>
      </c>
      <c r="AP489" s="43">
        <f>IF(AG489=1,AI489*AF489,0)</f>
        <v/>
      </c>
      <c r="AQ489" s="43">
        <f>N489*(F489+G489)/H489</f>
        <v/>
      </c>
      <c r="AR489" s="43">
        <f>O489*AQ489</f>
        <v/>
      </c>
      <c r="AS489" s="52">
        <f>IF(AG489=1,IF(AQ489&gt;0,AF489/AQ489,1),IFERROR(INDEX(Types!$K:$K,MATCH($A489&amp;"|"&amp;$D489,Types!$A:$A,0)),INDEX(Dashboard!$X$6:$X$22,MATCH($A489,Dashboard!$A$6:$A$22,0))))</f>
        <v/>
      </c>
      <c r="AT489" s="43">
        <f>AQ489*INDEX(Dashboard!$Y$6:$Y$22,MATCH($A489,Dashboard!$A$6:$A$22,0))</f>
        <v/>
      </c>
      <c r="AU489" s="53">
        <f>IF(AND(AG489=1,AT489&gt;0,AF489&gt;0),100*AF489/AT489,"")</f>
        <v/>
      </c>
      <c r="AV489" s="44">
        <f>IF(AU489="","",T489/(AU489/100))</f>
        <v/>
      </c>
      <c r="AW489" s="53">
        <f>IF(AU489="","",IF(AND(ABS(AH489)&gt;=0.1,ABS(T489)&gt;=0.05,SIGN(AH489)=SIGN(T489)),100*T489/AH489,""))</f>
        <v/>
      </c>
      <c r="AX489" s="45">
        <f>IF(AU489="","",T489-AV489)</f>
        <v/>
      </c>
      <c r="AY489" s="45">
        <f>IF(AU489="","",AH489-AV489)</f>
        <v/>
      </c>
      <c r="AZ489" s="54">
        <f>(AL489-AM489)-T489*AT489</f>
        <v/>
      </c>
      <c r="BA489" s="43">
        <f>IF(AU489="",0,(AH489-T489)*AF489)</f>
        <v/>
      </c>
      <c r="BB489" s="43">
        <f>IF(AU489="",0,T489*(AF489-AT489))</f>
        <v/>
      </c>
      <c r="BC489" s="51" t="n">
        <v>0.006952266283450499</v>
      </c>
      <c r="BD489" s="51" t="n">
        <v>0.02147823047345322</v>
      </c>
      <c r="BE489" s="51" t="n">
        <v>0.2584662442648022</v>
      </c>
      <c r="BF489" s="43" t="n">
        <v>25747</v>
      </c>
    </row>
    <row r="490">
      <c r="A490" s="42" t="inlineStr">
        <is>
          <t>MI</t>
        </is>
      </c>
      <c r="B490" s="42" t="inlineStr">
        <is>
          <t>26139</t>
        </is>
      </c>
      <c r="C490" s="42" t="inlineStr">
        <is>
          <t>Ottawa</t>
        </is>
      </c>
      <c r="D490" s="42" t="inlineStr">
        <is>
          <t>Mid-size/working metro</t>
        </is>
      </c>
      <c r="E490" s="42" t="inlineStr">
        <is>
          <t>★</t>
        </is>
      </c>
      <c r="F490" s="43" t="n">
        <v>69653</v>
      </c>
      <c r="G490" s="43" t="n">
        <v>106133</v>
      </c>
      <c r="H490" s="43" t="n">
        <v>178402</v>
      </c>
      <c r="I490" s="43" t="n">
        <v>64705</v>
      </c>
      <c r="J490" s="43" t="n">
        <v>100913</v>
      </c>
      <c r="K490" s="42" t="inlineStr">
        <is>
          <t>Governor</t>
        </is>
      </c>
      <c r="L490" s="43" t="n">
        <v>58952</v>
      </c>
      <c r="M490" s="43" t="n">
        <v>85361</v>
      </c>
      <c r="N490" s="43" t="n">
        <v>146499</v>
      </c>
      <c r="O490" s="44">
        <f>IFERROR((F490-G490)/(F490+G490),"")</f>
        <v/>
      </c>
      <c r="P490" s="44">
        <f>IFERROR((I490-J490)/(I490+J490),"")</f>
        <v/>
      </c>
      <c r="Q490" s="45">
        <f>IFERROR(O490-P490,"")</f>
        <v/>
      </c>
      <c r="R490" s="44">
        <f>IFERROR((L490-M490)/(L490+M490),"")</f>
        <v/>
      </c>
      <c r="S490" s="46">
        <f>H490/SUMIFS(Counties!$H$2:$H$1583,Counties!$A$2:$A$1583,$A490)</f>
        <v/>
      </c>
      <c r="T490" s="44">
        <f>O490+INDEX(Dashboard!$F$6:$F$22,MATCH($A490,Dashboard!$A$6:$A$22,0))</f>
        <v/>
      </c>
      <c r="U490" s="43">
        <f>AQ490*INDEX(Dashboard!$G$6:$G$22,MATCH($A490,Dashboard!$A$6:$A$22,0))</f>
        <v/>
      </c>
      <c r="V490" s="47" t="n"/>
      <c r="W490" s="47" t="n"/>
      <c r="X490" s="47" t="n"/>
      <c r="Y490" s="48" t="n"/>
      <c r="Z490" s="49" t="n"/>
      <c r="AA490" s="49" t="n"/>
      <c r="AB490" s="49" t="n"/>
      <c r="AC490" s="50" t="n"/>
      <c r="AD490" s="43">
        <f>IF(Z490&lt;&gt;"",Z490,N(V490))</f>
        <v/>
      </c>
      <c r="AE490" s="43">
        <f>IF(AA490&lt;&gt;"",AA490,N(W490))</f>
        <v/>
      </c>
      <c r="AF490" s="43">
        <f>AD490+AE490</f>
        <v/>
      </c>
      <c r="AG490" s="42">
        <f>IF(UPPER(AC490)="Y",1,IF(AF490=0,0,IF(AND(Z490="",Y490&lt;&gt;""),IF(Y490&gt;=0.999,1,0),IF(AF490&gt;=U490,1,0))))</f>
        <v/>
      </c>
      <c r="AH490" s="44">
        <f>IF(AF490&gt;0,(AD490-AE490)/AF490,"")</f>
        <v/>
      </c>
      <c r="AI490" s="45">
        <f>IF(AG490=1,AH490-O490,"")</f>
        <v/>
      </c>
      <c r="AJ490" s="44">
        <f>IF(AG490=1,AH490,MAX(-1,MIN(1,O490+INDEX(Types!$H:$H,MATCH($A490&amp;"|"&amp;$D490,Types!$A:$A,0)))))</f>
        <v/>
      </c>
      <c r="AK490" s="43">
        <f>IF(AG490=1,AF490,MAX(AQ490*AS490,AF490))</f>
        <v/>
      </c>
      <c r="AL490" s="43">
        <f>IF(AG490=1,AD490,AK490*(1+AJ490)/2)</f>
        <v/>
      </c>
      <c r="AM490" s="43">
        <f>IF(AG490=1,AE490,AK490*(1-AJ490)/2)</f>
        <v/>
      </c>
      <c r="AN490" s="45">
        <f>IF(AH490="","",AH490-T490)</f>
        <v/>
      </c>
      <c r="AO490" s="51">
        <f>IF(AG490=1,1,IF(U490&gt;0,MIN(AF490/U490,0.99),0))</f>
        <v/>
      </c>
      <c r="AP490" s="43">
        <f>IF(AG490=1,AI490*AF490,0)</f>
        <v/>
      </c>
      <c r="AQ490" s="43">
        <f>N490*(F490+G490)/H490</f>
        <v/>
      </c>
      <c r="AR490" s="43">
        <f>O490*AQ490</f>
        <v/>
      </c>
      <c r="AS490" s="52">
        <f>IF(AG490=1,IF(AQ490&gt;0,AF490/AQ490,1),IFERROR(INDEX(Types!$K:$K,MATCH($A490&amp;"|"&amp;$D490,Types!$A:$A,0)),INDEX(Dashboard!$X$6:$X$22,MATCH($A490,Dashboard!$A$6:$A$22,0))))</f>
        <v/>
      </c>
      <c r="AT490" s="43">
        <f>AQ490*INDEX(Dashboard!$Y$6:$Y$22,MATCH($A490,Dashboard!$A$6:$A$22,0))</f>
        <v/>
      </c>
      <c r="AU490" s="53">
        <f>IF(AND(AG490=1,AT490&gt;0,AF490&gt;0),100*AF490/AT490,"")</f>
        <v/>
      </c>
      <c r="AV490" s="44">
        <f>IF(AU490="","",T490/(AU490/100))</f>
        <v/>
      </c>
      <c r="AW490" s="53">
        <f>IF(AU490="","",IF(AND(ABS(AH490)&gt;=0.1,ABS(T490)&gt;=0.05,SIGN(AH490)=SIGN(T490)),100*T490/AH490,""))</f>
        <v/>
      </c>
      <c r="AX490" s="45">
        <f>IF(AU490="","",T490-AV490)</f>
        <v/>
      </c>
      <c r="AY490" s="45">
        <f>IF(AU490="","",AH490-AV490)</f>
        <v/>
      </c>
      <c r="AZ490" s="54">
        <f>(AL490-AM490)-T490*AT490</f>
        <v/>
      </c>
      <c r="BA490" s="43">
        <f>IF(AU490="",0,(AH490-T490)*AF490)</f>
        <v/>
      </c>
      <c r="BB490" s="43">
        <f>IF(AU490="",0,T490*(AF490-AT490))</f>
        <v/>
      </c>
      <c r="BC490" s="51" t="n">
        <v>0.01783948419761876</v>
      </c>
      <c r="BD490" s="51" t="n">
        <v>0.104007621006553</v>
      </c>
      <c r="BE490" s="51" t="n">
        <v>0.3752117507181111</v>
      </c>
      <c r="BF490" s="43" t="n">
        <v>303372</v>
      </c>
    </row>
    <row r="491">
      <c r="A491" s="42" t="inlineStr">
        <is>
          <t>MI</t>
        </is>
      </c>
      <c r="B491" s="42" t="inlineStr">
        <is>
          <t>26141</t>
        </is>
      </c>
      <c r="C491" s="42" t="inlineStr">
        <is>
          <t>Presque Isle</t>
        </is>
      </c>
      <c r="D491" s="42" t="inlineStr">
        <is>
          <t>Small town &amp; rural</t>
        </is>
      </c>
      <c r="E491" s="42" t="inlineStr"/>
      <c r="F491" s="43" t="n">
        <v>3036</v>
      </c>
      <c r="G491" s="43" t="n">
        <v>5568</v>
      </c>
      <c r="H491" s="43" t="n">
        <v>8739</v>
      </c>
      <c r="I491" s="43" t="n">
        <v>2911</v>
      </c>
      <c r="J491" s="43" t="n">
        <v>5342</v>
      </c>
      <c r="K491" s="42" t="inlineStr">
        <is>
          <t>Governor</t>
        </is>
      </c>
      <c r="L491" s="43" t="n">
        <v>2981</v>
      </c>
      <c r="M491" s="43" t="n">
        <v>4165</v>
      </c>
      <c r="N491" s="43" t="n">
        <v>7304</v>
      </c>
      <c r="O491" s="44">
        <f>IFERROR((F491-G491)/(F491+G491),"")</f>
        <v/>
      </c>
      <c r="P491" s="44">
        <f>IFERROR((I491-J491)/(I491+J491),"")</f>
        <v/>
      </c>
      <c r="Q491" s="45">
        <f>IFERROR(O491-P491,"")</f>
        <v/>
      </c>
      <c r="R491" s="44">
        <f>IFERROR((L491-M491)/(L491+M491),"")</f>
        <v/>
      </c>
      <c r="S491" s="46">
        <f>H491/SUMIFS(Counties!$H$2:$H$1583,Counties!$A$2:$A$1583,$A491)</f>
        <v/>
      </c>
      <c r="T491" s="44">
        <f>O491+INDEX(Dashboard!$F$6:$F$22,MATCH($A491,Dashboard!$A$6:$A$22,0))</f>
        <v/>
      </c>
      <c r="U491" s="43">
        <f>AQ491*INDEX(Dashboard!$G$6:$G$22,MATCH($A491,Dashboard!$A$6:$A$22,0))</f>
        <v/>
      </c>
      <c r="V491" s="47" t="n"/>
      <c r="W491" s="47" t="n"/>
      <c r="X491" s="47" t="n"/>
      <c r="Y491" s="48" t="n"/>
      <c r="Z491" s="49" t="n"/>
      <c r="AA491" s="49" t="n"/>
      <c r="AB491" s="49" t="n"/>
      <c r="AC491" s="50" t="n"/>
      <c r="AD491" s="43">
        <f>IF(Z491&lt;&gt;"",Z491,N(V491))</f>
        <v/>
      </c>
      <c r="AE491" s="43">
        <f>IF(AA491&lt;&gt;"",AA491,N(W491))</f>
        <v/>
      </c>
      <c r="AF491" s="43">
        <f>AD491+AE491</f>
        <v/>
      </c>
      <c r="AG491" s="42">
        <f>IF(UPPER(AC491)="Y",1,IF(AF491=0,0,IF(AND(Z491="",Y491&lt;&gt;""),IF(Y491&gt;=0.999,1,0),IF(AF491&gt;=U491,1,0))))</f>
        <v/>
      </c>
      <c r="AH491" s="44">
        <f>IF(AF491&gt;0,(AD491-AE491)/AF491,"")</f>
        <v/>
      </c>
      <c r="AI491" s="45">
        <f>IF(AG491=1,AH491-O491,"")</f>
        <v/>
      </c>
      <c r="AJ491" s="44">
        <f>IF(AG491=1,AH491,MAX(-1,MIN(1,O491+INDEX(Types!$H:$H,MATCH($A491&amp;"|"&amp;$D491,Types!$A:$A,0)))))</f>
        <v/>
      </c>
      <c r="AK491" s="43">
        <f>IF(AG491=1,AF491,MAX(AQ491*AS491,AF491))</f>
        <v/>
      </c>
      <c r="AL491" s="43">
        <f>IF(AG491=1,AD491,AK491*(1+AJ491)/2)</f>
        <v/>
      </c>
      <c r="AM491" s="43">
        <f>IF(AG491=1,AE491,AK491*(1-AJ491)/2)</f>
        <v/>
      </c>
      <c r="AN491" s="45">
        <f>IF(AH491="","",AH491-T491)</f>
        <v/>
      </c>
      <c r="AO491" s="51">
        <f>IF(AG491=1,1,IF(U491&gt;0,MIN(AF491/U491,0.99),0))</f>
        <v/>
      </c>
      <c r="AP491" s="43">
        <f>IF(AG491=1,AI491*AF491,0)</f>
        <v/>
      </c>
      <c r="AQ491" s="43">
        <f>N491*(F491+G491)/H491</f>
        <v/>
      </c>
      <c r="AR491" s="43">
        <f>O491*AQ491</f>
        <v/>
      </c>
      <c r="AS491" s="52">
        <f>IF(AG491=1,IF(AQ491&gt;0,AF491/AQ491,1),IFERROR(INDEX(Types!$K:$K,MATCH($A491&amp;"|"&amp;$D491,Types!$A:$A,0)),INDEX(Dashboard!$X$6:$X$22,MATCH($A491,Dashboard!$A$6:$A$22,0))))</f>
        <v/>
      </c>
      <c r="AT491" s="43">
        <f>AQ491*INDEX(Dashboard!$Y$6:$Y$22,MATCH($A491,Dashboard!$A$6:$A$22,0))</f>
        <v/>
      </c>
      <c r="AU491" s="53">
        <f>IF(AND(AG491=1,AT491&gt;0,AF491&gt;0),100*AF491/AT491,"")</f>
        <v/>
      </c>
      <c r="AV491" s="44">
        <f>IF(AU491="","",T491/(AU491/100))</f>
        <v/>
      </c>
      <c r="AW491" s="53">
        <f>IF(AU491="","",IF(AND(ABS(AH491)&gt;=0.1,ABS(T491)&gt;=0.05,SIGN(AH491)=SIGN(T491)),100*T491/AH491,""))</f>
        <v/>
      </c>
      <c r="AX491" s="45">
        <f>IF(AU491="","",T491-AV491)</f>
        <v/>
      </c>
      <c r="AY491" s="45">
        <f>IF(AU491="","",AH491-AV491)</f>
        <v/>
      </c>
      <c r="AZ491" s="54">
        <f>(AL491-AM491)-T491*AT491</f>
        <v/>
      </c>
      <c r="BA491" s="43">
        <f>IF(AU491="",0,(AH491-T491)*AF491)</f>
        <v/>
      </c>
      <c r="BB491" s="43">
        <f>IF(AU491="",0,T491*(AF491-AT491))</f>
        <v/>
      </c>
      <c r="BC491" s="51" t="n">
        <v>0.00617237485886338</v>
      </c>
      <c r="BD491" s="51" t="n">
        <v>0.01836657884832518</v>
      </c>
      <c r="BE491" s="51" t="n">
        <v>0.2015585914950933</v>
      </c>
      <c r="BF491" s="43" t="n">
        <v>13285</v>
      </c>
    </row>
    <row r="492">
      <c r="A492" s="42" t="inlineStr">
        <is>
          <t>MI</t>
        </is>
      </c>
      <c r="B492" s="42" t="inlineStr">
        <is>
          <t>26143</t>
        </is>
      </c>
      <c r="C492" s="42" t="inlineStr">
        <is>
          <t>Roscommon</t>
        </is>
      </c>
      <c r="D492" s="42" t="inlineStr">
        <is>
          <t>Small town &amp; rural</t>
        </is>
      </c>
      <c r="E492" s="42" t="inlineStr"/>
      <c r="F492" s="43" t="n">
        <v>5290</v>
      </c>
      <c r="G492" s="43" t="n">
        <v>10582</v>
      </c>
      <c r="H492" s="43" t="n">
        <v>16065</v>
      </c>
      <c r="I492" s="43" t="n">
        <v>5166</v>
      </c>
      <c r="J492" s="43" t="n">
        <v>9670</v>
      </c>
      <c r="K492" s="42" t="inlineStr">
        <is>
          <t>Governor</t>
        </is>
      </c>
      <c r="L492" s="43" t="n">
        <v>5284</v>
      </c>
      <c r="M492" s="43" t="n">
        <v>7391</v>
      </c>
      <c r="N492" s="43" t="n">
        <v>12957</v>
      </c>
      <c r="O492" s="44">
        <f>IFERROR((F492-G492)/(F492+G492),"")</f>
        <v/>
      </c>
      <c r="P492" s="44">
        <f>IFERROR((I492-J492)/(I492+J492),"")</f>
        <v/>
      </c>
      <c r="Q492" s="45">
        <f>IFERROR(O492-P492,"")</f>
        <v/>
      </c>
      <c r="R492" s="44">
        <f>IFERROR((L492-M492)/(L492+M492),"")</f>
        <v/>
      </c>
      <c r="S492" s="46">
        <f>H492/SUMIFS(Counties!$H$2:$H$1583,Counties!$A$2:$A$1583,$A492)</f>
        <v/>
      </c>
      <c r="T492" s="44">
        <f>O492+INDEX(Dashboard!$F$6:$F$22,MATCH($A492,Dashboard!$A$6:$A$22,0))</f>
        <v/>
      </c>
      <c r="U492" s="43">
        <f>AQ492*INDEX(Dashboard!$G$6:$G$22,MATCH($A492,Dashboard!$A$6:$A$22,0))</f>
        <v/>
      </c>
      <c r="V492" s="47" t="n"/>
      <c r="W492" s="47" t="n"/>
      <c r="X492" s="47" t="n"/>
      <c r="Y492" s="48" t="n"/>
      <c r="Z492" s="49" t="n"/>
      <c r="AA492" s="49" t="n"/>
      <c r="AB492" s="49" t="n"/>
      <c r="AC492" s="50" t="n"/>
      <c r="AD492" s="43">
        <f>IF(Z492&lt;&gt;"",Z492,N(V492))</f>
        <v/>
      </c>
      <c r="AE492" s="43">
        <f>IF(AA492&lt;&gt;"",AA492,N(W492))</f>
        <v/>
      </c>
      <c r="AF492" s="43">
        <f>AD492+AE492</f>
        <v/>
      </c>
      <c r="AG492" s="42">
        <f>IF(UPPER(AC492)="Y",1,IF(AF492=0,0,IF(AND(Z492="",Y492&lt;&gt;""),IF(Y492&gt;=0.999,1,0),IF(AF492&gt;=U492,1,0))))</f>
        <v/>
      </c>
      <c r="AH492" s="44">
        <f>IF(AF492&gt;0,(AD492-AE492)/AF492,"")</f>
        <v/>
      </c>
      <c r="AI492" s="45">
        <f>IF(AG492=1,AH492-O492,"")</f>
        <v/>
      </c>
      <c r="AJ492" s="44">
        <f>IF(AG492=1,AH492,MAX(-1,MIN(1,O492+INDEX(Types!$H:$H,MATCH($A492&amp;"|"&amp;$D492,Types!$A:$A,0)))))</f>
        <v/>
      </c>
      <c r="AK492" s="43">
        <f>IF(AG492=1,AF492,MAX(AQ492*AS492,AF492))</f>
        <v/>
      </c>
      <c r="AL492" s="43">
        <f>IF(AG492=1,AD492,AK492*(1+AJ492)/2)</f>
        <v/>
      </c>
      <c r="AM492" s="43">
        <f>IF(AG492=1,AE492,AK492*(1-AJ492)/2)</f>
        <v/>
      </c>
      <c r="AN492" s="45">
        <f>IF(AH492="","",AH492-T492)</f>
        <v/>
      </c>
      <c r="AO492" s="51">
        <f>IF(AG492=1,1,IF(U492&gt;0,MIN(AF492/U492,0.99),0))</f>
        <v/>
      </c>
      <c r="AP492" s="43">
        <f>IF(AG492=1,AI492*AF492,0)</f>
        <v/>
      </c>
      <c r="AQ492" s="43">
        <f>N492*(F492+G492)/H492</f>
        <v/>
      </c>
      <c r="AR492" s="43">
        <f>O492*AQ492</f>
        <v/>
      </c>
      <c r="AS492" s="52">
        <f>IF(AG492=1,IF(AQ492&gt;0,AF492/AQ492,1),IFERROR(INDEX(Types!$K:$K,MATCH($A492&amp;"|"&amp;$D492,Types!$A:$A,0)),INDEX(Dashboard!$X$6:$X$22,MATCH($A492,Dashboard!$A$6:$A$22,0))))</f>
        <v/>
      </c>
      <c r="AT492" s="43">
        <f>AQ492*INDEX(Dashboard!$Y$6:$Y$22,MATCH($A492,Dashboard!$A$6:$A$22,0))</f>
        <v/>
      </c>
      <c r="AU492" s="53">
        <f>IF(AND(AG492=1,AT492&gt;0,AF492&gt;0),100*AF492/AT492,"")</f>
        <v/>
      </c>
      <c r="AV492" s="44">
        <f>IF(AU492="","",T492/(AU492/100))</f>
        <v/>
      </c>
      <c r="AW492" s="53">
        <f>IF(AU492="","",IF(AND(ABS(AH492)&gt;=0.1,ABS(T492)&gt;=0.05,SIGN(AH492)=SIGN(T492)),100*T492/AH492,""))</f>
        <v/>
      </c>
      <c r="AX492" s="45">
        <f>IF(AU492="","",T492-AV492)</f>
        <v/>
      </c>
      <c r="AY492" s="45">
        <f>IF(AU492="","",AH492-AV492)</f>
        <v/>
      </c>
      <c r="AZ492" s="54">
        <f>(AL492-AM492)-T492*AT492</f>
        <v/>
      </c>
      <c r="BA492" s="43">
        <f>IF(AU492="",0,(AH492-T492)*AF492)</f>
        <v/>
      </c>
      <c r="BB492" s="43">
        <f>IF(AU492="",0,T492*(AF492-AT492))</f>
        <v/>
      </c>
      <c r="BC492" s="51" t="n">
        <v>0.006202070150442107</v>
      </c>
      <c r="BD492" s="51" t="n">
        <v>0.02061769266228052</v>
      </c>
      <c r="BE492" s="51" t="n">
        <v>0.2032004197271773</v>
      </c>
      <c r="BF492" s="43" t="n">
        <v>23863</v>
      </c>
    </row>
    <row r="493">
      <c r="A493" s="42" t="inlineStr">
        <is>
          <t>MI</t>
        </is>
      </c>
      <c r="B493" s="42" t="inlineStr">
        <is>
          <t>26145</t>
        </is>
      </c>
      <c r="C493" s="42" t="inlineStr">
        <is>
          <t>Saginaw</t>
        </is>
      </c>
      <c r="D493" s="42" t="inlineStr">
        <is>
          <t>Mid-size/working metro</t>
        </is>
      </c>
      <c r="E493" s="42" t="inlineStr">
        <is>
          <t>★</t>
        </is>
      </c>
      <c r="F493" s="43" t="n">
        <v>49515</v>
      </c>
      <c r="G493" s="43" t="n">
        <v>52912</v>
      </c>
      <c r="H493" s="43" t="n">
        <v>103838</v>
      </c>
      <c r="I493" s="43" t="n">
        <v>51088</v>
      </c>
      <c r="J493" s="43" t="n">
        <v>50785</v>
      </c>
      <c r="K493" s="42" t="inlineStr">
        <is>
          <t>Governor</t>
        </is>
      </c>
      <c r="L493" s="43" t="n">
        <v>43219</v>
      </c>
      <c r="M493" s="43" t="n">
        <v>37002</v>
      </c>
      <c r="N493" s="43" t="n">
        <v>81613</v>
      </c>
      <c r="O493" s="44">
        <f>IFERROR((F493-G493)/(F493+G493),"")</f>
        <v/>
      </c>
      <c r="P493" s="44">
        <f>IFERROR((I493-J493)/(I493+J493),"")</f>
        <v/>
      </c>
      <c r="Q493" s="45">
        <f>IFERROR(O493-P493,"")</f>
        <v/>
      </c>
      <c r="R493" s="44">
        <f>IFERROR((L493-M493)/(L493+M493),"")</f>
        <v/>
      </c>
      <c r="S493" s="46">
        <f>H493/SUMIFS(Counties!$H$2:$H$1583,Counties!$A$2:$A$1583,$A493)</f>
        <v/>
      </c>
      <c r="T493" s="44">
        <f>O493+INDEX(Dashboard!$F$6:$F$22,MATCH($A493,Dashboard!$A$6:$A$22,0))</f>
        <v/>
      </c>
      <c r="U493" s="43">
        <f>AQ493*INDEX(Dashboard!$G$6:$G$22,MATCH($A493,Dashboard!$A$6:$A$22,0))</f>
        <v/>
      </c>
      <c r="V493" s="47" t="n"/>
      <c r="W493" s="47" t="n"/>
      <c r="X493" s="47" t="n"/>
      <c r="Y493" s="48" t="n"/>
      <c r="Z493" s="49" t="n"/>
      <c r="AA493" s="49" t="n"/>
      <c r="AB493" s="49" t="n"/>
      <c r="AC493" s="50" t="n"/>
      <c r="AD493" s="43">
        <f>IF(Z493&lt;&gt;"",Z493,N(V493))</f>
        <v/>
      </c>
      <c r="AE493" s="43">
        <f>IF(AA493&lt;&gt;"",AA493,N(W493))</f>
        <v/>
      </c>
      <c r="AF493" s="43">
        <f>AD493+AE493</f>
        <v/>
      </c>
      <c r="AG493" s="42">
        <f>IF(UPPER(AC493)="Y",1,IF(AF493=0,0,IF(AND(Z493="",Y493&lt;&gt;""),IF(Y493&gt;=0.999,1,0),IF(AF493&gt;=U493,1,0))))</f>
        <v/>
      </c>
      <c r="AH493" s="44">
        <f>IF(AF493&gt;0,(AD493-AE493)/AF493,"")</f>
        <v/>
      </c>
      <c r="AI493" s="45">
        <f>IF(AG493=1,AH493-O493,"")</f>
        <v/>
      </c>
      <c r="AJ493" s="44">
        <f>IF(AG493=1,AH493,MAX(-1,MIN(1,O493+INDEX(Types!$H:$H,MATCH($A493&amp;"|"&amp;$D493,Types!$A:$A,0)))))</f>
        <v/>
      </c>
      <c r="AK493" s="43">
        <f>IF(AG493=1,AF493,MAX(AQ493*AS493,AF493))</f>
        <v/>
      </c>
      <c r="AL493" s="43">
        <f>IF(AG493=1,AD493,AK493*(1+AJ493)/2)</f>
        <v/>
      </c>
      <c r="AM493" s="43">
        <f>IF(AG493=1,AE493,AK493*(1-AJ493)/2)</f>
        <v/>
      </c>
      <c r="AN493" s="45">
        <f>IF(AH493="","",AH493-T493)</f>
        <v/>
      </c>
      <c r="AO493" s="51">
        <f>IF(AG493=1,1,IF(U493&gt;0,MIN(AF493/U493,0.99),0))</f>
        <v/>
      </c>
      <c r="AP493" s="43">
        <f>IF(AG493=1,AI493*AF493,0)</f>
        <v/>
      </c>
      <c r="AQ493" s="43">
        <f>N493*(F493+G493)/H493</f>
        <v/>
      </c>
      <c r="AR493" s="43">
        <f>O493*AQ493</f>
        <v/>
      </c>
      <c r="AS493" s="52">
        <f>IF(AG493=1,IF(AQ493&gt;0,AF493/AQ493,1),IFERROR(INDEX(Types!$K:$K,MATCH($A493&amp;"|"&amp;$D493,Types!$A:$A,0)),INDEX(Dashboard!$X$6:$X$22,MATCH($A493,Dashboard!$A$6:$A$22,0))))</f>
        <v/>
      </c>
      <c r="AT493" s="43">
        <f>AQ493*INDEX(Dashboard!$Y$6:$Y$22,MATCH($A493,Dashboard!$A$6:$A$22,0))</f>
        <v/>
      </c>
      <c r="AU493" s="53">
        <f>IF(AND(AG493=1,AT493&gt;0,AF493&gt;0),100*AF493/AT493,"")</f>
        <v/>
      </c>
      <c r="AV493" s="44">
        <f>IF(AU493="","",T493/(AU493/100))</f>
        <v/>
      </c>
      <c r="AW493" s="53">
        <f>IF(AU493="","",IF(AND(ABS(AH493)&gt;=0.1,ABS(T493)&gt;=0.05,SIGN(AH493)=SIGN(T493)),100*T493/AH493,""))</f>
        <v/>
      </c>
      <c r="AX493" s="45">
        <f>IF(AU493="","",T493-AV493)</f>
        <v/>
      </c>
      <c r="AY493" s="45">
        <f>IF(AU493="","",AH493-AV493)</f>
        <v/>
      </c>
      <c r="AZ493" s="54">
        <f>(AL493-AM493)-T493*AT493</f>
        <v/>
      </c>
      <c r="BA493" s="43">
        <f>IF(AU493="",0,(AH493-T493)*AF493)</f>
        <v/>
      </c>
      <c r="BB493" s="43">
        <f>IF(AU493="",0,T493*(AF493-AT493))</f>
        <v/>
      </c>
      <c r="BC493" s="51" t="n">
        <v>0.1818065629293542</v>
      </c>
      <c r="BD493" s="51" t="n">
        <v>0.09335825584986847</v>
      </c>
      <c r="BE493" s="51" t="n">
        <v>0.2344664007504633</v>
      </c>
      <c r="BF493" s="43" t="n">
        <v>187782</v>
      </c>
    </row>
    <row r="494">
      <c r="A494" s="42" t="inlineStr">
        <is>
          <t>MI</t>
        </is>
      </c>
      <c r="B494" s="42" t="inlineStr">
        <is>
          <t>26151</t>
        </is>
      </c>
      <c r="C494" s="42" t="inlineStr">
        <is>
          <t>Sanilac</t>
        </is>
      </c>
      <c r="D494" s="42" t="inlineStr">
        <is>
          <t>Small town &amp; rural</t>
        </is>
      </c>
      <c r="E494" s="42" t="inlineStr"/>
      <c r="F494" s="43" t="n">
        <v>5957</v>
      </c>
      <c r="G494" s="43" t="n">
        <v>17080</v>
      </c>
      <c r="H494" s="43" t="n">
        <v>23339</v>
      </c>
      <c r="I494" s="43" t="n">
        <v>5966</v>
      </c>
      <c r="J494" s="43" t="n">
        <v>16194</v>
      </c>
      <c r="K494" s="42" t="inlineStr">
        <is>
          <t>Governor</t>
        </is>
      </c>
      <c r="L494" s="43" t="n">
        <v>5967</v>
      </c>
      <c r="M494" s="43" t="n">
        <v>12473</v>
      </c>
      <c r="N494" s="43" t="n">
        <v>18813</v>
      </c>
      <c r="O494" s="44">
        <f>IFERROR((F494-G494)/(F494+G494),"")</f>
        <v/>
      </c>
      <c r="P494" s="44">
        <f>IFERROR((I494-J494)/(I494+J494),"")</f>
        <v/>
      </c>
      <c r="Q494" s="45">
        <f>IFERROR(O494-P494,"")</f>
        <v/>
      </c>
      <c r="R494" s="44">
        <f>IFERROR((L494-M494)/(L494+M494),"")</f>
        <v/>
      </c>
      <c r="S494" s="46">
        <f>H494/SUMIFS(Counties!$H$2:$H$1583,Counties!$A$2:$A$1583,$A494)</f>
        <v/>
      </c>
      <c r="T494" s="44">
        <f>O494+INDEX(Dashboard!$F$6:$F$22,MATCH($A494,Dashboard!$A$6:$A$22,0))</f>
        <v/>
      </c>
      <c r="U494" s="43">
        <f>AQ494*INDEX(Dashboard!$G$6:$G$22,MATCH($A494,Dashboard!$A$6:$A$22,0))</f>
        <v/>
      </c>
      <c r="V494" s="47" t="n"/>
      <c r="W494" s="47" t="n"/>
      <c r="X494" s="47" t="n"/>
      <c r="Y494" s="48" t="n"/>
      <c r="Z494" s="49" t="n"/>
      <c r="AA494" s="49" t="n"/>
      <c r="AB494" s="49" t="n"/>
      <c r="AC494" s="50" t="n"/>
      <c r="AD494" s="43">
        <f>IF(Z494&lt;&gt;"",Z494,N(V494))</f>
        <v/>
      </c>
      <c r="AE494" s="43">
        <f>IF(AA494&lt;&gt;"",AA494,N(W494))</f>
        <v/>
      </c>
      <c r="AF494" s="43">
        <f>AD494+AE494</f>
        <v/>
      </c>
      <c r="AG494" s="42">
        <f>IF(UPPER(AC494)="Y",1,IF(AF494=0,0,IF(AND(Z494="",Y494&lt;&gt;""),IF(Y494&gt;=0.999,1,0),IF(AF494&gt;=U494,1,0))))</f>
        <v/>
      </c>
      <c r="AH494" s="44">
        <f>IF(AF494&gt;0,(AD494-AE494)/AF494,"")</f>
        <v/>
      </c>
      <c r="AI494" s="45">
        <f>IF(AG494=1,AH494-O494,"")</f>
        <v/>
      </c>
      <c r="AJ494" s="44">
        <f>IF(AG494=1,AH494,MAX(-1,MIN(1,O494+INDEX(Types!$H:$H,MATCH($A494&amp;"|"&amp;$D494,Types!$A:$A,0)))))</f>
        <v/>
      </c>
      <c r="AK494" s="43">
        <f>IF(AG494=1,AF494,MAX(AQ494*AS494,AF494))</f>
        <v/>
      </c>
      <c r="AL494" s="43">
        <f>IF(AG494=1,AD494,AK494*(1+AJ494)/2)</f>
        <v/>
      </c>
      <c r="AM494" s="43">
        <f>IF(AG494=1,AE494,AK494*(1-AJ494)/2)</f>
        <v/>
      </c>
      <c r="AN494" s="45">
        <f>IF(AH494="","",AH494-T494)</f>
        <v/>
      </c>
      <c r="AO494" s="51">
        <f>IF(AG494=1,1,IF(U494&gt;0,MIN(AF494/U494,0.99),0))</f>
        <v/>
      </c>
      <c r="AP494" s="43">
        <f>IF(AG494=1,AI494*AF494,0)</f>
        <v/>
      </c>
      <c r="AQ494" s="43">
        <f>N494*(F494+G494)/H494</f>
        <v/>
      </c>
      <c r="AR494" s="43">
        <f>O494*AQ494</f>
        <v/>
      </c>
      <c r="AS494" s="52">
        <f>IF(AG494=1,IF(AQ494&gt;0,AF494/AQ494,1),IFERROR(INDEX(Types!$K:$K,MATCH($A494&amp;"|"&amp;$D494,Types!$A:$A,0)),INDEX(Dashboard!$X$6:$X$22,MATCH($A494,Dashboard!$A$6:$A$22,0))))</f>
        <v/>
      </c>
      <c r="AT494" s="43">
        <f>AQ494*INDEX(Dashboard!$Y$6:$Y$22,MATCH($A494,Dashboard!$A$6:$A$22,0))</f>
        <v/>
      </c>
      <c r="AU494" s="53">
        <f>IF(AND(AG494=1,AT494&gt;0,AF494&gt;0),100*AF494/AT494,"")</f>
        <v/>
      </c>
      <c r="AV494" s="44">
        <f>IF(AU494="","",T494/(AU494/100))</f>
        <v/>
      </c>
      <c r="AW494" s="53">
        <f>IF(AU494="","",IF(AND(ABS(AH494)&gt;=0.1,ABS(T494)&gt;=0.05,SIGN(AH494)=SIGN(T494)),100*T494/AH494,""))</f>
        <v/>
      </c>
      <c r="AX494" s="45">
        <f>IF(AU494="","",T494-AV494)</f>
        <v/>
      </c>
      <c r="AY494" s="45">
        <f>IF(AU494="","",AH494-AV494)</f>
        <v/>
      </c>
      <c r="AZ494" s="54">
        <f>(AL494-AM494)-T494*AT494</f>
        <v/>
      </c>
      <c r="BA494" s="43">
        <f>IF(AU494="",0,(AH494-T494)*AF494)</f>
        <v/>
      </c>
      <c r="BB494" s="43">
        <f>IF(AU494="",0,T494*(AF494-AT494))</f>
        <v/>
      </c>
      <c r="BC494" s="51" t="n">
        <v>0.006168252080856124</v>
      </c>
      <c r="BD494" s="51" t="n">
        <v>0.04377229488703924</v>
      </c>
      <c r="BE494" s="51" t="n">
        <v>0.1598333849702227</v>
      </c>
      <c r="BF494" s="43" t="n">
        <v>40368</v>
      </c>
    </row>
    <row r="495">
      <c r="A495" s="42" t="inlineStr">
        <is>
          <t>MI</t>
        </is>
      </c>
      <c r="B495" s="42" t="inlineStr">
        <is>
          <t>26153</t>
        </is>
      </c>
      <c r="C495" s="42" t="inlineStr">
        <is>
          <t>Schoolcraft</t>
        </is>
      </c>
      <c r="D495" s="42" t="inlineStr">
        <is>
          <t>Small town &amp; rural</t>
        </is>
      </c>
      <c r="E495" s="42" t="inlineStr"/>
      <c r="F495" s="43" t="n">
        <v>1631</v>
      </c>
      <c r="G495" s="43" t="n">
        <v>3196</v>
      </c>
      <c r="H495" s="43" t="n">
        <v>4897</v>
      </c>
      <c r="I495" s="43" t="n">
        <v>1589</v>
      </c>
      <c r="J495" s="43" t="n">
        <v>3090</v>
      </c>
      <c r="K495" s="42" t="inlineStr">
        <is>
          <t>Governor</t>
        </is>
      </c>
      <c r="L495" s="43" t="n">
        <v>1524</v>
      </c>
      <c r="M495" s="43" t="n">
        <v>2264</v>
      </c>
      <c r="N495" s="43" t="n">
        <v>3884</v>
      </c>
      <c r="O495" s="44">
        <f>IFERROR((F495-G495)/(F495+G495),"")</f>
        <v/>
      </c>
      <c r="P495" s="44">
        <f>IFERROR((I495-J495)/(I495+J495),"")</f>
        <v/>
      </c>
      <c r="Q495" s="45">
        <f>IFERROR(O495-P495,"")</f>
        <v/>
      </c>
      <c r="R495" s="44">
        <f>IFERROR((L495-M495)/(L495+M495),"")</f>
        <v/>
      </c>
      <c r="S495" s="46">
        <f>H495/SUMIFS(Counties!$H$2:$H$1583,Counties!$A$2:$A$1583,$A495)</f>
        <v/>
      </c>
      <c r="T495" s="44">
        <f>O495+INDEX(Dashboard!$F$6:$F$22,MATCH($A495,Dashboard!$A$6:$A$22,0))</f>
        <v/>
      </c>
      <c r="U495" s="43">
        <f>AQ495*INDEX(Dashboard!$G$6:$G$22,MATCH($A495,Dashboard!$A$6:$A$22,0))</f>
        <v/>
      </c>
      <c r="V495" s="47" t="n"/>
      <c r="W495" s="47" t="n"/>
      <c r="X495" s="47" t="n"/>
      <c r="Y495" s="48" t="n"/>
      <c r="Z495" s="49" t="n"/>
      <c r="AA495" s="49" t="n"/>
      <c r="AB495" s="49" t="n"/>
      <c r="AC495" s="50" t="n"/>
      <c r="AD495" s="43">
        <f>IF(Z495&lt;&gt;"",Z495,N(V495))</f>
        <v/>
      </c>
      <c r="AE495" s="43">
        <f>IF(AA495&lt;&gt;"",AA495,N(W495))</f>
        <v/>
      </c>
      <c r="AF495" s="43">
        <f>AD495+AE495</f>
        <v/>
      </c>
      <c r="AG495" s="42">
        <f>IF(UPPER(AC495)="Y",1,IF(AF495=0,0,IF(AND(Z495="",Y495&lt;&gt;""),IF(Y495&gt;=0.999,1,0),IF(AF495&gt;=U495,1,0))))</f>
        <v/>
      </c>
      <c r="AH495" s="44">
        <f>IF(AF495&gt;0,(AD495-AE495)/AF495,"")</f>
        <v/>
      </c>
      <c r="AI495" s="45">
        <f>IF(AG495=1,AH495-O495,"")</f>
        <v/>
      </c>
      <c r="AJ495" s="44">
        <f>IF(AG495=1,AH495,MAX(-1,MIN(1,O495+INDEX(Types!$H:$H,MATCH($A495&amp;"|"&amp;$D495,Types!$A:$A,0)))))</f>
        <v/>
      </c>
      <c r="AK495" s="43">
        <f>IF(AG495=1,AF495,MAX(AQ495*AS495,AF495))</f>
        <v/>
      </c>
      <c r="AL495" s="43">
        <f>IF(AG495=1,AD495,AK495*(1+AJ495)/2)</f>
        <v/>
      </c>
      <c r="AM495" s="43">
        <f>IF(AG495=1,AE495,AK495*(1-AJ495)/2)</f>
        <v/>
      </c>
      <c r="AN495" s="45">
        <f>IF(AH495="","",AH495-T495)</f>
        <v/>
      </c>
      <c r="AO495" s="51">
        <f>IF(AG495=1,1,IF(U495&gt;0,MIN(AF495/U495,0.99),0))</f>
        <v/>
      </c>
      <c r="AP495" s="43">
        <f>IF(AG495=1,AI495*AF495,0)</f>
        <v/>
      </c>
      <c r="AQ495" s="43">
        <f>N495*(F495+G495)/H495</f>
        <v/>
      </c>
      <c r="AR495" s="43">
        <f>O495*AQ495</f>
        <v/>
      </c>
      <c r="AS495" s="52">
        <f>IF(AG495=1,IF(AQ495&gt;0,AF495/AQ495,1),IFERROR(INDEX(Types!$K:$K,MATCH($A495&amp;"|"&amp;$D495,Types!$A:$A,0)),INDEX(Dashboard!$X$6:$X$22,MATCH($A495,Dashboard!$A$6:$A$22,0))))</f>
        <v/>
      </c>
      <c r="AT495" s="43">
        <f>AQ495*INDEX(Dashboard!$Y$6:$Y$22,MATCH($A495,Dashboard!$A$6:$A$22,0))</f>
        <v/>
      </c>
      <c r="AU495" s="53">
        <f>IF(AND(AG495=1,AT495&gt;0,AF495&gt;0),100*AF495/AT495,"")</f>
        <v/>
      </c>
      <c r="AV495" s="44">
        <f>IF(AU495="","",T495/(AU495/100))</f>
        <v/>
      </c>
      <c r="AW495" s="53">
        <f>IF(AU495="","",IF(AND(ABS(AH495)&gt;=0.1,ABS(T495)&gt;=0.05,SIGN(AH495)=SIGN(T495)),100*T495/AH495,""))</f>
        <v/>
      </c>
      <c r="AX495" s="45">
        <f>IF(AU495="","",T495-AV495)</f>
        <v/>
      </c>
      <c r="AY495" s="45">
        <f>IF(AU495="","",AH495-AV495)</f>
        <v/>
      </c>
      <c r="AZ495" s="54">
        <f>(AL495-AM495)-T495*AT495</f>
        <v/>
      </c>
      <c r="BA495" s="43">
        <f>IF(AU495="",0,(AH495-T495)*AF495)</f>
        <v/>
      </c>
      <c r="BB495" s="43">
        <f>IF(AU495="",0,T495*(AF495-AT495))</f>
        <v/>
      </c>
      <c r="BC495" s="51" t="n">
        <v>0.005767578844029942</v>
      </c>
      <c r="BD495" s="51" t="n">
        <v>0.01840716652349982</v>
      </c>
      <c r="BE495" s="51" t="n">
        <v>0.2065584311203987</v>
      </c>
      <c r="BF495" s="43" t="n">
        <v>8149</v>
      </c>
    </row>
    <row r="496">
      <c r="A496" s="42" t="inlineStr">
        <is>
          <t>MI</t>
        </is>
      </c>
      <c r="B496" s="42" t="inlineStr">
        <is>
          <t>26155</t>
        </is>
      </c>
      <c r="C496" s="42" t="inlineStr">
        <is>
          <t>Shiawassee</t>
        </is>
      </c>
      <c r="D496" s="42" t="inlineStr">
        <is>
          <t>Small town &amp; rural</t>
        </is>
      </c>
      <c r="E496" s="42" t="inlineStr"/>
      <c r="F496" s="43" t="n">
        <v>15335</v>
      </c>
      <c r="G496" s="43" t="n">
        <v>24718</v>
      </c>
      <c r="H496" s="43" t="n">
        <v>40682</v>
      </c>
      <c r="I496" s="43" t="n">
        <v>15347</v>
      </c>
      <c r="J496" s="43" t="n">
        <v>23149</v>
      </c>
      <c r="K496" s="42" t="inlineStr">
        <is>
          <t>Governor</t>
        </is>
      </c>
      <c r="L496" s="43" t="n">
        <v>14730</v>
      </c>
      <c r="M496" s="43" t="n">
        <v>16969</v>
      </c>
      <c r="N496" s="43" t="n">
        <v>32434</v>
      </c>
      <c r="O496" s="44">
        <f>IFERROR((F496-G496)/(F496+G496),"")</f>
        <v/>
      </c>
      <c r="P496" s="44">
        <f>IFERROR((I496-J496)/(I496+J496),"")</f>
        <v/>
      </c>
      <c r="Q496" s="45">
        <f>IFERROR(O496-P496,"")</f>
        <v/>
      </c>
      <c r="R496" s="44">
        <f>IFERROR((L496-M496)/(L496+M496),"")</f>
        <v/>
      </c>
      <c r="S496" s="46">
        <f>H496/SUMIFS(Counties!$H$2:$H$1583,Counties!$A$2:$A$1583,$A496)</f>
        <v/>
      </c>
      <c r="T496" s="44">
        <f>O496+INDEX(Dashboard!$F$6:$F$22,MATCH($A496,Dashboard!$A$6:$A$22,0))</f>
        <v/>
      </c>
      <c r="U496" s="43">
        <f>AQ496*INDEX(Dashboard!$G$6:$G$22,MATCH($A496,Dashboard!$A$6:$A$22,0))</f>
        <v/>
      </c>
      <c r="V496" s="47" t="n"/>
      <c r="W496" s="47" t="n"/>
      <c r="X496" s="47" t="n"/>
      <c r="Y496" s="48" t="n"/>
      <c r="Z496" s="49" t="n"/>
      <c r="AA496" s="49" t="n"/>
      <c r="AB496" s="49" t="n"/>
      <c r="AC496" s="50" t="n"/>
      <c r="AD496" s="43">
        <f>IF(Z496&lt;&gt;"",Z496,N(V496))</f>
        <v/>
      </c>
      <c r="AE496" s="43">
        <f>IF(AA496&lt;&gt;"",AA496,N(W496))</f>
        <v/>
      </c>
      <c r="AF496" s="43">
        <f>AD496+AE496</f>
        <v/>
      </c>
      <c r="AG496" s="42">
        <f>IF(UPPER(AC496)="Y",1,IF(AF496=0,0,IF(AND(Z496="",Y496&lt;&gt;""),IF(Y496&gt;=0.999,1,0),IF(AF496&gt;=U496,1,0))))</f>
        <v/>
      </c>
      <c r="AH496" s="44">
        <f>IF(AF496&gt;0,(AD496-AE496)/AF496,"")</f>
        <v/>
      </c>
      <c r="AI496" s="45">
        <f>IF(AG496=1,AH496-O496,"")</f>
        <v/>
      </c>
      <c r="AJ496" s="44">
        <f>IF(AG496=1,AH496,MAX(-1,MIN(1,O496+INDEX(Types!$H:$H,MATCH($A496&amp;"|"&amp;$D496,Types!$A:$A,0)))))</f>
        <v/>
      </c>
      <c r="AK496" s="43">
        <f>IF(AG496=1,AF496,MAX(AQ496*AS496,AF496))</f>
        <v/>
      </c>
      <c r="AL496" s="43">
        <f>IF(AG496=1,AD496,AK496*(1+AJ496)/2)</f>
        <v/>
      </c>
      <c r="AM496" s="43">
        <f>IF(AG496=1,AE496,AK496*(1-AJ496)/2)</f>
        <v/>
      </c>
      <c r="AN496" s="45">
        <f>IF(AH496="","",AH496-T496)</f>
        <v/>
      </c>
      <c r="AO496" s="51">
        <f>IF(AG496=1,1,IF(U496&gt;0,MIN(AF496/U496,0.99),0))</f>
        <v/>
      </c>
      <c r="AP496" s="43">
        <f>IF(AG496=1,AI496*AF496,0)</f>
        <v/>
      </c>
      <c r="AQ496" s="43">
        <f>N496*(F496+G496)/H496</f>
        <v/>
      </c>
      <c r="AR496" s="43">
        <f>O496*AQ496</f>
        <v/>
      </c>
      <c r="AS496" s="52">
        <f>IF(AG496=1,IF(AQ496&gt;0,AF496/AQ496,1),IFERROR(INDEX(Types!$K:$K,MATCH($A496&amp;"|"&amp;$D496,Types!$A:$A,0)),INDEX(Dashboard!$X$6:$X$22,MATCH($A496,Dashboard!$A$6:$A$22,0))))</f>
        <v/>
      </c>
      <c r="AT496" s="43">
        <f>AQ496*INDEX(Dashboard!$Y$6:$Y$22,MATCH($A496,Dashboard!$A$6:$A$22,0))</f>
        <v/>
      </c>
      <c r="AU496" s="53">
        <f>IF(AND(AG496=1,AT496&gt;0,AF496&gt;0),100*AF496/AT496,"")</f>
        <v/>
      </c>
      <c r="AV496" s="44">
        <f>IF(AU496="","",T496/(AU496/100))</f>
        <v/>
      </c>
      <c r="AW496" s="53">
        <f>IF(AU496="","",IF(AND(ABS(AH496)&gt;=0.1,ABS(T496)&gt;=0.05,SIGN(AH496)=SIGN(T496)),100*T496/AH496,""))</f>
        <v/>
      </c>
      <c r="AX496" s="45">
        <f>IF(AU496="","",T496-AV496)</f>
        <v/>
      </c>
      <c r="AY496" s="45">
        <f>IF(AU496="","",AH496-AV496)</f>
        <v/>
      </c>
      <c r="AZ496" s="54">
        <f>(AL496-AM496)-T496*AT496</f>
        <v/>
      </c>
      <c r="BA496" s="43">
        <f>IF(AU496="",0,(AH496-T496)*AF496)</f>
        <v/>
      </c>
      <c r="BB496" s="43">
        <f>IF(AU496="",0,T496*(AF496-AT496))</f>
        <v/>
      </c>
      <c r="BC496" s="51" t="n">
        <v>0.00679162072767365</v>
      </c>
      <c r="BD496" s="51" t="n">
        <v>0.0313561190738699</v>
      </c>
      <c r="BE496" s="51" t="n">
        <v>0.1948941597580794</v>
      </c>
      <c r="BF496" s="43" t="n">
        <v>68025</v>
      </c>
    </row>
    <row r="497">
      <c r="A497" s="42" t="inlineStr">
        <is>
          <t>MI</t>
        </is>
      </c>
      <c r="B497" s="42" t="inlineStr">
        <is>
          <t>26147</t>
        </is>
      </c>
      <c r="C497" s="42" t="inlineStr">
        <is>
          <t>St. Clair</t>
        </is>
      </c>
      <c r="D497" s="42" t="inlineStr">
        <is>
          <t>Mid-size/working metro</t>
        </is>
      </c>
      <c r="E497" s="42" t="inlineStr">
        <is>
          <t>★</t>
        </is>
      </c>
      <c r="F497" s="43" t="n">
        <v>30844</v>
      </c>
      <c r="G497" s="43" t="n">
        <v>64277</v>
      </c>
      <c r="H497" s="43" t="n">
        <v>96519</v>
      </c>
      <c r="I497" s="43" t="n">
        <v>31363</v>
      </c>
      <c r="J497" s="43" t="n">
        <v>59185</v>
      </c>
      <c r="K497" s="42" t="inlineStr">
        <is>
          <t>Governor</t>
        </is>
      </c>
      <c r="L497" s="43" t="n">
        <v>30170</v>
      </c>
      <c r="M497" s="43" t="n">
        <v>42731</v>
      </c>
      <c r="N497" s="43" t="n">
        <v>74622</v>
      </c>
      <c r="O497" s="44">
        <f>IFERROR((F497-G497)/(F497+G497),"")</f>
        <v/>
      </c>
      <c r="P497" s="44">
        <f>IFERROR((I497-J497)/(I497+J497),"")</f>
        <v/>
      </c>
      <c r="Q497" s="45">
        <f>IFERROR(O497-P497,"")</f>
        <v/>
      </c>
      <c r="R497" s="44">
        <f>IFERROR((L497-M497)/(L497+M497),"")</f>
        <v/>
      </c>
      <c r="S497" s="46">
        <f>H497/SUMIFS(Counties!$H$2:$H$1583,Counties!$A$2:$A$1583,$A497)</f>
        <v/>
      </c>
      <c r="T497" s="44">
        <f>O497+INDEX(Dashboard!$F$6:$F$22,MATCH($A497,Dashboard!$A$6:$A$22,0))</f>
        <v/>
      </c>
      <c r="U497" s="43">
        <f>AQ497*INDEX(Dashboard!$G$6:$G$22,MATCH($A497,Dashboard!$A$6:$A$22,0))</f>
        <v/>
      </c>
      <c r="V497" s="47" t="n"/>
      <c r="W497" s="47" t="n"/>
      <c r="X497" s="47" t="n"/>
      <c r="Y497" s="48" t="n"/>
      <c r="Z497" s="49" t="n"/>
      <c r="AA497" s="49" t="n"/>
      <c r="AB497" s="49" t="n"/>
      <c r="AC497" s="50" t="n"/>
      <c r="AD497" s="43">
        <f>IF(Z497&lt;&gt;"",Z497,N(V497))</f>
        <v/>
      </c>
      <c r="AE497" s="43">
        <f>IF(AA497&lt;&gt;"",AA497,N(W497))</f>
        <v/>
      </c>
      <c r="AF497" s="43">
        <f>AD497+AE497</f>
        <v/>
      </c>
      <c r="AG497" s="42">
        <f>IF(UPPER(AC497)="Y",1,IF(AF497=0,0,IF(AND(Z497="",Y497&lt;&gt;""),IF(Y497&gt;=0.999,1,0),IF(AF497&gt;=U497,1,0))))</f>
        <v/>
      </c>
      <c r="AH497" s="44">
        <f>IF(AF497&gt;0,(AD497-AE497)/AF497,"")</f>
        <v/>
      </c>
      <c r="AI497" s="45">
        <f>IF(AG497=1,AH497-O497,"")</f>
        <v/>
      </c>
      <c r="AJ497" s="44">
        <f>IF(AG497=1,AH497,MAX(-1,MIN(1,O497+INDEX(Types!$H:$H,MATCH($A497&amp;"|"&amp;$D497,Types!$A:$A,0)))))</f>
        <v/>
      </c>
      <c r="AK497" s="43">
        <f>IF(AG497=1,AF497,MAX(AQ497*AS497,AF497))</f>
        <v/>
      </c>
      <c r="AL497" s="43">
        <f>IF(AG497=1,AD497,AK497*(1+AJ497)/2)</f>
        <v/>
      </c>
      <c r="AM497" s="43">
        <f>IF(AG497=1,AE497,AK497*(1-AJ497)/2)</f>
        <v/>
      </c>
      <c r="AN497" s="45">
        <f>IF(AH497="","",AH497-T497)</f>
        <v/>
      </c>
      <c r="AO497" s="51">
        <f>IF(AG497=1,1,IF(U497&gt;0,MIN(AF497/U497,0.99),0))</f>
        <v/>
      </c>
      <c r="AP497" s="43">
        <f>IF(AG497=1,AI497*AF497,0)</f>
        <v/>
      </c>
      <c r="AQ497" s="43">
        <f>N497*(F497+G497)/H497</f>
        <v/>
      </c>
      <c r="AR497" s="43">
        <f>O497*AQ497</f>
        <v/>
      </c>
      <c r="AS497" s="52">
        <f>IF(AG497=1,IF(AQ497&gt;0,AF497/AQ497,1),IFERROR(INDEX(Types!$K:$K,MATCH($A497&amp;"|"&amp;$D497,Types!$A:$A,0)),INDEX(Dashboard!$X$6:$X$22,MATCH($A497,Dashboard!$A$6:$A$22,0))))</f>
        <v/>
      </c>
      <c r="AT497" s="43">
        <f>AQ497*INDEX(Dashboard!$Y$6:$Y$22,MATCH($A497,Dashboard!$A$6:$A$22,0))</f>
        <v/>
      </c>
      <c r="AU497" s="53">
        <f>IF(AND(AG497=1,AT497&gt;0,AF497&gt;0),100*AF497/AT497,"")</f>
        <v/>
      </c>
      <c r="AV497" s="44">
        <f>IF(AU497="","",T497/(AU497/100))</f>
        <v/>
      </c>
      <c r="AW497" s="53">
        <f>IF(AU497="","",IF(AND(ABS(AH497)&gt;=0.1,ABS(T497)&gt;=0.05,SIGN(AH497)=SIGN(T497)),100*T497/AH497,""))</f>
        <v/>
      </c>
      <c r="AX497" s="45">
        <f>IF(AU497="","",T497-AV497)</f>
        <v/>
      </c>
      <c r="AY497" s="45">
        <f>IF(AU497="","",AH497-AV497)</f>
        <v/>
      </c>
      <c r="AZ497" s="54">
        <f>(AL497-AM497)-T497*AT497</f>
        <v/>
      </c>
      <c r="BA497" s="43">
        <f>IF(AU497="",0,(AH497-T497)*AF497)</f>
        <v/>
      </c>
      <c r="BB497" s="43">
        <f>IF(AU497="",0,T497*(AF497-AT497))</f>
        <v/>
      </c>
      <c r="BC497" s="51" t="n">
        <v>0.02413775848480678</v>
      </c>
      <c r="BD497" s="51" t="n">
        <v>0.03796739932696999</v>
      </c>
      <c r="BE497" s="51" t="n">
        <v>0.2032574025951452</v>
      </c>
      <c r="BF497" s="43" t="n">
        <v>159874</v>
      </c>
    </row>
    <row r="498">
      <c r="A498" s="42" t="inlineStr">
        <is>
          <t>MI</t>
        </is>
      </c>
      <c r="B498" s="42" t="inlineStr">
        <is>
          <t>26149</t>
        </is>
      </c>
      <c r="C498" s="42" t="inlineStr">
        <is>
          <t>St. Joseph</t>
        </is>
      </c>
      <c r="D498" s="42" t="inlineStr">
        <is>
          <t>Small town &amp; rural</t>
        </is>
      </c>
      <c r="E498" s="42" t="inlineStr"/>
      <c r="F498" s="43" t="n">
        <v>9452</v>
      </c>
      <c r="G498" s="43" t="n">
        <v>19403</v>
      </c>
      <c r="H498" s="43" t="n">
        <v>29307</v>
      </c>
      <c r="I498" s="43" t="n">
        <v>9262</v>
      </c>
      <c r="J498" s="43" t="n">
        <v>18127</v>
      </c>
      <c r="K498" s="42" t="inlineStr">
        <is>
          <t>Governor</t>
        </is>
      </c>
      <c r="L498" s="43" t="n">
        <v>8402</v>
      </c>
      <c r="M498" s="43" t="n">
        <v>13059</v>
      </c>
      <c r="N498" s="43" t="n">
        <v>21941</v>
      </c>
      <c r="O498" s="44">
        <f>IFERROR((F498-G498)/(F498+G498),"")</f>
        <v/>
      </c>
      <c r="P498" s="44">
        <f>IFERROR((I498-J498)/(I498+J498),"")</f>
        <v/>
      </c>
      <c r="Q498" s="45">
        <f>IFERROR(O498-P498,"")</f>
        <v/>
      </c>
      <c r="R498" s="44">
        <f>IFERROR((L498-M498)/(L498+M498),"")</f>
        <v/>
      </c>
      <c r="S498" s="46">
        <f>H498/SUMIFS(Counties!$H$2:$H$1583,Counties!$A$2:$A$1583,$A498)</f>
        <v/>
      </c>
      <c r="T498" s="44">
        <f>O498+INDEX(Dashboard!$F$6:$F$22,MATCH($A498,Dashboard!$A$6:$A$22,0))</f>
        <v/>
      </c>
      <c r="U498" s="43">
        <f>AQ498*INDEX(Dashboard!$G$6:$G$22,MATCH($A498,Dashboard!$A$6:$A$22,0))</f>
        <v/>
      </c>
      <c r="V498" s="47" t="n"/>
      <c r="W498" s="47" t="n"/>
      <c r="X498" s="47" t="n"/>
      <c r="Y498" s="48" t="n"/>
      <c r="Z498" s="49" t="n"/>
      <c r="AA498" s="49" t="n"/>
      <c r="AB498" s="49" t="n"/>
      <c r="AC498" s="50" t="n"/>
      <c r="AD498" s="43">
        <f>IF(Z498&lt;&gt;"",Z498,N(V498))</f>
        <v/>
      </c>
      <c r="AE498" s="43">
        <f>IF(AA498&lt;&gt;"",AA498,N(W498))</f>
        <v/>
      </c>
      <c r="AF498" s="43">
        <f>AD498+AE498</f>
        <v/>
      </c>
      <c r="AG498" s="42">
        <f>IF(UPPER(AC498)="Y",1,IF(AF498=0,0,IF(AND(Z498="",Y498&lt;&gt;""),IF(Y498&gt;=0.999,1,0),IF(AF498&gt;=U498,1,0))))</f>
        <v/>
      </c>
      <c r="AH498" s="44">
        <f>IF(AF498&gt;0,(AD498-AE498)/AF498,"")</f>
        <v/>
      </c>
      <c r="AI498" s="45">
        <f>IF(AG498=1,AH498-O498,"")</f>
        <v/>
      </c>
      <c r="AJ498" s="44">
        <f>IF(AG498=1,AH498,MAX(-1,MIN(1,O498+INDEX(Types!$H:$H,MATCH($A498&amp;"|"&amp;$D498,Types!$A:$A,0)))))</f>
        <v/>
      </c>
      <c r="AK498" s="43">
        <f>IF(AG498=1,AF498,MAX(AQ498*AS498,AF498))</f>
        <v/>
      </c>
      <c r="AL498" s="43">
        <f>IF(AG498=1,AD498,AK498*(1+AJ498)/2)</f>
        <v/>
      </c>
      <c r="AM498" s="43">
        <f>IF(AG498=1,AE498,AK498*(1-AJ498)/2)</f>
        <v/>
      </c>
      <c r="AN498" s="45">
        <f>IF(AH498="","",AH498-T498)</f>
        <v/>
      </c>
      <c r="AO498" s="51">
        <f>IF(AG498=1,1,IF(U498&gt;0,MIN(AF498/U498,0.99),0))</f>
        <v/>
      </c>
      <c r="AP498" s="43">
        <f>IF(AG498=1,AI498*AF498,0)</f>
        <v/>
      </c>
      <c r="AQ498" s="43">
        <f>N498*(F498+G498)/H498</f>
        <v/>
      </c>
      <c r="AR498" s="43">
        <f>O498*AQ498</f>
        <v/>
      </c>
      <c r="AS498" s="52">
        <f>IF(AG498=1,IF(AQ498&gt;0,AF498/AQ498,1),IFERROR(INDEX(Types!$K:$K,MATCH($A498&amp;"|"&amp;$D498,Types!$A:$A,0)),INDEX(Dashboard!$X$6:$X$22,MATCH($A498,Dashboard!$A$6:$A$22,0))))</f>
        <v/>
      </c>
      <c r="AT498" s="43">
        <f>AQ498*INDEX(Dashboard!$Y$6:$Y$22,MATCH($A498,Dashboard!$A$6:$A$22,0))</f>
        <v/>
      </c>
      <c r="AU498" s="53">
        <f>IF(AND(AG498=1,AT498&gt;0,AF498&gt;0),100*AF498/AT498,"")</f>
        <v/>
      </c>
      <c r="AV498" s="44">
        <f>IF(AU498="","",T498/(AU498/100))</f>
        <v/>
      </c>
      <c r="AW498" s="53">
        <f>IF(AU498="","",IF(AND(ABS(AH498)&gt;=0.1,ABS(T498)&gt;=0.05,SIGN(AH498)=SIGN(T498)),100*T498/AH498,""))</f>
        <v/>
      </c>
      <c r="AX498" s="45">
        <f>IF(AU498="","",T498-AV498)</f>
        <v/>
      </c>
      <c r="AY498" s="45">
        <f>IF(AU498="","",AH498-AV498)</f>
        <v/>
      </c>
      <c r="AZ498" s="54">
        <f>(AL498-AM498)-T498*AT498</f>
        <v/>
      </c>
      <c r="BA498" s="43">
        <f>IF(AU498="",0,(AH498-T498)*AF498)</f>
        <v/>
      </c>
      <c r="BB498" s="43">
        <f>IF(AU498="",0,T498*(AF498-AT498))</f>
        <v/>
      </c>
      <c r="BC498" s="51" t="n">
        <v>0.02378527546897073</v>
      </c>
      <c r="BD498" s="51" t="n">
        <v>0.09563389073228425</v>
      </c>
      <c r="BE498" s="51" t="n">
        <v>0.171255453223461</v>
      </c>
      <c r="BF498" s="43" t="n">
        <v>60878</v>
      </c>
    </row>
    <row r="499">
      <c r="A499" s="42" t="inlineStr">
        <is>
          <t>MI</t>
        </is>
      </c>
      <c r="B499" s="42" t="inlineStr">
        <is>
          <t>26157</t>
        </is>
      </c>
      <c r="C499" s="42" t="inlineStr">
        <is>
          <t>Tuscola</t>
        </is>
      </c>
      <c r="D499" s="42" t="inlineStr">
        <is>
          <t>Small town &amp; rural</t>
        </is>
      </c>
      <c r="E499" s="42" t="inlineStr"/>
      <c r="F499" s="43" t="n">
        <v>8562</v>
      </c>
      <c r="G499" s="43" t="n">
        <v>21764</v>
      </c>
      <c r="H499" s="43" t="n">
        <v>30716</v>
      </c>
      <c r="I499" s="43" t="n">
        <v>8712</v>
      </c>
      <c r="J499" s="43" t="n">
        <v>20297</v>
      </c>
      <c r="K499" s="42" t="inlineStr">
        <is>
          <t>Governor</t>
        </is>
      </c>
      <c r="L499" s="43" t="n">
        <v>8418</v>
      </c>
      <c r="M499" s="43" t="n">
        <v>15078</v>
      </c>
      <c r="N499" s="43" t="n">
        <v>24025</v>
      </c>
      <c r="O499" s="44">
        <f>IFERROR((F499-G499)/(F499+G499),"")</f>
        <v/>
      </c>
      <c r="P499" s="44">
        <f>IFERROR((I499-J499)/(I499+J499),"")</f>
        <v/>
      </c>
      <c r="Q499" s="45">
        <f>IFERROR(O499-P499,"")</f>
        <v/>
      </c>
      <c r="R499" s="44">
        <f>IFERROR((L499-M499)/(L499+M499),"")</f>
        <v/>
      </c>
      <c r="S499" s="46">
        <f>H499/SUMIFS(Counties!$H$2:$H$1583,Counties!$A$2:$A$1583,$A499)</f>
        <v/>
      </c>
      <c r="T499" s="44">
        <f>O499+INDEX(Dashboard!$F$6:$F$22,MATCH($A499,Dashboard!$A$6:$A$22,0))</f>
        <v/>
      </c>
      <c r="U499" s="43">
        <f>AQ499*INDEX(Dashboard!$G$6:$G$22,MATCH($A499,Dashboard!$A$6:$A$22,0))</f>
        <v/>
      </c>
      <c r="V499" s="47" t="n"/>
      <c r="W499" s="47" t="n"/>
      <c r="X499" s="47" t="n"/>
      <c r="Y499" s="48" t="n"/>
      <c r="Z499" s="49" t="n"/>
      <c r="AA499" s="49" t="n"/>
      <c r="AB499" s="49" t="n"/>
      <c r="AC499" s="50" t="n"/>
      <c r="AD499" s="43">
        <f>IF(Z499&lt;&gt;"",Z499,N(V499))</f>
        <v/>
      </c>
      <c r="AE499" s="43">
        <f>IF(AA499&lt;&gt;"",AA499,N(W499))</f>
        <v/>
      </c>
      <c r="AF499" s="43">
        <f>AD499+AE499</f>
        <v/>
      </c>
      <c r="AG499" s="42">
        <f>IF(UPPER(AC499)="Y",1,IF(AF499=0,0,IF(AND(Z499="",Y499&lt;&gt;""),IF(Y499&gt;=0.999,1,0),IF(AF499&gt;=U499,1,0))))</f>
        <v/>
      </c>
      <c r="AH499" s="44">
        <f>IF(AF499&gt;0,(AD499-AE499)/AF499,"")</f>
        <v/>
      </c>
      <c r="AI499" s="45">
        <f>IF(AG499=1,AH499-O499,"")</f>
        <v/>
      </c>
      <c r="AJ499" s="44">
        <f>IF(AG499=1,AH499,MAX(-1,MIN(1,O499+INDEX(Types!$H:$H,MATCH($A499&amp;"|"&amp;$D499,Types!$A:$A,0)))))</f>
        <v/>
      </c>
      <c r="AK499" s="43">
        <f>IF(AG499=1,AF499,MAX(AQ499*AS499,AF499))</f>
        <v/>
      </c>
      <c r="AL499" s="43">
        <f>IF(AG499=1,AD499,AK499*(1+AJ499)/2)</f>
        <v/>
      </c>
      <c r="AM499" s="43">
        <f>IF(AG499=1,AE499,AK499*(1-AJ499)/2)</f>
        <v/>
      </c>
      <c r="AN499" s="45">
        <f>IF(AH499="","",AH499-T499)</f>
        <v/>
      </c>
      <c r="AO499" s="51">
        <f>IF(AG499=1,1,IF(U499&gt;0,MIN(AF499/U499,0.99),0))</f>
        <v/>
      </c>
      <c r="AP499" s="43">
        <f>IF(AG499=1,AI499*AF499,0)</f>
        <v/>
      </c>
      <c r="AQ499" s="43">
        <f>N499*(F499+G499)/H499</f>
        <v/>
      </c>
      <c r="AR499" s="43">
        <f>O499*AQ499</f>
        <v/>
      </c>
      <c r="AS499" s="52">
        <f>IF(AG499=1,IF(AQ499&gt;0,AF499/AQ499,1),IFERROR(INDEX(Types!$K:$K,MATCH($A499&amp;"|"&amp;$D499,Types!$A:$A,0)),INDEX(Dashboard!$X$6:$X$22,MATCH($A499,Dashboard!$A$6:$A$22,0))))</f>
        <v/>
      </c>
      <c r="AT499" s="43">
        <f>AQ499*INDEX(Dashboard!$Y$6:$Y$22,MATCH($A499,Dashboard!$A$6:$A$22,0))</f>
        <v/>
      </c>
      <c r="AU499" s="53">
        <f>IF(AND(AG499=1,AT499&gt;0,AF499&gt;0),100*AF499/AT499,"")</f>
        <v/>
      </c>
      <c r="AV499" s="44">
        <f>IF(AU499="","",T499/(AU499/100))</f>
        <v/>
      </c>
      <c r="AW499" s="53">
        <f>IF(AU499="","",IF(AND(ABS(AH499)&gt;=0.1,ABS(T499)&gt;=0.05,SIGN(AH499)=SIGN(T499)),100*T499/AH499,""))</f>
        <v/>
      </c>
      <c r="AX499" s="45">
        <f>IF(AU499="","",T499-AV499)</f>
        <v/>
      </c>
      <c r="AY499" s="45">
        <f>IF(AU499="","",AH499-AV499)</f>
        <v/>
      </c>
      <c r="AZ499" s="54">
        <f>(AL499-AM499)-T499*AT499</f>
        <v/>
      </c>
      <c r="BA499" s="43">
        <f>IF(AU499="",0,(AH499-T499)*AF499)</f>
        <v/>
      </c>
      <c r="BB499" s="43">
        <f>IF(AU499="",0,T499*(AF499-AT499))</f>
        <v/>
      </c>
      <c r="BC499" s="51" t="n">
        <v>0.01241812743724681</v>
      </c>
      <c r="BD499" s="51" t="n">
        <v>0.03888236853064779</v>
      </c>
      <c r="BE499" s="51" t="n">
        <v>0.1553171641791045</v>
      </c>
      <c r="BF499" s="43" t="n">
        <v>52826</v>
      </c>
    </row>
    <row r="500">
      <c r="A500" s="42" t="inlineStr">
        <is>
          <t>MI</t>
        </is>
      </c>
      <c r="B500" s="42" t="inlineStr">
        <is>
          <t>26159</t>
        </is>
      </c>
      <c r="C500" s="42" t="inlineStr">
        <is>
          <t>Van Buren</t>
        </is>
      </c>
      <c r="D500" s="42" t="inlineStr">
        <is>
          <t>Small town &amp; rural</t>
        </is>
      </c>
      <c r="E500" s="42" t="inlineStr"/>
      <c r="F500" s="43" t="n">
        <v>17175</v>
      </c>
      <c r="G500" s="43" t="n">
        <v>23407</v>
      </c>
      <c r="H500" s="43" t="n">
        <v>41162</v>
      </c>
      <c r="I500" s="43" t="n">
        <v>16803</v>
      </c>
      <c r="J500" s="43" t="n">
        <v>21591</v>
      </c>
      <c r="K500" s="42" t="inlineStr">
        <is>
          <t>Governor</t>
        </is>
      </c>
      <c r="L500" s="43" t="n">
        <v>15347</v>
      </c>
      <c r="M500" s="43" t="n">
        <v>15974</v>
      </c>
      <c r="N500" s="43" t="n">
        <v>31947</v>
      </c>
      <c r="O500" s="44">
        <f>IFERROR((F500-G500)/(F500+G500),"")</f>
        <v/>
      </c>
      <c r="P500" s="44">
        <f>IFERROR((I500-J500)/(I500+J500),"")</f>
        <v/>
      </c>
      <c r="Q500" s="45">
        <f>IFERROR(O500-P500,"")</f>
        <v/>
      </c>
      <c r="R500" s="44">
        <f>IFERROR((L500-M500)/(L500+M500),"")</f>
        <v/>
      </c>
      <c r="S500" s="46">
        <f>H500/SUMIFS(Counties!$H$2:$H$1583,Counties!$A$2:$A$1583,$A500)</f>
        <v/>
      </c>
      <c r="T500" s="44">
        <f>O500+INDEX(Dashboard!$F$6:$F$22,MATCH($A500,Dashboard!$A$6:$A$22,0))</f>
        <v/>
      </c>
      <c r="U500" s="43">
        <f>AQ500*INDEX(Dashboard!$G$6:$G$22,MATCH($A500,Dashboard!$A$6:$A$22,0))</f>
        <v/>
      </c>
      <c r="V500" s="47" t="n"/>
      <c r="W500" s="47" t="n"/>
      <c r="X500" s="47" t="n"/>
      <c r="Y500" s="48" t="n"/>
      <c r="Z500" s="49" t="n"/>
      <c r="AA500" s="49" t="n"/>
      <c r="AB500" s="49" t="n"/>
      <c r="AC500" s="50" t="n"/>
      <c r="AD500" s="43">
        <f>IF(Z500&lt;&gt;"",Z500,N(V500))</f>
        <v/>
      </c>
      <c r="AE500" s="43">
        <f>IF(AA500&lt;&gt;"",AA500,N(W500))</f>
        <v/>
      </c>
      <c r="AF500" s="43">
        <f>AD500+AE500</f>
        <v/>
      </c>
      <c r="AG500" s="42">
        <f>IF(UPPER(AC500)="Y",1,IF(AF500=0,0,IF(AND(Z500="",Y500&lt;&gt;""),IF(Y500&gt;=0.999,1,0),IF(AF500&gt;=U500,1,0))))</f>
        <v/>
      </c>
      <c r="AH500" s="44">
        <f>IF(AF500&gt;0,(AD500-AE500)/AF500,"")</f>
        <v/>
      </c>
      <c r="AI500" s="45">
        <f>IF(AG500=1,AH500-O500,"")</f>
        <v/>
      </c>
      <c r="AJ500" s="44">
        <f>IF(AG500=1,AH500,MAX(-1,MIN(1,O500+INDEX(Types!$H:$H,MATCH($A500&amp;"|"&amp;$D500,Types!$A:$A,0)))))</f>
        <v/>
      </c>
      <c r="AK500" s="43">
        <f>IF(AG500=1,AF500,MAX(AQ500*AS500,AF500))</f>
        <v/>
      </c>
      <c r="AL500" s="43">
        <f>IF(AG500=1,AD500,AK500*(1+AJ500)/2)</f>
        <v/>
      </c>
      <c r="AM500" s="43">
        <f>IF(AG500=1,AE500,AK500*(1-AJ500)/2)</f>
        <v/>
      </c>
      <c r="AN500" s="45">
        <f>IF(AH500="","",AH500-T500)</f>
        <v/>
      </c>
      <c r="AO500" s="51">
        <f>IF(AG500=1,1,IF(U500&gt;0,MIN(AF500/U500,0.99),0))</f>
        <v/>
      </c>
      <c r="AP500" s="43">
        <f>IF(AG500=1,AI500*AF500,0)</f>
        <v/>
      </c>
      <c r="AQ500" s="43">
        <f>N500*(F500+G500)/H500</f>
        <v/>
      </c>
      <c r="AR500" s="43">
        <f>O500*AQ500</f>
        <v/>
      </c>
      <c r="AS500" s="52">
        <f>IF(AG500=1,IF(AQ500&gt;0,AF500/AQ500,1),IFERROR(INDEX(Types!$K:$K,MATCH($A500&amp;"|"&amp;$D500,Types!$A:$A,0)),INDEX(Dashboard!$X$6:$X$22,MATCH($A500,Dashboard!$A$6:$A$22,0))))</f>
        <v/>
      </c>
      <c r="AT500" s="43">
        <f>AQ500*INDEX(Dashboard!$Y$6:$Y$22,MATCH($A500,Dashboard!$A$6:$A$22,0))</f>
        <v/>
      </c>
      <c r="AU500" s="53">
        <f>IF(AND(AG500=1,AT500&gt;0,AF500&gt;0),100*AF500/AT500,"")</f>
        <v/>
      </c>
      <c r="AV500" s="44">
        <f>IF(AU500="","",T500/(AU500/100))</f>
        <v/>
      </c>
      <c r="AW500" s="53">
        <f>IF(AU500="","",IF(AND(ABS(AH500)&gt;=0.1,ABS(T500)&gt;=0.05,SIGN(AH500)=SIGN(T500)),100*T500/AH500,""))</f>
        <v/>
      </c>
      <c r="AX500" s="45">
        <f>IF(AU500="","",T500-AV500)</f>
        <v/>
      </c>
      <c r="AY500" s="45">
        <f>IF(AU500="","",AH500-AV500)</f>
        <v/>
      </c>
      <c r="AZ500" s="54">
        <f>(AL500-AM500)-T500*AT500</f>
        <v/>
      </c>
      <c r="BA500" s="43">
        <f>IF(AU500="",0,(AH500-T500)*AF500)</f>
        <v/>
      </c>
      <c r="BB500" s="43">
        <f>IF(AU500="",0,T500*(AF500-AT500))</f>
        <v/>
      </c>
      <c r="BC500" s="51" t="n">
        <v>0.0334837330800285</v>
      </c>
      <c r="BD500" s="51" t="n">
        <v>0.127998100213726</v>
      </c>
      <c r="BE500" s="51" t="n">
        <v>0.2288280744490542</v>
      </c>
      <c r="BF500" s="43" t="n">
        <v>75798</v>
      </c>
    </row>
    <row r="501">
      <c r="A501" s="42" t="inlineStr">
        <is>
          <t>MI</t>
        </is>
      </c>
      <c r="B501" s="42" t="inlineStr">
        <is>
          <t>26161</t>
        </is>
      </c>
      <c r="C501" s="42" t="inlineStr">
        <is>
          <t>Washtenaw</t>
        </is>
      </c>
      <c r="D501" s="42" t="inlineStr">
        <is>
          <t>College suburb/metro</t>
        </is>
      </c>
      <c r="E501" s="42" t="inlineStr">
        <is>
          <t>★</t>
        </is>
      </c>
      <c r="F501" s="43" t="n">
        <v>157152</v>
      </c>
      <c r="G501" s="43" t="n">
        <v>58844</v>
      </c>
      <c r="H501" s="43" t="n">
        <v>221304</v>
      </c>
      <c r="I501" s="43" t="n">
        <v>157136</v>
      </c>
      <c r="J501" s="43" t="n">
        <v>56241</v>
      </c>
      <c r="K501" s="42" t="inlineStr">
        <is>
          <t>Governor</t>
        </is>
      </c>
      <c r="L501" s="43" t="n">
        <v>135904</v>
      </c>
      <c r="M501" s="43" t="n">
        <v>42804</v>
      </c>
      <c r="N501" s="43" t="n">
        <v>180965</v>
      </c>
      <c r="O501" s="44">
        <f>IFERROR((F501-G501)/(F501+G501),"")</f>
        <v/>
      </c>
      <c r="P501" s="44">
        <f>IFERROR((I501-J501)/(I501+J501),"")</f>
        <v/>
      </c>
      <c r="Q501" s="45">
        <f>IFERROR(O501-P501,"")</f>
        <v/>
      </c>
      <c r="R501" s="44">
        <f>IFERROR((L501-M501)/(L501+M501),"")</f>
        <v/>
      </c>
      <c r="S501" s="46">
        <f>H501/SUMIFS(Counties!$H$2:$H$1583,Counties!$A$2:$A$1583,$A501)</f>
        <v/>
      </c>
      <c r="T501" s="44">
        <f>O501+INDEX(Dashboard!$F$6:$F$22,MATCH($A501,Dashboard!$A$6:$A$22,0))</f>
        <v/>
      </c>
      <c r="U501" s="43">
        <f>AQ501*INDEX(Dashboard!$G$6:$G$22,MATCH($A501,Dashboard!$A$6:$A$22,0))</f>
        <v/>
      </c>
      <c r="V501" s="47" t="n"/>
      <c r="W501" s="47" t="n"/>
      <c r="X501" s="47" t="n"/>
      <c r="Y501" s="48" t="n"/>
      <c r="Z501" s="49" t="n"/>
      <c r="AA501" s="49" t="n"/>
      <c r="AB501" s="49" t="n"/>
      <c r="AC501" s="50" t="n"/>
      <c r="AD501" s="43">
        <f>IF(Z501&lt;&gt;"",Z501,N(V501))</f>
        <v/>
      </c>
      <c r="AE501" s="43">
        <f>IF(AA501&lt;&gt;"",AA501,N(W501))</f>
        <v/>
      </c>
      <c r="AF501" s="43">
        <f>AD501+AE501</f>
        <v/>
      </c>
      <c r="AG501" s="42">
        <f>IF(UPPER(AC501)="Y",1,IF(AF501=0,0,IF(AND(Z501="",Y501&lt;&gt;""),IF(Y501&gt;=0.999,1,0),IF(AF501&gt;=U501,1,0))))</f>
        <v/>
      </c>
      <c r="AH501" s="44">
        <f>IF(AF501&gt;0,(AD501-AE501)/AF501,"")</f>
        <v/>
      </c>
      <c r="AI501" s="45">
        <f>IF(AG501=1,AH501-O501,"")</f>
        <v/>
      </c>
      <c r="AJ501" s="44">
        <f>IF(AG501=1,AH501,MAX(-1,MIN(1,O501+INDEX(Types!$H:$H,MATCH($A501&amp;"|"&amp;$D501,Types!$A:$A,0)))))</f>
        <v/>
      </c>
      <c r="AK501" s="43">
        <f>IF(AG501=1,AF501,MAX(AQ501*AS501,AF501))</f>
        <v/>
      </c>
      <c r="AL501" s="43">
        <f>IF(AG501=1,AD501,AK501*(1+AJ501)/2)</f>
        <v/>
      </c>
      <c r="AM501" s="43">
        <f>IF(AG501=1,AE501,AK501*(1-AJ501)/2)</f>
        <v/>
      </c>
      <c r="AN501" s="45">
        <f>IF(AH501="","",AH501-T501)</f>
        <v/>
      </c>
      <c r="AO501" s="51">
        <f>IF(AG501=1,1,IF(U501&gt;0,MIN(AF501/U501,0.99),0))</f>
        <v/>
      </c>
      <c r="AP501" s="43">
        <f>IF(AG501=1,AI501*AF501,0)</f>
        <v/>
      </c>
      <c r="AQ501" s="43">
        <f>N501*(F501+G501)/H501</f>
        <v/>
      </c>
      <c r="AR501" s="43">
        <f>O501*AQ501</f>
        <v/>
      </c>
      <c r="AS501" s="52">
        <f>IF(AG501=1,IF(AQ501&gt;0,AF501/AQ501,1),IFERROR(INDEX(Types!$K:$K,MATCH($A501&amp;"|"&amp;$D501,Types!$A:$A,0)),INDEX(Dashboard!$X$6:$X$22,MATCH($A501,Dashboard!$A$6:$A$22,0))))</f>
        <v/>
      </c>
      <c r="AT501" s="43">
        <f>AQ501*INDEX(Dashboard!$Y$6:$Y$22,MATCH($A501,Dashboard!$A$6:$A$22,0))</f>
        <v/>
      </c>
      <c r="AU501" s="53">
        <f>IF(AND(AG501=1,AT501&gt;0,AF501&gt;0),100*AF501/AT501,"")</f>
        <v/>
      </c>
      <c r="AV501" s="44">
        <f>IF(AU501="","",T501/(AU501/100))</f>
        <v/>
      </c>
      <c r="AW501" s="53">
        <f>IF(AU501="","",IF(AND(ABS(AH501)&gt;=0.1,ABS(T501)&gt;=0.05,SIGN(AH501)=SIGN(T501)),100*T501/AH501,""))</f>
        <v/>
      </c>
      <c r="AX501" s="45">
        <f>IF(AU501="","",T501-AV501)</f>
        <v/>
      </c>
      <c r="AY501" s="45">
        <f>IF(AU501="","",AH501-AV501)</f>
        <v/>
      </c>
      <c r="AZ501" s="54">
        <f>(AL501-AM501)-T501*AT501</f>
        <v/>
      </c>
      <c r="BA501" s="43">
        <f>IF(AU501="",0,(AH501-T501)*AF501)</f>
        <v/>
      </c>
      <c r="BB501" s="43">
        <f>IF(AU501="",0,T501*(AF501-AT501))</f>
        <v/>
      </c>
      <c r="BC501" s="51" t="n">
        <v>0.1196817823689048</v>
      </c>
      <c r="BD501" s="51" t="n">
        <v>0.05824870874551344</v>
      </c>
      <c r="BE501" s="51" t="n">
        <v>0.5813050562655939</v>
      </c>
      <c r="BF501" s="43" t="n">
        <v>365536</v>
      </c>
    </row>
    <row r="502">
      <c r="A502" s="42" t="inlineStr">
        <is>
          <t>MI</t>
        </is>
      </c>
      <c r="B502" s="42" t="inlineStr">
        <is>
          <t>26163</t>
        </is>
      </c>
      <c r="C502" s="42" t="inlineStr">
        <is>
          <t>Wayne</t>
        </is>
      </c>
      <c r="D502" s="42" t="inlineStr">
        <is>
          <t>Big metro core</t>
        </is>
      </c>
      <c r="E502" s="42" t="inlineStr">
        <is>
          <t>★</t>
        </is>
      </c>
      <c r="F502" s="43" t="n">
        <v>537032</v>
      </c>
      <c r="G502" s="43" t="n">
        <v>288860</v>
      </c>
      <c r="H502" s="43" t="n">
        <v>856511</v>
      </c>
      <c r="I502" s="43" t="n">
        <v>597170</v>
      </c>
      <c r="J502" s="43" t="n">
        <v>264553</v>
      </c>
      <c r="K502" s="42" t="inlineStr">
        <is>
          <t>Governor</t>
        </is>
      </c>
      <c r="L502" s="43" t="n">
        <v>426005</v>
      </c>
      <c r="M502" s="43" t="n">
        <v>166994</v>
      </c>
      <c r="N502" s="43" t="n">
        <v>604567</v>
      </c>
      <c r="O502" s="44">
        <f>IFERROR((F502-G502)/(F502+G502),"")</f>
        <v/>
      </c>
      <c r="P502" s="44">
        <f>IFERROR((I502-J502)/(I502+J502),"")</f>
        <v/>
      </c>
      <c r="Q502" s="45">
        <f>IFERROR(O502-P502,"")</f>
        <v/>
      </c>
      <c r="R502" s="44">
        <f>IFERROR((L502-M502)/(L502+M502),"")</f>
        <v/>
      </c>
      <c r="S502" s="46">
        <f>H502/SUMIFS(Counties!$H$2:$H$1583,Counties!$A$2:$A$1583,$A502)</f>
        <v/>
      </c>
      <c r="T502" s="44">
        <f>O502+INDEX(Dashboard!$F$6:$F$22,MATCH($A502,Dashboard!$A$6:$A$22,0))</f>
        <v/>
      </c>
      <c r="U502" s="43">
        <f>AQ502*INDEX(Dashboard!$G$6:$G$22,MATCH($A502,Dashboard!$A$6:$A$22,0))</f>
        <v/>
      </c>
      <c r="V502" s="47" t="n"/>
      <c r="W502" s="47" t="n"/>
      <c r="X502" s="47" t="n"/>
      <c r="Y502" s="48" t="n"/>
      <c r="Z502" s="49" t="n"/>
      <c r="AA502" s="49" t="n"/>
      <c r="AB502" s="49" t="n"/>
      <c r="AC502" s="50" t="n"/>
      <c r="AD502" s="43">
        <f>IF(Z502&lt;&gt;"",Z502,N(V502))</f>
        <v/>
      </c>
      <c r="AE502" s="43">
        <f>IF(AA502&lt;&gt;"",AA502,N(W502))</f>
        <v/>
      </c>
      <c r="AF502" s="43">
        <f>AD502+AE502</f>
        <v/>
      </c>
      <c r="AG502" s="42">
        <f>IF(UPPER(AC502)="Y",1,IF(AF502=0,0,IF(AND(Z502="",Y502&lt;&gt;""),IF(Y502&gt;=0.999,1,0),IF(AF502&gt;=U502,1,0))))</f>
        <v/>
      </c>
      <c r="AH502" s="44">
        <f>IF(AF502&gt;0,(AD502-AE502)/AF502,"")</f>
        <v/>
      </c>
      <c r="AI502" s="45">
        <f>IF(AG502=1,AH502-O502,"")</f>
        <v/>
      </c>
      <c r="AJ502" s="44">
        <f>IF(AG502=1,AH502,MAX(-1,MIN(1,O502+INDEX(Types!$H:$H,MATCH($A502&amp;"|"&amp;$D502,Types!$A:$A,0)))))</f>
        <v/>
      </c>
      <c r="AK502" s="43">
        <f>IF(AG502=1,AF502,MAX(AQ502*AS502,AF502))</f>
        <v/>
      </c>
      <c r="AL502" s="43">
        <f>IF(AG502=1,AD502,AK502*(1+AJ502)/2)</f>
        <v/>
      </c>
      <c r="AM502" s="43">
        <f>IF(AG502=1,AE502,AK502*(1-AJ502)/2)</f>
        <v/>
      </c>
      <c r="AN502" s="45">
        <f>IF(AH502="","",AH502-T502)</f>
        <v/>
      </c>
      <c r="AO502" s="51">
        <f>IF(AG502=1,1,IF(U502&gt;0,MIN(AF502/U502,0.99),0))</f>
        <v/>
      </c>
      <c r="AP502" s="43">
        <f>IF(AG502=1,AI502*AF502,0)</f>
        <v/>
      </c>
      <c r="AQ502" s="43">
        <f>N502*(F502+G502)/H502</f>
        <v/>
      </c>
      <c r="AR502" s="43">
        <f>O502*AQ502</f>
        <v/>
      </c>
      <c r="AS502" s="52">
        <f>IF(AG502=1,IF(AQ502&gt;0,AF502/AQ502,1),IFERROR(INDEX(Types!$K:$K,MATCH($A502&amp;"|"&amp;$D502,Types!$A:$A,0)),INDEX(Dashboard!$X$6:$X$22,MATCH($A502,Dashboard!$A$6:$A$22,0))))</f>
        <v/>
      </c>
      <c r="AT502" s="43">
        <f>AQ502*INDEX(Dashboard!$Y$6:$Y$22,MATCH($A502,Dashboard!$A$6:$A$22,0))</f>
        <v/>
      </c>
      <c r="AU502" s="53">
        <f>IF(AND(AG502=1,AT502&gt;0,AF502&gt;0),100*AF502/AT502,"")</f>
        <v/>
      </c>
      <c r="AV502" s="44">
        <f>IF(AU502="","",T502/(AU502/100))</f>
        <v/>
      </c>
      <c r="AW502" s="53">
        <f>IF(AU502="","",IF(AND(ABS(AH502)&gt;=0.1,ABS(T502)&gt;=0.05,SIGN(AH502)=SIGN(T502)),100*T502/AH502,""))</f>
        <v/>
      </c>
      <c r="AX502" s="45">
        <f>IF(AU502="","",T502-AV502)</f>
        <v/>
      </c>
      <c r="AY502" s="45">
        <f>IF(AU502="","",AH502-AV502)</f>
        <v/>
      </c>
      <c r="AZ502" s="54">
        <f>(AL502-AM502)-T502*AT502</f>
        <v/>
      </c>
      <c r="BA502" s="43">
        <f>IF(AU502="",0,(AH502-T502)*AF502)</f>
        <v/>
      </c>
      <c r="BB502" s="43">
        <f>IF(AU502="",0,T502*(AF502-AT502))</f>
        <v/>
      </c>
      <c r="BC502" s="51" t="n">
        <v>0.3755245781532222</v>
      </c>
      <c r="BD502" s="51" t="n">
        <v>0.06996640529840352</v>
      </c>
      <c r="BE502" s="51" t="n">
        <v>0.2688744020151736</v>
      </c>
      <c r="BF502" s="43" t="n">
        <v>1751169</v>
      </c>
    </row>
    <row r="503">
      <c r="A503" s="42" t="inlineStr">
        <is>
          <t>MI</t>
        </is>
      </c>
      <c r="B503" s="42" t="inlineStr">
        <is>
          <t>26165</t>
        </is>
      </c>
      <c r="C503" s="42" t="inlineStr">
        <is>
          <t>Wexford</t>
        </is>
      </c>
      <c r="D503" s="42" t="inlineStr">
        <is>
          <t>Small town &amp; rural</t>
        </is>
      </c>
      <c r="E503" s="42" t="inlineStr"/>
      <c r="F503" s="43" t="n">
        <v>6224</v>
      </c>
      <c r="G503" s="43" t="n">
        <v>12968</v>
      </c>
      <c r="H503" s="43" t="n">
        <v>19476</v>
      </c>
      <c r="I503" s="43" t="n">
        <v>5838</v>
      </c>
      <c r="J503" s="43" t="n">
        <v>12102</v>
      </c>
      <c r="K503" s="42" t="inlineStr">
        <is>
          <t>Governor</t>
        </is>
      </c>
      <c r="L503" s="43" t="n">
        <v>5645</v>
      </c>
      <c r="M503" s="43" t="n">
        <v>9131</v>
      </c>
      <c r="N503" s="43" t="n">
        <v>15105</v>
      </c>
      <c r="O503" s="44">
        <f>IFERROR((F503-G503)/(F503+G503),"")</f>
        <v/>
      </c>
      <c r="P503" s="44">
        <f>IFERROR((I503-J503)/(I503+J503),"")</f>
        <v/>
      </c>
      <c r="Q503" s="45">
        <f>IFERROR(O503-P503,"")</f>
        <v/>
      </c>
      <c r="R503" s="44">
        <f>IFERROR((L503-M503)/(L503+M503),"")</f>
        <v/>
      </c>
      <c r="S503" s="46">
        <f>H503/SUMIFS(Counties!$H$2:$H$1583,Counties!$A$2:$A$1583,$A503)</f>
        <v/>
      </c>
      <c r="T503" s="44">
        <f>O503+INDEX(Dashboard!$F$6:$F$22,MATCH($A503,Dashboard!$A$6:$A$22,0))</f>
        <v/>
      </c>
      <c r="U503" s="43">
        <f>AQ503*INDEX(Dashboard!$G$6:$G$22,MATCH($A503,Dashboard!$A$6:$A$22,0))</f>
        <v/>
      </c>
      <c r="V503" s="47" t="n"/>
      <c r="W503" s="47" t="n"/>
      <c r="X503" s="47" t="n"/>
      <c r="Y503" s="48" t="n"/>
      <c r="Z503" s="49" t="n"/>
      <c r="AA503" s="49" t="n"/>
      <c r="AB503" s="49" t="n"/>
      <c r="AC503" s="50" t="n"/>
      <c r="AD503" s="43">
        <f>IF(Z503&lt;&gt;"",Z503,N(V503))</f>
        <v/>
      </c>
      <c r="AE503" s="43">
        <f>IF(AA503&lt;&gt;"",AA503,N(W503))</f>
        <v/>
      </c>
      <c r="AF503" s="43">
        <f>AD503+AE503</f>
        <v/>
      </c>
      <c r="AG503" s="42">
        <f>IF(UPPER(AC503)="Y",1,IF(AF503=0,0,IF(AND(Z503="",Y503&lt;&gt;""),IF(Y503&gt;=0.999,1,0),IF(AF503&gt;=U503,1,0))))</f>
        <v/>
      </c>
      <c r="AH503" s="44">
        <f>IF(AF503&gt;0,(AD503-AE503)/AF503,"")</f>
        <v/>
      </c>
      <c r="AI503" s="45">
        <f>IF(AG503=1,AH503-O503,"")</f>
        <v/>
      </c>
      <c r="AJ503" s="44">
        <f>IF(AG503=1,AH503,MAX(-1,MIN(1,O503+INDEX(Types!$H:$H,MATCH($A503&amp;"|"&amp;$D503,Types!$A:$A,0)))))</f>
        <v/>
      </c>
      <c r="AK503" s="43">
        <f>IF(AG503=1,AF503,MAX(AQ503*AS503,AF503))</f>
        <v/>
      </c>
      <c r="AL503" s="43">
        <f>IF(AG503=1,AD503,AK503*(1+AJ503)/2)</f>
        <v/>
      </c>
      <c r="AM503" s="43">
        <f>IF(AG503=1,AE503,AK503*(1-AJ503)/2)</f>
        <v/>
      </c>
      <c r="AN503" s="45">
        <f>IF(AH503="","",AH503-T503)</f>
        <v/>
      </c>
      <c r="AO503" s="51">
        <f>IF(AG503=1,1,IF(U503&gt;0,MIN(AF503/U503,0.99),0))</f>
        <v/>
      </c>
      <c r="AP503" s="43">
        <f>IF(AG503=1,AI503*AF503,0)</f>
        <v/>
      </c>
      <c r="AQ503" s="43">
        <f>N503*(F503+G503)/H503</f>
        <v/>
      </c>
      <c r="AR503" s="43">
        <f>O503*AQ503</f>
        <v/>
      </c>
      <c r="AS503" s="52">
        <f>IF(AG503=1,IF(AQ503&gt;0,AF503/AQ503,1),IFERROR(INDEX(Types!$K:$K,MATCH($A503&amp;"|"&amp;$D503,Types!$A:$A,0)),INDEX(Dashboard!$X$6:$X$22,MATCH($A503,Dashboard!$A$6:$A$22,0))))</f>
        <v/>
      </c>
      <c r="AT503" s="43">
        <f>AQ503*INDEX(Dashboard!$Y$6:$Y$22,MATCH($A503,Dashboard!$A$6:$A$22,0))</f>
        <v/>
      </c>
      <c r="AU503" s="53">
        <f>IF(AND(AG503=1,AT503&gt;0,AF503&gt;0),100*AF503/AT503,"")</f>
        <v/>
      </c>
      <c r="AV503" s="44">
        <f>IF(AU503="","",T503/(AU503/100))</f>
        <v/>
      </c>
      <c r="AW503" s="53">
        <f>IF(AU503="","",IF(AND(ABS(AH503)&gt;=0.1,ABS(T503)&gt;=0.05,SIGN(AH503)=SIGN(T503)),100*T503/AH503,""))</f>
        <v/>
      </c>
      <c r="AX503" s="45">
        <f>IF(AU503="","",T503-AV503)</f>
        <v/>
      </c>
      <c r="AY503" s="45">
        <f>IF(AU503="","",AH503-AV503)</f>
        <v/>
      </c>
      <c r="AZ503" s="54">
        <f>(AL503-AM503)-T503*AT503</f>
        <v/>
      </c>
      <c r="BA503" s="43">
        <f>IF(AU503="",0,(AH503-T503)*AF503)</f>
        <v/>
      </c>
      <c r="BB503" s="43">
        <f>IF(AU503="",0,T503*(AF503-AT503))</f>
        <v/>
      </c>
      <c r="BC503" s="51" t="n">
        <v>0.008000703358537014</v>
      </c>
      <c r="BD503" s="51" t="n">
        <v>0.02839810093195006</v>
      </c>
      <c r="BE503" s="51" t="n">
        <v>0.2117661932656243</v>
      </c>
      <c r="BF503" s="43" t="n">
        <v>34122</v>
      </c>
    </row>
    <row r="504">
      <c r="A504" s="42" t="inlineStr">
        <is>
          <t>MN</t>
        </is>
      </c>
      <c r="B504" s="42" t="inlineStr">
        <is>
          <t>27001</t>
        </is>
      </c>
      <c r="C504" s="42" t="inlineStr">
        <is>
          <t>Aitkin</t>
        </is>
      </c>
      <c r="D504" s="42" t="inlineStr">
        <is>
          <t>Small town &amp; rural</t>
        </is>
      </c>
      <c r="E504" s="42" t="inlineStr"/>
      <c r="F504" s="43" t="n">
        <v>3524</v>
      </c>
      <c r="G504" s="43" t="n">
        <v>6741</v>
      </c>
      <c r="H504" s="43" t="n">
        <v>10419</v>
      </c>
      <c r="I504" s="43" t="n">
        <v>3607</v>
      </c>
      <c r="J504" s="43" t="n">
        <v>6258</v>
      </c>
      <c r="K504" s="42" t="inlineStr">
        <is>
          <t>Governor</t>
        </is>
      </c>
      <c r="L504" s="43" t="n">
        <v>3030</v>
      </c>
      <c r="M504" s="43" t="n">
        <v>5110</v>
      </c>
      <c r="N504" s="43" t="n">
        <v>8434</v>
      </c>
      <c r="O504" s="44">
        <f>IFERROR((F504-G504)/(F504+G504),"")</f>
        <v/>
      </c>
      <c r="P504" s="44">
        <f>IFERROR((I504-J504)/(I504+J504),"")</f>
        <v/>
      </c>
      <c r="Q504" s="45">
        <f>IFERROR(O504-P504,"")</f>
        <v/>
      </c>
      <c r="R504" s="44">
        <f>IFERROR((L504-M504)/(L504+M504),"")</f>
        <v/>
      </c>
      <c r="S504" s="46">
        <f>H504/SUMIFS(Counties!$H$2:$H$1583,Counties!$A$2:$A$1583,$A504)</f>
        <v/>
      </c>
      <c r="T504" s="44">
        <f>O504+INDEX(Dashboard!$F$6:$F$22,MATCH($A504,Dashboard!$A$6:$A$22,0))</f>
        <v/>
      </c>
      <c r="U504" s="43">
        <f>AQ504*INDEX(Dashboard!$G$6:$G$22,MATCH($A504,Dashboard!$A$6:$A$22,0))</f>
        <v/>
      </c>
      <c r="V504" s="47" t="n"/>
      <c r="W504" s="47" t="n"/>
      <c r="X504" s="47" t="n"/>
      <c r="Y504" s="48" t="n"/>
      <c r="Z504" s="49" t="n"/>
      <c r="AA504" s="49" t="n"/>
      <c r="AB504" s="49" t="n"/>
      <c r="AC504" s="50" t="n"/>
      <c r="AD504" s="43">
        <f>IF(Z504&lt;&gt;"",Z504,N(V504))</f>
        <v/>
      </c>
      <c r="AE504" s="43">
        <f>IF(AA504&lt;&gt;"",AA504,N(W504))</f>
        <v/>
      </c>
      <c r="AF504" s="43">
        <f>AD504+AE504</f>
        <v/>
      </c>
      <c r="AG504" s="42">
        <f>IF(UPPER(AC504)="Y",1,IF(AF504=0,0,IF(AND(Z504="",Y504&lt;&gt;""),IF(Y504&gt;=0.999,1,0),IF(AF504&gt;=U504,1,0))))</f>
        <v/>
      </c>
      <c r="AH504" s="44">
        <f>IF(AF504&gt;0,(AD504-AE504)/AF504,"")</f>
        <v/>
      </c>
      <c r="AI504" s="45">
        <f>IF(AG504=1,AH504-O504,"")</f>
        <v/>
      </c>
      <c r="AJ504" s="44">
        <f>IF(AG504=1,AH504,MAX(-1,MIN(1,O504+INDEX(Types!$H:$H,MATCH($A504&amp;"|"&amp;$D504,Types!$A:$A,0)))))</f>
        <v/>
      </c>
      <c r="AK504" s="43">
        <f>IF(AG504=1,AF504,MAX(AQ504*AS504,AF504))</f>
        <v/>
      </c>
      <c r="AL504" s="43">
        <f>IF(AG504=1,AD504,AK504*(1+AJ504)/2)</f>
        <v/>
      </c>
      <c r="AM504" s="43">
        <f>IF(AG504=1,AE504,AK504*(1-AJ504)/2)</f>
        <v/>
      </c>
      <c r="AN504" s="45">
        <f>IF(AH504="","",AH504-T504)</f>
        <v/>
      </c>
      <c r="AO504" s="51">
        <f>IF(AG504=1,1,IF(U504&gt;0,MIN(AF504/U504,0.99),0))</f>
        <v/>
      </c>
      <c r="AP504" s="43">
        <f>IF(AG504=1,AI504*AF504,0)</f>
        <v/>
      </c>
      <c r="AQ504" s="43">
        <f>N504*(F504+G504)/H504</f>
        <v/>
      </c>
      <c r="AR504" s="43">
        <f>O504*AQ504</f>
        <v/>
      </c>
      <c r="AS504" s="52">
        <f>IF(AG504=1,IF(AQ504&gt;0,AF504/AQ504,1),IFERROR(INDEX(Types!$K:$K,MATCH($A504&amp;"|"&amp;$D504,Types!$A:$A,0)),INDEX(Dashboard!$X$6:$X$22,MATCH($A504,Dashboard!$A$6:$A$22,0))))</f>
        <v/>
      </c>
      <c r="AT504" s="43">
        <f>AQ504*INDEX(Dashboard!$Y$6:$Y$22,MATCH($A504,Dashboard!$A$6:$A$22,0))</f>
        <v/>
      </c>
      <c r="AU504" s="53">
        <f>IF(AND(AG504=1,AT504&gt;0,AF504&gt;0),100*AF504/AT504,"")</f>
        <v/>
      </c>
      <c r="AV504" s="44">
        <f>IF(AU504="","",T504/(AU504/100))</f>
        <v/>
      </c>
      <c r="AW504" s="53">
        <f>IF(AU504="","",IF(AND(ABS(AH504)&gt;=0.1,ABS(T504)&gt;=0.05,SIGN(AH504)=SIGN(T504)),100*T504/AH504,""))</f>
        <v/>
      </c>
      <c r="AX504" s="45">
        <f>IF(AU504="","",T504-AV504)</f>
        <v/>
      </c>
      <c r="AY504" s="45">
        <f>IF(AU504="","",AH504-AV504)</f>
        <v/>
      </c>
      <c r="AZ504" s="54">
        <f>(AL504-AM504)-T504*AT504</f>
        <v/>
      </c>
      <c r="BA504" s="43">
        <f>IF(AU504="",0,(AH504-T504)*AF504)</f>
        <v/>
      </c>
      <c r="BB504" s="43">
        <f>IF(AU504="",0,T504*(AF504-AT504))</f>
        <v/>
      </c>
      <c r="BC504" s="51" t="n">
        <v>0.00484411874301329</v>
      </c>
      <c r="BD504" s="51" t="n">
        <v>0.01465656440193765</v>
      </c>
      <c r="BE504" s="51" t="n">
        <v>0.1895367412140575</v>
      </c>
      <c r="BF504" s="43" t="n">
        <v>16102</v>
      </c>
    </row>
    <row r="505">
      <c r="A505" s="42" t="inlineStr">
        <is>
          <t>MN</t>
        </is>
      </c>
      <c r="B505" s="42" t="inlineStr">
        <is>
          <t>27003</t>
        </is>
      </c>
      <c r="C505" s="42" t="inlineStr">
        <is>
          <t>Anoka</t>
        </is>
      </c>
      <c r="D505" s="42" t="inlineStr">
        <is>
          <t>Mid-size/working metro</t>
        </is>
      </c>
      <c r="E505" s="42" t="inlineStr">
        <is>
          <t>★</t>
        </is>
      </c>
      <c r="F505" s="43" t="n">
        <v>97667</v>
      </c>
      <c r="G505" s="43" t="n">
        <v>106974</v>
      </c>
      <c r="H505" s="43" t="n">
        <v>209656</v>
      </c>
      <c r="I505" s="43" t="n">
        <v>100893</v>
      </c>
      <c r="J505" s="43" t="n">
        <v>104902</v>
      </c>
      <c r="K505" s="42" t="inlineStr">
        <is>
          <t>Governor</t>
        </is>
      </c>
      <c r="L505" s="43" t="n">
        <v>74515</v>
      </c>
      <c r="M505" s="43" t="n">
        <v>76587</v>
      </c>
      <c r="N505" s="43" t="n">
        <v>156313</v>
      </c>
      <c r="O505" s="44">
        <f>IFERROR((F505-G505)/(F505+G505),"")</f>
        <v/>
      </c>
      <c r="P505" s="44">
        <f>IFERROR((I505-J505)/(I505+J505),"")</f>
        <v/>
      </c>
      <c r="Q505" s="45">
        <f>IFERROR(O505-P505,"")</f>
        <v/>
      </c>
      <c r="R505" s="44">
        <f>IFERROR((L505-M505)/(L505+M505),"")</f>
        <v/>
      </c>
      <c r="S505" s="46">
        <f>H505/SUMIFS(Counties!$H$2:$H$1583,Counties!$A$2:$A$1583,$A505)</f>
        <v/>
      </c>
      <c r="T505" s="44">
        <f>O505+INDEX(Dashboard!$F$6:$F$22,MATCH($A505,Dashboard!$A$6:$A$22,0))</f>
        <v/>
      </c>
      <c r="U505" s="43">
        <f>AQ505*INDEX(Dashboard!$G$6:$G$22,MATCH($A505,Dashboard!$A$6:$A$22,0))</f>
        <v/>
      </c>
      <c r="V505" s="47" t="n"/>
      <c r="W505" s="47" t="n"/>
      <c r="X505" s="47" t="n"/>
      <c r="Y505" s="48" t="n"/>
      <c r="Z505" s="49" t="n"/>
      <c r="AA505" s="49" t="n"/>
      <c r="AB505" s="49" t="n"/>
      <c r="AC505" s="50" t="n"/>
      <c r="AD505" s="43">
        <f>IF(Z505&lt;&gt;"",Z505,N(V505))</f>
        <v/>
      </c>
      <c r="AE505" s="43">
        <f>IF(AA505&lt;&gt;"",AA505,N(W505))</f>
        <v/>
      </c>
      <c r="AF505" s="43">
        <f>AD505+AE505</f>
        <v/>
      </c>
      <c r="AG505" s="42">
        <f>IF(UPPER(AC505)="Y",1,IF(AF505=0,0,IF(AND(Z505="",Y505&lt;&gt;""),IF(Y505&gt;=0.999,1,0),IF(AF505&gt;=U505,1,0))))</f>
        <v/>
      </c>
      <c r="AH505" s="44">
        <f>IF(AF505&gt;0,(AD505-AE505)/AF505,"")</f>
        <v/>
      </c>
      <c r="AI505" s="45">
        <f>IF(AG505=1,AH505-O505,"")</f>
        <v/>
      </c>
      <c r="AJ505" s="44">
        <f>IF(AG505=1,AH505,MAX(-1,MIN(1,O505+INDEX(Types!$H:$H,MATCH($A505&amp;"|"&amp;$D505,Types!$A:$A,0)))))</f>
        <v/>
      </c>
      <c r="AK505" s="43">
        <f>IF(AG505=1,AF505,MAX(AQ505*AS505,AF505))</f>
        <v/>
      </c>
      <c r="AL505" s="43">
        <f>IF(AG505=1,AD505,AK505*(1+AJ505)/2)</f>
        <v/>
      </c>
      <c r="AM505" s="43">
        <f>IF(AG505=1,AE505,AK505*(1-AJ505)/2)</f>
        <v/>
      </c>
      <c r="AN505" s="45">
        <f>IF(AH505="","",AH505-T505)</f>
        <v/>
      </c>
      <c r="AO505" s="51">
        <f>IF(AG505=1,1,IF(U505&gt;0,MIN(AF505/U505,0.99),0))</f>
        <v/>
      </c>
      <c r="AP505" s="43">
        <f>IF(AG505=1,AI505*AF505,0)</f>
        <v/>
      </c>
      <c r="AQ505" s="43">
        <f>N505*(F505+G505)/H505</f>
        <v/>
      </c>
      <c r="AR505" s="43">
        <f>O505*AQ505</f>
        <v/>
      </c>
      <c r="AS505" s="52">
        <f>IF(AG505=1,IF(AQ505&gt;0,AF505/AQ505,1),IFERROR(INDEX(Types!$K:$K,MATCH($A505&amp;"|"&amp;$D505,Types!$A:$A,0)),INDEX(Dashboard!$X$6:$X$22,MATCH($A505,Dashboard!$A$6:$A$22,0))))</f>
        <v/>
      </c>
      <c r="AT505" s="43">
        <f>AQ505*INDEX(Dashboard!$Y$6:$Y$22,MATCH($A505,Dashboard!$A$6:$A$22,0))</f>
        <v/>
      </c>
      <c r="AU505" s="53">
        <f>IF(AND(AG505=1,AT505&gt;0,AF505&gt;0),100*AF505/AT505,"")</f>
        <v/>
      </c>
      <c r="AV505" s="44">
        <f>IF(AU505="","",T505/(AU505/100))</f>
        <v/>
      </c>
      <c r="AW505" s="53">
        <f>IF(AU505="","",IF(AND(ABS(AH505)&gt;=0.1,ABS(T505)&gt;=0.05,SIGN(AH505)=SIGN(T505)),100*T505/AH505,""))</f>
        <v/>
      </c>
      <c r="AX505" s="45">
        <f>IF(AU505="","",T505-AV505)</f>
        <v/>
      </c>
      <c r="AY505" s="45">
        <f>IF(AU505="","",AH505-AV505)</f>
        <v/>
      </c>
      <c r="AZ505" s="54">
        <f>(AL505-AM505)-T505*AT505</f>
        <v/>
      </c>
      <c r="BA505" s="43">
        <f>IF(AU505="",0,(AH505-T505)*AF505)</f>
        <v/>
      </c>
      <c r="BB505" s="43">
        <f>IF(AU505="",0,T505*(AF505-AT505))</f>
        <v/>
      </c>
      <c r="BC505" s="51" t="n">
        <v>0.09415988035688874</v>
      </c>
      <c r="BD505" s="51" t="n">
        <v>0.06002561479536356</v>
      </c>
      <c r="BE505" s="51" t="n">
        <v>0.3166066445658136</v>
      </c>
      <c r="BF505" s="43" t="n">
        <v>372441</v>
      </c>
    </row>
    <row r="506">
      <c r="A506" s="42" t="inlineStr">
        <is>
          <t>MN</t>
        </is>
      </c>
      <c r="B506" s="42" t="inlineStr">
        <is>
          <t>27005</t>
        </is>
      </c>
      <c r="C506" s="42" t="inlineStr">
        <is>
          <t>Becker</t>
        </is>
      </c>
      <c r="D506" s="42" t="inlineStr">
        <is>
          <t>Small town &amp; rural</t>
        </is>
      </c>
      <c r="E506" s="42" t="inlineStr"/>
      <c r="F506" s="43" t="n">
        <v>6435</v>
      </c>
      <c r="G506" s="43" t="n">
        <v>12961</v>
      </c>
      <c r="H506" s="43" t="n">
        <v>19696</v>
      </c>
      <c r="I506" s="43" t="n">
        <v>6589</v>
      </c>
      <c r="J506" s="43" t="n">
        <v>12438</v>
      </c>
      <c r="K506" s="42" t="inlineStr">
        <is>
          <t>Governor</t>
        </is>
      </c>
      <c r="L506" s="43" t="n">
        <v>4738</v>
      </c>
      <c r="M506" s="43" t="n">
        <v>9486</v>
      </c>
      <c r="N506" s="43" t="n">
        <v>14747</v>
      </c>
      <c r="O506" s="44">
        <f>IFERROR((F506-G506)/(F506+G506),"")</f>
        <v/>
      </c>
      <c r="P506" s="44">
        <f>IFERROR((I506-J506)/(I506+J506),"")</f>
        <v/>
      </c>
      <c r="Q506" s="45">
        <f>IFERROR(O506-P506,"")</f>
        <v/>
      </c>
      <c r="R506" s="44">
        <f>IFERROR((L506-M506)/(L506+M506),"")</f>
        <v/>
      </c>
      <c r="S506" s="46">
        <f>H506/SUMIFS(Counties!$H$2:$H$1583,Counties!$A$2:$A$1583,$A506)</f>
        <v/>
      </c>
      <c r="T506" s="44">
        <f>O506+INDEX(Dashboard!$F$6:$F$22,MATCH($A506,Dashboard!$A$6:$A$22,0))</f>
        <v/>
      </c>
      <c r="U506" s="43">
        <f>AQ506*INDEX(Dashboard!$G$6:$G$22,MATCH($A506,Dashboard!$A$6:$A$22,0))</f>
        <v/>
      </c>
      <c r="V506" s="47" t="n"/>
      <c r="W506" s="47" t="n"/>
      <c r="X506" s="47" t="n"/>
      <c r="Y506" s="48" t="n"/>
      <c r="Z506" s="49" t="n"/>
      <c r="AA506" s="49" t="n"/>
      <c r="AB506" s="49" t="n"/>
      <c r="AC506" s="50" t="n"/>
      <c r="AD506" s="43">
        <f>IF(Z506&lt;&gt;"",Z506,N(V506))</f>
        <v/>
      </c>
      <c r="AE506" s="43">
        <f>IF(AA506&lt;&gt;"",AA506,N(W506))</f>
        <v/>
      </c>
      <c r="AF506" s="43">
        <f>AD506+AE506</f>
        <v/>
      </c>
      <c r="AG506" s="42">
        <f>IF(UPPER(AC506)="Y",1,IF(AF506=0,0,IF(AND(Z506="",Y506&lt;&gt;""),IF(Y506&gt;=0.999,1,0),IF(AF506&gt;=U506,1,0))))</f>
        <v/>
      </c>
      <c r="AH506" s="44">
        <f>IF(AF506&gt;0,(AD506-AE506)/AF506,"")</f>
        <v/>
      </c>
      <c r="AI506" s="45">
        <f>IF(AG506=1,AH506-O506,"")</f>
        <v/>
      </c>
      <c r="AJ506" s="44">
        <f>IF(AG506=1,AH506,MAX(-1,MIN(1,O506+INDEX(Types!$H:$H,MATCH($A506&amp;"|"&amp;$D506,Types!$A:$A,0)))))</f>
        <v/>
      </c>
      <c r="AK506" s="43">
        <f>IF(AG506=1,AF506,MAX(AQ506*AS506,AF506))</f>
        <v/>
      </c>
      <c r="AL506" s="43">
        <f>IF(AG506=1,AD506,AK506*(1+AJ506)/2)</f>
        <v/>
      </c>
      <c r="AM506" s="43">
        <f>IF(AG506=1,AE506,AK506*(1-AJ506)/2)</f>
        <v/>
      </c>
      <c r="AN506" s="45">
        <f>IF(AH506="","",AH506-T506)</f>
        <v/>
      </c>
      <c r="AO506" s="51">
        <f>IF(AG506=1,1,IF(U506&gt;0,MIN(AF506/U506,0.99),0))</f>
        <v/>
      </c>
      <c r="AP506" s="43">
        <f>IF(AG506=1,AI506*AF506,0)</f>
        <v/>
      </c>
      <c r="AQ506" s="43">
        <f>N506*(F506+G506)/H506</f>
        <v/>
      </c>
      <c r="AR506" s="43">
        <f>O506*AQ506</f>
        <v/>
      </c>
      <c r="AS506" s="52">
        <f>IF(AG506=1,IF(AQ506&gt;0,AF506/AQ506,1),IFERROR(INDEX(Types!$K:$K,MATCH($A506&amp;"|"&amp;$D506,Types!$A:$A,0)),INDEX(Dashboard!$X$6:$X$22,MATCH($A506,Dashboard!$A$6:$A$22,0))))</f>
        <v/>
      </c>
      <c r="AT506" s="43">
        <f>AQ506*INDEX(Dashboard!$Y$6:$Y$22,MATCH($A506,Dashboard!$A$6:$A$22,0))</f>
        <v/>
      </c>
      <c r="AU506" s="53">
        <f>IF(AND(AG506=1,AT506&gt;0,AF506&gt;0),100*AF506/AT506,"")</f>
        <v/>
      </c>
      <c r="AV506" s="44">
        <f>IF(AU506="","",T506/(AU506/100))</f>
        <v/>
      </c>
      <c r="AW506" s="53">
        <f>IF(AU506="","",IF(AND(ABS(AH506)&gt;=0.1,ABS(T506)&gt;=0.05,SIGN(AH506)=SIGN(T506)),100*T506/AH506,""))</f>
        <v/>
      </c>
      <c r="AX506" s="45">
        <f>IF(AU506="","",T506-AV506)</f>
        <v/>
      </c>
      <c r="AY506" s="45">
        <f>IF(AU506="","",AH506-AV506)</f>
        <v/>
      </c>
      <c r="AZ506" s="54">
        <f>(AL506-AM506)-T506*AT506</f>
        <v/>
      </c>
      <c r="BA506" s="43">
        <f>IF(AU506="",0,(AH506-T506)*AF506)</f>
        <v/>
      </c>
      <c r="BB506" s="43">
        <f>IF(AU506="",0,T506*(AF506-AT506))</f>
        <v/>
      </c>
      <c r="BC506" s="51" t="n">
        <v>0.006518720063486665</v>
      </c>
      <c r="BD506" s="51" t="n">
        <v>0.02111498455346767</v>
      </c>
      <c r="BE506" s="51" t="n">
        <v>0.2753765553372626</v>
      </c>
      <c r="BF506" s="43" t="n">
        <v>35283</v>
      </c>
    </row>
    <row r="507">
      <c r="A507" s="42" t="inlineStr">
        <is>
          <t>MN</t>
        </is>
      </c>
      <c r="B507" s="42" t="inlineStr">
        <is>
          <t>27007</t>
        </is>
      </c>
      <c r="C507" s="42" t="inlineStr">
        <is>
          <t>Beltrami</t>
        </is>
      </c>
      <c r="D507" s="42" t="inlineStr">
        <is>
          <t>Small town &amp; rural</t>
        </is>
      </c>
      <c r="E507" s="42" t="inlineStr"/>
      <c r="F507" s="43" t="n">
        <v>11493</v>
      </c>
      <c r="G507" s="43" t="n">
        <v>12898</v>
      </c>
      <c r="H507" s="43" t="n">
        <v>24807</v>
      </c>
      <c r="I507" s="43" t="n">
        <v>11426</v>
      </c>
      <c r="J507" s="43" t="n">
        <v>12188</v>
      </c>
      <c r="K507" s="42" t="inlineStr">
        <is>
          <t>Governor</t>
        </is>
      </c>
      <c r="L507" s="43" t="n">
        <v>8124</v>
      </c>
      <c r="M507" s="43" t="n">
        <v>9248</v>
      </c>
      <c r="N507" s="43" t="n">
        <v>18085</v>
      </c>
      <c r="O507" s="44">
        <f>IFERROR((F507-G507)/(F507+G507),"")</f>
        <v/>
      </c>
      <c r="P507" s="44">
        <f>IFERROR((I507-J507)/(I507+J507),"")</f>
        <v/>
      </c>
      <c r="Q507" s="45">
        <f>IFERROR(O507-P507,"")</f>
        <v/>
      </c>
      <c r="R507" s="44">
        <f>IFERROR((L507-M507)/(L507+M507),"")</f>
        <v/>
      </c>
      <c r="S507" s="46">
        <f>H507/SUMIFS(Counties!$H$2:$H$1583,Counties!$A$2:$A$1583,$A507)</f>
        <v/>
      </c>
      <c r="T507" s="44">
        <f>O507+INDEX(Dashboard!$F$6:$F$22,MATCH($A507,Dashboard!$A$6:$A$22,0))</f>
        <v/>
      </c>
      <c r="U507" s="43">
        <f>AQ507*INDEX(Dashboard!$G$6:$G$22,MATCH($A507,Dashboard!$A$6:$A$22,0))</f>
        <v/>
      </c>
      <c r="V507" s="47" t="n"/>
      <c r="W507" s="47" t="n"/>
      <c r="X507" s="47" t="n"/>
      <c r="Y507" s="48" t="n"/>
      <c r="Z507" s="49" t="n"/>
      <c r="AA507" s="49" t="n"/>
      <c r="AB507" s="49" t="n"/>
      <c r="AC507" s="50" t="n"/>
      <c r="AD507" s="43">
        <f>IF(Z507&lt;&gt;"",Z507,N(V507))</f>
        <v/>
      </c>
      <c r="AE507" s="43">
        <f>IF(AA507&lt;&gt;"",AA507,N(W507))</f>
        <v/>
      </c>
      <c r="AF507" s="43">
        <f>AD507+AE507</f>
        <v/>
      </c>
      <c r="AG507" s="42">
        <f>IF(UPPER(AC507)="Y",1,IF(AF507=0,0,IF(AND(Z507="",Y507&lt;&gt;""),IF(Y507&gt;=0.999,1,0),IF(AF507&gt;=U507,1,0))))</f>
        <v/>
      </c>
      <c r="AH507" s="44">
        <f>IF(AF507&gt;0,(AD507-AE507)/AF507,"")</f>
        <v/>
      </c>
      <c r="AI507" s="45">
        <f>IF(AG507=1,AH507-O507,"")</f>
        <v/>
      </c>
      <c r="AJ507" s="44">
        <f>IF(AG507=1,AH507,MAX(-1,MIN(1,O507+INDEX(Types!$H:$H,MATCH($A507&amp;"|"&amp;$D507,Types!$A:$A,0)))))</f>
        <v/>
      </c>
      <c r="AK507" s="43">
        <f>IF(AG507=1,AF507,MAX(AQ507*AS507,AF507))</f>
        <v/>
      </c>
      <c r="AL507" s="43">
        <f>IF(AG507=1,AD507,AK507*(1+AJ507)/2)</f>
        <v/>
      </c>
      <c r="AM507" s="43">
        <f>IF(AG507=1,AE507,AK507*(1-AJ507)/2)</f>
        <v/>
      </c>
      <c r="AN507" s="45">
        <f>IF(AH507="","",AH507-T507)</f>
        <v/>
      </c>
      <c r="AO507" s="51">
        <f>IF(AG507=1,1,IF(U507&gt;0,MIN(AF507/U507,0.99),0))</f>
        <v/>
      </c>
      <c r="AP507" s="43">
        <f>IF(AG507=1,AI507*AF507,0)</f>
        <v/>
      </c>
      <c r="AQ507" s="43">
        <f>N507*(F507+G507)/H507</f>
        <v/>
      </c>
      <c r="AR507" s="43">
        <f>O507*AQ507</f>
        <v/>
      </c>
      <c r="AS507" s="52">
        <f>IF(AG507=1,IF(AQ507&gt;0,AF507/AQ507,1),IFERROR(INDEX(Types!$K:$K,MATCH($A507&amp;"|"&amp;$D507,Types!$A:$A,0)),INDEX(Dashboard!$X$6:$X$22,MATCH($A507,Dashboard!$A$6:$A$22,0))))</f>
        <v/>
      </c>
      <c r="AT507" s="43">
        <f>AQ507*INDEX(Dashboard!$Y$6:$Y$22,MATCH($A507,Dashboard!$A$6:$A$22,0))</f>
        <v/>
      </c>
      <c r="AU507" s="53">
        <f>IF(AND(AG507=1,AT507&gt;0,AF507&gt;0),100*AF507/AT507,"")</f>
        <v/>
      </c>
      <c r="AV507" s="44">
        <f>IF(AU507="","",T507/(AU507/100))</f>
        <v/>
      </c>
      <c r="AW507" s="53">
        <f>IF(AU507="","",IF(AND(ABS(AH507)&gt;=0.1,ABS(T507)&gt;=0.05,SIGN(AH507)=SIGN(T507)),100*T507/AH507,""))</f>
        <v/>
      </c>
      <c r="AX507" s="45">
        <f>IF(AU507="","",T507-AV507)</f>
        <v/>
      </c>
      <c r="AY507" s="45">
        <f>IF(AU507="","",AH507-AV507)</f>
        <v/>
      </c>
      <c r="AZ507" s="54">
        <f>(AL507-AM507)-T507*AT507</f>
        <v/>
      </c>
      <c r="BA507" s="43">
        <f>IF(AU507="",0,(AH507-T507)*AF507)</f>
        <v/>
      </c>
      <c r="BB507" s="43">
        <f>IF(AU507="",0,T507*(AF507-AT507))</f>
        <v/>
      </c>
      <c r="BC507" s="51" t="n">
        <v>0.007748619375829445</v>
      </c>
      <c r="BD507" s="51" t="n">
        <v>0.02572884113189777</v>
      </c>
      <c r="BE507" s="51" t="n">
        <v>0.3228932341235508</v>
      </c>
      <c r="BF507" s="43" t="n">
        <v>46718</v>
      </c>
    </row>
    <row r="508">
      <c r="A508" s="42" t="inlineStr">
        <is>
          <t>MN</t>
        </is>
      </c>
      <c r="B508" s="42" t="inlineStr">
        <is>
          <t>27009</t>
        </is>
      </c>
      <c r="C508" s="42" t="inlineStr">
        <is>
          <t>Benton</t>
        </is>
      </c>
      <c r="D508" s="42" t="inlineStr">
        <is>
          <t>Small town &amp; rural</t>
        </is>
      </c>
      <c r="E508" s="42" t="inlineStr"/>
      <c r="F508" s="43" t="n">
        <v>7084</v>
      </c>
      <c r="G508" s="43" t="n">
        <v>15260</v>
      </c>
      <c r="H508" s="43" t="n">
        <v>22763</v>
      </c>
      <c r="I508" s="43" t="n">
        <v>7280</v>
      </c>
      <c r="J508" s="43" t="n">
        <v>14382</v>
      </c>
      <c r="K508" s="42" t="inlineStr">
        <is>
          <t>Governor</t>
        </is>
      </c>
      <c r="L508" s="43" t="n">
        <v>5244</v>
      </c>
      <c r="M508" s="43" t="n">
        <v>10495</v>
      </c>
      <c r="N508" s="43" t="n">
        <v>16387</v>
      </c>
      <c r="O508" s="44">
        <f>IFERROR((F508-G508)/(F508+G508),"")</f>
        <v/>
      </c>
      <c r="P508" s="44">
        <f>IFERROR((I508-J508)/(I508+J508),"")</f>
        <v/>
      </c>
      <c r="Q508" s="45">
        <f>IFERROR(O508-P508,"")</f>
        <v/>
      </c>
      <c r="R508" s="44">
        <f>IFERROR((L508-M508)/(L508+M508),"")</f>
        <v/>
      </c>
      <c r="S508" s="46">
        <f>H508/SUMIFS(Counties!$H$2:$H$1583,Counties!$A$2:$A$1583,$A508)</f>
        <v/>
      </c>
      <c r="T508" s="44">
        <f>O508+INDEX(Dashboard!$F$6:$F$22,MATCH($A508,Dashboard!$A$6:$A$22,0))</f>
        <v/>
      </c>
      <c r="U508" s="43">
        <f>AQ508*INDEX(Dashboard!$G$6:$G$22,MATCH($A508,Dashboard!$A$6:$A$22,0))</f>
        <v/>
      </c>
      <c r="V508" s="47" t="n"/>
      <c r="W508" s="47" t="n"/>
      <c r="X508" s="47" t="n"/>
      <c r="Y508" s="48" t="n"/>
      <c r="Z508" s="49" t="n"/>
      <c r="AA508" s="49" t="n"/>
      <c r="AB508" s="49" t="n"/>
      <c r="AC508" s="50" t="n"/>
      <c r="AD508" s="43">
        <f>IF(Z508&lt;&gt;"",Z508,N(V508))</f>
        <v/>
      </c>
      <c r="AE508" s="43">
        <f>IF(AA508&lt;&gt;"",AA508,N(W508))</f>
        <v/>
      </c>
      <c r="AF508" s="43">
        <f>AD508+AE508</f>
        <v/>
      </c>
      <c r="AG508" s="42">
        <f>IF(UPPER(AC508)="Y",1,IF(AF508=0,0,IF(AND(Z508="",Y508&lt;&gt;""),IF(Y508&gt;=0.999,1,0),IF(AF508&gt;=U508,1,0))))</f>
        <v/>
      </c>
      <c r="AH508" s="44">
        <f>IF(AF508&gt;0,(AD508-AE508)/AF508,"")</f>
        <v/>
      </c>
      <c r="AI508" s="45">
        <f>IF(AG508=1,AH508-O508,"")</f>
        <v/>
      </c>
      <c r="AJ508" s="44">
        <f>IF(AG508=1,AH508,MAX(-1,MIN(1,O508+INDEX(Types!$H:$H,MATCH($A508&amp;"|"&amp;$D508,Types!$A:$A,0)))))</f>
        <v/>
      </c>
      <c r="AK508" s="43">
        <f>IF(AG508=1,AF508,MAX(AQ508*AS508,AF508))</f>
        <v/>
      </c>
      <c r="AL508" s="43">
        <f>IF(AG508=1,AD508,AK508*(1+AJ508)/2)</f>
        <v/>
      </c>
      <c r="AM508" s="43">
        <f>IF(AG508=1,AE508,AK508*(1-AJ508)/2)</f>
        <v/>
      </c>
      <c r="AN508" s="45">
        <f>IF(AH508="","",AH508-T508)</f>
        <v/>
      </c>
      <c r="AO508" s="51">
        <f>IF(AG508=1,1,IF(U508&gt;0,MIN(AF508/U508,0.99),0))</f>
        <v/>
      </c>
      <c r="AP508" s="43">
        <f>IF(AG508=1,AI508*AF508,0)</f>
        <v/>
      </c>
      <c r="AQ508" s="43">
        <f>N508*(F508+G508)/H508</f>
        <v/>
      </c>
      <c r="AR508" s="43">
        <f>O508*AQ508</f>
        <v/>
      </c>
      <c r="AS508" s="52">
        <f>IF(AG508=1,IF(AQ508&gt;0,AF508/AQ508,1),IFERROR(INDEX(Types!$K:$K,MATCH($A508&amp;"|"&amp;$D508,Types!$A:$A,0)),INDEX(Dashboard!$X$6:$X$22,MATCH($A508,Dashboard!$A$6:$A$22,0))))</f>
        <v/>
      </c>
      <c r="AT508" s="43">
        <f>AQ508*INDEX(Dashboard!$Y$6:$Y$22,MATCH($A508,Dashboard!$A$6:$A$22,0))</f>
        <v/>
      </c>
      <c r="AU508" s="53">
        <f>IF(AND(AG508=1,AT508&gt;0,AF508&gt;0),100*AF508/AT508,"")</f>
        <v/>
      </c>
      <c r="AV508" s="44">
        <f>IF(AU508="","",T508/(AU508/100))</f>
        <v/>
      </c>
      <c r="AW508" s="53">
        <f>IF(AU508="","",IF(AND(ABS(AH508)&gt;=0.1,ABS(T508)&gt;=0.05,SIGN(AH508)=SIGN(T508)),100*T508/AH508,""))</f>
        <v/>
      </c>
      <c r="AX508" s="45">
        <f>IF(AU508="","",T508-AV508)</f>
        <v/>
      </c>
      <c r="AY508" s="45">
        <f>IF(AU508="","",AH508-AV508)</f>
        <v/>
      </c>
      <c r="AZ508" s="54">
        <f>(AL508-AM508)-T508*AT508</f>
        <v/>
      </c>
      <c r="BA508" s="43">
        <f>IF(AU508="",0,(AH508-T508)*AF508)</f>
        <v/>
      </c>
      <c r="BB508" s="43">
        <f>IF(AU508="",0,T508*(AF508-AT508))</f>
        <v/>
      </c>
      <c r="BC508" s="51" t="n">
        <v>0.05798076923076923</v>
      </c>
      <c r="BD508" s="51" t="n">
        <v>0.03798076923076923</v>
      </c>
      <c r="BE508" s="51" t="n">
        <v>0.2449749655322546</v>
      </c>
      <c r="BF508" s="43" t="n">
        <v>41600</v>
      </c>
    </row>
    <row r="509">
      <c r="A509" s="42" t="inlineStr">
        <is>
          <t>MN</t>
        </is>
      </c>
      <c r="B509" s="42" t="inlineStr">
        <is>
          <t>27011</t>
        </is>
      </c>
      <c r="C509" s="42" t="inlineStr">
        <is>
          <t>Big Stone</t>
        </is>
      </c>
      <c r="D509" s="42" t="inlineStr">
        <is>
          <t>Small town &amp; rural</t>
        </is>
      </c>
      <c r="E509" s="42" t="inlineStr"/>
      <c r="F509" s="43" t="n">
        <v>964</v>
      </c>
      <c r="G509" s="43" t="n">
        <v>1796</v>
      </c>
      <c r="H509" s="43" t="n">
        <v>2816</v>
      </c>
      <c r="I509" s="43" t="n">
        <v>1053</v>
      </c>
      <c r="J509" s="43" t="n">
        <v>1863</v>
      </c>
      <c r="K509" s="42" t="inlineStr">
        <is>
          <t>Governor</t>
        </is>
      </c>
      <c r="L509" s="43" t="n">
        <v>863</v>
      </c>
      <c r="M509" s="43" t="n">
        <v>1492</v>
      </c>
      <c r="N509" s="43" t="n">
        <v>2438</v>
      </c>
      <c r="O509" s="44">
        <f>IFERROR((F509-G509)/(F509+G509),"")</f>
        <v/>
      </c>
      <c r="P509" s="44">
        <f>IFERROR((I509-J509)/(I509+J509),"")</f>
        <v/>
      </c>
      <c r="Q509" s="45">
        <f>IFERROR(O509-P509,"")</f>
        <v/>
      </c>
      <c r="R509" s="44">
        <f>IFERROR((L509-M509)/(L509+M509),"")</f>
        <v/>
      </c>
      <c r="S509" s="46">
        <f>H509/SUMIFS(Counties!$H$2:$H$1583,Counties!$A$2:$A$1583,$A509)</f>
        <v/>
      </c>
      <c r="T509" s="44">
        <f>O509+INDEX(Dashboard!$F$6:$F$22,MATCH($A509,Dashboard!$A$6:$A$22,0))</f>
        <v/>
      </c>
      <c r="U509" s="43">
        <f>AQ509*INDEX(Dashboard!$G$6:$G$22,MATCH($A509,Dashboard!$A$6:$A$22,0))</f>
        <v/>
      </c>
      <c r="V509" s="47" t="n"/>
      <c r="W509" s="47" t="n"/>
      <c r="X509" s="47" t="n"/>
      <c r="Y509" s="48" t="n"/>
      <c r="Z509" s="49" t="n"/>
      <c r="AA509" s="49" t="n"/>
      <c r="AB509" s="49" t="n"/>
      <c r="AC509" s="50" t="n"/>
      <c r="AD509" s="43">
        <f>IF(Z509&lt;&gt;"",Z509,N(V509))</f>
        <v/>
      </c>
      <c r="AE509" s="43">
        <f>IF(AA509&lt;&gt;"",AA509,N(W509))</f>
        <v/>
      </c>
      <c r="AF509" s="43">
        <f>AD509+AE509</f>
        <v/>
      </c>
      <c r="AG509" s="42">
        <f>IF(UPPER(AC509)="Y",1,IF(AF509=0,0,IF(AND(Z509="",Y509&lt;&gt;""),IF(Y509&gt;=0.999,1,0),IF(AF509&gt;=U509,1,0))))</f>
        <v/>
      </c>
      <c r="AH509" s="44">
        <f>IF(AF509&gt;0,(AD509-AE509)/AF509,"")</f>
        <v/>
      </c>
      <c r="AI509" s="45">
        <f>IF(AG509=1,AH509-O509,"")</f>
        <v/>
      </c>
      <c r="AJ509" s="44">
        <f>IF(AG509=1,AH509,MAX(-1,MIN(1,O509+INDEX(Types!$H:$H,MATCH($A509&amp;"|"&amp;$D509,Types!$A:$A,0)))))</f>
        <v/>
      </c>
      <c r="AK509" s="43">
        <f>IF(AG509=1,AF509,MAX(AQ509*AS509,AF509))</f>
        <v/>
      </c>
      <c r="AL509" s="43">
        <f>IF(AG509=1,AD509,AK509*(1+AJ509)/2)</f>
        <v/>
      </c>
      <c r="AM509" s="43">
        <f>IF(AG509=1,AE509,AK509*(1-AJ509)/2)</f>
        <v/>
      </c>
      <c r="AN509" s="45">
        <f>IF(AH509="","",AH509-T509)</f>
        <v/>
      </c>
      <c r="AO509" s="51">
        <f>IF(AG509=1,1,IF(U509&gt;0,MIN(AF509/U509,0.99),0))</f>
        <v/>
      </c>
      <c r="AP509" s="43">
        <f>IF(AG509=1,AI509*AF509,0)</f>
        <v/>
      </c>
      <c r="AQ509" s="43">
        <f>N509*(F509+G509)/H509</f>
        <v/>
      </c>
      <c r="AR509" s="43">
        <f>O509*AQ509</f>
        <v/>
      </c>
      <c r="AS509" s="52">
        <f>IF(AG509=1,IF(AQ509&gt;0,AF509/AQ509,1),IFERROR(INDEX(Types!$K:$K,MATCH($A509&amp;"|"&amp;$D509,Types!$A:$A,0)),INDEX(Dashboard!$X$6:$X$22,MATCH($A509,Dashboard!$A$6:$A$22,0))))</f>
        <v/>
      </c>
      <c r="AT509" s="43">
        <f>AQ509*INDEX(Dashboard!$Y$6:$Y$22,MATCH($A509,Dashboard!$A$6:$A$22,0))</f>
        <v/>
      </c>
      <c r="AU509" s="53">
        <f>IF(AND(AG509=1,AT509&gt;0,AF509&gt;0),100*AF509/AT509,"")</f>
        <v/>
      </c>
      <c r="AV509" s="44">
        <f>IF(AU509="","",T509/(AU509/100))</f>
        <v/>
      </c>
      <c r="AW509" s="53">
        <f>IF(AU509="","",IF(AND(ABS(AH509)&gt;=0.1,ABS(T509)&gt;=0.05,SIGN(AH509)=SIGN(T509)),100*T509/AH509,""))</f>
        <v/>
      </c>
      <c r="AX509" s="45">
        <f>IF(AU509="","",T509-AV509)</f>
        <v/>
      </c>
      <c r="AY509" s="45">
        <f>IF(AU509="","",AH509-AV509)</f>
        <v/>
      </c>
      <c r="AZ509" s="54">
        <f>(AL509-AM509)-T509*AT509</f>
        <v/>
      </c>
      <c r="BA509" s="43">
        <f>IF(AU509="",0,(AH509-T509)*AF509)</f>
        <v/>
      </c>
      <c r="BB509" s="43">
        <f>IF(AU509="",0,T509*(AF509-AT509))</f>
        <v/>
      </c>
      <c r="BC509" s="51" t="n">
        <v>0.007247796278158668</v>
      </c>
      <c r="BD509" s="51" t="n">
        <v>0.02879529872673849</v>
      </c>
      <c r="BE509" s="51" t="n">
        <v>0.213365539452496</v>
      </c>
      <c r="BF509" s="43" t="n">
        <v>5105</v>
      </c>
    </row>
    <row r="510">
      <c r="A510" s="42" t="inlineStr">
        <is>
          <t>MN</t>
        </is>
      </c>
      <c r="B510" s="42" t="inlineStr">
        <is>
          <t>27013</t>
        </is>
      </c>
      <c r="C510" s="42" t="inlineStr">
        <is>
          <t>Blue Earth</t>
        </is>
      </c>
      <c r="D510" s="42" t="inlineStr">
        <is>
          <t>Small town &amp; rural</t>
        </is>
      </c>
      <c r="E510" s="42" t="inlineStr"/>
      <c r="F510" s="43" t="n">
        <v>17558</v>
      </c>
      <c r="G510" s="43" t="n">
        <v>18001</v>
      </c>
      <c r="H510" s="43" t="n">
        <v>36326</v>
      </c>
      <c r="I510" s="43" t="n">
        <v>18330</v>
      </c>
      <c r="J510" s="43" t="n">
        <v>16731</v>
      </c>
      <c r="K510" s="42" t="inlineStr">
        <is>
          <t>Governor</t>
        </is>
      </c>
      <c r="L510" s="43" t="n">
        <v>13783</v>
      </c>
      <c r="M510" s="43" t="n">
        <v>11904</v>
      </c>
      <c r="N510" s="43" t="n">
        <v>26509</v>
      </c>
      <c r="O510" s="44">
        <f>IFERROR((F510-G510)/(F510+G510),"")</f>
        <v/>
      </c>
      <c r="P510" s="44">
        <f>IFERROR((I510-J510)/(I510+J510),"")</f>
        <v/>
      </c>
      <c r="Q510" s="45">
        <f>IFERROR(O510-P510,"")</f>
        <v/>
      </c>
      <c r="R510" s="44">
        <f>IFERROR((L510-M510)/(L510+M510),"")</f>
        <v/>
      </c>
      <c r="S510" s="46">
        <f>H510/SUMIFS(Counties!$H$2:$H$1583,Counties!$A$2:$A$1583,$A510)</f>
        <v/>
      </c>
      <c r="T510" s="44">
        <f>O510+INDEX(Dashboard!$F$6:$F$22,MATCH($A510,Dashboard!$A$6:$A$22,0))</f>
        <v/>
      </c>
      <c r="U510" s="43">
        <f>AQ510*INDEX(Dashboard!$G$6:$G$22,MATCH($A510,Dashboard!$A$6:$A$22,0))</f>
        <v/>
      </c>
      <c r="V510" s="47" t="n"/>
      <c r="W510" s="47" t="n"/>
      <c r="X510" s="47" t="n"/>
      <c r="Y510" s="48" t="n"/>
      <c r="Z510" s="49" t="n"/>
      <c r="AA510" s="49" t="n"/>
      <c r="AB510" s="49" t="n"/>
      <c r="AC510" s="50" t="n"/>
      <c r="AD510" s="43">
        <f>IF(Z510&lt;&gt;"",Z510,N(V510))</f>
        <v/>
      </c>
      <c r="AE510" s="43">
        <f>IF(AA510&lt;&gt;"",AA510,N(W510))</f>
        <v/>
      </c>
      <c r="AF510" s="43">
        <f>AD510+AE510</f>
        <v/>
      </c>
      <c r="AG510" s="42">
        <f>IF(UPPER(AC510)="Y",1,IF(AF510=0,0,IF(AND(Z510="",Y510&lt;&gt;""),IF(Y510&gt;=0.999,1,0),IF(AF510&gt;=U510,1,0))))</f>
        <v/>
      </c>
      <c r="AH510" s="44">
        <f>IF(AF510&gt;0,(AD510-AE510)/AF510,"")</f>
        <v/>
      </c>
      <c r="AI510" s="45">
        <f>IF(AG510=1,AH510-O510,"")</f>
        <v/>
      </c>
      <c r="AJ510" s="44">
        <f>IF(AG510=1,AH510,MAX(-1,MIN(1,O510+INDEX(Types!$H:$H,MATCH($A510&amp;"|"&amp;$D510,Types!$A:$A,0)))))</f>
        <v/>
      </c>
      <c r="AK510" s="43">
        <f>IF(AG510=1,AF510,MAX(AQ510*AS510,AF510))</f>
        <v/>
      </c>
      <c r="AL510" s="43">
        <f>IF(AG510=1,AD510,AK510*(1+AJ510)/2)</f>
        <v/>
      </c>
      <c r="AM510" s="43">
        <f>IF(AG510=1,AE510,AK510*(1-AJ510)/2)</f>
        <v/>
      </c>
      <c r="AN510" s="45">
        <f>IF(AH510="","",AH510-T510)</f>
        <v/>
      </c>
      <c r="AO510" s="51">
        <f>IF(AG510=1,1,IF(U510&gt;0,MIN(AF510/U510,0.99),0))</f>
        <v/>
      </c>
      <c r="AP510" s="43">
        <f>IF(AG510=1,AI510*AF510,0)</f>
        <v/>
      </c>
      <c r="AQ510" s="43">
        <f>N510*(F510+G510)/H510</f>
        <v/>
      </c>
      <c r="AR510" s="43">
        <f>O510*AQ510</f>
        <v/>
      </c>
      <c r="AS510" s="52">
        <f>IF(AG510=1,IF(AQ510&gt;0,AF510/AQ510,1),IFERROR(INDEX(Types!$K:$K,MATCH($A510&amp;"|"&amp;$D510,Types!$A:$A,0)),INDEX(Dashboard!$X$6:$X$22,MATCH($A510,Dashboard!$A$6:$A$22,0))))</f>
        <v/>
      </c>
      <c r="AT510" s="43">
        <f>AQ510*INDEX(Dashboard!$Y$6:$Y$22,MATCH($A510,Dashboard!$A$6:$A$22,0))</f>
        <v/>
      </c>
      <c r="AU510" s="53">
        <f>IF(AND(AG510=1,AT510&gt;0,AF510&gt;0),100*AF510/AT510,"")</f>
        <v/>
      </c>
      <c r="AV510" s="44">
        <f>IF(AU510="","",T510/(AU510/100))</f>
        <v/>
      </c>
      <c r="AW510" s="53">
        <f>IF(AU510="","",IF(AND(ABS(AH510)&gt;=0.1,ABS(T510)&gt;=0.05,SIGN(AH510)=SIGN(T510)),100*T510/AH510,""))</f>
        <v/>
      </c>
      <c r="AX510" s="45">
        <f>IF(AU510="","",T510-AV510)</f>
        <v/>
      </c>
      <c r="AY510" s="45">
        <f>IF(AU510="","",AH510-AV510)</f>
        <v/>
      </c>
      <c r="AZ510" s="54">
        <f>(AL510-AM510)-T510*AT510</f>
        <v/>
      </c>
      <c r="BA510" s="43">
        <f>IF(AU510="",0,(AH510-T510)*AF510)</f>
        <v/>
      </c>
      <c r="BB510" s="43">
        <f>IF(AU510="",0,T510*(AF510-AT510))</f>
        <v/>
      </c>
      <c r="BC510" s="51" t="n">
        <v>0.0519669742593492</v>
      </c>
      <c r="BD510" s="51" t="n">
        <v>0.04843870525383539</v>
      </c>
      <c r="BE510" s="51" t="n">
        <v>0.3448529231673566</v>
      </c>
      <c r="BF510" s="43" t="n">
        <v>70006</v>
      </c>
    </row>
    <row r="511">
      <c r="A511" s="42" t="inlineStr">
        <is>
          <t>MN</t>
        </is>
      </c>
      <c r="B511" s="42" t="inlineStr">
        <is>
          <t>27015</t>
        </is>
      </c>
      <c r="C511" s="42" t="inlineStr">
        <is>
          <t>Brown</t>
        </is>
      </c>
      <c r="D511" s="42" t="inlineStr">
        <is>
          <t>Small town &amp; rural</t>
        </is>
      </c>
      <c r="E511" s="42" t="inlineStr"/>
      <c r="F511" s="43" t="n">
        <v>4576</v>
      </c>
      <c r="G511" s="43" t="n">
        <v>9692</v>
      </c>
      <c r="H511" s="43" t="n">
        <v>14526</v>
      </c>
      <c r="I511" s="43" t="n">
        <v>4753</v>
      </c>
      <c r="J511" s="43" t="n">
        <v>9552</v>
      </c>
      <c r="K511" s="42" t="inlineStr">
        <is>
          <t>Governor</t>
        </is>
      </c>
      <c r="L511" s="43" t="n">
        <v>3915</v>
      </c>
      <c r="M511" s="43" t="n">
        <v>7439</v>
      </c>
      <c r="N511" s="43" t="n">
        <v>11648</v>
      </c>
      <c r="O511" s="44">
        <f>IFERROR((F511-G511)/(F511+G511),"")</f>
        <v/>
      </c>
      <c r="P511" s="44">
        <f>IFERROR((I511-J511)/(I511+J511),"")</f>
        <v/>
      </c>
      <c r="Q511" s="45">
        <f>IFERROR(O511-P511,"")</f>
        <v/>
      </c>
      <c r="R511" s="44">
        <f>IFERROR((L511-M511)/(L511+M511),"")</f>
        <v/>
      </c>
      <c r="S511" s="46">
        <f>H511/SUMIFS(Counties!$H$2:$H$1583,Counties!$A$2:$A$1583,$A511)</f>
        <v/>
      </c>
      <c r="T511" s="44">
        <f>O511+INDEX(Dashboard!$F$6:$F$22,MATCH($A511,Dashboard!$A$6:$A$22,0))</f>
        <v/>
      </c>
      <c r="U511" s="43">
        <f>AQ511*INDEX(Dashboard!$G$6:$G$22,MATCH($A511,Dashboard!$A$6:$A$22,0))</f>
        <v/>
      </c>
      <c r="V511" s="47" t="n"/>
      <c r="W511" s="47" t="n"/>
      <c r="X511" s="47" t="n"/>
      <c r="Y511" s="48" t="n"/>
      <c r="Z511" s="49" t="n"/>
      <c r="AA511" s="49" t="n"/>
      <c r="AB511" s="49" t="n"/>
      <c r="AC511" s="50" t="n"/>
      <c r="AD511" s="43">
        <f>IF(Z511&lt;&gt;"",Z511,N(V511))</f>
        <v/>
      </c>
      <c r="AE511" s="43">
        <f>IF(AA511&lt;&gt;"",AA511,N(W511))</f>
        <v/>
      </c>
      <c r="AF511" s="43">
        <f>AD511+AE511</f>
        <v/>
      </c>
      <c r="AG511" s="42">
        <f>IF(UPPER(AC511)="Y",1,IF(AF511=0,0,IF(AND(Z511="",Y511&lt;&gt;""),IF(Y511&gt;=0.999,1,0),IF(AF511&gt;=U511,1,0))))</f>
        <v/>
      </c>
      <c r="AH511" s="44">
        <f>IF(AF511&gt;0,(AD511-AE511)/AF511,"")</f>
        <v/>
      </c>
      <c r="AI511" s="45">
        <f>IF(AG511=1,AH511-O511,"")</f>
        <v/>
      </c>
      <c r="AJ511" s="44">
        <f>IF(AG511=1,AH511,MAX(-1,MIN(1,O511+INDEX(Types!$H:$H,MATCH($A511&amp;"|"&amp;$D511,Types!$A:$A,0)))))</f>
        <v/>
      </c>
      <c r="AK511" s="43">
        <f>IF(AG511=1,AF511,MAX(AQ511*AS511,AF511))</f>
        <v/>
      </c>
      <c r="AL511" s="43">
        <f>IF(AG511=1,AD511,AK511*(1+AJ511)/2)</f>
        <v/>
      </c>
      <c r="AM511" s="43">
        <f>IF(AG511=1,AE511,AK511*(1-AJ511)/2)</f>
        <v/>
      </c>
      <c r="AN511" s="45">
        <f>IF(AH511="","",AH511-T511)</f>
        <v/>
      </c>
      <c r="AO511" s="51">
        <f>IF(AG511=1,1,IF(U511&gt;0,MIN(AF511/U511,0.99),0))</f>
        <v/>
      </c>
      <c r="AP511" s="43">
        <f>IF(AG511=1,AI511*AF511,0)</f>
        <v/>
      </c>
      <c r="AQ511" s="43">
        <f>N511*(F511+G511)/H511</f>
        <v/>
      </c>
      <c r="AR511" s="43">
        <f>O511*AQ511</f>
        <v/>
      </c>
      <c r="AS511" s="52">
        <f>IF(AG511=1,IF(AQ511&gt;0,AF511/AQ511,1),IFERROR(INDEX(Types!$K:$K,MATCH($A511&amp;"|"&amp;$D511,Types!$A:$A,0)),INDEX(Dashboard!$X$6:$X$22,MATCH($A511,Dashboard!$A$6:$A$22,0))))</f>
        <v/>
      </c>
      <c r="AT511" s="43">
        <f>AQ511*INDEX(Dashboard!$Y$6:$Y$22,MATCH($A511,Dashboard!$A$6:$A$22,0))</f>
        <v/>
      </c>
      <c r="AU511" s="53">
        <f>IF(AND(AG511=1,AT511&gt;0,AF511&gt;0),100*AF511/AT511,"")</f>
        <v/>
      </c>
      <c r="AV511" s="44">
        <f>IF(AU511="","",T511/(AU511/100))</f>
        <v/>
      </c>
      <c r="AW511" s="53">
        <f>IF(AU511="","",IF(AND(ABS(AH511)&gt;=0.1,ABS(T511)&gt;=0.05,SIGN(AH511)=SIGN(T511)),100*T511/AH511,""))</f>
        <v/>
      </c>
      <c r="AX511" s="45">
        <f>IF(AU511="","",T511-AV511)</f>
        <v/>
      </c>
      <c r="AY511" s="45">
        <f>IF(AU511="","",AH511-AV511)</f>
        <v/>
      </c>
      <c r="AZ511" s="54">
        <f>(AL511-AM511)-T511*AT511</f>
        <v/>
      </c>
      <c r="BA511" s="43">
        <f>IF(AU511="",0,(AH511-T511)*AF511)</f>
        <v/>
      </c>
      <c r="BB511" s="43">
        <f>IF(AU511="",0,T511*(AF511-AT511))</f>
        <v/>
      </c>
      <c r="BC511" s="51" t="n">
        <v>0.005696894022163259</v>
      </c>
      <c r="BD511" s="51" t="n">
        <v>0.05334009676915873</v>
      </c>
      <c r="BE511" s="51" t="n">
        <v>0.2419309412493663</v>
      </c>
      <c r="BF511" s="43" t="n">
        <v>25628</v>
      </c>
    </row>
    <row r="512">
      <c r="A512" s="42" t="inlineStr">
        <is>
          <t>MN</t>
        </is>
      </c>
      <c r="B512" s="42" t="inlineStr">
        <is>
          <t>27017</t>
        </is>
      </c>
      <c r="C512" s="42" t="inlineStr">
        <is>
          <t>Carlton</t>
        </is>
      </c>
      <c r="D512" s="42" t="inlineStr">
        <is>
          <t>Small town &amp; rural</t>
        </is>
      </c>
      <c r="E512" s="42" t="inlineStr"/>
      <c r="F512" s="43" t="n">
        <v>9905</v>
      </c>
      <c r="G512" s="43" t="n">
        <v>10435</v>
      </c>
      <c r="H512" s="43" t="n">
        <v>20746</v>
      </c>
      <c r="I512" s="43" t="n">
        <v>10098</v>
      </c>
      <c r="J512" s="43" t="n">
        <v>9791</v>
      </c>
      <c r="K512" s="42" t="inlineStr">
        <is>
          <t>Governor</t>
        </is>
      </c>
      <c r="L512" s="43" t="n">
        <v>7913</v>
      </c>
      <c r="M512" s="43" t="n">
        <v>7274</v>
      </c>
      <c r="N512" s="43" t="n">
        <v>15896</v>
      </c>
      <c r="O512" s="44">
        <f>IFERROR((F512-G512)/(F512+G512),"")</f>
        <v/>
      </c>
      <c r="P512" s="44">
        <f>IFERROR((I512-J512)/(I512+J512),"")</f>
        <v/>
      </c>
      <c r="Q512" s="45">
        <f>IFERROR(O512-P512,"")</f>
        <v/>
      </c>
      <c r="R512" s="44">
        <f>IFERROR((L512-M512)/(L512+M512),"")</f>
        <v/>
      </c>
      <c r="S512" s="46">
        <f>H512/SUMIFS(Counties!$H$2:$H$1583,Counties!$A$2:$A$1583,$A512)</f>
        <v/>
      </c>
      <c r="T512" s="44">
        <f>O512+INDEX(Dashboard!$F$6:$F$22,MATCH($A512,Dashboard!$A$6:$A$22,0))</f>
        <v/>
      </c>
      <c r="U512" s="43">
        <f>AQ512*INDEX(Dashboard!$G$6:$G$22,MATCH($A512,Dashboard!$A$6:$A$22,0))</f>
        <v/>
      </c>
      <c r="V512" s="47" t="n"/>
      <c r="W512" s="47" t="n"/>
      <c r="X512" s="47" t="n"/>
      <c r="Y512" s="48" t="n"/>
      <c r="Z512" s="49" t="n"/>
      <c r="AA512" s="49" t="n"/>
      <c r="AB512" s="49" t="n"/>
      <c r="AC512" s="50" t="n"/>
      <c r="AD512" s="43">
        <f>IF(Z512&lt;&gt;"",Z512,N(V512))</f>
        <v/>
      </c>
      <c r="AE512" s="43">
        <f>IF(AA512&lt;&gt;"",AA512,N(W512))</f>
        <v/>
      </c>
      <c r="AF512" s="43">
        <f>AD512+AE512</f>
        <v/>
      </c>
      <c r="AG512" s="42">
        <f>IF(UPPER(AC512)="Y",1,IF(AF512=0,0,IF(AND(Z512="",Y512&lt;&gt;""),IF(Y512&gt;=0.999,1,0),IF(AF512&gt;=U512,1,0))))</f>
        <v/>
      </c>
      <c r="AH512" s="44">
        <f>IF(AF512&gt;0,(AD512-AE512)/AF512,"")</f>
        <v/>
      </c>
      <c r="AI512" s="45">
        <f>IF(AG512=1,AH512-O512,"")</f>
        <v/>
      </c>
      <c r="AJ512" s="44">
        <f>IF(AG512=1,AH512,MAX(-1,MIN(1,O512+INDEX(Types!$H:$H,MATCH($A512&amp;"|"&amp;$D512,Types!$A:$A,0)))))</f>
        <v/>
      </c>
      <c r="AK512" s="43">
        <f>IF(AG512=1,AF512,MAX(AQ512*AS512,AF512))</f>
        <v/>
      </c>
      <c r="AL512" s="43">
        <f>IF(AG512=1,AD512,AK512*(1+AJ512)/2)</f>
        <v/>
      </c>
      <c r="AM512" s="43">
        <f>IF(AG512=1,AE512,AK512*(1-AJ512)/2)</f>
        <v/>
      </c>
      <c r="AN512" s="45">
        <f>IF(AH512="","",AH512-T512)</f>
        <v/>
      </c>
      <c r="AO512" s="51">
        <f>IF(AG512=1,1,IF(U512&gt;0,MIN(AF512/U512,0.99),0))</f>
        <v/>
      </c>
      <c r="AP512" s="43">
        <f>IF(AG512=1,AI512*AF512,0)</f>
        <v/>
      </c>
      <c r="AQ512" s="43">
        <f>N512*(F512+G512)/H512</f>
        <v/>
      </c>
      <c r="AR512" s="43">
        <f>O512*AQ512</f>
        <v/>
      </c>
      <c r="AS512" s="52">
        <f>IF(AG512=1,IF(AQ512&gt;0,AF512/AQ512,1),IFERROR(INDEX(Types!$K:$K,MATCH($A512&amp;"|"&amp;$D512,Types!$A:$A,0)),INDEX(Dashboard!$X$6:$X$22,MATCH($A512,Dashboard!$A$6:$A$22,0))))</f>
        <v/>
      </c>
      <c r="AT512" s="43">
        <f>AQ512*INDEX(Dashboard!$Y$6:$Y$22,MATCH($A512,Dashboard!$A$6:$A$22,0))</f>
        <v/>
      </c>
      <c r="AU512" s="53">
        <f>IF(AND(AG512=1,AT512&gt;0,AF512&gt;0),100*AF512/AT512,"")</f>
        <v/>
      </c>
      <c r="AV512" s="44">
        <f>IF(AU512="","",T512/(AU512/100))</f>
        <v/>
      </c>
      <c r="AW512" s="53">
        <f>IF(AU512="","",IF(AND(ABS(AH512)&gt;=0.1,ABS(T512)&gt;=0.05,SIGN(AH512)=SIGN(T512)),100*T512/AH512,""))</f>
        <v/>
      </c>
      <c r="AX512" s="45">
        <f>IF(AU512="","",T512-AV512)</f>
        <v/>
      </c>
      <c r="AY512" s="45">
        <f>IF(AU512="","",AH512-AV512)</f>
        <v/>
      </c>
      <c r="AZ512" s="54">
        <f>(AL512-AM512)-T512*AT512</f>
        <v/>
      </c>
      <c r="BA512" s="43">
        <f>IF(AU512="",0,(AH512-T512)*AF512)</f>
        <v/>
      </c>
      <c r="BB512" s="43">
        <f>IF(AU512="",0,T512*(AF512-AT512))</f>
        <v/>
      </c>
      <c r="BC512" s="51" t="n">
        <v>0.01917175831636117</v>
      </c>
      <c r="BD512" s="51" t="n">
        <v>0.02058384249830278</v>
      </c>
      <c r="BE512" s="51" t="n">
        <v>0.2549786904300659</v>
      </c>
      <c r="BF512" s="43" t="n">
        <v>36825</v>
      </c>
    </row>
    <row r="513">
      <c r="A513" s="42" t="inlineStr">
        <is>
          <t>MN</t>
        </is>
      </c>
      <c r="B513" s="42" t="inlineStr">
        <is>
          <t>27019</t>
        </is>
      </c>
      <c r="C513" s="42" t="inlineStr">
        <is>
          <t>Carver</t>
        </is>
      </c>
      <c r="D513" s="42" t="inlineStr">
        <is>
          <t>College suburb/metro</t>
        </is>
      </c>
      <c r="E513" s="42" t="inlineStr"/>
      <c r="F513" s="43" t="n">
        <v>31869</v>
      </c>
      <c r="G513" s="43" t="n">
        <v>35586</v>
      </c>
      <c r="H513" s="43" t="n">
        <v>68804</v>
      </c>
      <c r="I513" s="43" t="n">
        <v>30774</v>
      </c>
      <c r="J513" s="43" t="n">
        <v>34009</v>
      </c>
      <c r="K513" s="42" t="inlineStr">
        <is>
          <t>Governor</t>
        </is>
      </c>
      <c r="L513" s="43" t="n">
        <v>24888</v>
      </c>
      <c r="M513" s="43" t="n">
        <v>28078</v>
      </c>
      <c r="N513" s="43" t="n">
        <v>54214</v>
      </c>
      <c r="O513" s="44">
        <f>IFERROR((F513-G513)/(F513+G513),"")</f>
        <v/>
      </c>
      <c r="P513" s="44">
        <f>IFERROR((I513-J513)/(I513+J513),"")</f>
        <v/>
      </c>
      <c r="Q513" s="45">
        <f>IFERROR(O513-P513,"")</f>
        <v/>
      </c>
      <c r="R513" s="44">
        <f>IFERROR((L513-M513)/(L513+M513),"")</f>
        <v/>
      </c>
      <c r="S513" s="46">
        <f>H513/SUMIFS(Counties!$H$2:$H$1583,Counties!$A$2:$A$1583,$A513)</f>
        <v/>
      </c>
      <c r="T513" s="44">
        <f>O513+INDEX(Dashboard!$F$6:$F$22,MATCH($A513,Dashboard!$A$6:$A$22,0))</f>
        <v/>
      </c>
      <c r="U513" s="43">
        <f>AQ513*INDEX(Dashboard!$G$6:$G$22,MATCH($A513,Dashboard!$A$6:$A$22,0))</f>
        <v/>
      </c>
      <c r="V513" s="47" t="n"/>
      <c r="W513" s="47" t="n"/>
      <c r="X513" s="47" t="n"/>
      <c r="Y513" s="48" t="n"/>
      <c r="Z513" s="49" t="n"/>
      <c r="AA513" s="49" t="n"/>
      <c r="AB513" s="49" t="n"/>
      <c r="AC513" s="50" t="n"/>
      <c r="AD513" s="43">
        <f>IF(Z513&lt;&gt;"",Z513,N(V513))</f>
        <v/>
      </c>
      <c r="AE513" s="43">
        <f>IF(AA513&lt;&gt;"",AA513,N(W513))</f>
        <v/>
      </c>
      <c r="AF513" s="43">
        <f>AD513+AE513</f>
        <v/>
      </c>
      <c r="AG513" s="42">
        <f>IF(UPPER(AC513)="Y",1,IF(AF513=0,0,IF(AND(Z513="",Y513&lt;&gt;""),IF(Y513&gt;=0.999,1,0),IF(AF513&gt;=U513,1,0))))</f>
        <v/>
      </c>
      <c r="AH513" s="44">
        <f>IF(AF513&gt;0,(AD513-AE513)/AF513,"")</f>
        <v/>
      </c>
      <c r="AI513" s="45">
        <f>IF(AG513=1,AH513-O513,"")</f>
        <v/>
      </c>
      <c r="AJ513" s="44">
        <f>IF(AG513=1,AH513,MAX(-1,MIN(1,O513+INDEX(Types!$H:$H,MATCH($A513&amp;"|"&amp;$D513,Types!$A:$A,0)))))</f>
        <v/>
      </c>
      <c r="AK513" s="43">
        <f>IF(AG513=1,AF513,MAX(AQ513*AS513,AF513))</f>
        <v/>
      </c>
      <c r="AL513" s="43">
        <f>IF(AG513=1,AD513,AK513*(1+AJ513)/2)</f>
        <v/>
      </c>
      <c r="AM513" s="43">
        <f>IF(AG513=1,AE513,AK513*(1-AJ513)/2)</f>
        <v/>
      </c>
      <c r="AN513" s="45">
        <f>IF(AH513="","",AH513-T513)</f>
        <v/>
      </c>
      <c r="AO513" s="51">
        <f>IF(AG513=1,1,IF(U513&gt;0,MIN(AF513/U513,0.99),0))</f>
        <v/>
      </c>
      <c r="AP513" s="43">
        <f>IF(AG513=1,AI513*AF513,0)</f>
        <v/>
      </c>
      <c r="AQ513" s="43">
        <f>N513*(F513+G513)/H513</f>
        <v/>
      </c>
      <c r="AR513" s="43">
        <f>O513*AQ513</f>
        <v/>
      </c>
      <c r="AS513" s="52">
        <f>IF(AG513=1,IF(AQ513&gt;0,AF513/AQ513,1),IFERROR(INDEX(Types!$K:$K,MATCH($A513&amp;"|"&amp;$D513,Types!$A:$A,0)),INDEX(Dashboard!$X$6:$X$22,MATCH($A513,Dashboard!$A$6:$A$22,0))))</f>
        <v/>
      </c>
      <c r="AT513" s="43">
        <f>AQ513*INDEX(Dashboard!$Y$6:$Y$22,MATCH($A513,Dashboard!$A$6:$A$22,0))</f>
        <v/>
      </c>
      <c r="AU513" s="53">
        <f>IF(AND(AG513=1,AT513&gt;0,AF513&gt;0),100*AF513/AT513,"")</f>
        <v/>
      </c>
      <c r="AV513" s="44">
        <f>IF(AU513="","",T513/(AU513/100))</f>
        <v/>
      </c>
      <c r="AW513" s="53">
        <f>IF(AU513="","",IF(AND(ABS(AH513)&gt;=0.1,ABS(T513)&gt;=0.05,SIGN(AH513)=SIGN(T513)),100*T513/AH513,""))</f>
        <v/>
      </c>
      <c r="AX513" s="45">
        <f>IF(AU513="","",T513-AV513)</f>
        <v/>
      </c>
      <c r="AY513" s="45">
        <f>IF(AU513="","",AH513-AV513)</f>
        <v/>
      </c>
      <c r="AZ513" s="54">
        <f>(AL513-AM513)-T513*AT513</f>
        <v/>
      </c>
      <c r="BA513" s="43">
        <f>IF(AU513="",0,(AH513-T513)*AF513)</f>
        <v/>
      </c>
      <c r="BB513" s="43">
        <f>IF(AU513="",0,T513*(AF513-AT513))</f>
        <v/>
      </c>
      <c r="BC513" s="51" t="n">
        <v>0.02279009877810494</v>
      </c>
      <c r="BD513" s="51" t="n">
        <v>0.05145105666459566</v>
      </c>
      <c r="BE513" s="51" t="n">
        <v>0.5047798498157333</v>
      </c>
      <c r="BF513" s="43" t="n">
        <v>111057</v>
      </c>
    </row>
    <row r="514">
      <c r="A514" s="42" t="inlineStr">
        <is>
          <t>MN</t>
        </is>
      </c>
      <c r="B514" s="42" t="inlineStr">
        <is>
          <t>27021</t>
        </is>
      </c>
      <c r="C514" s="42" t="inlineStr">
        <is>
          <t>Cass</t>
        </is>
      </c>
      <c r="D514" s="42" t="inlineStr">
        <is>
          <t>Small town &amp; rural</t>
        </is>
      </c>
      <c r="E514" s="42" t="inlineStr"/>
      <c r="F514" s="43" t="n">
        <v>6300</v>
      </c>
      <c r="G514" s="43" t="n">
        <v>12759</v>
      </c>
      <c r="H514" s="43" t="n">
        <v>19316</v>
      </c>
      <c r="I514" s="43" t="n">
        <v>6342</v>
      </c>
      <c r="J514" s="43" t="n">
        <v>11620</v>
      </c>
      <c r="K514" s="42" t="inlineStr">
        <is>
          <t>Governor</t>
        </is>
      </c>
      <c r="L514" s="43" t="n">
        <v>5071</v>
      </c>
      <c r="M514" s="43" t="n">
        <v>9626</v>
      </c>
      <c r="N514" s="43" t="n">
        <v>15217</v>
      </c>
      <c r="O514" s="44">
        <f>IFERROR((F514-G514)/(F514+G514),"")</f>
        <v/>
      </c>
      <c r="P514" s="44">
        <f>IFERROR((I514-J514)/(I514+J514),"")</f>
        <v/>
      </c>
      <c r="Q514" s="45">
        <f>IFERROR(O514-P514,"")</f>
        <v/>
      </c>
      <c r="R514" s="44">
        <f>IFERROR((L514-M514)/(L514+M514),"")</f>
        <v/>
      </c>
      <c r="S514" s="46">
        <f>H514/SUMIFS(Counties!$H$2:$H$1583,Counties!$A$2:$A$1583,$A514)</f>
        <v/>
      </c>
      <c r="T514" s="44">
        <f>O514+INDEX(Dashboard!$F$6:$F$22,MATCH($A514,Dashboard!$A$6:$A$22,0))</f>
        <v/>
      </c>
      <c r="U514" s="43">
        <f>AQ514*INDEX(Dashboard!$G$6:$G$22,MATCH($A514,Dashboard!$A$6:$A$22,0))</f>
        <v/>
      </c>
      <c r="V514" s="47" t="n"/>
      <c r="W514" s="47" t="n"/>
      <c r="X514" s="47" t="n"/>
      <c r="Y514" s="48" t="n"/>
      <c r="Z514" s="49" t="n"/>
      <c r="AA514" s="49" t="n"/>
      <c r="AB514" s="49" t="n"/>
      <c r="AC514" s="50" t="n"/>
      <c r="AD514" s="43">
        <f>IF(Z514&lt;&gt;"",Z514,N(V514))</f>
        <v/>
      </c>
      <c r="AE514" s="43">
        <f>IF(AA514&lt;&gt;"",AA514,N(W514))</f>
        <v/>
      </c>
      <c r="AF514" s="43">
        <f>AD514+AE514</f>
        <v/>
      </c>
      <c r="AG514" s="42">
        <f>IF(UPPER(AC514)="Y",1,IF(AF514=0,0,IF(AND(Z514="",Y514&lt;&gt;""),IF(Y514&gt;=0.999,1,0),IF(AF514&gt;=U514,1,0))))</f>
        <v/>
      </c>
      <c r="AH514" s="44">
        <f>IF(AF514&gt;0,(AD514-AE514)/AF514,"")</f>
        <v/>
      </c>
      <c r="AI514" s="45">
        <f>IF(AG514=1,AH514-O514,"")</f>
        <v/>
      </c>
      <c r="AJ514" s="44">
        <f>IF(AG514=1,AH514,MAX(-1,MIN(1,O514+INDEX(Types!$H:$H,MATCH($A514&amp;"|"&amp;$D514,Types!$A:$A,0)))))</f>
        <v/>
      </c>
      <c r="AK514" s="43">
        <f>IF(AG514=1,AF514,MAX(AQ514*AS514,AF514))</f>
        <v/>
      </c>
      <c r="AL514" s="43">
        <f>IF(AG514=1,AD514,AK514*(1+AJ514)/2)</f>
        <v/>
      </c>
      <c r="AM514" s="43">
        <f>IF(AG514=1,AE514,AK514*(1-AJ514)/2)</f>
        <v/>
      </c>
      <c r="AN514" s="45">
        <f>IF(AH514="","",AH514-T514)</f>
        <v/>
      </c>
      <c r="AO514" s="51">
        <f>IF(AG514=1,1,IF(U514&gt;0,MIN(AF514/U514,0.99),0))</f>
        <v/>
      </c>
      <c r="AP514" s="43">
        <f>IF(AG514=1,AI514*AF514,0)</f>
        <v/>
      </c>
      <c r="AQ514" s="43">
        <f>N514*(F514+G514)/H514</f>
        <v/>
      </c>
      <c r="AR514" s="43">
        <f>O514*AQ514</f>
        <v/>
      </c>
      <c r="AS514" s="52">
        <f>IF(AG514=1,IF(AQ514&gt;0,AF514/AQ514,1),IFERROR(INDEX(Types!$K:$K,MATCH($A514&amp;"|"&amp;$D514,Types!$A:$A,0)),INDEX(Dashboard!$X$6:$X$22,MATCH($A514,Dashboard!$A$6:$A$22,0))))</f>
        <v/>
      </c>
      <c r="AT514" s="43">
        <f>AQ514*INDEX(Dashboard!$Y$6:$Y$22,MATCH($A514,Dashboard!$A$6:$A$22,0))</f>
        <v/>
      </c>
      <c r="AU514" s="53">
        <f>IF(AND(AG514=1,AT514&gt;0,AF514&gt;0),100*AF514/AT514,"")</f>
        <v/>
      </c>
      <c r="AV514" s="44">
        <f>IF(AU514="","",T514/(AU514/100))</f>
        <v/>
      </c>
      <c r="AW514" s="53">
        <f>IF(AU514="","",IF(AND(ABS(AH514)&gt;=0.1,ABS(T514)&gt;=0.05,SIGN(AH514)=SIGN(T514)),100*T514/AH514,""))</f>
        <v/>
      </c>
      <c r="AX514" s="45">
        <f>IF(AU514="","",T514-AV514)</f>
        <v/>
      </c>
      <c r="AY514" s="45">
        <f>IF(AU514="","",AH514-AV514)</f>
        <v/>
      </c>
      <c r="AZ514" s="54">
        <f>(AL514-AM514)-T514*AT514</f>
        <v/>
      </c>
      <c r="BA514" s="43">
        <f>IF(AU514="",0,(AH514-T514)*AF514)</f>
        <v/>
      </c>
      <c r="BB514" s="43">
        <f>IF(AU514="",0,T514*(AF514-AT514))</f>
        <v/>
      </c>
      <c r="BC514" s="51" t="n">
        <v>0.004833683139349997</v>
      </c>
      <c r="BD514" s="51" t="n">
        <v>0.01990714240284933</v>
      </c>
      <c r="BE514" s="51" t="n">
        <v>0.2543848022973271</v>
      </c>
      <c r="BF514" s="43" t="n">
        <v>31446</v>
      </c>
    </row>
    <row r="515">
      <c r="A515" s="42" t="inlineStr">
        <is>
          <t>MN</t>
        </is>
      </c>
      <c r="B515" s="42" t="inlineStr">
        <is>
          <t>27023</t>
        </is>
      </c>
      <c r="C515" s="42" t="inlineStr">
        <is>
          <t>Chippewa</t>
        </is>
      </c>
      <c r="D515" s="42" t="inlineStr">
        <is>
          <t>Small town &amp; rural</t>
        </is>
      </c>
      <c r="E515" s="42" t="inlineStr"/>
      <c r="F515" s="43" t="n">
        <v>2026</v>
      </c>
      <c r="G515" s="43" t="n">
        <v>4175</v>
      </c>
      <c r="H515" s="43" t="n">
        <v>6300</v>
      </c>
      <c r="I515" s="43" t="n">
        <v>2226</v>
      </c>
      <c r="J515" s="43" t="n">
        <v>4250</v>
      </c>
      <c r="K515" s="42" t="inlineStr">
        <is>
          <t>Governor</t>
        </is>
      </c>
      <c r="L515" s="43" t="n">
        <v>1676</v>
      </c>
      <c r="M515" s="43" t="n">
        <v>3115</v>
      </c>
      <c r="N515" s="43" t="n">
        <v>4930</v>
      </c>
      <c r="O515" s="44">
        <f>IFERROR((F515-G515)/(F515+G515),"")</f>
        <v/>
      </c>
      <c r="P515" s="44">
        <f>IFERROR((I515-J515)/(I515+J515),"")</f>
        <v/>
      </c>
      <c r="Q515" s="45">
        <f>IFERROR(O515-P515,"")</f>
        <v/>
      </c>
      <c r="R515" s="44">
        <f>IFERROR((L515-M515)/(L515+M515),"")</f>
        <v/>
      </c>
      <c r="S515" s="46">
        <f>H515/SUMIFS(Counties!$H$2:$H$1583,Counties!$A$2:$A$1583,$A515)</f>
        <v/>
      </c>
      <c r="T515" s="44">
        <f>O515+INDEX(Dashboard!$F$6:$F$22,MATCH($A515,Dashboard!$A$6:$A$22,0))</f>
        <v/>
      </c>
      <c r="U515" s="43">
        <f>AQ515*INDEX(Dashboard!$G$6:$G$22,MATCH($A515,Dashboard!$A$6:$A$22,0))</f>
        <v/>
      </c>
      <c r="V515" s="47" t="n"/>
      <c r="W515" s="47" t="n"/>
      <c r="X515" s="47" t="n"/>
      <c r="Y515" s="48" t="n"/>
      <c r="Z515" s="49" t="n"/>
      <c r="AA515" s="49" t="n"/>
      <c r="AB515" s="49" t="n"/>
      <c r="AC515" s="50" t="n"/>
      <c r="AD515" s="43">
        <f>IF(Z515&lt;&gt;"",Z515,N(V515))</f>
        <v/>
      </c>
      <c r="AE515" s="43">
        <f>IF(AA515&lt;&gt;"",AA515,N(W515))</f>
        <v/>
      </c>
      <c r="AF515" s="43">
        <f>AD515+AE515</f>
        <v/>
      </c>
      <c r="AG515" s="42">
        <f>IF(UPPER(AC515)="Y",1,IF(AF515=0,0,IF(AND(Z515="",Y515&lt;&gt;""),IF(Y515&gt;=0.999,1,0),IF(AF515&gt;=U515,1,0))))</f>
        <v/>
      </c>
      <c r="AH515" s="44">
        <f>IF(AF515&gt;0,(AD515-AE515)/AF515,"")</f>
        <v/>
      </c>
      <c r="AI515" s="45">
        <f>IF(AG515=1,AH515-O515,"")</f>
        <v/>
      </c>
      <c r="AJ515" s="44">
        <f>IF(AG515=1,AH515,MAX(-1,MIN(1,O515+INDEX(Types!$H:$H,MATCH($A515&amp;"|"&amp;$D515,Types!$A:$A,0)))))</f>
        <v/>
      </c>
      <c r="AK515" s="43">
        <f>IF(AG515=1,AF515,MAX(AQ515*AS515,AF515))</f>
        <v/>
      </c>
      <c r="AL515" s="43">
        <f>IF(AG515=1,AD515,AK515*(1+AJ515)/2)</f>
        <v/>
      </c>
      <c r="AM515" s="43">
        <f>IF(AG515=1,AE515,AK515*(1-AJ515)/2)</f>
        <v/>
      </c>
      <c r="AN515" s="45">
        <f>IF(AH515="","",AH515-T515)</f>
        <v/>
      </c>
      <c r="AO515" s="51">
        <f>IF(AG515=1,1,IF(U515&gt;0,MIN(AF515/U515,0.99),0))</f>
        <v/>
      </c>
      <c r="AP515" s="43">
        <f>IF(AG515=1,AI515*AF515,0)</f>
        <v/>
      </c>
      <c r="AQ515" s="43">
        <f>N515*(F515+G515)/H515</f>
        <v/>
      </c>
      <c r="AR515" s="43">
        <f>O515*AQ515</f>
        <v/>
      </c>
      <c r="AS515" s="52">
        <f>IF(AG515=1,IF(AQ515&gt;0,AF515/AQ515,1),IFERROR(INDEX(Types!$K:$K,MATCH($A515&amp;"|"&amp;$D515,Types!$A:$A,0)),INDEX(Dashboard!$X$6:$X$22,MATCH($A515,Dashboard!$A$6:$A$22,0))))</f>
        <v/>
      </c>
      <c r="AT515" s="43">
        <f>AQ515*INDEX(Dashboard!$Y$6:$Y$22,MATCH($A515,Dashboard!$A$6:$A$22,0))</f>
        <v/>
      </c>
      <c r="AU515" s="53">
        <f>IF(AND(AG515=1,AT515&gt;0,AF515&gt;0),100*AF515/AT515,"")</f>
        <v/>
      </c>
      <c r="AV515" s="44">
        <f>IF(AU515="","",T515/(AU515/100))</f>
        <v/>
      </c>
      <c r="AW515" s="53">
        <f>IF(AU515="","",IF(AND(ABS(AH515)&gt;=0.1,ABS(T515)&gt;=0.05,SIGN(AH515)=SIGN(T515)),100*T515/AH515,""))</f>
        <v/>
      </c>
      <c r="AX515" s="45">
        <f>IF(AU515="","",T515-AV515)</f>
        <v/>
      </c>
      <c r="AY515" s="45">
        <f>IF(AU515="","",AH515-AV515)</f>
        <v/>
      </c>
      <c r="AZ515" s="54">
        <f>(AL515-AM515)-T515*AT515</f>
        <v/>
      </c>
      <c r="BA515" s="43">
        <f>IF(AU515="",0,(AH515-T515)*AF515)</f>
        <v/>
      </c>
      <c r="BB515" s="43">
        <f>IF(AU515="",0,T515*(AF515-AT515))</f>
        <v/>
      </c>
      <c r="BC515" s="51" t="n">
        <v>0.008954978639500493</v>
      </c>
      <c r="BD515" s="51" t="n">
        <v>0.1060630956293132</v>
      </c>
      <c r="BE515" s="51" t="n">
        <v>0.1963991527418216</v>
      </c>
      <c r="BF515" s="43" t="n">
        <v>12172</v>
      </c>
    </row>
    <row r="516">
      <c r="A516" s="42" t="inlineStr">
        <is>
          <t>MN</t>
        </is>
      </c>
      <c r="B516" s="42" t="inlineStr">
        <is>
          <t>27025</t>
        </is>
      </c>
      <c r="C516" s="42" t="inlineStr">
        <is>
          <t>Chisago</t>
        </is>
      </c>
      <c r="D516" s="42" t="inlineStr">
        <is>
          <t>Small town &amp; rural</t>
        </is>
      </c>
      <c r="E516" s="42" t="inlineStr"/>
      <c r="F516" s="43" t="n">
        <v>11894</v>
      </c>
      <c r="G516" s="43" t="n">
        <v>23047</v>
      </c>
      <c r="H516" s="43" t="n">
        <v>35502</v>
      </c>
      <c r="I516" s="43" t="n">
        <v>11806</v>
      </c>
      <c r="J516" s="43" t="n">
        <v>21916</v>
      </c>
      <c r="K516" s="42" t="inlineStr">
        <is>
          <t>Governor</t>
        </is>
      </c>
      <c r="L516" s="43" t="n">
        <v>9321</v>
      </c>
      <c r="M516" s="43" t="n">
        <v>15647</v>
      </c>
      <c r="N516" s="43" t="n">
        <v>25925</v>
      </c>
      <c r="O516" s="44">
        <f>IFERROR((F516-G516)/(F516+G516),"")</f>
        <v/>
      </c>
      <c r="P516" s="44">
        <f>IFERROR((I516-J516)/(I516+J516),"")</f>
        <v/>
      </c>
      <c r="Q516" s="45">
        <f>IFERROR(O516-P516,"")</f>
        <v/>
      </c>
      <c r="R516" s="44">
        <f>IFERROR((L516-M516)/(L516+M516),"")</f>
        <v/>
      </c>
      <c r="S516" s="46">
        <f>H516/SUMIFS(Counties!$H$2:$H$1583,Counties!$A$2:$A$1583,$A516)</f>
        <v/>
      </c>
      <c r="T516" s="44">
        <f>O516+INDEX(Dashboard!$F$6:$F$22,MATCH($A516,Dashboard!$A$6:$A$22,0))</f>
        <v/>
      </c>
      <c r="U516" s="43">
        <f>AQ516*INDEX(Dashboard!$G$6:$G$22,MATCH($A516,Dashboard!$A$6:$A$22,0))</f>
        <v/>
      </c>
      <c r="V516" s="47" t="n"/>
      <c r="W516" s="47" t="n"/>
      <c r="X516" s="47" t="n"/>
      <c r="Y516" s="48" t="n"/>
      <c r="Z516" s="49" t="n"/>
      <c r="AA516" s="49" t="n"/>
      <c r="AB516" s="49" t="n"/>
      <c r="AC516" s="50" t="n"/>
      <c r="AD516" s="43">
        <f>IF(Z516&lt;&gt;"",Z516,N(V516))</f>
        <v/>
      </c>
      <c r="AE516" s="43">
        <f>IF(AA516&lt;&gt;"",AA516,N(W516))</f>
        <v/>
      </c>
      <c r="AF516" s="43">
        <f>AD516+AE516</f>
        <v/>
      </c>
      <c r="AG516" s="42">
        <f>IF(UPPER(AC516)="Y",1,IF(AF516=0,0,IF(AND(Z516="",Y516&lt;&gt;""),IF(Y516&gt;=0.999,1,0),IF(AF516&gt;=U516,1,0))))</f>
        <v/>
      </c>
      <c r="AH516" s="44">
        <f>IF(AF516&gt;0,(AD516-AE516)/AF516,"")</f>
        <v/>
      </c>
      <c r="AI516" s="45">
        <f>IF(AG516=1,AH516-O516,"")</f>
        <v/>
      </c>
      <c r="AJ516" s="44">
        <f>IF(AG516=1,AH516,MAX(-1,MIN(1,O516+INDEX(Types!$H:$H,MATCH($A516&amp;"|"&amp;$D516,Types!$A:$A,0)))))</f>
        <v/>
      </c>
      <c r="AK516" s="43">
        <f>IF(AG516=1,AF516,MAX(AQ516*AS516,AF516))</f>
        <v/>
      </c>
      <c r="AL516" s="43">
        <f>IF(AG516=1,AD516,AK516*(1+AJ516)/2)</f>
        <v/>
      </c>
      <c r="AM516" s="43">
        <f>IF(AG516=1,AE516,AK516*(1-AJ516)/2)</f>
        <v/>
      </c>
      <c r="AN516" s="45">
        <f>IF(AH516="","",AH516-T516)</f>
        <v/>
      </c>
      <c r="AO516" s="51">
        <f>IF(AG516=1,1,IF(U516&gt;0,MIN(AF516/U516,0.99),0))</f>
        <v/>
      </c>
      <c r="AP516" s="43">
        <f>IF(AG516=1,AI516*AF516,0)</f>
        <v/>
      </c>
      <c r="AQ516" s="43">
        <f>N516*(F516+G516)/H516</f>
        <v/>
      </c>
      <c r="AR516" s="43">
        <f>O516*AQ516</f>
        <v/>
      </c>
      <c r="AS516" s="52">
        <f>IF(AG516=1,IF(AQ516&gt;0,AF516/AQ516,1),IFERROR(INDEX(Types!$K:$K,MATCH($A516&amp;"|"&amp;$D516,Types!$A:$A,0)),INDEX(Dashboard!$X$6:$X$22,MATCH($A516,Dashboard!$A$6:$A$22,0))))</f>
        <v/>
      </c>
      <c r="AT516" s="43">
        <f>AQ516*INDEX(Dashboard!$Y$6:$Y$22,MATCH($A516,Dashboard!$A$6:$A$22,0))</f>
        <v/>
      </c>
      <c r="AU516" s="53">
        <f>IF(AND(AG516=1,AT516&gt;0,AF516&gt;0),100*AF516/AT516,"")</f>
        <v/>
      </c>
      <c r="AV516" s="44">
        <f>IF(AU516="","",T516/(AU516/100))</f>
        <v/>
      </c>
      <c r="AW516" s="53">
        <f>IF(AU516="","",IF(AND(ABS(AH516)&gt;=0.1,ABS(T516)&gt;=0.05,SIGN(AH516)=SIGN(T516)),100*T516/AH516,""))</f>
        <v/>
      </c>
      <c r="AX516" s="45">
        <f>IF(AU516="","",T516-AV516)</f>
        <v/>
      </c>
      <c r="AY516" s="45">
        <f>IF(AU516="","",AH516-AV516)</f>
        <v/>
      </c>
      <c r="AZ516" s="54">
        <f>(AL516-AM516)-T516*AT516</f>
        <v/>
      </c>
      <c r="BA516" s="43">
        <f>IF(AU516="",0,(AH516-T516)*AF516)</f>
        <v/>
      </c>
      <c r="BB516" s="43">
        <f>IF(AU516="",0,T516*(AF516-AT516))</f>
        <v/>
      </c>
      <c r="BC516" s="51" t="n">
        <v>0.01539250021354745</v>
      </c>
      <c r="BD516" s="51" t="n">
        <v>0.03061416246690014</v>
      </c>
      <c r="BE516" s="51" t="n">
        <v>0.2398879746207991</v>
      </c>
      <c r="BF516" s="43" t="n">
        <v>58535</v>
      </c>
    </row>
    <row r="517">
      <c r="A517" s="42" t="inlineStr">
        <is>
          <t>MN</t>
        </is>
      </c>
      <c r="B517" s="42" t="inlineStr">
        <is>
          <t>27027</t>
        </is>
      </c>
      <c r="C517" s="42" t="inlineStr">
        <is>
          <t>Clay</t>
        </is>
      </c>
      <c r="D517" s="42" t="inlineStr">
        <is>
          <t>Small town &amp; rural</t>
        </is>
      </c>
      <c r="E517" s="42" t="inlineStr"/>
      <c r="F517" s="43" t="n">
        <v>16121</v>
      </c>
      <c r="G517" s="43" t="n">
        <v>15965</v>
      </c>
      <c r="H517" s="43" t="n">
        <v>32734</v>
      </c>
      <c r="I517" s="43" t="n">
        <v>16357</v>
      </c>
      <c r="J517" s="43" t="n">
        <v>15043</v>
      </c>
      <c r="K517" s="42" t="inlineStr">
        <is>
          <t>Governor</t>
        </is>
      </c>
      <c r="L517" s="43" t="n">
        <v>11139</v>
      </c>
      <c r="M517" s="43" t="n">
        <v>10199</v>
      </c>
      <c r="N517" s="43" t="n">
        <v>22241</v>
      </c>
      <c r="O517" s="44">
        <f>IFERROR((F517-G517)/(F517+G517),"")</f>
        <v/>
      </c>
      <c r="P517" s="44">
        <f>IFERROR((I517-J517)/(I517+J517),"")</f>
        <v/>
      </c>
      <c r="Q517" s="45">
        <f>IFERROR(O517-P517,"")</f>
        <v/>
      </c>
      <c r="R517" s="44">
        <f>IFERROR((L517-M517)/(L517+M517),"")</f>
        <v/>
      </c>
      <c r="S517" s="46">
        <f>H517/SUMIFS(Counties!$H$2:$H$1583,Counties!$A$2:$A$1583,$A517)</f>
        <v/>
      </c>
      <c r="T517" s="44">
        <f>O517+INDEX(Dashboard!$F$6:$F$22,MATCH($A517,Dashboard!$A$6:$A$22,0))</f>
        <v/>
      </c>
      <c r="U517" s="43">
        <f>AQ517*INDEX(Dashboard!$G$6:$G$22,MATCH($A517,Dashboard!$A$6:$A$22,0))</f>
        <v/>
      </c>
      <c r="V517" s="47" t="n"/>
      <c r="W517" s="47" t="n"/>
      <c r="X517" s="47" t="n"/>
      <c r="Y517" s="48" t="n"/>
      <c r="Z517" s="49" t="n"/>
      <c r="AA517" s="49" t="n"/>
      <c r="AB517" s="49" t="n"/>
      <c r="AC517" s="50" t="n"/>
      <c r="AD517" s="43">
        <f>IF(Z517&lt;&gt;"",Z517,N(V517))</f>
        <v/>
      </c>
      <c r="AE517" s="43">
        <f>IF(AA517&lt;&gt;"",AA517,N(W517))</f>
        <v/>
      </c>
      <c r="AF517" s="43">
        <f>AD517+AE517</f>
        <v/>
      </c>
      <c r="AG517" s="42">
        <f>IF(UPPER(AC517)="Y",1,IF(AF517=0,0,IF(AND(Z517="",Y517&lt;&gt;""),IF(Y517&gt;=0.999,1,0),IF(AF517&gt;=U517,1,0))))</f>
        <v/>
      </c>
      <c r="AH517" s="44">
        <f>IF(AF517&gt;0,(AD517-AE517)/AF517,"")</f>
        <v/>
      </c>
      <c r="AI517" s="45">
        <f>IF(AG517=1,AH517-O517,"")</f>
        <v/>
      </c>
      <c r="AJ517" s="44">
        <f>IF(AG517=1,AH517,MAX(-1,MIN(1,O517+INDEX(Types!$H:$H,MATCH($A517&amp;"|"&amp;$D517,Types!$A:$A,0)))))</f>
        <v/>
      </c>
      <c r="AK517" s="43">
        <f>IF(AG517=1,AF517,MAX(AQ517*AS517,AF517))</f>
        <v/>
      </c>
      <c r="AL517" s="43">
        <f>IF(AG517=1,AD517,AK517*(1+AJ517)/2)</f>
        <v/>
      </c>
      <c r="AM517" s="43">
        <f>IF(AG517=1,AE517,AK517*(1-AJ517)/2)</f>
        <v/>
      </c>
      <c r="AN517" s="45">
        <f>IF(AH517="","",AH517-T517)</f>
        <v/>
      </c>
      <c r="AO517" s="51">
        <f>IF(AG517=1,1,IF(U517&gt;0,MIN(AF517/U517,0.99),0))</f>
        <v/>
      </c>
      <c r="AP517" s="43">
        <f>IF(AG517=1,AI517*AF517,0)</f>
        <v/>
      </c>
      <c r="AQ517" s="43">
        <f>N517*(F517+G517)/H517</f>
        <v/>
      </c>
      <c r="AR517" s="43">
        <f>O517*AQ517</f>
        <v/>
      </c>
      <c r="AS517" s="52">
        <f>IF(AG517=1,IF(AQ517&gt;0,AF517/AQ517,1),IFERROR(INDEX(Types!$K:$K,MATCH($A517&amp;"|"&amp;$D517,Types!$A:$A,0)),INDEX(Dashboard!$X$6:$X$22,MATCH($A517,Dashboard!$A$6:$A$22,0))))</f>
        <v/>
      </c>
      <c r="AT517" s="43">
        <f>AQ517*INDEX(Dashboard!$Y$6:$Y$22,MATCH($A517,Dashboard!$A$6:$A$22,0))</f>
        <v/>
      </c>
      <c r="AU517" s="53">
        <f>IF(AND(AG517=1,AT517&gt;0,AF517&gt;0),100*AF517/AT517,"")</f>
        <v/>
      </c>
      <c r="AV517" s="44">
        <f>IF(AU517="","",T517/(AU517/100))</f>
        <v/>
      </c>
      <c r="AW517" s="53">
        <f>IF(AU517="","",IF(AND(ABS(AH517)&gt;=0.1,ABS(T517)&gt;=0.05,SIGN(AH517)=SIGN(T517)),100*T517/AH517,""))</f>
        <v/>
      </c>
      <c r="AX517" s="45">
        <f>IF(AU517="","",T517-AV517)</f>
        <v/>
      </c>
      <c r="AY517" s="45">
        <f>IF(AU517="","",AH517-AV517)</f>
        <v/>
      </c>
      <c r="AZ517" s="54">
        <f>(AL517-AM517)-T517*AT517</f>
        <v/>
      </c>
      <c r="BA517" s="43">
        <f>IF(AU517="",0,(AH517-T517)*AF517)</f>
        <v/>
      </c>
      <c r="BB517" s="43">
        <f>IF(AU517="",0,T517*(AF517-AT517))</f>
        <v/>
      </c>
      <c r="BC517" s="51" t="n">
        <v>0.05490657731896526</v>
      </c>
      <c r="BD517" s="51" t="n">
        <v>0.05080141265960337</v>
      </c>
      <c r="BE517" s="51" t="n">
        <v>0.3904636288977926</v>
      </c>
      <c r="BF517" s="43" t="n">
        <v>66258</v>
      </c>
    </row>
    <row r="518">
      <c r="A518" s="42" t="inlineStr">
        <is>
          <t>MN</t>
        </is>
      </c>
      <c r="B518" s="42" t="inlineStr">
        <is>
          <t>27029</t>
        </is>
      </c>
      <c r="C518" s="42" t="inlineStr">
        <is>
          <t>Clearwater</t>
        </is>
      </c>
      <c r="D518" s="42" t="inlineStr">
        <is>
          <t>Small town &amp; rural</t>
        </is>
      </c>
      <c r="E518" s="42" t="inlineStr"/>
      <c r="F518" s="43" t="n">
        <v>1169</v>
      </c>
      <c r="G518" s="43" t="n">
        <v>3575</v>
      </c>
      <c r="H518" s="43" t="n">
        <v>4805</v>
      </c>
      <c r="I518" s="43" t="n">
        <v>1260</v>
      </c>
      <c r="J518" s="43" t="n">
        <v>3372</v>
      </c>
      <c r="K518" s="42" t="inlineStr">
        <is>
          <t>Governor</t>
        </is>
      </c>
      <c r="L518" s="43" t="n">
        <v>879</v>
      </c>
      <c r="M518" s="43" t="n">
        <v>2550</v>
      </c>
      <c r="N518" s="43" t="n">
        <v>3569</v>
      </c>
      <c r="O518" s="44">
        <f>IFERROR((F518-G518)/(F518+G518),"")</f>
        <v/>
      </c>
      <c r="P518" s="44">
        <f>IFERROR((I518-J518)/(I518+J518),"")</f>
        <v/>
      </c>
      <c r="Q518" s="45">
        <f>IFERROR(O518-P518,"")</f>
        <v/>
      </c>
      <c r="R518" s="44">
        <f>IFERROR((L518-M518)/(L518+M518),"")</f>
        <v/>
      </c>
      <c r="S518" s="46">
        <f>H518/SUMIFS(Counties!$H$2:$H$1583,Counties!$A$2:$A$1583,$A518)</f>
        <v/>
      </c>
      <c r="T518" s="44">
        <f>O518+INDEX(Dashboard!$F$6:$F$22,MATCH($A518,Dashboard!$A$6:$A$22,0))</f>
        <v/>
      </c>
      <c r="U518" s="43">
        <f>AQ518*INDEX(Dashboard!$G$6:$G$22,MATCH($A518,Dashboard!$A$6:$A$22,0))</f>
        <v/>
      </c>
      <c r="V518" s="47" t="n"/>
      <c r="W518" s="47" t="n"/>
      <c r="X518" s="47" t="n"/>
      <c r="Y518" s="48" t="n"/>
      <c r="Z518" s="49" t="n"/>
      <c r="AA518" s="49" t="n"/>
      <c r="AB518" s="49" t="n"/>
      <c r="AC518" s="50" t="n"/>
      <c r="AD518" s="43">
        <f>IF(Z518&lt;&gt;"",Z518,N(V518))</f>
        <v/>
      </c>
      <c r="AE518" s="43">
        <f>IF(AA518&lt;&gt;"",AA518,N(W518))</f>
        <v/>
      </c>
      <c r="AF518" s="43">
        <f>AD518+AE518</f>
        <v/>
      </c>
      <c r="AG518" s="42">
        <f>IF(UPPER(AC518)="Y",1,IF(AF518=0,0,IF(AND(Z518="",Y518&lt;&gt;""),IF(Y518&gt;=0.999,1,0),IF(AF518&gt;=U518,1,0))))</f>
        <v/>
      </c>
      <c r="AH518" s="44">
        <f>IF(AF518&gt;0,(AD518-AE518)/AF518,"")</f>
        <v/>
      </c>
      <c r="AI518" s="45">
        <f>IF(AG518=1,AH518-O518,"")</f>
        <v/>
      </c>
      <c r="AJ518" s="44">
        <f>IF(AG518=1,AH518,MAX(-1,MIN(1,O518+INDEX(Types!$H:$H,MATCH($A518&amp;"|"&amp;$D518,Types!$A:$A,0)))))</f>
        <v/>
      </c>
      <c r="AK518" s="43">
        <f>IF(AG518=1,AF518,MAX(AQ518*AS518,AF518))</f>
        <v/>
      </c>
      <c r="AL518" s="43">
        <f>IF(AG518=1,AD518,AK518*(1+AJ518)/2)</f>
        <v/>
      </c>
      <c r="AM518" s="43">
        <f>IF(AG518=1,AE518,AK518*(1-AJ518)/2)</f>
        <v/>
      </c>
      <c r="AN518" s="45">
        <f>IF(AH518="","",AH518-T518)</f>
        <v/>
      </c>
      <c r="AO518" s="51">
        <f>IF(AG518=1,1,IF(U518&gt;0,MIN(AF518/U518,0.99),0))</f>
        <v/>
      </c>
      <c r="AP518" s="43">
        <f>IF(AG518=1,AI518*AF518,0)</f>
        <v/>
      </c>
      <c r="AQ518" s="43">
        <f>N518*(F518+G518)/H518</f>
        <v/>
      </c>
      <c r="AR518" s="43">
        <f>O518*AQ518</f>
        <v/>
      </c>
      <c r="AS518" s="52">
        <f>IF(AG518=1,IF(AQ518&gt;0,AF518/AQ518,1),IFERROR(INDEX(Types!$K:$K,MATCH($A518&amp;"|"&amp;$D518,Types!$A:$A,0)),INDEX(Dashboard!$X$6:$X$22,MATCH($A518,Dashboard!$A$6:$A$22,0))))</f>
        <v/>
      </c>
      <c r="AT518" s="43">
        <f>AQ518*INDEX(Dashboard!$Y$6:$Y$22,MATCH($A518,Dashboard!$A$6:$A$22,0))</f>
        <v/>
      </c>
      <c r="AU518" s="53">
        <f>IF(AND(AG518=1,AT518&gt;0,AF518&gt;0),100*AF518/AT518,"")</f>
        <v/>
      </c>
      <c r="AV518" s="44">
        <f>IF(AU518="","",T518/(AU518/100))</f>
        <v/>
      </c>
      <c r="AW518" s="53">
        <f>IF(AU518="","",IF(AND(ABS(AH518)&gt;=0.1,ABS(T518)&gt;=0.05,SIGN(AH518)=SIGN(T518)),100*T518/AH518,""))</f>
        <v/>
      </c>
      <c r="AX518" s="45">
        <f>IF(AU518="","",T518-AV518)</f>
        <v/>
      </c>
      <c r="AY518" s="45">
        <f>IF(AU518="","",AH518-AV518)</f>
        <v/>
      </c>
      <c r="AZ518" s="54">
        <f>(AL518-AM518)-T518*AT518</f>
        <v/>
      </c>
      <c r="BA518" s="43">
        <f>IF(AU518="",0,(AH518-T518)*AF518)</f>
        <v/>
      </c>
      <c r="BB518" s="43">
        <f>IF(AU518="",0,T518*(AF518-AT518))</f>
        <v/>
      </c>
      <c r="BC518" s="51" t="n">
        <v>0.007056918093475243</v>
      </c>
      <c r="BD518" s="51" t="n">
        <v>0.01087459509486349</v>
      </c>
      <c r="BE518" s="51" t="n">
        <v>0.1827054794520548</v>
      </c>
      <c r="BF518" s="43" t="n">
        <v>8644</v>
      </c>
    </row>
    <row r="519">
      <c r="A519" s="42" t="inlineStr">
        <is>
          <t>MN</t>
        </is>
      </c>
      <c r="B519" s="42" t="inlineStr">
        <is>
          <t>27031</t>
        </is>
      </c>
      <c r="C519" s="42" t="inlineStr">
        <is>
          <t>Cook</t>
        </is>
      </c>
      <c r="D519" s="42" t="inlineStr">
        <is>
          <t>Small town &amp; rural</t>
        </is>
      </c>
      <c r="E519" s="42" t="inlineStr"/>
      <c r="F519" s="43" t="n">
        <v>2416</v>
      </c>
      <c r="G519" s="43" t="n">
        <v>1142</v>
      </c>
      <c r="H519" s="43" t="n">
        <v>3641</v>
      </c>
      <c r="I519" s="43" t="n">
        <v>2496</v>
      </c>
      <c r="J519" s="43" t="n">
        <v>1203</v>
      </c>
      <c r="K519" s="42" t="inlineStr">
        <is>
          <t>Governor</t>
        </is>
      </c>
      <c r="L519" s="43" t="n">
        <v>2171</v>
      </c>
      <c r="M519" s="43" t="n">
        <v>958</v>
      </c>
      <c r="N519" s="43" t="n">
        <v>3221</v>
      </c>
      <c r="O519" s="44">
        <f>IFERROR((F519-G519)/(F519+G519),"")</f>
        <v/>
      </c>
      <c r="P519" s="44">
        <f>IFERROR((I519-J519)/(I519+J519),"")</f>
        <v/>
      </c>
      <c r="Q519" s="45">
        <f>IFERROR(O519-P519,"")</f>
        <v/>
      </c>
      <c r="R519" s="44">
        <f>IFERROR((L519-M519)/(L519+M519),"")</f>
        <v/>
      </c>
      <c r="S519" s="46">
        <f>H519/SUMIFS(Counties!$H$2:$H$1583,Counties!$A$2:$A$1583,$A519)</f>
        <v/>
      </c>
      <c r="T519" s="44">
        <f>O519+INDEX(Dashboard!$F$6:$F$22,MATCH($A519,Dashboard!$A$6:$A$22,0))</f>
        <v/>
      </c>
      <c r="U519" s="43">
        <f>AQ519*INDEX(Dashboard!$G$6:$G$22,MATCH($A519,Dashboard!$A$6:$A$22,0))</f>
        <v/>
      </c>
      <c r="V519" s="47" t="n"/>
      <c r="W519" s="47" t="n"/>
      <c r="X519" s="47" t="n"/>
      <c r="Y519" s="48" t="n"/>
      <c r="Z519" s="49" t="n"/>
      <c r="AA519" s="49" t="n"/>
      <c r="AB519" s="49" t="n"/>
      <c r="AC519" s="50" t="n"/>
      <c r="AD519" s="43">
        <f>IF(Z519&lt;&gt;"",Z519,N(V519))</f>
        <v/>
      </c>
      <c r="AE519" s="43">
        <f>IF(AA519&lt;&gt;"",AA519,N(W519))</f>
        <v/>
      </c>
      <c r="AF519" s="43">
        <f>AD519+AE519</f>
        <v/>
      </c>
      <c r="AG519" s="42">
        <f>IF(UPPER(AC519)="Y",1,IF(AF519=0,0,IF(AND(Z519="",Y519&lt;&gt;""),IF(Y519&gt;=0.999,1,0),IF(AF519&gt;=U519,1,0))))</f>
        <v/>
      </c>
      <c r="AH519" s="44">
        <f>IF(AF519&gt;0,(AD519-AE519)/AF519,"")</f>
        <v/>
      </c>
      <c r="AI519" s="45">
        <f>IF(AG519=1,AH519-O519,"")</f>
        <v/>
      </c>
      <c r="AJ519" s="44">
        <f>IF(AG519=1,AH519,MAX(-1,MIN(1,O519+INDEX(Types!$H:$H,MATCH($A519&amp;"|"&amp;$D519,Types!$A:$A,0)))))</f>
        <v/>
      </c>
      <c r="AK519" s="43">
        <f>IF(AG519=1,AF519,MAX(AQ519*AS519,AF519))</f>
        <v/>
      </c>
      <c r="AL519" s="43">
        <f>IF(AG519=1,AD519,AK519*(1+AJ519)/2)</f>
        <v/>
      </c>
      <c r="AM519" s="43">
        <f>IF(AG519=1,AE519,AK519*(1-AJ519)/2)</f>
        <v/>
      </c>
      <c r="AN519" s="45">
        <f>IF(AH519="","",AH519-T519)</f>
        <v/>
      </c>
      <c r="AO519" s="51">
        <f>IF(AG519=1,1,IF(U519&gt;0,MIN(AF519/U519,0.99),0))</f>
        <v/>
      </c>
      <c r="AP519" s="43">
        <f>IF(AG519=1,AI519*AF519,0)</f>
        <v/>
      </c>
      <c r="AQ519" s="43">
        <f>N519*(F519+G519)/H519</f>
        <v/>
      </c>
      <c r="AR519" s="43">
        <f>O519*AQ519</f>
        <v/>
      </c>
      <c r="AS519" s="52">
        <f>IF(AG519=1,IF(AQ519&gt;0,AF519/AQ519,1),IFERROR(INDEX(Types!$K:$K,MATCH($A519&amp;"|"&amp;$D519,Types!$A:$A,0)),INDEX(Dashboard!$X$6:$X$22,MATCH($A519,Dashboard!$A$6:$A$22,0))))</f>
        <v/>
      </c>
      <c r="AT519" s="43">
        <f>AQ519*INDEX(Dashboard!$Y$6:$Y$22,MATCH($A519,Dashboard!$A$6:$A$22,0))</f>
        <v/>
      </c>
      <c r="AU519" s="53">
        <f>IF(AND(AG519=1,AT519&gt;0,AF519&gt;0),100*AF519/AT519,"")</f>
        <v/>
      </c>
      <c r="AV519" s="44">
        <f>IF(AU519="","",T519/(AU519/100))</f>
        <v/>
      </c>
      <c r="AW519" s="53">
        <f>IF(AU519="","",IF(AND(ABS(AH519)&gt;=0.1,ABS(T519)&gt;=0.05,SIGN(AH519)=SIGN(T519)),100*T519/AH519,""))</f>
        <v/>
      </c>
      <c r="AX519" s="45">
        <f>IF(AU519="","",T519-AV519)</f>
        <v/>
      </c>
      <c r="AY519" s="45">
        <f>IF(AU519="","",AH519-AV519)</f>
        <v/>
      </c>
      <c r="AZ519" s="54">
        <f>(AL519-AM519)-T519*AT519</f>
        <v/>
      </c>
      <c r="BA519" s="43">
        <f>IF(AU519="",0,(AH519-T519)*AF519)</f>
        <v/>
      </c>
      <c r="BB519" s="43">
        <f>IF(AU519="",0,T519*(AF519-AT519))</f>
        <v/>
      </c>
      <c r="BC519" s="51" t="n">
        <v>0.01578294023763079</v>
      </c>
      <c r="BD519" s="51" t="n">
        <v>0.03404859017556304</v>
      </c>
      <c r="BE519" s="51" t="n">
        <v>0.4563713456817675</v>
      </c>
      <c r="BF519" s="43" t="n">
        <v>5639</v>
      </c>
    </row>
    <row r="520">
      <c r="A520" s="42" t="inlineStr">
        <is>
          <t>MN</t>
        </is>
      </c>
      <c r="B520" s="42" t="inlineStr">
        <is>
          <t>27033</t>
        </is>
      </c>
      <c r="C520" s="42" t="inlineStr">
        <is>
          <t>Cottonwood</t>
        </is>
      </c>
      <c r="D520" s="42" t="inlineStr">
        <is>
          <t>Small town &amp; rural</t>
        </is>
      </c>
      <c r="E520" s="42" t="inlineStr"/>
      <c r="F520" s="43" t="n">
        <v>1705</v>
      </c>
      <c r="G520" s="43" t="n">
        <v>4157</v>
      </c>
      <c r="H520" s="43" t="n">
        <v>5965</v>
      </c>
      <c r="I520" s="43" t="n">
        <v>1834</v>
      </c>
      <c r="J520" s="43" t="n">
        <v>4165</v>
      </c>
      <c r="K520" s="42" t="inlineStr">
        <is>
          <t>Governor</t>
        </is>
      </c>
      <c r="L520" s="43" t="n">
        <v>1363</v>
      </c>
      <c r="M520" s="43" t="n">
        <v>3087</v>
      </c>
      <c r="N520" s="43" t="n">
        <v>4619</v>
      </c>
      <c r="O520" s="44">
        <f>IFERROR((F520-G520)/(F520+G520),"")</f>
        <v/>
      </c>
      <c r="P520" s="44">
        <f>IFERROR((I520-J520)/(I520+J520),"")</f>
        <v/>
      </c>
      <c r="Q520" s="45">
        <f>IFERROR(O520-P520,"")</f>
        <v/>
      </c>
      <c r="R520" s="44">
        <f>IFERROR((L520-M520)/(L520+M520),"")</f>
        <v/>
      </c>
      <c r="S520" s="46">
        <f>H520/SUMIFS(Counties!$H$2:$H$1583,Counties!$A$2:$A$1583,$A520)</f>
        <v/>
      </c>
      <c r="T520" s="44">
        <f>O520+INDEX(Dashboard!$F$6:$F$22,MATCH($A520,Dashboard!$A$6:$A$22,0))</f>
        <v/>
      </c>
      <c r="U520" s="43">
        <f>AQ520*INDEX(Dashboard!$G$6:$G$22,MATCH($A520,Dashboard!$A$6:$A$22,0))</f>
        <v/>
      </c>
      <c r="V520" s="47" t="n"/>
      <c r="W520" s="47" t="n"/>
      <c r="X520" s="47" t="n"/>
      <c r="Y520" s="48" t="n"/>
      <c r="Z520" s="49" t="n"/>
      <c r="AA520" s="49" t="n"/>
      <c r="AB520" s="49" t="n"/>
      <c r="AC520" s="50" t="n"/>
      <c r="AD520" s="43">
        <f>IF(Z520&lt;&gt;"",Z520,N(V520))</f>
        <v/>
      </c>
      <c r="AE520" s="43">
        <f>IF(AA520&lt;&gt;"",AA520,N(W520))</f>
        <v/>
      </c>
      <c r="AF520" s="43">
        <f>AD520+AE520</f>
        <v/>
      </c>
      <c r="AG520" s="42">
        <f>IF(UPPER(AC520)="Y",1,IF(AF520=0,0,IF(AND(Z520="",Y520&lt;&gt;""),IF(Y520&gt;=0.999,1,0),IF(AF520&gt;=U520,1,0))))</f>
        <v/>
      </c>
      <c r="AH520" s="44">
        <f>IF(AF520&gt;0,(AD520-AE520)/AF520,"")</f>
        <v/>
      </c>
      <c r="AI520" s="45">
        <f>IF(AG520=1,AH520-O520,"")</f>
        <v/>
      </c>
      <c r="AJ520" s="44">
        <f>IF(AG520=1,AH520,MAX(-1,MIN(1,O520+INDEX(Types!$H:$H,MATCH($A520&amp;"|"&amp;$D520,Types!$A:$A,0)))))</f>
        <v/>
      </c>
      <c r="AK520" s="43">
        <f>IF(AG520=1,AF520,MAX(AQ520*AS520,AF520))</f>
        <v/>
      </c>
      <c r="AL520" s="43">
        <f>IF(AG520=1,AD520,AK520*(1+AJ520)/2)</f>
        <v/>
      </c>
      <c r="AM520" s="43">
        <f>IF(AG520=1,AE520,AK520*(1-AJ520)/2)</f>
        <v/>
      </c>
      <c r="AN520" s="45">
        <f>IF(AH520="","",AH520-T520)</f>
        <v/>
      </c>
      <c r="AO520" s="51">
        <f>IF(AG520=1,1,IF(U520&gt;0,MIN(AF520/U520,0.99),0))</f>
        <v/>
      </c>
      <c r="AP520" s="43">
        <f>IF(AG520=1,AI520*AF520,0)</f>
        <v/>
      </c>
      <c r="AQ520" s="43">
        <f>N520*(F520+G520)/H520</f>
        <v/>
      </c>
      <c r="AR520" s="43">
        <f>O520*AQ520</f>
        <v/>
      </c>
      <c r="AS520" s="52">
        <f>IF(AG520=1,IF(AQ520&gt;0,AF520/AQ520,1),IFERROR(INDEX(Types!$K:$K,MATCH($A520&amp;"|"&amp;$D520,Types!$A:$A,0)),INDEX(Dashboard!$X$6:$X$22,MATCH($A520,Dashboard!$A$6:$A$22,0))))</f>
        <v/>
      </c>
      <c r="AT520" s="43">
        <f>AQ520*INDEX(Dashboard!$Y$6:$Y$22,MATCH($A520,Dashboard!$A$6:$A$22,0))</f>
        <v/>
      </c>
      <c r="AU520" s="53">
        <f>IF(AND(AG520=1,AT520&gt;0,AF520&gt;0),100*AF520/AT520,"")</f>
        <v/>
      </c>
      <c r="AV520" s="44">
        <f>IF(AU520="","",T520/(AU520/100))</f>
        <v/>
      </c>
      <c r="AW520" s="53">
        <f>IF(AU520="","",IF(AND(ABS(AH520)&gt;=0.1,ABS(T520)&gt;=0.05,SIGN(AH520)=SIGN(T520)),100*T520/AH520,""))</f>
        <v/>
      </c>
      <c r="AX520" s="45">
        <f>IF(AU520="","",T520-AV520)</f>
        <v/>
      </c>
      <c r="AY520" s="45">
        <f>IF(AU520="","",AH520-AV520)</f>
        <v/>
      </c>
      <c r="AZ520" s="54">
        <f>(AL520-AM520)-T520*AT520</f>
        <v/>
      </c>
      <c r="BA520" s="43">
        <f>IF(AU520="",0,(AH520-T520)*AF520)</f>
        <v/>
      </c>
      <c r="BB520" s="43">
        <f>IF(AU520="",0,T520*(AF520-AT520))</f>
        <v/>
      </c>
      <c r="BC520" s="51" t="n">
        <v>0.01334040109550314</v>
      </c>
      <c r="BD520" s="51" t="n">
        <v>0.122979061754572</v>
      </c>
      <c r="BE520" s="51" t="n">
        <v>0.2287632326361993</v>
      </c>
      <c r="BF520" s="43" t="n">
        <v>11319</v>
      </c>
    </row>
    <row r="521">
      <c r="A521" s="42" t="inlineStr">
        <is>
          <t>MN</t>
        </is>
      </c>
      <c r="B521" s="42" t="inlineStr">
        <is>
          <t>27035</t>
        </is>
      </c>
      <c r="C521" s="42" t="inlineStr">
        <is>
          <t>Crow Wing</t>
        </is>
      </c>
      <c r="D521" s="42" t="inlineStr">
        <is>
          <t>Small town &amp; rural</t>
        </is>
      </c>
      <c r="E521" s="42" t="inlineStr"/>
      <c r="F521" s="43" t="n">
        <v>14173</v>
      </c>
      <c r="G521" s="43" t="n">
        <v>27423</v>
      </c>
      <c r="H521" s="43" t="n">
        <v>42212</v>
      </c>
      <c r="I521" s="43" t="n">
        <v>13726</v>
      </c>
      <c r="J521" s="43" t="n">
        <v>25676</v>
      </c>
      <c r="K521" s="42" t="inlineStr">
        <is>
          <t>Governor</t>
        </is>
      </c>
      <c r="L521" s="43" t="n">
        <v>11388</v>
      </c>
      <c r="M521" s="43" t="n">
        <v>20188</v>
      </c>
      <c r="N521" s="43" t="n">
        <v>32656</v>
      </c>
      <c r="O521" s="44">
        <f>IFERROR((F521-G521)/(F521+G521),"")</f>
        <v/>
      </c>
      <c r="P521" s="44">
        <f>IFERROR((I521-J521)/(I521+J521),"")</f>
        <v/>
      </c>
      <c r="Q521" s="45">
        <f>IFERROR(O521-P521,"")</f>
        <v/>
      </c>
      <c r="R521" s="44">
        <f>IFERROR((L521-M521)/(L521+M521),"")</f>
        <v/>
      </c>
      <c r="S521" s="46">
        <f>H521/SUMIFS(Counties!$H$2:$H$1583,Counties!$A$2:$A$1583,$A521)</f>
        <v/>
      </c>
      <c r="T521" s="44">
        <f>O521+INDEX(Dashboard!$F$6:$F$22,MATCH($A521,Dashboard!$A$6:$A$22,0))</f>
        <v/>
      </c>
      <c r="U521" s="43">
        <f>AQ521*INDEX(Dashboard!$G$6:$G$22,MATCH($A521,Dashboard!$A$6:$A$22,0))</f>
        <v/>
      </c>
      <c r="V521" s="47" t="n"/>
      <c r="W521" s="47" t="n"/>
      <c r="X521" s="47" t="n"/>
      <c r="Y521" s="48" t="n"/>
      <c r="Z521" s="49" t="n"/>
      <c r="AA521" s="49" t="n"/>
      <c r="AB521" s="49" t="n"/>
      <c r="AC521" s="50" t="n"/>
      <c r="AD521" s="43">
        <f>IF(Z521&lt;&gt;"",Z521,N(V521))</f>
        <v/>
      </c>
      <c r="AE521" s="43">
        <f>IF(AA521&lt;&gt;"",AA521,N(W521))</f>
        <v/>
      </c>
      <c r="AF521" s="43">
        <f>AD521+AE521</f>
        <v/>
      </c>
      <c r="AG521" s="42">
        <f>IF(UPPER(AC521)="Y",1,IF(AF521=0,0,IF(AND(Z521="",Y521&lt;&gt;""),IF(Y521&gt;=0.999,1,0),IF(AF521&gt;=U521,1,0))))</f>
        <v/>
      </c>
      <c r="AH521" s="44">
        <f>IF(AF521&gt;0,(AD521-AE521)/AF521,"")</f>
        <v/>
      </c>
      <c r="AI521" s="45">
        <f>IF(AG521=1,AH521-O521,"")</f>
        <v/>
      </c>
      <c r="AJ521" s="44">
        <f>IF(AG521=1,AH521,MAX(-1,MIN(1,O521+INDEX(Types!$H:$H,MATCH($A521&amp;"|"&amp;$D521,Types!$A:$A,0)))))</f>
        <v/>
      </c>
      <c r="AK521" s="43">
        <f>IF(AG521=1,AF521,MAX(AQ521*AS521,AF521))</f>
        <v/>
      </c>
      <c r="AL521" s="43">
        <f>IF(AG521=1,AD521,AK521*(1+AJ521)/2)</f>
        <v/>
      </c>
      <c r="AM521" s="43">
        <f>IF(AG521=1,AE521,AK521*(1-AJ521)/2)</f>
        <v/>
      </c>
      <c r="AN521" s="45">
        <f>IF(AH521="","",AH521-T521)</f>
        <v/>
      </c>
      <c r="AO521" s="51">
        <f>IF(AG521=1,1,IF(U521&gt;0,MIN(AF521/U521,0.99),0))</f>
        <v/>
      </c>
      <c r="AP521" s="43">
        <f>IF(AG521=1,AI521*AF521,0)</f>
        <v/>
      </c>
      <c r="AQ521" s="43">
        <f>N521*(F521+G521)/H521</f>
        <v/>
      </c>
      <c r="AR521" s="43">
        <f>O521*AQ521</f>
        <v/>
      </c>
      <c r="AS521" s="52">
        <f>IF(AG521=1,IF(AQ521&gt;0,AF521/AQ521,1),IFERROR(INDEX(Types!$K:$K,MATCH($A521&amp;"|"&amp;$D521,Types!$A:$A,0)),INDEX(Dashboard!$X$6:$X$22,MATCH($A521,Dashboard!$A$6:$A$22,0))))</f>
        <v/>
      </c>
      <c r="AT521" s="43">
        <f>AQ521*INDEX(Dashboard!$Y$6:$Y$22,MATCH($A521,Dashboard!$A$6:$A$22,0))</f>
        <v/>
      </c>
      <c r="AU521" s="53">
        <f>IF(AND(AG521=1,AT521&gt;0,AF521&gt;0),100*AF521/AT521,"")</f>
        <v/>
      </c>
      <c r="AV521" s="44">
        <f>IF(AU521="","",T521/(AU521/100))</f>
        <v/>
      </c>
      <c r="AW521" s="53">
        <f>IF(AU521="","",IF(AND(ABS(AH521)&gt;=0.1,ABS(T521)&gt;=0.05,SIGN(AH521)=SIGN(T521)),100*T521/AH521,""))</f>
        <v/>
      </c>
      <c r="AX521" s="45">
        <f>IF(AU521="","",T521-AV521)</f>
        <v/>
      </c>
      <c r="AY521" s="45">
        <f>IF(AU521="","",AH521-AV521)</f>
        <v/>
      </c>
      <c r="AZ521" s="54">
        <f>(AL521-AM521)-T521*AT521</f>
        <v/>
      </c>
      <c r="BA521" s="43">
        <f>IF(AU521="",0,(AH521-T521)*AF521)</f>
        <v/>
      </c>
      <c r="BB521" s="43">
        <f>IF(AU521="",0,T521*(AF521-AT521))</f>
        <v/>
      </c>
      <c r="BC521" s="51" t="n">
        <v>0.007964394471773249</v>
      </c>
      <c r="BD521" s="51" t="n">
        <v>0.0171293042867182</v>
      </c>
      <c r="BE521" s="51" t="n">
        <v>0.2857640097459102</v>
      </c>
      <c r="BF521" s="43" t="n">
        <v>68304</v>
      </c>
    </row>
    <row r="522">
      <c r="A522" s="42" t="inlineStr">
        <is>
          <t>MN</t>
        </is>
      </c>
      <c r="B522" s="42" t="inlineStr">
        <is>
          <t>27037</t>
        </is>
      </c>
      <c r="C522" s="42" t="inlineStr">
        <is>
          <t>Dakota</t>
        </is>
      </c>
      <c r="D522" s="42" t="inlineStr">
        <is>
          <t>College suburb/metro</t>
        </is>
      </c>
      <c r="E522" s="42" t="inlineStr">
        <is>
          <t>★</t>
        </is>
      </c>
      <c r="F522" s="43" t="n">
        <v>143267</v>
      </c>
      <c r="G522" s="43" t="n">
        <v>109995</v>
      </c>
      <c r="H522" s="43" t="n">
        <v>258590</v>
      </c>
      <c r="I522" s="43" t="n">
        <v>146155</v>
      </c>
      <c r="J522" s="43" t="n">
        <v>109638</v>
      </c>
      <c r="K522" s="42" t="inlineStr">
        <is>
          <t>Governor</t>
        </is>
      </c>
      <c r="L522" s="43" t="n">
        <v>112003</v>
      </c>
      <c r="M522" s="43" t="n">
        <v>83220</v>
      </c>
      <c r="N522" s="43" t="n">
        <v>200613</v>
      </c>
      <c r="O522" s="44">
        <f>IFERROR((F522-G522)/(F522+G522),"")</f>
        <v/>
      </c>
      <c r="P522" s="44">
        <f>IFERROR((I522-J522)/(I522+J522),"")</f>
        <v/>
      </c>
      <c r="Q522" s="45">
        <f>IFERROR(O522-P522,"")</f>
        <v/>
      </c>
      <c r="R522" s="44">
        <f>IFERROR((L522-M522)/(L522+M522),"")</f>
        <v/>
      </c>
      <c r="S522" s="46">
        <f>H522/SUMIFS(Counties!$H$2:$H$1583,Counties!$A$2:$A$1583,$A522)</f>
        <v/>
      </c>
      <c r="T522" s="44">
        <f>O522+INDEX(Dashboard!$F$6:$F$22,MATCH($A522,Dashboard!$A$6:$A$22,0))</f>
        <v/>
      </c>
      <c r="U522" s="43">
        <f>AQ522*INDEX(Dashboard!$G$6:$G$22,MATCH($A522,Dashboard!$A$6:$A$22,0))</f>
        <v/>
      </c>
      <c r="V522" s="47" t="n"/>
      <c r="W522" s="47" t="n"/>
      <c r="X522" s="47" t="n"/>
      <c r="Y522" s="48" t="n"/>
      <c r="Z522" s="49" t="n"/>
      <c r="AA522" s="49" t="n"/>
      <c r="AB522" s="49" t="n"/>
      <c r="AC522" s="50" t="n"/>
      <c r="AD522" s="43">
        <f>IF(Z522&lt;&gt;"",Z522,N(V522))</f>
        <v/>
      </c>
      <c r="AE522" s="43">
        <f>IF(AA522&lt;&gt;"",AA522,N(W522))</f>
        <v/>
      </c>
      <c r="AF522" s="43">
        <f>AD522+AE522</f>
        <v/>
      </c>
      <c r="AG522" s="42">
        <f>IF(UPPER(AC522)="Y",1,IF(AF522=0,0,IF(AND(Z522="",Y522&lt;&gt;""),IF(Y522&gt;=0.999,1,0),IF(AF522&gt;=U522,1,0))))</f>
        <v/>
      </c>
      <c r="AH522" s="44">
        <f>IF(AF522&gt;0,(AD522-AE522)/AF522,"")</f>
        <v/>
      </c>
      <c r="AI522" s="45">
        <f>IF(AG522=1,AH522-O522,"")</f>
        <v/>
      </c>
      <c r="AJ522" s="44">
        <f>IF(AG522=1,AH522,MAX(-1,MIN(1,O522+INDEX(Types!$H:$H,MATCH($A522&amp;"|"&amp;$D522,Types!$A:$A,0)))))</f>
        <v/>
      </c>
      <c r="AK522" s="43">
        <f>IF(AG522=1,AF522,MAX(AQ522*AS522,AF522))</f>
        <v/>
      </c>
      <c r="AL522" s="43">
        <f>IF(AG522=1,AD522,AK522*(1+AJ522)/2)</f>
        <v/>
      </c>
      <c r="AM522" s="43">
        <f>IF(AG522=1,AE522,AK522*(1-AJ522)/2)</f>
        <v/>
      </c>
      <c r="AN522" s="45">
        <f>IF(AH522="","",AH522-T522)</f>
        <v/>
      </c>
      <c r="AO522" s="51">
        <f>IF(AG522=1,1,IF(U522&gt;0,MIN(AF522/U522,0.99),0))</f>
        <v/>
      </c>
      <c r="AP522" s="43">
        <f>IF(AG522=1,AI522*AF522,0)</f>
        <v/>
      </c>
      <c r="AQ522" s="43">
        <f>N522*(F522+G522)/H522</f>
        <v/>
      </c>
      <c r="AR522" s="43">
        <f>O522*AQ522</f>
        <v/>
      </c>
      <c r="AS522" s="52">
        <f>IF(AG522=1,IF(AQ522&gt;0,AF522/AQ522,1),IFERROR(INDEX(Types!$K:$K,MATCH($A522&amp;"|"&amp;$D522,Types!$A:$A,0)),INDEX(Dashboard!$X$6:$X$22,MATCH($A522,Dashboard!$A$6:$A$22,0))))</f>
        <v/>
      </c>
      <c r="AT522" s="43">
        <f>AQ522*INDEX(Dashboard!$Y$6:$Y$22,MATCH($A522,Dashboard!$A$6:$A$22,0))</f>
        <v/>
      </c>
      <c r="AU522" s="53">
        <f>IF(AND(AG522=1,AT522&gt;0,AF522&gt;0),100*AF522/AT522,"")</f>
        <v/>
      </c>
      <c r="AV522" s="44">
        <f>IF(AU522="","",T522/(AU522/100))</f>
        <v/>
      </c>
      <c r="AW522" s="53">
        <f>IF(AU522="","",IF(AND(ABS(AH522)&gt;=0.1,ABS(T522)&gt;=0.05,SIGN(AH522)=SIGN(T522)),100*T522/AH522,""))</f>
        <v/>
      </c>
      <c r="AX522" s="45">
        <f>IF(AU522="","",T522-AV522)</f>
        <v/>
      </c>
      <c r="AY522" s="45">
        <f>IF(AU522="","",AH522-AV522)</f>
        <v/>
      </c>
      <c r="AZ522" s="54">
        <f>(AL522-AM522)-T522*AT522</f>
        <v/>
      </c>
      <c r="BA522" s="43">
        <f>IF(AU522="",0,(AH522-T522)*AF522)</f>
        <v/>
      </c>
      <c r="BB522" s="43">
        <f>IF(AU522="",0,T522*(AF522-AT522))</f>
        <v/>
      </c>
      <c r="BC522" s="51" t="n">
        <v>0.0899047917039156</v>
      </c>
      <c r="BD522" s="51" t="n">
        <v>0.08832469157875916</v>
      </c>
      <c r="BE522" s="51" t="n">
        <v>0.4460812475716388</v>
      </c>
      <c r="BF522" s="43" t="n">
        <v>447440</v>
      </c>
    </row>
    <row r="523">
      <c r="A523" s="42" t="inlineStr">
        <is>
          <t>MN</t>
        </is>
      </c>
      <c r="B523" s="42" t="inlineStr">
        <is>
          <t>27039</t>
        </is>
      </c>
      <c r="C523" s="42" t="inlineStr">
        <is>
          <t>Dodge</t>
        </is>
      </c>
      <c r="D523" s="42" t="inlineStr">
        <is>
          <t>Small town &amp; rural</t>
        </is>
      </c>
      <c r="E523" s="42" t="inlineStr"/>
      <c r="F523" s="43" t="n">
        <v>4108</v>
      </c>
      <c r="G523" s="43" t="n">
        <v>8095</v>
      </c>
      <c r="H523" s="43" t="n">
        <v>12448</v>
      </c>
      <c r="I523" s="43" t="n">
        <v>4079</v>
      </c>
      <c r="J523" s="43" t="n">
        <v>7783</v>
      </c>
      <c r="K523" s="42" t="inlineStr">
        <is>
          <t>Governor</t>
        </is>
      </c>
      <c r="L523" s="43" t="n">
        <v>3287</v>
      </c>
      <c r="M523" s="43" t="n">
        <v>5855</v>
      </c>
      <c r="N523" s="43" t="n">
        <v>9421</v>
      </c>
      <c r="O523" s="44">
        <f>IFERROR((F523-G523)/(F523+G523),"")</f>
        <v/>
      </c>
      <c r="P523" s="44">
        <f>IFERROR((I523-J523)/(I523+J523),"")</f>
        <v/>
      </c>
      <c r="Q523" s="45">
        <f>IFERROR(O523-P523,"")</f>
        <v/>
      </c>
      <c r="R523" s="44">
        <f>IFERROR((L523-M523)/(L523+M523),"")</f>
        <v/>
      </c>
      <c r="S523" s="46">
        <f>H523/SUMIFS(Counties!$H$2:$H$1583,Counties!$A$2:$A$1583,$A523)</f>
        <v/>
      </c>
      <c r="T523" s="44">
        <f>O523+INDEX(Dashboard!$F$6:$F$22,MATCH($A523,Dashboard!$A$6:$A$22,0))</f>
        <v/>
      </c>
      <c r="U523" s="43">
        <f>AQ523*INDEX(Dashboard!$G$6:$G$22,MATCH($A523,Dashboard!$A$6:$A$22,0))</f>
        <v/>
      </c>
      <c r="V523" s="47" t="n"/>
      <c r="W523" s="47" t="n"/>
      <c r="X523" s="47" t="n"/>
      <c r="Y523" s="48" t="n"/>
      <c r="Z523" s="49" t="n"/>
      <c r="AA523" s="49" t="n"/>
      <c r="AB523" s="49" t="n"/>
      <c r="AC523" s="50" t="n"/>
      <c r="AD523" s="43">
        <f>IF(Z523&lt;&gt;"",Z523,N(V523))</f>
        <v/>
      </c>
      <c r="AE523" s="43">
        <f>IF(AA523&lt;&gt;"",AA523,N(W523))</f>
        <v/>
      </c>
      <c r="AF523" s="43">
        <f>AD523+AE523</f>
        <v/>
      </c>
      <c r="AG523" s="42">
        <f>IF(UPPER(AC523)="Y",1,IF(AF523=0,0,IF(AND(Z523="",Y523&lt;&gt;""),IF(Y523&gt;=0.999,1,0),IF(AF523&gt;=U523,1,0))))</f>
        <v/>
      </c>
      <c r="AH523" s="44">
        <f>IF(AF523&gt;0,(AD523-AE523)/AF523,"")</f>
        <v/>
      </c>
      <c r="AI523" s="45">
        <f>IF(AG523=1,AH523-O523,"")</f>
        <v/>
      </c>
      <c r="AJ523" s="44">
        <f>IF(AG523=1,AH523,MAX(-1,MIN(1,O523+INDEX(Types!$H:$H,MATCH($A523&amp;"|"&amp;$D523,Types!$A:$A,0)))))</f>
        <v/>
      </c>
      <c r="AK523" s="43">
        <f>IF(AG523=1,AF523,MAX(AQ523*AS523,AF523))</f>
        <v/>
      </c>
      <c r="AL523" s="43">
        <f>IF(AG523=1,AD523,AK523*(1+AJ523)/2)</f>
        <v/>
      </c>
      <c r="AM523" s="43">
        <f>IF(AG523=1,AE523,AK523*(1-AJ523)/2)</f>
        <v/>
      </c>
      <c r="AN523" s="45">
        <f>IF(AH523="","",AH523-T523)</f>
        <v/>
      </c>
      <c r="AO523" s="51">
        <f>IF(AG523=1,1,IF(U523&gt;0,MIN(AF523/U523,0.99),0))</f>
        <v/>
      </c>
      <c r="AP523" s="43">
        <f>IF(AG523=1,AI523*AF523,0)</f>
        <v/>
      </c>
      <c r="AQ523" s="43">
        <f>N523*(F523+G523)/H523</f>
        <v/>
      </c>
      <c r="AR523" s="43">
        <f>O523*AQ523</f>
        <v/>
      </c>
      <c r="AS523" s="52">
        <f>IF(AG523=1,IF(AQ523&gt;0,AF523/AQ523,1),IFERROR(INDEX(Types!$K:$K,MATCH($A523&amp;"|"&amp;$D523,Types!$A:$A,0)),INDEX(Dashboard!$X$6:$X$22,MATCH($A523,Dashboard!$A$6:$A$22,0))))</f>
        <v/>
      </c>
      <c r="AT523" s="43">
        <f>AQ523*INDEX(Dashboard!$Y$6:$Y$22,MATCH($A523,Dashboard!$A$6:$A$22,0))</f>
        <v/>
      </c>
      <c r="AU523" s="53">
        <f>IF(AND(AG523=1,AT523&gt;0,AF523&gt;0),100*AF523/AT523,"")</f>
        <v/>
      </c>
      <c r="AV523" s="44">
        <f>IF(AU523="","",T523/(AU523/100))</f>
        <v/>
      </c>
      <c r="AW523" s="53">
        <f>IF(AU523="","",IF(AND(ABS(AH523)&gt;=0.1,ABS(T523)&gt;=0.05,SIGN(AH523)=SIGN(T523)),100*T523/AH523,""))</f>
        <v/>
      </c>
      <c r="AX523" s="45">
        <f>IF(AU523="","",T523-AV523)</f>
        <v/>
      </c>
      <c r="AY523" s="45">
        <f>IF(AU523="","",AH523-AV523)</f>
        <v/>
      </c>
      <c r="AZ523" s="54">
        <f>(AL523-AM523)-T523*AT523</f>
        <v/>
      </c>
      <c r="BA523" s="43">
        <f>IF(AU523="",0,(AH523-T523)*AF523)</f>
        <v/>
      </c>
      <c r="BB523" s="43">
        <f>IF(AU523="",0,T523*(AF523-AT523))</f>
        <v/>
      </c>
      <c r="BC523" s="51" t="n">
        <v>0.008203717754172989</v>
      </c>
      <c r="BD523" s="51" t="n">
        <v>0.05429628224582701</v>
      </c>
      <c r="BE523" s="51" t="n">
        <v>0.297459320582358</v>
      </c>
      <c r="BF523" s="43" t="n">
        <v>21088</v>
      </c>
    </row>
    <row r="524">
      <c r="A524" s="42" t="inlineStr">
        <is>
          <t>MN</t>
        </is>
      </c>
      <c r="B524" s="42" t="inlineStr">
        <is>
          <t>27041</t>
        </is>
      </c>
      <c r="C524" s="42" t="inlineStr">
        <is>
          <t>Douglas</t>
        </is>
      </c>
      <c r="D524" s="42" t="inlineStr">
        <is>
          <t>Small town &amp; rural</t>
        </is>
      </c>
      <c r="E524" s="42" t="inlineStr"/>
      <c r="F524" s="43" t="n">
        <v>7938</v>
      </c>
      <c r="G524" s="43" t="n">
        <v>16726</v>
      </c>
      <c r="H524" s="43" t="n">
        <v>25019</v>
      </c>
      <c r="I524" s="43" t="n">
        <v>7868</v>
      </c>
      <c r="J524" s="43" t="n">
        <v>15799</v>
      </c>
      <c r="K524" s="42" t="inlineStr">
        <is>
          <t>Governor</t>
        </is>
      </c>
      <c r="L524" s="43" t="n">
        <v>6358</v>
      </c>
      <c r="M524" s="43" t="n">
        <v>12797</v>
      </c>
      <c r="N524" s="43" t="n">
        <v>19710</v>
      </c>
      <c r="O524" s="44">
        <f>IFERROR((F524-G524)/(F524+G524),"")</f>
        <v/>
      </c>
      <c r="P524" s="44">
        <f>IFERROR((I524-J524)/(I524+J524),"")</f>
        <v/>
      </c>
      <c r="Q524" s="45">
        <f>IFERROR(O524-P524,"")</f>
        <v/>
      </c>
      <c r="R524" s="44">
        <f>IFERROR((L524-M524)/(L524+M524),"")</f>
        <v/>
      </c>
      <c r="S524" s="46">
        <f>H524/SUMIFS(Counties!$H$2:$H$1583,Counties!$A$2:$A$1583,$A524)</f>
        <v/>
      </c>
      <c r="T524" s="44">
        <f>O524+INDEX(Dashboard!$F$6:$F$22,MATCH($A524,Dashboard!$A$6:$A$22,0))</f>
        <v/>
      </c>
      <c r="U524" s="43">
        <f>AQ524*INDEX(Dashboard!$G$6:$G$22,MATCH($A524,Dashboard!$A$6:$A$22,0))</f>
        <v/>
      </c>
      <c r="V524" s="47" t="n"/>
      <c r="W524" s="47" t="n"/>
      <c r="X524" s="47" t="n"/>
      <c r="Y524" s="48" t="n"/>
      <c r="Z524" s="49" t="n"/>
      <c r="AA524" s="49" t="n"/>
      <c r="AB524" s="49" t="n"/>
      <c r="AC524" s="50" t="n"/>
      <c r="AD524" s="43">
        <f>IF(Z524&lt;&gt;"",Z524,N(V524))</f>
        <v/>
      </c>
      <c r="AE524" s="43">
        <f>IF(AA524&lt;&gt;"",AA524,N(W524))</f>
        <v/>
      </c>
      <c r="AF524" s="43">
        <f>AD524+AE524</f>
        <v/>
      </c>
      <c r="AG524" s="42">
        <f>IF(UPPER(AC524)="Y",1,IF(AF524=0,0,IF(AND(Z524="",Y524&lt;&gt;""),IF(Y524&gt;=0.999,1,0),IF(AF524&gt;=U524,1,0))))</f>
        <v/>
      </c>
      <c r="AH524" s="44">
        <f>IF(AF524&gt;0,(AD524-AE524)/AF524,"")</f>
        <v/>
      </c>
      <c r="AI524" s="45">
        <f>IF(AG524=1,AH524-O524,"")</f>
        <v/>
      </c>
      <c r="AJ524" s="44">
        <f>IF(AG524=1,AH524,MAX(-1,MIN(1,O524+INDEX(Types!$H:$H,MATCH($A524&amp;"|"&amp;$D524,Types!$A:$A,0)))))</f>
        <v/>
      </c>
      <c r="AK524" s="43">
        <f>IF(AG524=1,AF524,MAX(AQ524*AS524,AF524))</f>
        <v/>
      </c>
      <c r="AL524" s="43">
        <f>IF(AG524=1,AD524,AK524*(1+AJ524)/2)</f>
        <v/>
      </c>
      <c r="AM524" s="43">
        <f>IF(AG524=1,AE524,AK524*(1-AJ524)/2)</f>
        <v/>
      </c>
      <c r="AN524" s="45">
        <f>IF(AH524="","",AH524-T524)</f>
        <v/>
      </c>
      <c r="AO524" s="51">
        <f>IF(AG524=1,1,IF(U524&gt;0,MIN(AF524/U524,0.99),0))</f>
        <v/>
      </c>
      <c r="AP524" s="43">
        <f>IF(AG524=1,AI524*AF524,0)</f>
        <v/>
      </c>
      <c r="AQ524" s="43">
        <f>N524*(F524+G524)/H524</f>
        <v/>
      </c>
      <c r="AR524" s="43">
        <f>O524*AQ524</f>
        <v/>
      </c>
      <c r="AS524" s="52">
        <f>IF(AG524=1,IF(AQ524&gt;0,AF524/AQ524,1),IFERROR(INDEX(Types!$K:$K,MATCH($A524&amp;"|"&amp;$D524,Types!$A:$A,0)),INDEX(Dashboard!$X$6:$X$22,MATCH($A524,Dashboard!$A$6:$A$22,0))))</f>
        <v/>
      </c>
      <c r="AT524" s="43">
        <f>AQ524*INDEX(Dashboard!$Y$6:$Y$22,MATCH($A524,Dashboard!$A$6:$A$22,0))</f>
        <v/>
      </c>
      <c r="AU524" s="53">
        <f>IF(AND(AG524=1,AT524&gt;0,AF524&gt;0),100*AF524/AT524,"")</f>
        <v/>
      </c>
      <c r="AV524" s="44">
        <f>IF(AU524="","",T524/(AU524/100))</f>
        <v/>
      </c>
      <c r="AW524" s="53">
        <f>IF(AU524="","",IF(AND(ABS(AH524)&gt;=0.1,ABS(T524)&gt;=0.05,SIGN(AH524)=SIGN(T524)),100*T524/AH524,""))</f>
        <v/>
      </c>
      <c r="AX524" s="45">
        <f>IF(AU524="","",T524-AV524)</f>
        <v/>
      </c>
      <c r="AY524" s="45">
        <f>IF(AU524="","",AH524-AV524)</f>
        <v/>
      </c>
      <c r="AZ524" s="54">
        <f>(AL524-AM524)-T524*AT524</f>
        <v/>
      </c>
      <c r="BA524" s="43">
        <f>IF(AU524="",0,(AH524-T524)*AF524)</f>
        <v/>
      </c>
      <c r="BB524" s="43">
        <f>IF(AU524="",0,T524*(AF524-AT524))</f>
        <v/>
      </c>
      <c r="BC524" s="51" t="n">
        <v>0.006958175856631542</v>
      </c>
      <c r="BD524" s="51" t="n">
        <v>0.02410332140264811</v>
      </c>
      <c r="BE524" s="51" t="n">
        <v>0.2903626428216592</v>
      </c>
      <c r="BF524" s="43" t="n">
        <v>39953</v>
      </c>
    </row>
    <row r="525">
      <c r="A525" s="42" t="inlineStr">
        <is>
          <t>MN</t>
        </is>
      </c>
      <c r="B525" s="42" t="inlineStr">
        <is>
          <t>27043</t>
        </is>
      </c>
      <c r="C525" s="42" t="inlineStr">
        <is>
          <t>Faribault</t>
        </is>
      </c>
      <c r="D525" s="42" t="inlineStr">
        <is>
          <t>Small town &amp; rural</t>
        </is>
      </c>
      <c r="E525" s="42" t="inlineStr"/>
      <c r="F525" s="43" t="n">
        <v>2352</v>
      </c>
      <c r="G525" s="43" t="n">
        <v>5247</v>
      </c>
      <c r="H525" s="43" t="n">
        <v>7739</v>
      </c>
      <c r="I525" s="43" t="n">
        <v>2531</v>
      </c>
      <c r="J525" s="43" t="n">
        <v>5191</v>
      </c>
      <c r="K525" s="42" t="inlineStr">
        <is>
          <t>Governor</t>
        </is>
      </c>
      <c r="L525" s="43" t="n">
        <v>2000</v>
      </c>
      <c r="M525" s="43" t="n">
        <v>3846</v>
      </c>
      <c r="N525" s="43" t="n">
        <v>6028</v>
      </c>
      <c r="O525" s="44">
        <f>IFERROR((F525-G525)/(F525+G525),"")</f>
        <v/>
      </c>
      <c r="P525" s="44">
        <f>IFERROR((I525-J525)/(I525+J525),"")</f>
        <v/>
      </c>
      <c r="Q525" s="45">
        <f>IFERROR(O525-P525,"")</f>
        <v/>
      </c>
      <c r="R525" s="44">
        <f>IFERROR((L525-M525)/(L525+M525),"")</f>
        <v/>
      </c>
      <c r="S525" s="46">
        <f>H525/SUMIFS(Counties!$H$2:$H$1583,Counties!$A$2:$A$1583,$A525)</f>
        <v/>
      </c>
      <c r="T525" s="44">
        <f>O525+INDEX(Dashboard!$F$6:$F$22,MATCH($A525,Dashboard!$A$6:$A$22,0))</f>
        <v/>
      </c>
      <c r="U525" s="43">
        <f>AQ525*INDEX(Dashboard!$G$6:$G$22,MATCH($A525,Dashboard!$A$6:$A$22,0))</f>
        <v/>
      </c>
      <c r="V525" s="47" t="n"/>
      <c r="W525" s="47" t="n"/>
      <c r="X525" s="47" t="n"/>
      <c r="Y525" s="48" t="n"/>
      <c r="Z525" s="49" t="n"/>
      <c r="AA525" s="49" t="n"/>
      <c r="AB525" s="49" t="n"/>
      <c r="AC525" s="50" t="n"/>
      <c r="AD525" s="43">
        <f>IF(Z525&lt;&gt;"",Z525,N(V525))</f>
        <v/>
      </c>
      <c r="AE525" s="43">
        <f>IF(AA525&lt;&gt;"",AA525,N(W525))</f>
        <v/>
      </c>
      <c r="AF525" s="43">
        <f>AD525+AE525</f>
        <v/>
      </c>
      <c r="AG525" s="42">
        <f>IF(UPPER(AC525)="Y",1,IF(AF525=0,0,IF(AND(Z525="",Y525&lt;&gt;""),IF(Y525&gt;=0.999,1,0),IF(AF525&gt;=U525,1,0))))</f>
        <v/>
      </c>
      <c r="AH525" s="44">
        <f>IF(AF525&gt;0,(AD525-AE525)/AF525,"")</f>
        <v/>
      </c>
      <c r="AI525" s="45">
        <f>IF(AG525=1,AH525-O525,"")</f>
        <v/>
      </c>
      <c r="AJ525" s="44">
        <f>IF(AG525=1,AH525,MAX(-1,MIN(1,O525+INDEX(Types!$H:$H,MATCH($A525&amp;"|"&amp;$D525,Types!$A:$A,0)))))</f>
        <v/>
      </c>
      <c r="AK525" s="43">
        <f>IF(AG525=1,AF525,MAX(AQ525*AS525,AF525))</f>
        <v/>
      </c>
      <c r="AL525" s="43">
        <f>IF(AG525=1,AD525,AK525*(1+AJ525)/2)</f>
        <v/>
      </c>
      <c r="AM525" s="43">
        <f>IF(AG525=1,AE525,AK525*(1-AJ525)/2)</f>
        <v/>
      </c>
      <c r="AN525" s="45">
        <f>IF(AH525="","",AH525-T525)</f>
        <v/>
      </c>
      <c r="AO525" s="51">
        <f>IF(AG525=1,1,IF(U525&gt;0,MIN(AF525/U525,0.99),0))</f>
        <v/>
      </c>
      <c r="AP525" s="43">
        <f>IF(AG525=1,AI525*AF525,0)</f>
        <v/>
      </c>
      <c r="AQ525" s="43">
        <f>N525*(F525+G525)/H525</f>
        <v/>
      </c>
      <c r="AR525" s="43">
        <f>O525*AQ525</f>
        <v/>
      </c>
      <c r="AS525" s="52">
        <f>IF(AG525=1,IF(AQ525&gt;0,AF525/AQ525,1),IFERROR(INDEX(Types!$K:$K,MATCH($A525&amp;"|"&amp;$D525,Types!$A:$A,0)),INDEX(Dashboard!$X$6:$X$22,MATCH($A525,Dashboard!$A$6:$A$22,0))))</f>
        <v/>
      </c>
      <c r="AT525" s="43">
        <f>AQ525*INDEX(Dashboard!$Y$6:$Y$22,MATCH($A525,Dashboard!$A$6:$A$22,0))</f>
        <v/>
      </c>
      <c r="AU525" s="53">
        <f>IF(AND(AG525=1,AT525&gt;0,AF525&gt;0),100*AF525/AT525,"")</f>
        <v/>
      </c>
      <c r="AV525" s="44">
        <f>IF(AU525="","",T525/(AU525/100))</f>
        <v/>
      </c>
      <c r="AW525" s="53">
        <f>IF(AU525="","",IF(AND(ABS(AH525)&gt;=0.1,ABS(T525)&gt;=0.05,SIGN(AH525)=SIGN(T525)),100*T525/AH525,""))</f>
        <v/>
      </c>
      <c r="AX525" s="45">
        <f>IF(AU525="","",T525-AV525)</f>
        <v/>
      </c>
      <c r="AY525" s="45">
        <f>IF(AU525="","",AH525-AV525)</f>
        <v/>
      </c>
      <c r="AZ525" s="54">
        <f>(AL525-AM525)-T525*AT525</f>
        <v/>
      </c>
      <c r="BA525" s="43">
        <f>IF(AU525="",0,(AH525-T525)*AF525)</f>
        <v/>
      </c>
      <c r="BB525" s="43">
        <f>IF(AU525="",0,T525*(AF525-AT525))</f>
        <v/>
      </c>
      <c r="BC525" s="51" t="n">
        <v>0.008866142867440351</v>
      </c>
      <c r="BD525" s="51" t="n">
        <v>0.08455272832119945</v>
      </c>
      <c r="BE525" s="51" t="n">
        <v>0.2156051276874937</v>
      </c>
      <c r="BF525" s="43" t="n">
        <v>13873</v>
      </c>
    </row>
    <row r="526">
      <c r="A526" s="42" t="inlineStr">
        <is>
          <t>MN</t>
        </is>
      </c>
      <c r="B526" s="42" t="inlineStr">
        <is>
          <t>27045</t>
        </is>
      </c>
      <c r="C526" s="42" t="inlineStr">
        <is>
          <t>Fillmore</t>
        </is>
      </c>
      <c r="D526" s="42" t="inlineStr">
        <is>
          <t>Small town &amp; rural</t>
        </is>
      </c>
      <c r="E526" s="42" t="inlineStr"/>
      <c r="F526" s="43" t="n">
        <v>4491</v>
      </c>
      <c r="G526" s="43" t="n">
        <v>7638</v>
      </c>
      <c r="H526" s="43" t="n">
        <v>12335</v>
      </c>
      <c r="I526" s="43" t="n">
        <v>4551</v>
      </c>
      <c r="J526" s="43" t="n">
        <v>7301</v>
      </c>
      <c r="K526" s="42" t="inlineStr">
        <is>
          <t>Governor</t>
        </is>
      </c>
      <c r="L526" s="43" t="n">
        <v>3809</v>
      </c>
      <c r="M526" s="43" t="n">
        <v>5432</v>
      </c>
      <c r="N526" s="43" t="n">
        <v>9501</v>
      </c>
      <c r="O526" s="44">
        <f>IFERROR((F526-G526)/(F526+G526),"")</f>
        <v/>
      </c>
      <c r="P526" s="44">
        <f>IFERROR((I526-J526)/(I526+J526),"")</f>
        <v/>
      </c>
      <c r="Q526" s="45">
        <f>IFERROR(O526-P526,"")</f>
        <v/>
      </c>
      <c r="R526" s="44">
        <f>IFERROR((L526-M526)/(L526+M526),"")</f>
        <v/>
      </c>
      <c r="S526" s="46">
        <f>H526/SUMIFS(Counties!$H$2:$H$1583,Counties!$A$2:$A$1583,$A526)</f>
        <v/>
      </c>
      <c r="T526" s="44">
        <f>O526+INDEX(Dashboard!$F$6:$F$22,MATCH($A526,Dashboard!$A$6:$A$22,0))</f>
        <v/>
      </c>
      <c r="U526" s="43">
        <f>AQ526*INDEX(Dashboard!$G$6:$G$22,MATCH($A526,Dashboard!$A$6:$A$22,0))</f>
        <v/>
      </c>
      <c r="V526" s="47" t="n"/>
      <c r="W526" s="47" t="n"/>
      <c r="X526" s="47" t="n"/>
      <c r="Y526" s="48" t="n"/>
      <c r="Z526" s="49" t="n"/>
      <c r="AA526" s="49" t="n"/>
      <c r="AB526" s="49" t="n"/>
      <c r="AC526" s="50" t="n"/>
      <c r="AD526" s="43">
        <f>IF(Z526&lt;&gt;"",Z526,N(V526))</f>
        <v/>
      </c>
      <c r="AE526" s="43">
        <f>IF(AA526&lt;&gt;"",AA526,N(W526))</f>
        <v/>
      </c>
      <c r="AF526" s="43">
        <f>AD526+AE526</f>
        <v/>
      </c>
      <c r="AG526" s="42">
        <f>IF(UPPER(AC526)="Y",1,IF(AF526=0,0,IF(AND(Z526="",Y526&lt;&gt;""),IF(Y526&gt;=0.999,1,0),IF(AF526&gt;=U526,1,0))))</f>
        <v/>
      </c>
      <c r="AH526" s="44">
        <f>IF(AF526&gt;0,(AD526-AE526)/AF526,"")</f>
        <v/>
      </c>
      <c r="AI526" s="45">
        <f>IF(AG526=1,AH526-O526,"")</f>
        <v/>
      </c>
      <c r="AJ526" s="44">
        <f>IF(AG526=1,AH526,MAX(-1,MIN(1,O526+INDEX(Types!$H:$H,MATCH($A526&amp;"|"&amp;$D526,Types!$A:$A,0)))))</f>
        <v/>
      </c>
      <c r="AK526" s="43">
        <f>IF(AG526=1,AF526,MAX(AQ526*AS526,AF526))</f>
        <v/>
      </c>
      <c r="AL526" s="43">
        <f>IF(AG526=1,AD526,AK526*(1+AJ526)/2)</f>
        <v/>
      </c>
      <c r="AM526" s="43">
        <f>IF(AG526=1,AE526,AK526*(1-AJ526)/2)</f>
        <v/>
      </c>
      <c r="AN526" s="45">
        <f>IF(AH526="","",AH526-T526)</f>
        <v/>
      </c>
      <c r="AO526" s="51">
        <f>IF(AG526=1,1,IF(U526&gt;0,MIN(AF526/U526,0.99),0))</f>
        <v/>
      </c>
      <c r="AP526" s="43">
        <f>IF(AG526=1,AI526*AF526,0)</f>
        <v/>
      </c>
      <c r="AQ526" s="43">
        <f>N526*(F526+G526)/H526</f>
        <v/>
      </c>
      <c r="AR526" s="43">
        <f>O526*AQ526</f>
        <v/>
      </c>
      <c r="AS526" s="52">
        <f>IF(AG526=1,IF(AQ526&gt;0,AF526/AQ526,1),IFERROR(INDEX(Types!$K:$K,MATCH($A526&amp;"|"&amp;$D526,Types!$A:$A,0)),INDEX(Dashboard!$X$6:$X$22,MATCH($A526,Dashboard!$A$6:$A$22,0))))</f>
        <v/>
      </c>
      <c r="AT526" s="43">
        <f>AQ526*INDEX(Dashboard!$Y$6:$Y$22,MATCH($A526,Dashboard!$A$6:$A$22,0))</f>
        <v/>
      </c>
      <c r="AU526" s="53">
        <f>IF(AND(AG526=1,AT526&gt;0,AF526&gt;0),100*AF526/AT526,"")</f>
        <v/>
      </c>
      <c r="AV526" s="44">
        <f>IF(AU526="","",T526/(AU526/100))</f>
        <v/>
      </c>
      <c r="AW526" s="53">
        <f>IF(AU526="","",IF(AND(ABS(AH526)&gt;=0.1,ABS(T526)&gt;=0.05,SIGN(AH526)=SIGN(T526)),100*T526/AH526,""))</f>
        <v/>
      </c>
      <c r="AX526" s="45">
        <f>IF(AU526="","",T526-AV526)</f>
        <v/>
      </c>
      <c r="AY526" s="45">
        <f>IF(AU526="","",AH526-AV526)</f>
        <v/>
      </c>
      <c r="AZ526" s="54">
        <f>(AL526-AM526)-T526*AT526</f>
        <v/>
      </c>
      <c r="BA526" s="43">
        <f>IF(AU526="",0,(AH526-T526)*AF526)</f>
        <v/>
      </c>
      <c r="BB526" s="43">
        <f>IF(AU526="",0,T526*(AF526-AT526))</f>
        <v/>
      </c>
      <c r="BC526" s="51" t="n">
        <v>0.006272651240591023</v>
      </c>
      <c r="BD526" s="51" t="n">
        <v>0.02049066071926401</v>
      </c>
      <c r="BE526" s="51" t="n">
        <v>0.2372546346782988</v>
      </c>
      <c r="BF526" s="43" t="n">
        <v>21522</v>
      </c>
    </row>
    <row r="527">
      <c r="A527" s="42" t="inlineStr">
        <is>
          <t>MN</t>
        </is>
      </c>
      <c r="B527" s="42" t="inlineStr">
        <is>
          <t>27047</t>
        </is>
      </c>
      <c r="C527" s="42" t="inlineStr">
        <is>
          <t>Freeborn</t>
        </is>
      </c>
      <c r="D527" s="42" t="inlineStr">
        <is>
          <t>Small town &amp; rural</t>
        </is>
      </c>
      <c r="E527" s="42" t="inlineStr"/>
      <c r="F527" s="43" t="n">
        <v>6448</v>
      </c>
      <c r="G527" s="43" t="n">
        <v>10003</v>
      </c>
      <c r="H527" s="43" t="n">
        <v>16670</v>
      </c>
      <c r="I527" s="43" t="n">
        <v>6889</v>
      </c>
      <c r="J527" s="43" t="n">
        <v>9578</v>
      </c>
      <c r="K527" s="42" t="inlineStr">
        <is>
          <t>Governor</t>
        </is>
      </c>
      <c r="L527" s="43" t="n">
        <v>5350</v>
      </c>
      <c r="M527" s="43" t="n">
        <v>7262</v>
      </c>
      <c r="N527" s="43" t="n">
        <v>13034</v>
      </c>
      <c r="O527" s="44">
        <f>IFERROR((F527-G527)/(F527+G527),"")</f>
        <v/>
      </c>
      <c r="P527" s="44">
        <f>IFERROR((I527-J527)/(I527+J527),"")</f>
        <v/>
      </c>
      <c r="Q527" s="45">
        <f>IFERROR(O527-P527,"")</f>
        <v/>
      </c>
      <c r="R527" s="44">
        <f>IFERROR((L527-M527)/(L527+M527),"")</f>
        <v/>
      </c>
      <c r="S527" s="46">
        <f>H527/SUMIFS(Counties!$H$2:$H$1583,Counties!$A$2:$A$1583,$A527)</f>
        <v/>
      </c>
      <c r="T527" s="44">
        <f>O527+INDEX(Dashboard!$F$6:$F$22,MATCH($A527,Dashboard!$A$6:$A$22,0))</f>
        <v/>
      </c>
      <c r="U527" s="43">
        <f>AQ527*INDEX(Dashboard!$G$6:$G$22,MATCH($A527,Dashboard!$A$6:$A$22,0))</f>
        <v/>
      </c>
      <c r="V527" s="47" t="n"/>
      <c r="W527" s="47" t="n"/>
      <c r="X527" s="47" t="n"/>
      <c r="Y527" s="48" t="n"/>
      <c r="Z527" s="49" t="n"/>
      <c r="AA527" s="49" t="n"/>
      <c r="AB527" s="49" t="n"/>
      <c r="AC527" s="50" t="n"/>
      <c r="AD527" s="43">
        <f>IF(Z527&lt;&gt;"",Z527,N(V527))</f>
        <v/>
      </c>
      <c r="AE527" s="43">
        <f>IF(AA527&lt;&gt;"",AA527,N(W527))</f>
        <v/>
      </c>
      <c r="AF527" s="43">
        <f>AD527+AE527</f>
        <v/>
      </c>
      <c r="AG527" s="42">
        <f>IF(UPPER(AC527)="Y",1,IF(AF527=0,0,IF(AND(Z527="",Y527&lt;&gt;""),IF(Y527&gt;=0.999,1,0),IF(AF527&gt;=U527,1,0))))</f>
        <v/>
      </c>
      <c r="AH527" s="44">
        <f>IF(AF527&gt;0,(AD527-AE527)/AF527,"")</f>
        <v/>
      </c>
      <c r="AI527" s="45">
        <f>IF(AG527=1,AH527-O527,"")</f>
        <v/>
      </c>
      <c r="AJ527" s="44">
        <f>IF(AG527=1,AH527,MAX(-1,MIN(1,O527+INDEX(Types!$H:$H,MATCH($A527&amp;"|"&amp;$D527,Types!$A:$A,0)))))</f>
        <v/>
      </c>
      <c r="AK527" s="43">
        <f>IF(AG527=1,AF527,MAX(AQ527*AS527,AF527))</f>
        <v/>
      </c>
      <c r="AL527" s="43">
        <f>IF(AG527=1,AD527,AK527*(1+AJ527)/2)</f>
        <v/>
      </c>
      <c r="AM527" s="43">
        <f>IF(AG527=1,AE527,AK527*(1-AJ527)/2)</f>
        <v/>
      </c>
      <c r="AN527" s="45">
        <f>IF(AH527="","",AH527-T527)</f>
        <v/>
      </c>
      <c r="AO527" s="51">
        <f>IF(AG527=1,1,IF(U527&gt;0,MIN(AF527/U527,0.99),0))</f>
        <v/>
      </c>
      <c r="AP527" s="43">
        <f>IF(AG527=1,AI527*AF527,0)</f>
        <v/>
      </c>
      <c r="AQ527" s="43">
        <f>N527*(F527+G527)/H527</f>
        <v/>
      </c>
      <c r="AR527" s="43">
        <f>O527*AQ527</f>
        <v/>
      </c>
      <c r="AS527" s="52">
        <f>IF(AG527=1,IF(AQ527&gt;0,AF527/AQ527,1),IFERROR(INDEX(Types!$K:$K,MATCH($A527&amp;"|"&amp;$D527,Types!$A:$A,0)),INDEX(Dashboard!$X$6:$X$22,MATCH($A527,Dashboard!$A$6:$A$22,0))))</f>
        <v/>
      </c>
      <c r="AT527" s="43">
        <f>AQ527*INDEX(Dashboard!$Y$6:$Y$22,MATCH($A527,Dashboard!$A$6:$A$22,0))</f>
        <v/>
      </c>
      <c r="AU527" s="53">
        <f>IF(AND(AG527=1,AT527&gt;0,AF527&gt;0),100*AF527/AT527,"")</f>
        <v/>
      </c>
      <c r="AV527" s="44">
        <f>IF(AU527="","",T527/(AU527/100))</f>
        <v/>
      </c>
      <c r="AW527" s="53">
        <f>IF(AU527="","",IF(AND(ABS(AH527)&gt;=0.1,ABS(T527)&gt;=0.05,SIGN(AH527)=SIGN(T527)),100*T527/AH527,""))</f>
        <v/>
      </c>
      <c r="AX527" s="45">
        <f>IF(AU527="","",T527-AV527)</f>
        <v/>
      </c>
      <c r="AY527" s="45">
        <f>IF(AU527="","",AH527-AV527)</f>
        <v/>
      </c>
      <c r="AZ527" s="54">
        <f>(AL527-AM527)-T527*AT527</f>
        <v/>
      </c>
      <c r="BA527" s="43">
        <f>IF(AU527="",0,(AH527-T527)*AF527)</f>
        <v/>
      </c>
      <c r="BB527" s="43">
        <f>IF(AU527="",0,T527*(AF527-AT527))</f>
        <v/>
      </c>
      <c r="BC527" s="51" t="n">
        <v>0.01402588890709487</v>
      </c>
      <c r="BD527" s="51" t="n">
        <v>0.1081763067343929</v>
      </c>
      <c r="BE527" s="51" t="n">
        <v>0.1808806753365275</v>
      </c>
      <c r="BF527" s="43" t="n">
        <v>30515</v>
      </c>
    </row>
    <row r="528">
      <c r="A528" s="42" t="inlineStr">
        <is>
          <t>MN</t>
        </is>
      </c>
      <c r="B528" s="42" t="inlineStr">
        <is>
          <t>27049</t>
        </is>
      </c>
      <c r="C528" s="42" t="inlineStr">
        <is>
          <t>Goodhue</t>
        </is>
      </c>
      <c r="D528" s="42" t="inlineStr">
        <is>
          <t>Small town &amp; rural</t>
        </is>
      </c>
      <c r="E528" s="42" t="inlineStr"/>
      <c r="F528" s="43" t="n">
        <v>11731</v>
      </c>
      <c r="G528" s="43" t="n">
        <v>16461</v>
      </c>
      <c r="H528" s="43" t="n">
        <v>28746</v>
      </c>
      <c r="I528" s="43" t="n">
        <v>11806</v>
      </c>
      <c r="J528" s="43" t="n">
        <v>16052</v>
      </c>
      <c r="K528" s="42" t="inlineStr">
        <is>
          <t>Governor</t>
        </is>
      </c>
      <c r="L528" s="43" t="n">
        <v>9940</v>
      </c>
      <c r="M528" s="43" t="n">
        <v>12407</v>
      </c>
      <c r="N528" s="43" t="n">
        <v>23104</v>
      </c>
      <c r="O528" s="44">
        <f>IFERROR((F528-G528)/(F528+G528),"")</f>
        <v/>
      </c>
      <c r="P528" s="44">
        <f>IFERROR((I528-J528)/(I528+J528),"")</f>
        <v/>
      </c>
      <c r="Q528" s="45">
        <f>IFERROR(O528-P528,"")</f>
        <v/>
      </c>
      <c r="R528" s="44">
        <f>IFERROR((L528-M528)/(L528+M528),"")</f>
        <v/>
      </c>
      <c r="S528" s="46">
        <f>H528/SUMIFS(Counties!$H$2:$H$1583,Counties!$A$2:$A$1583,$A528)</f>
        <v/>
      </c>
      <c r="T528" s="44">
        <f>O528+INDEX(Dashboard!$F$6:$F$22,MATCH($A528,Dashboard!$A$6:$A$22,0))</f>
        <v/>
      </c>
      <c r="U528" s="43">
        <f>AQ528*INDEX(Dashboard!$G$6:$G$22,MATCH($A528,Dashboard!$A$6:$A$22,0))</f>
        <v/>
      </c>
      <c r="V528" s="47" t="n"/>
      <c r="W528" s="47" t="n"/>
      <c r="X528" s="47" t="n"/>
      <c r="Y528" s="48" t="n"/>
      <c r="Z528" s="49" t="n"/>
      <c r="AA528" s="49" t="n"/>
      <c r="AB528" s="49" t="n"/>
      <c r="AC528" s="50" t="n"/>
      <c r="AD528" s="43">
        <f>IF(Z528&lt;&gt;"",Z528,N(V528))</f>
        <v/>
      </c>
      <c r="AE528" s="43">
        <f>IF(AA528&lt;&gt;"",AA528,N(W528))</f>
        <v/>
      </c>
      <c r="AF528" s="43">
        <f>AD528+AE528</f>
        <v/>
      </c>
      <c r="AG528" s="42">
        <f>IF(UPPER(AC528)="Y",1,IF(AF528=0,0,IF(AND(Z528="",Y528&lt;&gt;""),IF(Y528&gt;=0.999,1,0),IF(AF528&gt;=U528,1,0))))</f>
        <v/>
      </c>
      <c r="AH528" s="44">
        <f>IF(AF528&gt;0,(AD528-AE528)/AF528,"")</f>
        <v/>
      </c>
      <c r="AI528" s="45">
        <f>IF(AG528=1,AH528-O528,"")</f>
        <v/>
      </c>
      <c r="AJ528" s="44">
        <f>IF(AG528=1,AH528,MAX(-1,MIN(1,O528+INDEX(Types!$H:$H,MATCH($A528&amp;"|"&amp;$D528,Types!$A:$A,0)))))</f>
        <v/>
      </c>
      <c r="AK528" s="43">
        <f>IF(AG528=1,AF528,MAX(AQ528*AS528,AF528))</f>
        <v/>
      </c>
      <c r="AL528" s="43">
        <f>IF(AG528=1,AD528,AK528*(1+AJ528)/2)</f>
        <v/>
      </c>
      <c r="AM528" s="43">
        <f>IF(AG528=1,AE528,AK528*(1-AJ528)/2)</f>
        <v/>
      </c>
      <c r="AN528" s="45">
        <f>IF(AH528="","",AH528-T528)</f>
        <v/>
      </c>
      <c r="AO528" s="51">
        <f>IF(AG528=1,1,IF(U528&gt;0,MIN(AF528/U528,0.99),0))</f>
        <v/>
      </c>
      <c r="AP528" s="43">
        <f>IF(AG528=1,AI528*AF528,0)</f>
        <v/>
      </c>
      <c r="AQ528" s="43">
        <f>N528*(F528+G528)/H528</f>
        <v/>
      </c>
      <c r="AR528" s="43">
        <f>O528*AQ528</f>
        <v/>
      </c>
      <c r="AS528" s="52">
        <f>IF(AG528=1,IF(AQ528&gt;0,AF528/AQ528,1),IFERROR(INDEX(Types!$K:$K,MATCH($A528&amp;"|"&amp;$D528,Types!$A:$A,0)),INDEX(Dashboard!$X$6:$X$22,MATCH($A528,Dashboard!$A$6:$A$22,0))))</f>
        <v/>
      </c>
      <c r="AT528" s="43">
        <f>AQ528*INDEX(Dashboard!$Y$6:$Y$22,MATCH($A528,Dashboard!$A$6:$A$22,0))</f>
        <v/>
      </c>
      <c r="AU528" s="53">
        <f>IF(AND(AG528=1,AT528&gt;0,AF528&gt;0),100*AF528/AT528,"")</f>
        <v/>
      </c>
      <c r="AV528" s="44">
        <f>IF(AU528="","",T528/(AU528/100))</f>
        <v/>
      </c>
      <c r="AW528" s="53">
        <f>IF(AU528="","",IF(AND(ABS(AH528)&gt;=0.1,ABS(T528)&gt;=0.05,SIGN(AH528)=SIGN(T528)),100*T528/AH528,""))</f>
        <v/>
      </c>
      <c r="AX528" s="45">
        <f>IF(AU528="","",T528-AV528)</f>
        <v/>
      </c>
      <c r="AY528" s="45">
        <f>IF(AU528="","",AH528-AV528)</f>
        <v/>
      </c>
      <c r="AZ528" s="54">
        <f>(AL528-AM528)-T528*AT528</f>
        <v/>
      </c>
      <c r="BA528" s="43">
        <f>IF(AU528="",0,(AH528-T528)*AF528)</f>
        <v/>
      </c>
      <c r="BB528" s="43">
        <f>IF(AU528="",0,T528*(AF528-AT528))</f>
        <v/>
      </c>
      <c r="BC528" s="51" t="n">
        <v>0.01432288955969606</v>
      </c>
      <c r="BD528" s="51" t="n">
        <v>0.04184448839387946</v>
      </c>
      <c r="BE528" s="51" t="n">
        <v>0.2789786782895512</v>
      </c>
      <c r="BF528" s="43" t="n">
        <v>48035</v>
      </c>
    </row>
    <row r="529">
      <c r="A529" s="42" t="inlineStr">
        <is>
          <t>MN</t>
        </is>
      </c>
      <c r="B529" s="42" t="inlineStr">
        <is>
          <t>27051</t>
        </is>
      </c>
      <c r="C529" s="42" t="inlineStr">
        <is>
          <t>Grant</t>
        </is>
      </c>
      <c r="D529" s="42" t="inlineStr">
        <is>
          <t>Small town &amp; rural</t>
        </is>
      </c>
      <c r="E529" s="42" t="inlineStr"/>
      <c r="F529" s="43" t="n">
        <v>1187</v>
      </c>
      <c r="G529" s="43" t="n">
        <v>2266</v>
      </c>
      <c r="H529" s="43" t="n">
        <v>3531</v>
      </c>
      <c r="I529" s="43" t="n">
        <v>1300</v>
      </c>
      <c r="J529" s="43" t="n">
        <v>2269</v>
      </c>
      <c r="K529" s="42" t="inlineStr">
        <is>
          <t>Governor</t>
        </is>
      </c>
      <c r="L529" s="43" t="n">
        <v>1054</v>
      </c>
      <c r="M529" s="43" t="n">
        <v>1771</v>
      </c>
      <c r="N529" s="43" t="n">
        <v>2953</v>
      </c>
      <c r="O529" s="44">
        <f>IFERROR((F529-G529)/(F529+G529),"")</f>
        <v/>
      </c>
      <c r="P529" s="44">
        <f>IFERROR((I529-J529)/(I529+J529),"")</f>
        <v/>
      </c>
      <c r="Q529" s="45">
        <f>IFERROR(O529-P529,"")</f>
        <v/>
      </c>
      <c r="R529" s="44">
        <f>IFERROR((L529-M529)/(L529+M529),"")</f>
        <v/>
      </c>
      <c r="S529" s="46">
        <f>H529/SUMIFS(Counties!$H$2:$H$1583,Counties!$A$2:$A$1583,$A529)</f>
        <v/>
      </c>
      <c r="T529" s="44">
        <f>O529+INDEX(Dashboard!$F$6:$F$22,MATCH($A529,Dashboard!$A$6:$A$22,0))</f>
        <v/>
      </c>
      <c r="U529" s="43">
        <f>AQ529*INDEX(Dashboard!$G$6:$G$22,MATCH($A529,Dashboard!$A$6:$A$22,0))</f>
        <v/>
      </c>
      <c r="V529" s="47" t="n"/>
      <c r="W529" s="47" t="n"/>
      <c r="X529" s="47" t="n"/>
      <c r="Y529" s="48" t="n"/>
      <c r="Z529" s="49" t="n"/>
      <c r="AA529" s="49" t="n"/>
      <c r="AB529" s="49" t="n"/>
      <c r="AC529" s="50" t="n"/>
      <c r="AD529" s="43">
        <f>IF(Z529&lt;&gt;"",Z529,N(V529))</f>
        <v/>
      </c>
      <c r="AE529" s="43">
        <f>IF(AA529&lt;&gt;"",AA529,N(W529))</f>
        <v/>
      </c>
      <c r="AF529" s="43">
        <f>AD529+AE529</f>
        <v/>
      </c>
      <c r="AG529" s="42">
        <f>IF(UPPER(AC529)="Y",1,IF(AF529=0,0,IF(AND(Z529="",Y529&lt;&gt;""),IF(Y529&gt;=0.999,1,0),IF(AF529&gt;=U529,1,0))))</f>
        <v/>
      </c>
      <c r="AH529" s="44">
        <f>IF(AF529&gt;0,(AD529-AE529)/AF529,"")</f>
        <v/>
      </c>
      <c r="AI529" s="45">
        <f>IF(AG529=1,AH529-O529,"")</f>
        <v/>
      </c>
      <c r="AJ529" s="44">
        <f>IF(AG529=1,AH529,MAX(-1,MIN(1,O529+INDEX(Types!$H:$H,MATCH($A529&amp;"|"&amp;$D529,Types!$A:$A,0)))))</f>
        <v/>
      </c>
      <c r="AK529" s="43">
        <f>IF(AG529=1,AF529,MAX(AQ529*AS529,AF529))</f>
        <v/>
      </c>
      <c r="AL529" s="43">
        <f>IF(AG529=1,AD529,AK529*(1+AJ529)/2)</f>
        <v/>
      </c>
      <c r="AM529" s="43">
        <f>IF(AG529=1,AE529,AK529*(1-AJ529)/2)</f>
        <v/>
      </c>
      <c r="AN529" s="45">
        <f>IF(AH529="","",AH529-T529)</f>
        <v/>
      </c>
      <c r="AO529" s="51">
        <f>IF(AG529=1,1,IF(U529&gt;0,MIN(AF529/U529,0.99),0))</f>
        <v/>
      </c>
      <c r="AP529" s="43">
        <f>IF(AG529=1,AI529*AF529,0)</f>
        <v/>
      </c>
      <c r="AQ529" s="43">
        <f>N529*(F529+G529)/H529</f>
        <v/>
      </c>
      <c r="AR529" s="43">
        <f>O529*AQ529</f>
        <v/>
      </c>
      <c r="AS529" s="52">
        <f>IF(AG529=1,IF(AQ529&gt;0,AF529/AQ529,1),IFERROR(INDEX(Types!$K:$K,MATCH($A529&amp;"|"&amp;$D529,Types!$A:$A,0)),INDEX(Dashboard!$X$6:$X$22,MATCH($A529,Dashboard!$A$6:$A$22,0))))</f>
        <v/>
      </c>
      <c r="AT529" s="43">
        <f>AQ529*INDEX(Dashboard!$Y$6:$Y$22,MATCH($A529,Dashboard!$A$6:$A$22,0))</f>
        <v/>
      </c>
      <c r="AU529" s="53">
        <f>IF(AND(AG529=1,AT529&gt;0,AF529&gt;0),100*AF529/AT529,"")</f>
        <v/>
      </c>
      <c r="AV529" s="44">
        <f>IF(AU529="","",T529/(AU529/100))</f>
        <v/>
      </c>
      <c r="AW529" s="53">
        <f>IF(AU529="","",IF(AND(ABS(AH529)&gt;=0.1,ABS(T529)&gt;=0.05,SIGN(AH529)=SIGN(T529)),100*T529/AH529,""))</f>
        <v/>
      </c>
      <c r="AX529" s="45">
        <f>IF(AU529="","",T529-AV529)</f>
        <v/>
      </c>
      <c r="AY529" s="45">
        <f>IF(AU529="","",AH529-AV529)</f>
        <v/>
      </c>
      <c r="AZ529" s="54">
        <f>(AL529-AM529)-T529*AT529</f>
        <v/>
      </c>
      <c r="BA529" s="43">
        <f>IF(AU529="",0,(AH529-T529)*AF529)</f>
        <v/>
      </c>
      <c r="BB529" s="43">
        <f>IF(AU529="",0,T529*(AF529-AT529))</f>
        <v/>
      </c>
      <c r="BC529" s="51" t="n">
        <v>0.00798175598631699</v>
      </c>
      <c r="BD529" s="51" t="n">
        <v>0.02801759244176576</v>
      </c>
      <c r="BE529" s="51" t="n">
        <v>0.1905202312138728</v>
      </c>
      <c r="BF529" s="43" t="n">
        <v>6139</v>
      </c>
    </row>
    <row r="530">
      <c r="A530" s="42" t="inlineStr">
        <is>
          <t>MN</t>
        </is>
      </c>
      <c r="B530" s="42" t="inlineStr">
        <is>
          <t>27053</t>
        </is>
      </c>
      <c r="C530" s="42" t="inlineStr">
        <is>
          <t>Hennepin</t>
        </is>
      </c>
      <c r="D530" s="42" t="inlineStr">
        <is>
          <t>Big metro core</t>
        </is>
      </c>
      <c r="E530" s="42" t="inlineStr">
        <is>
          <t>★</t>
        </is>
      </c>
      <c r="F530" s="43" t="n">
        <v>502710</v>
      </c>
      <c r="G530" s="43" t="n">
        <v>197244</v>
      </c>
      <c r="H530" s="43" t="n">
        <v>716591</v>
      </c>
      <c r="I530" s="43" t="n">
        <v>532623</v>
      </c>
      <c r="J530" s="43" t="n">
        <v>205973</v>
      </c>
      <c r="K530" s="42" t="inlineStr">
        <is>
          <t>Governor</t>
        </is>
      </c>
      <c r="L530" s="43" t="n">
        <v>405013</v>
      </c>
      <c r="M530" s="43" t="n">
        <v>154393</v>
      </c>
      <c r="N530" s="43" t="n">
        <v>575529</v>
      </c>
      <c r="O530" s="44">
        <f>IFERROR((F530-G530)/(F530+G530),"")</f>
        <v/>
      </c>
      <c r="P530" s="44">
        <f>IFERROR((I530-J530)/(I530+J530),"")</f>
        <v/>
      </c>
      <c r="Q530" s="45">
        <f>IFERROR(O530-P530,"")</f>
        <v/>
      </c>
      <c r="R530" s="44">
        <f>IFERROR((L530-M530)/(L530+M530),"")</f>
        <v/>
      </c>
      <c r="S530" s="46">
        <f>H530/SUMIFS(Counties!$H$2:$H$1583,Counties!$A$2:$A$1583,$A530)</f>
        <v/>
      </c>
      <c r="T530" s="44">
        <f>O530+INDEX(Dashboard!$F$6:$F$22,MATCH($A530,Dashboard!$A$6:$A$22,0))</f>
        <v/>
      </c>
      <c r="U530" s="43">
        <f>AQ530*INDEX(Dashboard!$G$6:$G$22,MATCH($A530,Dashboard!$A$6:$A$22,0))</f>
        <v/>
      </c>
      <c r="V530" s="47" t="n"/>
      <c r="W530" s="47" t="n"/>
      <c r="X530" s="47" t="n"/>
      <c r="Y530" s="48" t="n"/>
      <c r="Z530" s="49" t="n"/>
      <c r="AA530" s="49" t="n"/>
      <c r="AB530" s="49" t="n"/>
      <c r="AC530" s="50" t="n"/>
      <c r="AD530" s="43">
        <f>IF(Z530&lt;&gt;"",Z530,N(V530))</f>
        <v/>
      </c>
      <c r="AE530" s="43">
        <f>IF(AA530&lt;&gt;"",AA530,N(W530))</f>
        <v/>
      </c>
      <c r="AF530" s="43">
        <f>AD530+AE530</f>
        <v/>
      </c>
      <c r="AG530" s="42">
        <f>IF(UPPER(AC530)="Y",1,IF(AF530=0,0,IF(AND(Z530="",Y530&lt;&gt;""),IF(Y530&gt;=0.999,1,0),IF(AF530&gt;=U530,1,0))))</f>
        <v/>
      </c>
      <c r="AH530" s="44">
        <f>IF(AF530&gt;0,(AD530-AE530)/AF530,"")</f>
        <v/>
      </c>
      <c r="AI530" s="45">
        <f>IF(AG530=1,AH530-O530,"")</f>
        <v/>
      </c>
      <c r="AJ530" s="44">
        <f>IF(AG530=1,AH530,MAX(-1,MIN(1,O530+INDEX(Types!$H:$H,MATCH($A530&amp;"|"&amp;$D530,Types!$A:$A,0)))))</f>
        <v/>
      </c>
      <c r="AK530" s="43">
        <f>IF(AG530=1,AF530,MAX(AQ530*AS530,AF530))</f>
        <v/>
      </c>
      <c r="AL530" s="43">
        <f>IF(AG530=1,AD530,AK530*(1+AJ530)/2)</f>
        <v/>
      </c>
      <c r="AM530" s="43">
        <f>IF(AG530=1,AE530,AK530*(1-AJ530)/2)</f>
        <v/>
      </c>
      <c r="AN530" s="45">
        <f>IF(AH530="","",AH530-T530)</f>
        <v/>
      </c>
      <c r="AO530" s="51">
        <f>IF(AG530=1,1,IF(U530&gt;0,MIN(AF530/U530,0.99),0))</f>
        <v/>
      </c>
      <c r="AP530" s="43">
        <f>IF(AG530=1,AI530*AF530,0)</f>
        <v/>
      </c>
      <c r="AQ530" s="43">
        <f>N530*(F530+G530)/H530</f>
        <v/>
      </c>
      <c r="AR530" s="43">
        <f>O530*AQ530</f>
        <v/>
      </c>
      <c r="AS530" s="52">
        <f>IF(AG530=1,IF(AQ530&gt;0,AF530/AQ530,1),IFERROR(INDEX(Types!$K:$K,MATCH($A530&amp;"|"&amp;$D530,Types!$A:$A,0)),INDEX(Dashboard!$X$6:$X$22,MATCH($A530,Dashboard!$A$6:$A$22,0))))</f>
        <v/>
      </c>
      <c r="AT530" s="43">
        <f>AQ530*INDEX(Dashboard!$Y$6:$Y$22,MATCH($A530,Dashboard!$A$6:$A$22,0))</f>
        <v/>
      </c>
      <c r="AU530" s="53">
        <f>IF(AND(AG530=1,AT530&gt;0,AF530&gt;0),100*AF530/AT530,"")</f>
        <v/>
      </c>
      <c r="AV530" s="44">
        <f>IF(AU530="","",T530/(AU530/100))</f>
        <v/>
      </c>
      <c r="AW530" s="53">
        <f>IF(AU530="","",IF(AND(ABS(AH530)&gt;=0.1,ABS(T530)&gt;=0.05,SIGN(AH530)=SIGN(T530)),100*T530/AH530,""))</f>
        <v/>
      </c>
      <c r="AX530" s="45">
        <f>IF(AU530="","",T530-AV530)</f>
        <v/>
      </c>
      <c r="AY530" s="45">
        <f>IF(AU530="","",AH530-AV530)</f>
        <v/>
      </c>
      <c r="AZ530" s="54">
        <f>(AL530-AM530)-T530*AT530</f>
        <v/>
      </c>
      <c r="BA530" s="43">
        <f>IF(AU530="",0,(AH530-T530)*AF530)</f>
        <v/>
      </c>
      <c r="BB530" s="43">
        <f>IF(AU530="",0,T530*(AF530-AT530))</f>
        <v/>
      </c>
      <c r="BC530" s="51" t="n">
        <v>0.1431247631509327</v>
      </c>
      <c r="BD530" s="51" t="n">
        <v>0.07852385730504094</v>
      </c>
      <c r="BE530" s="51" t="n">
        <v>0.5332582537681779</v>
      </c>
      <c r="BF530" s="43" t="n">
        <v>1258713</v>
      </c>
    </row>
    <row r="531">
      <c r="A531" s="42" t="inlineStr">
        <is>
          <t>MN</t>
        </is>
      </c>
      <c r="B531" s="42" t="inlineStr">
        <is>
          <t>27055</t>
        </is>
      </c>
      <c r="C531" s="42" t="inlineStr">
        <is>
          <t>Houston</t>
        </is>
      </c>
      <c r="D531" s="42" t="inlineStr">
        <is>
          <t>Small town &amp; rural</t>
        </is>
      </c>
      <c r="E531" s="42" t="inlineStr"/>
      <c r="F531" s="43" t="n">
        <v>4667</v>
      </c>
      <c r="G531" s="43" t="n">
        <v>6547</v>
      </c>
      <c r="H531" s="43" t="n">
        <v>11394</v>
      </c>
      <c r="I531" s="43" t="n">
        <v>4853</v>
      </c>
      <c r="J531" s="43" t="n">
        <v>6334</v>
      </c>
      <c r="K531" s="42" t="inlineStr">
        <is>
          <t>Governor</t>
        </is>
      </c>
      <c r="L531" s="43" t="n">
        <v>3604</v>
      </c>
      <c r="M531" s="43" t="n">
        <v>4874</v>
      </c>
      <c r="N531" s="43" t="n">
        <v>8745</v>
      </c>
      <c r="O531" s="44">
        <f>IFERROR((F531-G531)/(F531+G531),"")</f>
        <v/>
      </c>
      <c r="P531" s="44">
        <f>IFERROR((I531-J531)/(I531+J531),"")</f>
        <v/>
      </c>
      <c r="Q531" s="45">
        <f>IFERROR(O531-P531,"")</f>
        <v/>
      </c>
      <c r="R531" s="44">
        <f>IFERROR((L531-M531)/(L531+M531),"")</f>
        <v/>
      </c>
      <c r="S531" s="46">
        <f>H531/SUMIFS(Counties!$H$2:$H$1583,Counties!$A$2:$A$1583,$A531)</f>
        <v/>
      </c>
      <c r="T531" s="44">
        <f>O531+INDEX(Dashboard!$F$6:$F$22,MATCH($A531,Dashboard!$A$6:$A$22,0))</f>
        <v/>
      </c>
      <c r="U531" s="43">
        <f>AQ531*INDEX(Dashboard!$G$6:$G$22,MATCH($A531,Dashboard!$A$6:$A$22,0))</f>
        <v/>
      </c>
      <c r="V531" s="47" t="n"/>
      <c r="W531" s="47" t="n"/>
      <c r="X531" s="47" t="n"/>
      <c r="Y531" s="48" t="n"/>
      <c r="Z531" s="49" t="n"/>
      <c r="AA531" s="49" t="n"/>
      <c r="AB531" s="49" t="n"/>
      <c r="AC531" s="50" t="n"/>
      <c r="AD531" s="43">
        <f>IF(Z531&lt;&gt;"",Z531,N(V531))</f>
        <v/>
      </c>
      <c r="AE531" s="43">
        <f>IF(AA531&lt;&gt;"",AA531,N(W531))</f>
        <v/>
      </c>
      <c r="AF531" s="43">
        <f>AD531+AE531</f>
        <v/>
      </c>
      <c r="AG531" s="42">
        <f>IF(UPPER(AC531)="Y",1,IF(AF531=0,0,IF(AND(Z531="",Y531&lt;&gt;""),IF(Y531&gt;=0.999,1,0),IF(AF531&gt;=U531,1,0))))</f>
        <v/>
      </c>
      <c r="AH531" s="44">
        <f>IF(AF531&gt;0,(AD531-AE531)/AF531,"")</f>
        <v/>
      </c>
      <c r="AI531" s="45">
        <f>IF(AG531=1,AH531-O531,"")</f>
        <v/>
      </c>
      <c r="AJ531" s="44">
        <f>IF(AG531=1,AH531,MAX(-1,MIN(1,O531+INDEX(Types!$H:$H,MATCH($A531&amp;"|"&amp;$D531,Types!$A:$A,0)))))</f>
        <v/>
      </c>
      <c r="AK531" s="43">
        <f>IF(AG531=1,AF531,MAX(AQ531*AS531,AF531))</f>
        <v/>
      </c>
      <c r="AL531" s="43">
        <f>IF(AG531=1,AD531,AK531*(1+AJ531)/2)</f>
        <v/>
      </c>
      <c r="AM531" s="43">
        <f>IF(AG531=1,AE531,AK531*(1-AJ531)/2)</f>
        <v/>
      </c>
      <c r="AN531" s="45">
        <f>IF(AH531="","",AH531-T531)</f>
        <v/>
      </c>
      <c r="AO531" s="51">
        <f>IF(AG531=1,1,IF(U531&gt;0,MIN(AF531/U531,0.99),0))</f>
        <v/>
      </c>
      <c r="AP531" s="43">
        <f>IF(AG531=1,AI531*AF531,0)</f>
        <v/>
      </c>
      <c r="AQ531" s="43">
        <f>N531*(F531+G531)/H531</f>
        <v/>
      </c>
      <c r="AR531" s="43">
        <f>O531*AQ531</f>
        <v/>
      </c>
      <c r="AS531" s="52">
        <f>IF(AG531=1,IF(AQ531&gt;0,AF531/AQ531,1),IFERROR(INDEX(Types!$K:$K,MATCH($A531&amp;"|"&amp;$D531,Types!$A:$A,0)),INDEX(Dashboard!$X$6:$X$22,MATCH($A531,Dashboard!$A$6:$A$22,0))))</f>
        <v/>
      </c>
      <c r="AT531" s="43">
        <f>AQ531*INDEX(Dashboard!$Y$6:$Y$22,MATCH($A531,Dashboard!$A$6:$A$22,0))</f>
        <v/>
      </c>
      <c r="AU531" s="53">
        <f>IF(AND(AG531=1,AT531&gt;0,AF531&gt;0),100*AF531/AT531,"")</f>
        <v/>
      </c>
      <c r="AV531" s="44">
        <f>IF(AU531="","",T531/(AU531/100))</f>
        <v/>
      </c>
      <c r="AW531" s="53">
        <f>IF(AU531="","",IF(AND(ABS(AH531)&gt;=0.1,ABS(T531)&gt;=0.05,SIGN(AH531)=SIGN(T531)),100*T531/AH531,""))</f>
        <v/>
      </c>
      <c r="AX531" s="45">
        <f>IF(AU531="","",T531-AV531)</f>
        <v/>
      </c>
      <c r="AY531" s="45">
        <f>IF(AU531="","",AH531-AV531)</f>
        <v/>
      </c>
      <c r="AZ531" s="54">
        <f>(AL531-AM531)-T531*AT531</f>
        <v/>
      </c>
      <c r="BA531" s="43">
        <f>IF(AU531="",0,(AH531-T531)*AF531)</f>
        <v/>
      </c>
      <c r="BB531" s="43">
        <f>IF(AU531="",0,T531*(AF531-AT531))</f>
        <v/>
      </c>
      <c r="BC531" s="51" t="n">
        <v>0.007910881498224089</v>
      </c>
      <c r="BD531" s="51" t="n">
        <v>0.0160370250780325</v>
      </c>
      <c r="BE531" s="51" t="n">
        <v>0.2799256505576208</v>
      </c>
      <c r="BF531" s="43" t="n">
        <v>18582</v>
      </c>
    </row>
    <row r="532">
      <c r="A532" s="42" t="inlineStr">
        <is>
          <t>MN</t>
        </is>
      </c>
      <c r="B532" s="42" t="inlineStr">
        <is>
          <t>27057</t>
        </is>
      </c>
      <c r="C532" s="42" t="inlineStr">
        <is>
          <t>Hubbard</t>
        </is>
      </c>
      <c r="D532" s="42" t="inlineStr">
        <is>
          <t>Small town &amp; rural</t>
        </is>
      </c>
      <c r="E532" s="42" t="inlineStr"/>
      <c r="F532" s="43" t="n">
        <v>4536</v>
      </c>
      <c r="G532" s="43" t="n">
        <v>8809</v>
      </c>
      <c r="H532" s="43" t="n">
        <v>13570</v>
      </c>
      <c r="I532" s="43" t="n">
        <v>4462</v>
      </c>
      <c r="J532" s="43" t="n">
        <v>8202</v>
      </c>
      <c r="K532" s="42" t="inlineStr">
        <is>
          <t>Governor</t>
        </is>
      </c>
      <c r="L532" s="43" t="n">
        <v>3672</v>
      </c>
      <c r="M532" s="43" t="n">
        <v>6590</v>
      </c>
      <c r="N532" s="43" t="n">
        <v>10649</v>
      </c>
      <c r="O532" s="44">
        <f>IFERROR((F532-G532)/(F532+G532),"")</f>
        <v/>
      </c>
      <c r="P532" s="44">
        <f>IFERROR((I532-J532)/(I532+J532),"")</f>
        <v/>
      </c>
      <c r="Q532" s="45">
        <f>IFERROR(O532-P532,"")</f>
        <v/>
      </c>
      <c r="R532" s="44">
        <f>IFERROR((L532-M532)/(L532+M532),"")</f>
        <v/>
      </c>
      <c r="S532" s="46">
        <f>H532/SUMIFS(Counties!$H$2:$H$1583,Counties!$A$2:$A$1583,$A532)</f>
        <v/>
      </c>
      <c r="T532" s="44">
        <f>O532+INDEX(Dashboard!$F$6:$F$22,MATCH($A532,Dashboard!$A$6:$A$22,0))</f>
        <v/>
      </c>
      <c r="U532" s="43">
        <f>AQ532*INDEX(Dashboard!$G$6:$G$22,MATCH($A532,Dashboard!$A$6:$A$22,0))</f>
        <v/>
      </c>
      <c r="V532" s="47" t="n"/>
      <c r="W532" s="47" t="n"/>
      <c r="X532" s="47" t="n"/>
      <c r="Y532" s="48" t="n"/>
      <c r="Z532" s="49" t="n"/>
      <c r="AA532" s="49" t="n"/>
      <c r="AB532" s="49" t="n"/>
      <c r="AC532" s="50" t="n"/>
      <c r="AD532" s="43">
        <f>IF(Z532&lt;&gt;"",Z532,N(V532))</f>
        <v/>
      </c>
      <c r="AE532" s="43">
        <f>IF(AA532&lt;&gt;"",AA532,N(W532))</f>
        <v/>
      </c>
      <c r="AF532" s="43">
        <f>AD532+AE532</f>
        <v/>
      </c>
      <c r="AG532" s="42">
        <f>IF(UPPER(AC532)="Y",1,IF(AF532=0,0,IF(AND(Z532="",Y532&lt;&gt;""),IF(Y532&gt;=0.999,1,0),IF(AF532&gt;=U532,1,0))))</f>
        <v/>
      </c>
      <c r="AH532" s="44">
        <f>IF(AF532&gt;0,(AD532-AE532)/AF532,"")</f>
        <v/>
      </c>
      <c r="AI532" s="45">
        <f>IF(AG532=1,AH532-O532,"")</f>
        <v/>
      </c>
      <c r="AJ532" s="44">
        <f>IF(AG532=1,AH532,MAX(-1,MIN(1,O532+INDEX(Types!$H:$H,MATCH($A532&amp;"|"&amp;$D532,Types!$A:$A,0)))))</f>
        <v/>
      </c>
      <c r="AK532" s="43">
        <f>IF(AG532=1,AF532,MAX(AQ532*AS532,AF532))</f>
        <v/>
      </c>
      <c r="AL532" s="43">
        <f>IF(AG532=1,AD532,AK532*(1+AJ532)/2)</f>
        <v/>
      </c>
      <c r="AM532" s="43">
        <f>IF(AG532=1,AE532,AK532*(1-AJ532)/2)</f>
        <v/>
      </c>
      <c r="AN532" s="45">
        <f>IF(AH532="","",AH532-T532)</f>
        <v/>
      </c>
      <c r="AO532" s="51">
        <f>IF(AG532=1,1,IF(U532&gt;0,MIN(AF532/U532,0.99),0))</f>
        <v/>
      </c>
      <c r="AP532" s="43">
        <f>IF(AG532=1,AI532*AF532,0)</f>
        <v/>
      </c>
      <c r="AQ532" s="43">
        <f>N532*(F532+G532)/H532</f>
        <v/>
      </c>
      <c r="AR532" s="43">
        <f>O532*AQ532</f>
        <v/>
      </c>
      <c r="AS532" s="52">
        <f>IF(AG532=1,IF(AQ532&gt;0,AF532/AQ532,1),IFERROR(INDEX(Types!$K:$K,MATCH($A532&amp;"|"&amp;$D532,Types!$A:$A,0)),INDEX(Dashboard!$X$6:$X$22,MATCH($A532,Dashboard!$A$6:$A$22,0))))</f>
        <v/>
      </c>
      <c r="AT532" s="43">
        <f>AQ532*INDEX(Dashboard!$Y$6:$Y$22,MATCH($A532,Dashboard!$A$6:$A$22,0))</f>
        <v/>
      </c>
      <c r="AU532" s="53">
        <f>IF(AND(AG532=1,AT532&gt;0,AF532&gt;0),100*AF532/AT532,"")</f>
        <v/>
      </c>
      <c r="AV532" s="44">
        <f>IF(AU532="","",T532/(AU532/100))</f>
        <v/>
      </c>
      <c r="AW532" s="53">
        <f>IF(AU532="","",IF(AND(ABS(AH532)&gt;=0.1,ABS(T532)&gt;=0.05,SIGN(AH532)=SIGN(T532)),100*T532/AH532,""))</f>
        <v/>
      </c>
      <c r="AX532" s="45">
        <f>IF(AU532="","",T532-AV532)</f>
        <v/>
      </c>
      <c r="AY532" s="45">
        <f>IF(AU532="","",AH532-AV532)</f>
        <v/>
      </c>
      <c r="AZ532" s="54">
        <f>(AL532-AM532)-T532*AT532</f>
        <v/>
      </c>
      <c r="BA532" s="43">
        <f>IF(AU532="",0,(AH532-T532)*AF532)</f>
        <v/>
      </c>
      <c r="BB532" s="43">
        <f>IF(AU532="",0,T532*(AF532-AT532))</f>
        <v/>
      </c>
      <c r="BC532" s="51" t="n">
        <v>0.00478944514729803</v>
      </c>
      <c r="BD532" s="51" t="n">
        <v>0.02828483643592988</v>
      </c>
      <c r="BE532" s="51" t="n">
        <v>0.304570453252418</v>
      </c>
      <c r="BF532" s="43" t="n">
        <v>22132</v>
      </c>
    </row>
    <row r="533">
      <c r="A533" s="42" t="inlineStr">
        <is>
          <t>MN</t>
        </is>
      </c>
      <c r="B533" s="42" t="inlineStr">
        <is>
          <t>27059</t>
        </is>
      </c>
      <c r="C533" s="42" t="inlineStr">
        <is>
          <t>Isanti</t>
        </is>
      </c>
      <c r="D533" s="42" t="inlineStr">
        <is>
          <t>Small town &amp; rural</t>
        </is>
      </c>
      <c r="E533" s="42" t="inlineStr"/>
      <c r="F533" s="43" t="n">
        <v>7384</v>
      </c>
      <c r="G533" s="43" t="n">
        <v>18027</v>
      </c>
      <c r="H533" s="43" t="n">
        <v>25829</v>
      </c>
      <c r="I533" s="43" t="n">
        <v>7138</v>
      </c>
      <c r="J533" s="43" t="n">
        <v>16491</v>
      </c>
      <c r="K533" s="42" t="inlineStr">
        <is>
          <t>Governor</t>
        </is>
      </c>
      <c r="L533" s="43" t="n">
        <v>5778</v>
      </c>
      <c r="M533" s="43" t="n">
        <v>12271</v>
      </c>
      <c r="N533" s="43" t="n">
        <v>18862</v>
      </c>
      <c r="O533" s="44">
        <f>IFERROR((F533-G533)/(F533+G533),"")</f>
        <v/>
      </c>
      <c r="P533" s="44">
        <f>IFERROR((I533-J533)/(I533+J533),"")</f>
        <v/>
      </c>
      <c r="Q533" s="45">
        <f>IFERROR(O533-P533,"")</f>
        <v/>
      </c>
      <c r="R533" s="44">
        <f>IFERROR((L533-M533)/(L533+M533),"")</f>
        <v/>
      </c>
      <c r="S533" s="46">
        <f>H533/SUMIFS(Counties!$H$2:$H$1583,Counties!$A$2:$A$1583,$A533)</f>
        <v/>
      </c>
      <c r="T533" s="44">
        <f>O533+INDEX(Dashboard!$F$6:$F$22,MATCH($A533,Dashboard!$A$6:$A$22,0))</f>
        <v/>
      </c>
      <c r="U533" s="43">
        <f>AQ533*INDEX(Dashboard!$G$6:$G$22,MATCH($A533,Dashboard!$A$6:$A$22,0))</f>
        <v/>
      </c>
      <c r="V533" s="47" t="n"/>
      <c r="W533" s="47" t="n"/>
      <c r="X533" s="47" t="n"/>
      <c r="Y533" s="48" t="n"/>
      <c r="Z533" s="49" t="n"/>
      <c r="AA533" s="49" t="n"/>
      <c r="AB533" s="49" t="n"/>
      <c r="AC533" s="50" t="n"/>
      <c r="AD533" s="43">
        <f>IF(Z533&lt;&gt;"",Z533,N(V533))</f>
        <v/>
      </c>
      <c r="AE533" s="43">
        <f>IF(AA533&lt;&gt;"",AA533,N(W533))</f>
        <v/>
      </c>
      <c r="AF533" s="43">
        <f>AD533+AE533</f>
        <v/>
      </c>
      <c r="AG533" s="42">
        <f>IF(UPPER(AC533)="Y",1,IF(AF533=0,0,IF(AND(Z533="",Y533&lt;&gt;""),IF(Y533&gt;=0.999,1,0),IF(AF533&gt;=U533,1,0))))</f>
        <v/>
      </c>
      <c r="AH533" s="44">
        <f>IF(AF533&gt;0,(AD533-AE533)/AF533,"")</f>
        <v/>
      </c>
      <c r="AI533" s="45">
        <f>IF(AG533=1,AH533-O533,"")</f>
        <v/>
      </c>
      <c r="AJ533" s="44">
        <f>IF(AG533=1,AH533,MAX(-1,MIN(1,O533+INDEX(Types!$H:$H,MATCH($A533&amp;"|"&amp;$D533,Types!$A:$A,0)))))</f>
        <v/>
      </c>
      <c r="AK533" s="43">
        <f>IF(AG533=1,AF533,MAX(AQ533*AS533,AF533))</f>
        <v/>
      </c>
      <c r="AL533" s="43">
        <f>IF(AG533=1,AD533,AK533*(1+AJ533)/2)</f>
        <v/>
      </c>
      <c r="AM533" s="43">
        <f>IF(AG533=1,AE533,AK533*(1-AJ533)/2)</f>
        <v/>
      </c>
      <c r="AN533" s="45">
        <f>IF(AH533="","",AH533-T533)</f>
        <v/>
      </c>
      <c r="AO533" s="51">
        <f>IF(AG533=1,1,IF(U533&gt;0,MIN(AF533/U533,0.99),0))</f>
        <v/>
      </c>
      <c r="AP533" s="43">
        <f>IF(AG533=1,AI533*AF533,0)</f>
        <v/>
      </c>
      <c r="AQ533" s="43">
        <f>N533*(F533+G533)/H533</f>
        <v/>
      </c>
      <c r="AR533" s="43">
        <f>O533*AQ533</f>
        <v/>
      </c>
      <c r="AS533" s="52">
        <f>IF(AG533=1,IF(AQ533&gt;0,AF533/AQ533,1),IFERROR(INDEX(Types!$K:$K,MATCH($A533&amp;"|"&amp;$D533,Types!$A:$A,0)),INDEX(Dashboard!$X$6:$X$22,MATCH($A533,Dashboard!$A$6:$A$22,0))))</f>
        <v/>
      </c>
      <c r="AT533" s="43">
        <f>AQ533*INDEX(Dashboard!$Y$6:$Y$22,MATCH($A533,Dashboard!$A$6:$A$22,0))</f>
        <v/>
      </c>
      <c r="AU533" s="53">
        <f>IF(AND(AG533=1,AT533&gt;0,AF533&gt;0),100*AF533/AT533,"")</f>
        <v/>
      </c>
      <c r="AV533" s="44">
        <f>IF(AU533="","",T533/(AU533/100))</f>
        <v/>
      </c>
      <c r="AW533" s="53">
        <f>IF(AU533="","",IF(AND(ABS(AH533)&gt;=0.1,ABS(T533)&gt;=0.05,SIGN(AH533)=SIGN(T533)),100*T533/AH533,""))</f>
        <v/>
      </c>
      <c r="AX533" s="45">
        <f>IF(AU533="","",T533-AV533)</f>
        <v/>
      </c>
      <c r="AY533" s="45">
        <f>IF(AU533="","",AH533-AV533)</f>
        <v/>
      </c>
      <c r="AZ533" s="54">
        <f>(AL533-AM533)-T533*AT533</f>
        <v/>
      </c>
      <c r="BA533" s="43">
        <f>IF(AU533="",0,(AH533-T533)*AF533)</f>
        <v/>
      </c>
      <c r="BB533" s="43">
        <f>IF(AU533="",0,T533*(AF533-AT533))</f>
        <v/>
      </c>
      <c r="BC533" s="51" t="n">
        <v>0.01148626742624242</v>
      </c>
      <c r="BD533" s="51" t="n">
        <v>0.02679357139548886</v>
      </c>
      <c r="BE533" s="51" t="n">
        <v>0.196042116815859</v>
      </c>
      <c r="BF533" s="43" t="n">
        <v>43182</v>
      </c>
    </row>
    <row r="534">
      <c r="A534" s="42" t="inlineStr">
        <is>
          <t>MN</t>
        </is>
      </c>
      <c r="B534" s="42" t="inlineStr">
        <is>
          <t>27061</t>
        </is>
      </c>
      <c r="C534" s="42" t="inlineStr">
        <is>
          <t>Itasca</t>
        </is>
      </c>
      <c r="D534" s="42" t="inlineStr">
        <is>
          <t>Small town &amp; rural</t>
        </is>
      </c>
      <c r="E534" s="42" t="inlineStr"/>
      <c r="F534" s="43" t="n">
        <v>10467</v>
      </c>
      <c r="G534" s="43" t="n">
        <v>15863</v>
      </c>
      <c r="H534" s="43" t="n">
        <v>26760</v>
      </c>
      <c r="I534" s="43" t="n">
        <v>10786</v>
      </c>
      <c r="J534" s="43" t="n">
        <v>15239</v>
      </c>
      <c r="K534" s="42" t="inlineStr">
        <is>
          <t>Governor</t>
        </is>
      </c>
      <c r="L534" s="43" t="n">
        <v>9017</v>
      </c>
      <c r="M534" s="43" t="n">
        <v>11488</v>
      </c>
      <c r="N534" s="43" t="n">
        <v>21373</v>
      </c>
      <c r="O534" s="44">
        <f>IFERROR((F534-G534)/(F534+G534),"")</f>
        <v/>
      </c>
      <c r="P534" s="44">
        <f>IFERROR((I534-J534)/(I534+J534),"")</f>
        <v/>
      </c>
      <c r="Q534" s="45">
        <f>IFERROR(O534-P534,"")</f>
        <v/>
      </c>
      <c r="R534" s="44">
        <f>IFERROR((L534-M534)/(L534+M534),"")</f>
        <v/>
      </c>
      <c r="S534" s="46">
        <f>H534/SUMIFS(Counties!$H$2:$H$1583,Counties!$A$2:$A$1583,$A534)</f>
        <v/>
      </c>
      <c r="T534" s="44">
        <f>O534+INDEX(Dashboard!$F$6:$F$22,MATCH($A534,Dashboard!$A$6:$A$22,0))</f>
        <v/>
      </c>
      <c r="U534" s="43">
        <f>AQ534*INDEX(Dashboard!$G$6:$G$22,MATCH($A534,Dashboard!$A$6:$A$22,0))</f>
        <v/>
      </c>
      <c r="V534" s="47" t="n"/>
      <c r="W534" s="47" t="n"/>
      <c r="X534" s="47" t="n"/>
      <c r="Y534" s="48" t="n"/>
      <c r="Z534" s="49" t="n"/>
      <c r="AA534" s="49" t="n"/>
      <c r="AB534" s="49" t="n"/>
      <c r="AC534" s="50" t="n"/>
      <c r="AD534" s="43">
        <f>IF(Z534&lt;&gt;"",Z534,N(V534))</f>
        <v/>
      </c>
      <c r="AE534" s="43">
        <f>IF(AA534&lt;&gt;"",AA534,N(W534))</f>
        <v/>
      </c>
      <c r="AF534" s="43">
        <f>AD534+AE534</f>
        <v/>
      </c>
      <c r="AG534" s="42">
        <f>IF(UPPER(AC534)="Y",1,IF(AF534=0,0,IF(AND(Z534="",Y534&lt;&gt;""),IF(Y534&gt;=0.999,1,0),IF(AF534&gt;=U534,1,0))))</f>
        <v/>
      </c>
      <c r="AH534" s="44">
        <f>IF(AF534&gt;0,(AD534-AE534)/AF534,"")</f>
        <v/>
      </c>
      <c r="AI534" s="45">
        <f>IF(AG534=1,AH534-O534,"")</f>
        <v/>
      </c>
      <c r="AJ534" s="44">
        <f>IF(AG534=1,AH534,MAX(-1,MIN(1,O534+INDEX(Types!$H:$H,MATCH($A534&amp;"|"&amp;$D534,Types!$A:$A,0)))))</f>
        <v/>
      </c>
      <c r="AK534" s="43">
        <f>IF(AG534=1,AF534,MAX(AQ534*AS534,AF534))</f>
        <v/>
      </c>
      <c r="AL534" s="43">
        <f>IF(AG534=1,AD534,AK534*(1+AJ534)/2)</f>
        <v/>
      </c>
      <c r="AM534" s="43">
        <f>IF(AG534=1,AE534,AK534*(1-AJ534)/2)</f>
        <v/>
      </c>
      <c r="AN534" s="45">
        <f>IF(AH534="","",AH534-T534)</f>
        <v/>
      </c>
      <c r="AO534" s="51">
        <f>IF(AG534=1,1,IF(U534&gt;0,MIN(AF534/U534,0.99),0))</f>
        <v/>
      </c>
      <c r="AP534" s="43">
        <f>IF(AG534=1,AI534*AF534,0)</f>
        <v/>
      </c>
      <c r="AQ534" s="43">
        <f>N534*(F534+G534)/H534</f>
        <v/>
      </c>
      <c r="AR534" s="43">
        <f>O534*AQ534</f>
        <v/>
      </c>
      <c r="AS534" s="52">
        <f>IF(AG534=1,IF(AQ534&gt;0,AF534/AQ534,1),IFERROR(INDEX(Types!$K:$K,MATCH($A534&amp;"|"&amp;$D534,Types!$A:$A,0)),INDEX(Dashboard!$X$6:$X$22,MATCH($A534,Dashboard!$A$6:$A$22,0))))</f>
        <v/>
      </c>
      <c r="AT534" s="43">
        <f>AQ534*INDEX(Dashboard!$Y$6:$Y$22,MATCH($A534,Dashboard!$A$6:$A$22,0))</f>
        <v/>
      </c>
      <c r="AU534" s="53">
        <f>IF(AND(AG534=1,AT534&gt;0,AF534&gt;0),100*AF534/AT534,"")</f>
        <v/>
      </c>
      <c r="AV534" s="44">
        <f>IF(AU534="","",T534/(AU534/100))</f>
        <v/>
      </c>
      <c r="AW534" s="53">
        <f>IF(AU534="","",IF(AND(ABS(AH534)&gt;=0.1,ABS(T534)&gt;=0.05,SIGN(AH534)=SIGN(T534)),100*T534/AH534,""))</f>
        <v/>
      </c>
      <c r="AX534" s="45">
        <f>IF(AU534="","",T534-AV534)</f>
        <v/>
      </c>
      <c r="AY534" s="45">
        <f>IF(AU534="","",AH534-AV534)</f>
        <v/>
      </c>
      <c r="AZ534" s="54">
        <f>(AL534-AM534)-T534*AT534</f>
        <v/>
      </c>
      <c r="BA534" s="43">
        <f>IF(AU534="",0,(AH534-T534)*AF534)</f>
        <v/>
      </c>
      <c r="BB534" s="43">
        <f>IF(AU534="",0,T534*(AF534-AT534))</f>
        <v/>
      </c>
      <c r="BC534" s="51" t="n">
        <v>0.00531246555714758</v>
      </c>
      <c r="BD534" s="51" t="n">
        <v>0.01593739667144274</v>
      </c>
      <c r="BE534" s="51" t="n">
        <v>0.2514602185031625</v>
      </c>
      <c r="BF534" s="43" t="n">
        <v>45365</v>
      </c>
    </row>
    <row r="535">
      <c r="A535" s="42" t="inlineStr">
        <is>
          <t>MN</t>
        </is>
      </c>
      <c r="B535" s="42" t="inlineStr">
        <is>
          <t>27063</t>
        </is>
      </c>
      <c r="C535" s="42" t="inlineStr">
        <is>
          <t>Jackson</t>
        </is>
      </c>
      <c r="D535" s="42" t="inlineStr">
        <is>
          <t>Small town &amp; rural</t>
        </is>
      </c>
      <c r="E535" s="42" t="inlineStr"/>
      <c r="F535" s="43" t="n">
        <v>1581</v>
      </c>
      <c r="G535" s="43" t="n">
        <v>3949</v>
      </c>
      <c r="H535" s="43" t="n">
        <v>5625</v>
      </c>
      <c r="I535" s="43" t="n">
        <v>1745</v>
      </c>
      <c r="J535" s="43" t="n">
        <v>3948</v>
      </c>
      <c r="K535" s="42" t="inlineStr">
        <is>
          <t>Governor</t>
        </is>
      </c>
      <c r="L535" s="43" t="n">
        <v>1350</v>
      </c>
      <c r="M535" s="43" t="n">
        <v>3055</v>
      </c>
      <c r="N535" s="43" t="n">
        <v>4560</v>
      </c>
      <c r="O535" s="44">
        <f>IFERROR((F535-G535)/(F535+G535),"")</f>
        <v/>
      </c>
      <c r="P535" s="44">
        <f>IFERROR((I535-J535)/(I535+J535),"")</f>
        <v/>
      </c>
      <c r="Q535" s="45">
        <f>IFERROR(O535-P535,"")</f>
        <v/>
      </c>
      <c r="R535" s="44">
        <f>IFERROR((L535-M535)/(L535+M535),"")</f>
        <v/>
      </c>
      <c r="S535" s="46">
        <f>H535/SUMIFS(Counties!$H$2:$H$1583,Counties!$A$2:$A$1583,$A535)</f>
        <v/>
      </c>
      <c r="T535" s="44">
        <f>O535+INDEX(Dashboard!$F$6:$F$22,MATCH($A535,Dashboard!$A$6:$A$22,0))</f>
        <v/>
      </c>
      <c r="U535" s="43">
        <f>AQ535*INDEX(Dashboard!$G$6:$G$22,MATCH($A535,Dashboard!$A$6:$A$22,0))</f>
        <v/>
      </c>
      <c r="V535" s="47" t="n"/>
      <c r="W535" s="47" t="n"/>
      <c r="X535" s="47" t="n"/>
      <c r="Y535" s="48" t="n"/>
      <c r="Z535" s="49" t="n"/>
      <c r="AA535" s="49" t="n"/>
      <c r="AB535" s="49" t="n"/>
      <c r="AC535" s="50" t="n"/>
      <c r="AD535" s="43">
        <f>IF(Z535&lt;&gt;"",Z535,N(V535))</f>
        <v/>
      </c>
      <c r="AE535" s="43">
        <f>IF(AA535&lt;&gt;"",AA535,N(W535))</f>
        <v/>
      </c>
      <c r="AF535" s="43">
        <f>AD535+AE535</f>
        <v/>
      </c>
      <c r="AG535" s="42">
        <f>IF(UPPER(AC535)="Y",1,IF(AF535=0,0,IF(AND(Z535="",Y535&lt;&gt;""),IF(Y535&gt;=0.999,1,0),IF(AF535&gt;=U535,1,0))))</f>
        <v/>
      </c>
      <c r="AH535" s="44">
        <f>IF(AF535&gt;0,(AD535-AE535)/AF535,"")</f>
        <v/>
      </c>
      <c r="AI535" s="45">
        <f>IF(AG535=1,AH535-O535,"")</f>
        <v/>
      </c>
      <c r="AJ535" s="44">
        <f>IF(AG535=1,AH535,MAX(-1,MIN(1,O535+INDEX(Types!$H:$H,MATCH($A535&amp;"|"&amp;$D535,Types!$A:$A,0)))))</f>
        <v/>
      </c>
      <c r="AK535" s="43">
        <f>IF(AG535=1,AF535,MAX(AQ535*AS535,AF535))</f>
        <v/>
      </c>
      <c r="AL535" s="43">
        <f>IF(AG535=1,AD535,AK535*(1+AJ535)/2)</f>
        <v/>
      </c>
      <c r="AM535" s="43">
        <f>IF(AG535=1,AE535,AK535*(1-AJ535)/2)</f>
        <v/>
      </c>
      <c r="AN535" s="45">
        <f>IF(AH535="","",AH535-T535)</f>
        <v/>
      </c>
      <c r="AO535" s="51">
        <f>IF(AG535=1,1,IF(U535&gt;0,MIN(AF535/U535,0.99),0))</f>
        <v/>
      </c>
      <c r="AP535" s="43">
        <f>IF(AG535=1,AI535*AF535,0)</f>
        <v/>
      </c>
      <c r="AQ535" s="43">
        <f>N535*(F535+G535)/H535</f>
        <v/>
      </c>
      <c r="AR535" s="43">
        <f>O535*AQ535</f>
        <v/>
      </c>
      <c r="AS535" s="52">
        <f>IF(AG535=1,IF(AQ535&gt;0,AF535/AQ535,1),IFERROR(INDEX(Types!$K:$K,MATCH($A535&amp;"|"&amp;$D535,Types!$A:$A,0)),INDEX(Dashboard!$X$6:$X$22,MATCH($A535,Dashboard!$A$6:$A$22,0))))</f>
        <v/>
      </c>
      <c r="AT535" s="43">
        <f>AQ535*INDEX(Dashboard!$Y$6:$Y$22,MATCH($A535,Dashboard!$A$6:$A$22,0))</f>
        <v/>
      </c>
      <c r="AU535" s="53">
        <f>IF(AND(AG535=1,AT535&gt;0,AF535&gt;0),100*AF535/AT535,"")</f>
        <v/>
      </c>
      <c r="AV535" s="44">
        <f>IF(AU535="","",T535/(AU535/100))</f>
        <v/>
      </c>
      <c r="AW535" s="53">
        <f>IF(AU535="","",IF(AND(ABS(AH535)&gt;=0.1,ABS(T535)&gt;=0.05,SIGN(AH535)=SIGN(T535)),100*T535/AH535,""))</f>
        <v/>
      </c>
      <c r="AX535" s="45">
        <f>IF(AU535="","",T535-AV535)</f>
        <v/>
      </c>
      <c r="AY535" s="45">
        <f>IF(AU535="","",AH535-AV535)</f>
        <v/>
      </c>
      <c r="AZ535" s="54">
        <f>(AL535-AM535)-T535*AT535</f>
        <v/>
      </c>
      <c r="BA535" s="43">
        <f>IF(AU535="",0,(AH535-T535)*AF535)</f>
        <v/>
      </c>
      <c r="BB535" s="43">
        <f>IF(AU535="",0,T535*(AF535-AT535))</f>
        <v/>
      </c>
      <c r="BC535" s="51" t="n">
        <v>0.01058574453069866</v>
      </c>
      <c r="BD535" s="51" t="n">
        <v>0.05222300635144672</v>
      </c>
      <c r="BE535" s="51" t="n">
        <v>0.2490523655763021</v>
      </c>
      <c r="BF535" s="43" t="n">
        <v>9919</v>
      </c>
    </row>
    <row r="536">
      <c r="A536" s="42" t="inlineStr">
        <is>
          <t>MN</t>
        </is>
      </c>
      <c r="B536" s="42" t="inlineStr">
        <is>
          <t>27065</t>
        </is>
      </c>
      <c r="C536" s="42" t="inlineStr">
        <is>
          <t>Kanabec</t>
        </is>
      </c>
      <c r="D536" s="42" t="inlineStr">
        <is>
          <t>Small town &amp; rural</t>
        </is>
      </c>
      <c r="E536" s="42" t="inlineStr"/>
      <c r="F536" s="43" t="n">
        <v>2718</v>
      </c>
      <c r="G536" s="43" t="n">
        <v>6818</v>
      </c>
      <c r="H536" s="43" t="n">
        <v>9682</v>
      </c>
      <c r="I536" s="43" t="n">
        <v>2774</v>
      </c>
      <c r="J536" s="43" t="n">
        <v>6278</v>
      </c>
      <c r="K536" s="42" t="inlineStr">
        <is>
          <t>Governor</t>
        </is>
      </c>
      <c r="L536" s="43" t="n">
        <v>2277</v>
      </c>
      <c r="M536" s="43" t="n">
        <v>4582</v>
      </c>
      <c r="N536" s="43" t="n">
        <v>7160</v>
      </c>
      <c r="O536" s="44">
        <f>IFERROR((F536-G536)/(F536+G536),"")</f>
        <v/>
      </c>
      <c r="P536" s="44">
        <f>IFERROR((I536-J536)/(I536+J536),"")</f>
        <v/>
      </c>
      <c r="Q536" s="45">
        <f>IFERROR(O536-P536,"")</f>
        <v/>
      </c>
      <c r="R536" s="44">
        <f>IFERROR((L536-M536)/(L536+M536),"")</f>
        <v/>
      </c>
      <c r="S536" s="46">
        <f>H536/SUMIFS(Counties!$H$2:$H$1583,Counties!$A$2:$A$1583,$A536)</f>
        <v/>
      </c>
      <c r="T536" s="44">
        <f>O536+INDEX(Dashboard!$F$6:$F$22,MATCH($A536,Dashboard!$A$6:$A$22,0))</f>
        <v/>
      </c>
      <c r="U536" s="43">
        <f>AQ536*INDEX(Dashboard!$G$6:$G$22,MATCH($A536,Dashboard!$A$6:$A$22,0))</f>
        <v/>
      </c>
      <c r="V536" s="47" t="n"/>
      <c r="W536" s="47" t="n"/>
      <c r="X536" s="47" t="n"/>
      <c r="Y536" s="48" t="n"/>
      <c r="Z536" s="49" t="n"/>
      <c r="AA536" s="49" t="n"/>
      <c r="AB536" s="49" t="n"/>
      <c r="AC536" s="50" t="n"/>
      <c r="AD536" s="43">
        <f>IF(Z536&lt;&gt;"",Z536,N(V536))</f>
        <v/>
      </c>
      <c r="AE536" s="43">
        <f>IF(AA536&lt;&gt;"",AA536,N(W536))</f>
        <v/>
      </c>
      <c r="AF536" s="43">
        <f>AD536+AE536</f>
        <v/>
      </c>
      <c r="AG536" s="42">
        <f>IF(UPPER(AC536)="Y",1,IF(AF536=0,0,IF(AND(Z536="",Y536&lt;&gt;""),IF(Y536&gt;=0.999,1,0),IF(AF536&gt;=U536,1,0))))</f>
        <v/>
      </c>
      <c r="AH536" s="44">
        <f>IF(AF536&gt;0,(AD536-AE536)/AF536,"")</f>
        <v/>
      </c>
      <c r="AI536" s="45">
        <f>IF(AG536=1,AH536-O536,"")</f>
        <v/>
      </c>
      <c r="AJ536" s="44">
        <f>IF(AG536=1,AH536,MAX(-1,MIN(1,O536+INDEX(Types!$H:$H,MATCH($A536&amp;"|"&amp;$D536,Types!$A:$A,0)))))</f>
        <v/>
      </c>
      <c r="AK536" s="43">
        <f>IF(AG536=1,AF536,MAX(AQ536*AS536,AF536))</f>
        <v/>
      </c>
      <c r="AL536" s="43">
        <f>IF(AG536=1,AD536,AK536*(1+AJ536)/2)</f>
        <v/>
      </c>
      <c r="AM536" s="43">
        <f>IF(AG536=1,AE536,AK536*(1-AJ536)/2)</f>
        <v/>
      </c>
      <c r="AN536" s="45">
        <f>IF(AH536="","",AH536-T536)</f>
        <v/>
      </c>
      <c r="AO536" s="51">
        <f>IF(AG536=1,1,IF(U536&gt;0,MIN(AF536/U536,0.99),0))</f>
        <v/>
      </c>
      <c r="AP536" s="43">
        <f>IF(AG536=1,AI536*AF536,0)</f>
        <v/>
      </c>
      <c r="AQ536" s="43">
        <f>N536*(F536+G536)/H536</f>
        <v/>
      </c>
      <c r="AR536" s="43">
        <f>O536*AQ536</f>
        <v/>
      </c>
      <c r="AS536" s="52">
        <f>IF(AG536=1,IF(AQ536&gt;0,AF536/AQ536,1),IFERROR(INDEX(Types!$K:$K,MATCH($A536&amp;"|"&amp;$D536,Types!$A:$A,0)),INDEX(Dashboard!$X$6:$X$22,MATCH($A536,Dashboard!$A$6:$A$22,0))))</f>
        <v/>
      </c>
      <c r="AT536" s="43">
        <f>AQ536*INDEX(Dashboard!$Y$6:$Y$22,MATCH($A536,Dashboard!$A$6:$A$22,0))</f>
        <v/>
      </c>
      <c r="AU536" s="53">
        <f>IF(AND(AG536=1,AT536&gt;0,AF536&gt;0),100*AF536/AT536,"")</f>
        <v/>
      </c>
      <c r="AV536" s="44">
        <f>IF(AU536="","",T536/(AU536/100))</f>
        <v/>
      </c>
      <c r="AW536" s="53">
        <f>IF(AU536="","",IF(AND(ABS(AH536)&gt;=0.1,ABS(T536)&gt;=0.05,SIGN(AH536)=SIGN(T536)),100*T536/AH536,""))</f>
        <v/>
      </c>
      <c r="AX536" s="45">
        <f>IF(AU536="","",T536-AV536)</f>
        <v/>
      </c>
      <c r="AY536" s="45">
        <f>IF(AU536="","",AH536-AV536)</f>
        <v/>
      </c>
      <c r="AZ536" s="54">
        <f>(AL536-AM536)-T536*AT536</f>
        <v/>
      </c>
      <c r="BA536" s="43">
        <f>IF(AU536="",0,(AH536-T536)*AF536)</f>
        <v/>
      </c>
      <c r="BB536" s="43">
        <f>IF(AU536="",0,T536*(AF536-AT536))</f>
        <v/>
      </c>
      <c r="BC536" s="51" t="n">
        <v>0.006926876279966269</v>
      </c>
      <c r="BD536" s="51" t="n">
        <v>0.01963618841103482</v>
      </c>
      <c r="BE536" s="51" t="n">
        <v>0.1577766269635767</v>
      </c>
      <c r="BF536" s="43" t="n">
        <v>16602</v>
      </c>
    </row>
    <row r="537">
      <c r="A537" s="42" t="inlineStr">
        <is>
          <t>MN</t>
        </is>
      </c>
      <c r="B537" s="42" t="inlineStr">
        <is>
          <t>27067</t>
        </is>
      </c>
      <c r="C537" s="42" t="inlineStr">
        <is>
          <t>Kandiyohi</t>
        </is>
      </c>
      <c r="D537" s="42" t="inlineStr">
        <is>
          <t>Small town &amp; rural</t>
        </is>
      </c>
      <c r="E537" s="42" t="inlineStr"/>
      <c r="F537" s="43" t="n">
        <v>7814</v>
      </c>
      <c r="G537" s="43" t="n">
        <v>15014</v>
      </c>
      <c r="H537" s="43" t="n">
        <v>23213</v>
      </c>
      <c r="I537" s="43" t="n">
        <v>8440</v>
      </c>
      <c r="J537" s="43" t="n">
        <v>14437</v>
      </c>
      <c r="K537" s="42" t="inlineStr">
        <is>
          <t>Governor</t>
        </is>
      </c>
      <c r="L537" s="43" t="n">
        <v>6421</v>
      </c>
      <c r="M537" s="43" t="n">
        <v>11281</v>
      </c>
      <c r="N537" s="43" t="n">
        <v>18233</v>
      </c>
      <c r="O537" s="44">
        <f>IFERROR((F537-G537)/(F537+G537),"")</f>
        <v/>
      </c>
      <c r="P537" s="44">
        <f>IFERROR((I537-J537)/(I537+J537),"")</f>
        <v/>
      </c>
      <c r="Q537" s="45">
        <f>IFERROR(O537-P537,"")</f>
        <v/>
      </c>
      <c r="R537" s="44">
        <f>IFERROR((L537-M537)/(L537+M537),"")</f>
        <v/>
      </c>
      <c r="S537" s="46">
        <f>H537/SUMIFS(Counties!$H$2:$H$1583,Counties!$A$2:$A$1583,$A537)</f>
        <v/>
      </c>
      <c r="T537" s="44">
        <f>O537+INDEX(Dashboard!$F$6:$F$22,MATCH($A537,Dashboard!$A$6:$A$22,0))</f>
        <v/>
      </c>
      <c r="U537" s="43">
        <f>AQ537*INDEX(Dashboard!$G$6:$G$22,MATCH($A537,Dashboard!$A$6:$A$22,0))</f>
        <v/>
      </c>
      <c r="V537" s="47" t="n"/>
      <c r="W537" s="47" t="n"/>
      <c r="X537" s="47" t="n"/>
      <c r="Y537" s="48" t="n"/>
      <c r="Z537" s="49" t="n"/>
      <c r="AA537" s="49" t="n"/>
      <c r="AB537" s="49" t="n"/>
      <c r="AC537" s="50" t="n"/>
      <c r="AD537" s="43">
        <f>IF(Z537&lt;&gt;"",Z537,N(V537))</f>
        <v/>
      </c>
      <c r="AE537" s="43">
        <f>IF(AA537&lt;&gt;"",AA537,N(W537))</f>
        <v/>
      </c>
      <c r="AF537" s="43">
        <f>AD537+AE537</f>
        <v/>
      </c>
      <c r="AG537" s="42">
        <f>IF(UPPER(AC537)="Y",1,IF(AF537=0,0,IF(AND(Z537="",Y537&lt;&gt;""),IF(Y537&gt;=0.999,1,0),IF(AF537&gt;=U537,1,0))))</f>
        <v/>
      </c>
      <c r="AH537" s="44">
        <f>IF(AF537&gt;0,(AD537-AE537)/AF537,"")</f>
        <v/>
      </c>
      <c r="AI537" s="45">
        <f>IF(AG537=1,AH537-O537,"")</f>
        <v/>
      </c>
      <c r="AJ537" s="44">
        <f>IF(AG537=1,AH537,MAX(-1,MIN(1,O537+INDEX(Types!$H:$H,MATCH($A537&amp;"|"&amp;$D537,Types!$A:$A,0)))))</f>
        <v/>
      </c>
      <c r="AK537" s="43">
        <f>IF(AG537=1,AF537,MAX(AQ537*AS537,AF537))</f>
        <v/>
      </c>
      <c r="AL537" s="43">
        <f>IF(AG537=1,AD537,AK537*(1+AJ537)/2)</f>
        <v/>
      </c>
      <c r="AM537" s="43">
        <f>IF(AG537=1,AE537,AK537*(1-AJ537)/2)</f>
        <v/>
      </c>
      <c r="AN537" s="45">
        <f>IF(AH537="","",AH537-T537)</f>
        <v/>
      </c>
      <c r="AO537" s="51">
        <f>IF(AG537=1,1,IF(U537&gt;0,MIN(AF537/U537,0.99),0))</f>
        <v/>
      </c>
      <c r="AP537" s="43">
        <f>IF(AG537=1,AI537*AF537,0)</f>
        <v/>
      </c>
      <c r="AQ537" s="43">
        <f>N537*(F537+G537)/H537</f>
        <v/>
      </c>
      <c r="AR537" s="43">
        <f>O537*AQ537</f>
        <v/>
      </c>
      <c r="AS537" s="52">
        <f>IF(AG537=1,IF(AQ537&gt;0,AF537/AQ537,1),IFERROR(INDEX(Types!$K:$K,MATCH($A537&amp;"|"&amp;$D537,Types!$A:$A,0)),INDEX(Dashboard!$X$6:$X$22,MATCH($A537,Dashboard!$A$6:$A$22,0))))</f>
        <v/>
      </c>
      <c r="AT537" s="43">
        <f>AQ537*INDEX(Dashboard!$Y$6:$Y$22,MATCH($A537,Dashboard!$A$6:$A$22,0))</f>
        <v/>
      </c>
      <c r="AU537" s="53">
        <f>IF(AND(AG537=1,AT537&gt;0,AF537&gt;0),100*AF537/AT537,"")</f>
        <v/>
      </c>
      <c r="AV537" s="44">
        <f>IF(AU537="","",T537/(AU537/100))</f>
        <v/>
      </c>
      <c r="AW537" s="53">
        <f>IF(AU537="","",IF(AND(ABS(AH537)&gt;=0.1,ABS(T537)&gt;=0.05,SIGN(AH537)=SIGN(T537)),100*T537/AH537,""))</f>
        <v/>
      </c>
      <c r="AX537" s="45">
        <f>IF(AU537="","",T537-AV537)</f>
        <v/>
      </c>
      <c r="AY537" s="45">
        <f>IF(AU537="","",AH537-AV537)</f>
        <v/>
      </c>
      <c r="AZ537" s="54">
        <f>(AL537-AM537)-T537*AT537</f>
        <v/>
      </c>
      <c r="BA537" s="43">
        <f>IF(AU537="",0,(AH537-T537)*AF537)</f>
        <v/>
      </c>
      <c r="BB537" s="43">
        <f>IF(AU537="",0,T537*(AF537-AT537))</f>
        <v/>
      </c>
      <c r="BC537" s="51" t="n">
        <v>0.06018761554789674</v>
      </c>
      <c r="BD537" s="51" t="n">
        <v>0.1463949056216192</v>
      </c>
      <c r="BE537" s="51" t="n">
        <v>0.2709762443821174</v>
      </c>
      <c r="BF537" s="43" t="n">
        <v>43813</v>
      </c>
    </row>
    <row r="538">
      <c r="A538" s="42" t="inlineStr">
        <is>
          <t>MN</t>
        </is>
      </c>
      <c r="B538" s="42" t="inlineStr">
        <is>
          <t>27069</t>
        </is>
      </c>
      <c r="C538" s="42" t="inlineStr">
        <is>
          <t>Kittson</t>
        </is>
      </c>
      <c r="D538" s="42" t="inlineStr">
        <is>
          <t>Small town &amp; rural</t>
        </is>
      </c>
      <c r="E538" s="42" t="inlineStr"/>
      <c r="F538" s="43" t="n">
        <v>911</v>
      </c>
      <c r="G538" s="43" t="n">
        <v>1535</v>
      </c>
      <c r="H538" s="43" t="n">
        <v>2495</v>
      </c>
      <c r="I538" s="43" t="n">
        <v>1006</v>
      </c>
      <c r="J538" s="43" t="n">
        <v>1546</v>
      </c>
      <c r="K538" s="42" t="inlineStr">
        <is>
          <t>Governor</t>
        </is>
      </c>
      <c r="L538" s="43" t="n">
        <v>689</v>
      </c>
      <c r="M538" s="43" t="n">
        <v>1160</v>
      </c>
      <c r="N538" s="43" t="n">
        <v>1926</v>
      </c>
      <c r="O538" s="44">
        <f>IFERROR((F538-G538)/(F538+G538),"")</f>
        <v/>
      </c>
      <c r="P538" s="44">
        <f>IFERROR((I538-J538)/(I538+J538),"")</f>
        <v/>
      </c>
      <c r="Q538" s="45">
        <f>IFERROR(O538-P538,"")</f>
        <v/>
      </c>
      <c r="R538" s="44">
        <f>IFERROR((L538-M538)/(L538+M538),"")</f>
        <v/>
      </c>
      <c r="S538" s="46">
        <f>H538/SUMIFS(Counties!$H$2:$H$1583,Counties!$A$2:$A$1583,$A538)</f>
        <v/>
      </c>
      <c r="T538" s="44">
        <f>O538+INDEX(Dashboard!$F$6:$F$22,MATCH($A538,Dashboard!$A$6:$A$22,0))</f>
        <v/>
      </c>
      <c r="U538" s="43">
        <f>AQ538*INDEX(Dashboard!$G$6:$G$22,MATCH($A538,Dashboard!$A$6:$A$22,0))</f>
        <v/>
      </c>
      <c r="V538" s="47" t="n"/>
      <c r="W538" s="47" t="n"/>
      <c r="X538" s="47" t="n"/>
      <c r="Y538" s="48" t="n"/>
      <c r="Z538" s="49" t="n"/>
      <c r="AA538" s="49" t="n"/>
      <c r="AB538" s="49" t="n"/>
      <c r="AC538" s="50" t="n"/>
      <c r="AD538" s="43">
        <f>IF(Z538&lt;&gt;"",Z538,N(V538))</f>
        <v/>
      </c>
      <c r="AE538" s="43">
        <f>IF(AA538&lt;&gt;"",AA538,N(W538))</f>
        <v/>
      </c>
      <c r="AF538" s="43">
        <f>AD538+AE538</f>
        <v/>
      </c>
      <c r="AG538" s="42">
        <f>IF(UPPER(AC538)="Y",1,IF(AF538=0,0,IF(AND(Z538="",Y538&lt;&gt;""),IF(Y538&gt;=0.999,1,0),IF(AF538&gt;=U538,1,0))))</f>
        <v/>
      </c>
      <c r="AH538" s="44">
        <f>IF(AF538&gt;0,(AD538-AE538)/AF538,"")</f>
        <v/>
      </c>
      <c r="AI538" s="45">
        <f>IF(AG538=1,AH538-O538,"")</f>
        <v/>
      </c>
      <c r="AJ538" s="44">
        <f>IF(AG538=1,AH538,MAX(-1,MIN(1,O538+INDEX(Types!$H:$H,MATCH($A538&amp;"|"&amp;$D538,Types!$A:$A,0)))))</f>
        <v/>
      </c>
      <c r="AK538" s="43">
        <f>IF(AG538=1,AF538,MAX(AQ538*AS538,AF538))</f>
        <v/>
      </c>
      <c r="AL538" s="43">
        <f>IF(AG538=1,AD538,AK538*(1+AJ538)/2)</f>
        <v/>
      </c>
      <c r="AM538" s="43">
        <f>IF(AG538=1,AE538,AK538*(1-AJ538)/2)</f>
        <v/>
      </c>
      <c r="AN538" s="45">
        <f>IF(AH538="","",AH538-T538)</f>
        <v/>
      </c>
      <c r="AO538" s="51">
        <f>IF(AG538=1,1,IF(U538&gt;0,MIN(AF538/U538,0.99),0))</f>
        <v/>
      </c>
      <c r="AP538" s="43">
        <f>IF(AG538=1,AI538*AF538,0)</f>
        <v/>
      </c>
      <c r="AQ538" s="43">
        <f>N538*(F538+G538)/H538</f>
        <v/>
      </c>
      <c r="AR538" s="43">
        <f>O538*AQ538</f>
        <v/>
      </c>
      <c r="AS538" s="52">
        <f>IF(AG538=1,IF(AQ538&gt;0,AF538/AQ538,1),IFERROR(INDEX(Types!$K:$K,MATCH($A538&amp;"|"&amp;$D538,Types!$A:$A,0)),INDEX(Dashboard!$X$6:$X$22,MATCH($A538,Dashboard!$A$6:$A$22,0))))</f>
        <v/>
      </c>
      <c r="AT538" s="43">
        <f>AQ538*INDEX(Dashboard!$Y$6:$Y$22,MATCH($A538,Dashboard!$A$6:$A$22,0))</f>
        <v/>
      </c>
      <c r="AU538" s="53">
        <f>IF(AND(AG538=1,AT538&gt;0,AF538&gt;0),100*AF538/AT538,"")</f>
        <v/>
      </c>
      <c r="AV538" s="44">
        <f>IF(AU538="","",T538/(AU538/100))</f>
        <v/>
      </c>
      <c r="AW538" s="53">
        <f>IF(AU538="","",IF(AND(ABS(AH538)&gt;=0.1,ABS(T538)&gt;=0.05,SIGN(AH538)=SIGN(T538)),100*T538/AH538,""))</f>
        <v/>
      </c>
      <c r="AX538" s="45">
        <f>IF(AU538="","",T538-AV538)</f>
        <v/>
      </c>
      <c r="AY538" s="45">
        <f>IF(AU538="","",AH538-AV538)</f>
        <v/>
      </c>
      <c r="AZ538" s="54">
        <f>(AL538-AM538)-T538*AT538</f>
        <v/>
      </c>
      <c r="BA538" s="43">
        <f>IF(AU538="",0,(AH538-T538)*AF538)</f>
        <v/>
      </c>
      <c r="BB538" s="43">
        <f>IF(AU538="",0,T538*(AF538-AT538))</f>
        <v/>
      </c>
      <c r="BC538" s="51" t="n">
        <v>0.0103448275862069</v>
      </c>
      <c r="BD538" s="51" t="n">
        <v>0.029064039408867</v>
      </c>
      <c r="BE538" s="51" t="n">
        <v>0.2799325463743676</v>
      </c>
      <c r="BF538" s="43" t="n">
        <v>4060</v>
      </c>
    </row>
    <row r="539">
      <c r="A539" s="42" t="inlineStr">
        <is>
          <t>MN</t>
        </is>
      </c>
      <c r="B539" s="42" t="inlineStr">
        <is>
          <t>27071</t>
        </is>
      </c>
      <c r="C539" s="42" t="inlineStr">
        <is>
          <t>Koochiching</t>
        </is>
      </c>
      <c r="D539" s="42" t="inlineStr">
        <is>
          <t>Small town &amp; rural</t>
        </is>
      </c>
      <c r="E539" s="42" t="inlineStr"/>
      <c r="F539" s="43" t="n">
        <v>2465</v>
      </c>
      <c r="G539" s="43" t="n">
        <v>4204</v>
      </c>
      <c r="H539" s="43" t="n">
        <v>6776</v>
      </c>
      <c r="I539" s="43" t="n">
        <v>2659</v>
      </c>
      <c r="J539" s="43" t="n">
        <v>4131</v>
      </c>
      <c r="K539" s="42" t="inlineStr">
        <is>
          <t>Governor</t>
        </is>
      </c>
      <c r="L539" s="43" t="n">
        <v>2058</v>
      </c>
      <c r="M539" s="43" t="n">
        <v>2953</v>
      </c>
      <c r="N539" s="43" t="n">
        <v>5227</v>
      </c>
      <c r="O539" s="44">
        <f>IFERROR((F539-G539)/(F539+G539),"")</f>
        <v/>
      </c>
      <c r="P539" s="44">
        <f>IFERROR((I539-J539)/(I539+J539),"")</f>
        <v/>
      </c>
      <c r="Q539" s="45">
        <f>IFERROR(O539-P539,"")</f>
        <v/>
      </c>
      <c r="R539" s="44">
        <f>IFERROR((L539-M539)/(L539+M539),"")</f>
        <v/>
      </c>
      <c r="S539" s="46">
        <f>H539/SUMIFS(Counties!$H$2:$H$1583,Counties!$A$2:$A$1583,$A539)</f>
        <v/>
      </c>
      <c r="T539" s="44">
        <f>O539+INDEX(Dashboard!$F$6:$F$22,MATCH($A539,Dashboard!$A$6:$A$22,0))</f>
        <v/>
      </c>
      <c r="U539" s="43">
        <f>AQ539*INDEX(Dashboard!$G$6:$G$22,MATCH($A539,Dashboard!$A$6:$A$22,0))</f>
        <v/>
      </c>
      <c r="V539" s="47" t="n"/>
      <c r="W539" s="47" t="n"/>
      <c r="X539" s="47" t="n"/>
      <c r="Y539" s="48" t="n"/>
      <c r="Z539" s="49" t="n"/>
      <c r="AA539" s="49" t="n"/>
      <c r="AB539" s="49" t="n"/>
      <c r="AC539" s="50" t="n"/>
      <c r="AD539" s="43">
        <f>IF(Z539&lt;&gt;"",Z539,N(V539))</f>
        <v/>
      </c>
      <c r="AE539" s="43">
        <f>IF(AA539&lt;&gt;"",AA539,N(W539))</f>
        <v/>
      </c>
      <c r="AF539" s="43">
        <f>AD539+AE539</f>
        <v/>
      </c>
      <c r="AG539" s="42">
        <f>IF(UPPER(AC539)="Y",1,IF(AF539=0,0,IF(AND(Z539="",Y539&lt;&gt;""),IF(Y539&gt;=0.999,1,0),IF(AF539&gt;=U539,1,0))))</f>
        <v/>
      </c>
      <c r="AH539" s="44">
        <f>IF(AF539&gt;0,(AD539-AE539)/AF539,"")</f>
        <v/>
      </c>
      <c r="AI539" s="45">
        <f>IF(AG539=1,AH539-O539,"")</f>
        <v/>
      </c>
      <c r="AJ539" s="44">
        <f>IF(AG539=1,AH539,MAX(-1,MIN(1,O539+INDEX(Types!$H:$H,MATCH($A539&amp;"|"&amp;$D539,Types!$A:$A,0)))))</f>
        <v/>
      </c>
      <c r="AK539" s="43">
        <f>IF(AG539=1,AF539,MAX(AQ539*AS539,AF539))</f>
        <v/>
      </c>
      <c r="AL539" s="43">
        <f>IF(AG539=1,AD539,AK539*(1+AJ539)/2)</f>
        <v/>
      </c>
      <c r="AM539" s="43">
        <f>IF(AG539=1,AE539,AK539*(1-AJ539)/2)</f>
        <v/>
      </c>
      <c r="AN539" s="45">
        <f>IF(AH539="","",AH539-T539)</f>
        <v/>
      </c>
      <c r="AO539" s="51">
        <f>IF(AG539=1,1,IF(U539&gt;0,MIN(AF539/U539,0.99),0))</f>
        <v/>
      </c>
      <c r="AP539" s="43">
        <f>IF(AG539=1,AI539*AF539,0)</f>
        <v/>
      </c>
      <c r="AQ539" s="43">
        <f>N539*(F539+G539)/H539</f>
        <v/>
      </c>
      <c r="AR539" s="43">
        <f>O539*AQ539</f>
        <v/>
      </c>
      <c r="AS539" s="52">
        <f>IF(AG539=1,IF(AQ539&gt;0,AF539/AQ539,1),IFERROR(INDEX(Types!$K:$K,MATCH($A539&amp;"|"&amp;$D539,Types!$A:$A,0)),INDEX(Dashboard!$X$6:$X$22,MATCH($A539,Dashboard!$A$6:$A$22,0))))</f>
        <v/>
      </c>
      <c r="AT539" s="43">
        <f>AQ539*INDEX(Dashboard!$Y$6:$Y$22,MATCH($A539,Dashboard!$A$6:$A$22,0))</f>
        <v/>
      </c>
      <c r="AU539" s="53">
        <f>IF(AND(AG539=1,AT539&gt;0,AF539&gt;0),100*AF539/AT539,"")</f>
        <v/>
      </c>
      <c r="AV539" s="44">
        <f>IF(AU539="","",T539/(AU539/100))</f>
        <v/>
      </c>
      <c r="AW539" s="53">
        <f>IF(AU539="","",IF(AND(ABS(AH539)&gt;=0.1,ABS(T539)&gt;=0.05,SIGN(AH539)=SIGN(T539)),100*T539/AH539,""))</f>
        <v/>
      </c>
      <c r="AX539" s="45">
        <f>IF(AU539="","",T539-AV539)</f>
        <v/>
      </c>
      <c r="AY539" s="45">
        <f>IF(AU539="","",AH539-AV539)</f>
        <v/>
      </c>
      <c r="AZ539" s="54">
        <f>(AL539-AM539)-T539*AT539</f>
        <v/>
      </c>
      <c r="BA539" s="43">
        <f>IF(AU539="",0,(AH539-T539)*AF539)</f>
        <v/>
      </c>
      <c r="BB539" s="43">
        <f>IF(AU539="",0,T539*(AF539-AT539))</f>
        <v/>
      </c>
      <c r="BC539" s="51" t="n">
        <v>0.007573823504382605</v>
      </c>
      <c r="BD539" s="51" t="n">
        <v>0.01582844013275466</v>
      </c>
      <c r="BE539" s="51" t="n">
        <v>0.2033130866924351</v>
      </c>
      <c r="BF539" s="43" t="n">
        <v>11751</v>
      </c>
    </row>
    <row r="540">
      <c r="A540" s="42" t="inlineStr">
        <is>
          <t>MN</t>
        </is>
      </c>
      <c r="B540" s="42" t="inlineStr">
        <is>
          <t>27073</t>
        </is>
      </c>
      <c r="C540" s="42" t="inlineStr">
        <is>
          <t>Lac qui Parle</t>
        </is>
      </c>
      <c r="D540" s="42" t="inlineStr">
        <is>
          <t>Small town &amp; rural</t>
        </is>
      </c>
      <c r="E540" s="42" t="inlineStr"/>
      <c r="F540" s="43" t="n">
        <v>1314</v>
      </c>
      <c r="G540" s="43" t="n">
        <v>2600</v>
      </c>
      <c r="H540" s="43" t="n">
        <v>3989</v>
      </c>
      <c r="I540" s="43" t="n">
        <v>1446</v>
      </c>
      <c r="J540" s="43" t="n">
        <v>2528</v>
      </c>
      <c r="K540" s="42" t="inlineStr">
        <is>
          <t>Governor</t>
        </is>
      </c>
      <c r="L540" s="43" t="n">
        <v>1102</v>
      </c>
      <c r="M540" s="43" t="n">
        <v>1935</v>
      </c>
      <c r="N540" s="43" t="n">
        <v>3150</v>
      </c>
      <c r="O540" s="44">
        <f>IFERROR((F540-G540)/(F540+G540),"")</f>
        <v/>
      </c>
      <c r="P540" s="44">
        <f>IFERROR((I540-J540)/(I540+J540),"")</f>
        <v/>
      </c>
      <c r="Q540" s="45">
        <f>IFERROR(O540-P540,"")</f>
        <v/>
      </c>
      <c r="R540" s="44">
        <f>IFERROR((L540-M540)/(L540+M540),"")</f>
        <v/>
      </c>
      <c r="S540" s="46">
        <f>H540/SUMIFS(Counties!$H$2:$H$1583,Counties!$A$2:$A$1583,$A540)</f>
        <v/>
      </c>
      <c r="T540" s="44">
        <f>O540+INDEX(Dashboard!$F$6:$F$22,MATCH($A540,Dashboard!$A$6:$A$22,0))</f>
        <v/>
      </c>
      <c r="U540" s="43">
        <f>AQ540*INDEX(Dashboard!$G$6:$G$22,MATCH($A540,Dashboard!$A$6:$A$22,0))</f>
        <v/>
      </c>
      <c r="V540" s="47" t="n"/>
      <c r="W540" s="47" t="n"/>
      <c r="X540" s="47" t="n"/>
      <c r="Y540" s="48" t="n"/>
      <c r="Z540" s="49" t="n"/>
      <c r="AA540" s="49" t="n"/>
      <c r="AB540" s="49" t="n"/>
      <c r="AC540" s="50" t="n"/>
      <c r="AD540" s="43">
        <f>IF(Z540&lt;&gt;"",Z540,N(V540))</f>
        <v/>
      </c>
      <c r="AE540" s="43">
        <f>IF(AA540&lt;&gt;"",AA540,N(W540))</f>
        <v/>
      </c>
      <c r="AF540" s="43">
        <f>AD540+AE540</f>
        <v/>
      </c>
      <c r="AG540" s="42">
        <f>IF(UPPER(AC540)="Y",1,IF(AF540=0,0,IF(AND(Z540="",Y540&lt;&gt;""),IF(Y540&gt;=0.999,1,0),IF(AF540&gt;=U540,1,0))))</f>
        <v/>
      </c>
      <c r="AH540" s="44">
        <f>IF(AF540&gt;0,(AD540-AE540)/AF540,"")</f>
        <v/>
      </c>
      <c r="AI540" s="45">
        <f>IF(AG540=1,AH540-O540,"")</f>
        <v/>
      </c>
      <c r="AJ540" s="44">
        <f>IF(AG540=1,AH540,MAX(-1,MIN(1,O540+INDEX(Types!$H:$H,MATCH($A540&amp;"|"&amp;$D540,Types!$A:$A,0)))))</f>
        <v/>
      </c>
      <c r="AK540" s="43">
        <f>IF(AG540=1,AF540,MAX(AQ540*AS540,AF540))</f>
        <v/>
      </c>
      <c r="AL540" s="43">
        <f>IF(AG540=1,AD540,AK540*(1+AJ540)/2)</f>
        <v/>
      </c>
      <c r="AM540" s="43">
        <f>IF(AG540=1,AE540,AK540*(1-AJ540)/2)</f>
        <v/>
      </c>
      <c r="AN540" s="45">
        <f>IF(AH540="","",AH540-T540)</f>
        <v/>
      </c>
      <c r="AO540" s="51">
        <f>IF(AG540=1,1,IF(U540&gt;0,MIN(AF540/U540,0.99),0))</f>
        <v/>
      </c>
      <c r="AP540" s="43">
        <f>IF(AG540=1,AI540*AF540,0)</f>
        <v/>
      </c>
      <c r="AQ540" s="43">
        <f>N540*(F540+G540)/H540</f>
        <v/>
      </c>
      <c r="AR540" s="43">
        <f>O540*AQ540</f>
        <v/>
      </c>
      <c r="AS540" s="52">
        <f>IF(AG540=1,IF(AQ540&gt;0,AF540/AQ540,1),IFERROR(INDEX(Types!$K:$K,MATCH($A540&amp;"|"&amp;$D540,Types!$A:$A,0)),INDEX(Dashboard!$X$6:$X$22,MATCH($A540,Dashboard!$A$6:$A$22,0))))</f>
        <v/>
      </c>
      <c r="AT540" s="43">
        <f>AQ540*INDEX(Dashboard!$Y$6:$Y$22,MATCH($A540,Dashboard!$A$6:$A$22,0))</f>
        <v/>
      </c>
      <c r="AU540" s="53">
        <f>IF(AND(AG540=1,AT540&gt;0,AF540&gt;0),100*AF540/AT540,"")</f>
        <v/>
      </c>
      <c r="AV540" s="44">
        <f>IF(AU540="","",T540/(AU540/100))</f>
        <v/>
      </c>
      <c r="AW540" s="53">
        <f>IF(AU540="","",IF(AND(ABS(AH540)&gt;=0.1,ABS(T540)&gt;=0.05,SIGN(AH540)=SIGN(T540)),100*T540/AH540,""))</f>
        <v/>
      </c>
      <c r="AX540" s="45">
        <f>IF(AU540="","",T540-AV540)</f>
        <v/>
      </c>
      <c r="AY540" s="45">
        <f>IF(AU540="","",AH540-AV540)</f>
        <v/>
      </c>
      <c r="AZ540" s="54">
        <f>(AL540-AM540)-T540*AT540</f>
        <v/>
      </c>
      <c r="BA540" s="43">
        <f>IF(AU540="",0,(AH540-T540)*AF540)</f>
        <v/>
      </c>
      <c r="BB540" s="43">
        <f>IF(AU540="",0,T540*(AF540-AT540))</f>
        <v/>
      </c>
      <c r="BC540" s="51" t="n">
        <v>0.006334841628959276</v>
      </c>
      <c r="BD540" s="51" t="n">
        <v>0.03710407239819005</v>
      </c>
      <c r="BE540" s="51" t="n">
        <v>0.2209830648492359</v>
      </c>
      <c r="BF540" s="43" t="n">
        <v>6630</v>
      </c>
    </row>
    <row r="541">
      <c r="A541" s="42" t="inlineStr">
        <is>
          <t>MN</t>
        </is>
      </c>
      <c r="B541" s="42" t="inlineStr">
        <is>
          <t>27075</t>
        </is>
      </c>
      <c r="C541" s="42" t="inlineStr">
        <is>
          <t>Lake</t>
        </is>
      </c>
      <c r="D541" s="42" t="inlineStr">
        <is>
          <t>Small town &amp; rural</t>
        </is>
      </c>
      <c r="E541" s="42" t="inlineStr"/>
      <c r="F541" s="43" t="n">
        <v>3534</v>
      </c>
      <c r="G541" s="43" t="n">
        <v>3265</v>
      </c>
      <c r="H541" s="43" t="n">
        <v>6929</v>
      </c>
      <c r="I541" s="43" t="n">
        <v>3647</v>
      </c>
      <c r="J541" s="43" t="n">
        <v>3393</v>
      </c>
      <c r="K541" s="42" t="inlineStr">
        <is>
          <t>Governor</t>
        </is>
      </c>
      <c r="L541" s="43" t="n">
        <v>2970</v>
      </c>
      <c r="M541" s="43" t="n">
        <v>2501</v>
      </c>
      <c r="N541" s="43" t="n">
        <v>5661</v>
      </c>
      <c r="O541" s="44">
        <f>IFERROR((F541-G541)/(F541+G541),"")</f>
        <v/>
      </c>
      <c r="P541" s="44">
        <f>IFERROR((I541-J541)/(I541+J541),"")</f>
        <v/>
      </c>
      <c r="Q541" s="45">
        <f>IFERROR(O541-P541,"")</f>
        <v/>
      </c>
      <c r="R541" s="44">
        <f>IFERROR((L541-M541)/(L541+M541),"")</f>
        <v/>
      </c>
      <c r="S541" s="46">
        <f>H541/SUMIFS(Counties!$H$2:$H$1583,Counties!$A$2:$A$1583,$A541)</f>
        <v/>
      </c>
      <c r="T541" s="44">
        <f>O541+INDEX(Dashboard!$F$6:$F$22,MATCH($A541,Dashboard!$A$6:$A$22,0))</f>
        <v/>
      </c>
      <c r="U541" s="43">
        <f>AQ541*INDEX(Dashboard!$G$6:$G$22,MATCH($A541,Dashboard!$A$6:$A$22,0))</f>
        <v/>
      </c>
      <c r="V541" s="47" t="n"/>
      <c r="W541" s="47" t="n"/>
      <c r="X541" s="47" t="n"/>
      <c r="Y541" s="48" t="n"/>
      <c r="Z541" s="49" t="n"/>
      <c r="AA541" s="49" t="n"/>
      <c r="AB541" s="49" t="n"/>
      <c r="AC541" s="50" t="n"/>
      <c r="AD541" s="43">
        <f>IF(Z541&lt;&gt;"",Z541,N(V541))</f>
        <v/>
      </c>
      <c r="AE541" s="43">
        <f>IF(AA541&lt;&gt;"",AA541,N(W541))</f>
        <v/>
      </c>
      <c r="AF541" s="43">
        <f>AD541+AE541</f>
        <v/>
      </c>
      <c r="AG541" s="42">
        <f>IF(UPPER(AC541)="Y",1,IF(AF541=0,0,IF(AND(Z541="",Y541&lt;&gt;""),IF(Y541&gt;=0.999,1,0),IF(AF541&gt;=U541,1,0))))</f>
        <v/>
      </c>
      <c r="AH541" s="44">
        <f>IF(AF541&gt;0,(AD541-AE541)/AF541,"")</f>
        <v/>
      </c>
      <c r="AI541" s="45">
        <f>IF(AG541=1,AH541-O541,"")</f>
        <v/>
      </c>
      <c r="AJ541" s="44">
        <f>IF(AG541=1,AH541,MAX(-1,MIN(1,O541+INDEX(Types!$H:$H,MATCH($A541&amp;"|"&amp;$D541,Types!$A:$A,0)))))</f>
        <v/>
      </c>
      <c r="AK541" s="43">
        <f>IF(AG541=1,AF541,MAX(AQ541*AS541,AF541))</f>
        <v/>
      </c>
      <c r="AL541" s="43">
        <f>IF(AG541=1,AD541,AK541*(1+AJ541)/2)</f>
        <v/>
      </c>
      <c r="AM541" s="43">
        <f>IF(AG541=1,AE541,AK541*(1-AJ541)/2)</f>
        <v/>
      </c>
      <c r="AN541" s="45">
        <f>IF(AH541="","",AH541-T541)</f>
        <v/>
      </c>
      <c r="AO541" s="51">
        <f>IF(AG541=1,1,IF(U541&gt;0,MIN(AF541/U541,0.99),0))</f>
        <v/>
      </c>
      <c r="AP541" s="43">
        <f>IF(AG541=1,AI541*AF541,0)</f>
        <v/>
      </c>
      <c r="AQ541" s="43">
        <f>N541*(F541+G541)/H541</f>
        <v/>
      </c>
      <c r="AR541" s="43">
        <f>O541*AQ541</f>
        <v/>
      </c>
      <c r="AS541" s="52">
        <f>IF(AG541=1,IF(AQ541&gt;0,AF541/AQ541,1),IFERROR(INDEX(Types!$K:$K,MATCH($A541&amp;"|"&amp;$D541,Types!$A:$A,0)),INDEX(Dashboard!$X$6:$X$22,MATCH($A541,Dashboard!$A$6:$A$22,0))))</f>
        <v/>
      </c>
      <c r="AT541" s="43">
        <f>AQ541*INDEX(Dashboard!$Y$6:$Y$22,MATCH($A541,Dashboard!$A$6:$A$22,0))</f>
        <v/>
      </c>
      <c r="AU541" s="53">
        <f>IF(AND(AG541=1,AT541&gt;0,AF541&gt;0),100*AF541/AT541,"")</f>
        <v/>
      </c>
      <c r="AV541" s="44">
        <f>IF(AU541="","",T541/(AU541/100))</f>
        <v/>
      </c>
      <c r="AW541" s="53">
        <f>IF(AU541="","",IF(AND(ABS(AH541)&gt;=0.1,ABS(T541)&gt;=0.05,SIGN(AH541)=SIGN(T541)),100*T541/AH541,""))</f>
        <v/>
      </c>
      <c r="AX541" s="45">
        <f>IF(AU541="","",T541-AV541)</f>
        <v/>
      </c>
      <c r="AY541" s="45">
        <f>IF(AU541="","",AH541-AV541)</f>
        <v/>
      </c>
      <c r="AZ541" s="54">
        <f>(AL541-AM541)-T541*AT541</f>
        <v/>
      </c>
      <c r="BA541" s="43">
        <f>IF(AU541="",0,(AH541-T541)*AF541)</f>
        <v/>
      </c>
      <c r="BB541" s="43">
        <f>IF(AU541="",0,T541*(AF541-AT541))</f>
        <v/>
      </c>
      <c r="BC541" s="51" t="n">
        <v>0.005527406725011516</v>
      </c>
      <c r="BD541" s="51" t="n">
        <v>0.01731920773836941</v>
      </c>
      <c r="BE541" s="51" t="n">
        <v>0.2577545310789442</v>
      </c>
      <c r="BF541" s="43" t="n">
        <v>10855</v>
      </c>
    </row>
    <row r="542">
      <c r="A542" s="42" t="inlineStr">
        <is>
          <t>MN</t>
        </is>
      </c>
      <c r="B542" s="42" t="inlineStr">
        <is>
          <t>27077</t>
        </is>
      </c>
      <c r="C542" s="42" t="inlineStr">
        <is>
          <t>Lake of the Woods</t>
        </is>
      </c>
      <c r="D542" s="42" t="inlineStr">
        <is>
          <t>Small town &amp; rural</t>
        </is>
      </c>
      <c r="E542" s="42" t="inlineStr"/>
      <c r="F542" s="43" t="n">
        <v>604</v>
      </c>
      <c r="G542" s="43" t="n">
        <v>1710</v>
      </c>
      <c r="H542" s="43" t="n">
        <v>2346</v>
      </c>
      <c r="I542" s="43" t="n">
        <v>671</v>
      </c>
      <c r="J542" s="43" t="n">
        <v>1704</v>
      </c>
      <c r="K542" s="42" t="inlineStr">
        <is>
          <t>Governor</t>
        </is>
      </c>
      <c r="L542" s="43" t="n">
        <v>473</v>
      </c>
      <c r="M542" s="43" t="n">
        <v>1297</v>
      </c>
      <c r="N542" s="43" t="n">
        <v>1828</v>
      </c>
      <c r="O542" s="44">
        <f>IFERROR((F542-G542)/(F542+G542),"")</f>
        <v/>
      </c>
      <c r="P542" s="44">
        <f>IFERROR((I542-J542)/(I542+J542),"")</f>
        <v/>
      </c>
      <c r="Q542" s="45">
        <f>IFERROR(O542-P542,"")</f>
        <v/>
      </c>
      <c r="R542" s="44">
        <f>IFERROR((L542-M542)/(L542+M542),"")</f>
        <v/>
      </c>
      <c r="S542" s="46">
        <f>H542/SUMIFS(Counties!$H$2:$H$1583,Counties!$A$2:$A$1583,$A542)</f>
        <v/>
      </c>
      <c r="T542" s="44">
        <f>O542+INDEX(Dashboard!$F$6:$F$22,MATCH($A542,Dashboard!$A$6:$A$22,0))</f>
        <v/>
      </c>
      <c r="U542" s="43">
        <f>AQ542*INDEX(Dashboard!$G$6:$G$22,MATCH($A542,Dashboard!$A$6:$A$22,0))</f>
        <v/>
      </c>
      <c r="V542" s="47" t="n"/>
      <c r="W542" s="47" t="n"/>
      <c r="X542" s="47" t="n"/>
      <c r="Y542" s="48" t="n"/>
      <c r="Z542" s="49" t="n"/>
      <c r="AA542" s="49" t="n"/>
      <c r="AB542" s="49" t="n"/>
      <c r="AC542" s="50" t="n"/>
      <c r="AD542" s="43">
        <f>IF(Z542&lt;&gt;"",Z542,N(V542))</f>
        <v/>
      </c>
      <c r="AE542" s="43">
        <f>IF(AA542&lt;&gt;"",AA542,N(W542))</f>
        <v/>
      </c>
      <c r="AF542" s="43">
        <f>AD542+AE542</f>
        <v/>
      </c>
      <c r="AG542" s="42">
        <f>IF(UPPER(AC542)="Y",1,IF(AF542=0,0,IF(AND(Z542="",Y542&lt;&gt;""),IF(Y542&gt;=0.999,1,0),IF(AF542&gt;=U542,1,0))))</f>
        <v/>
      </c>
      <c r="AH542" s="44">
        <f>IF(AF542&gt;0,(AD542-AE542)/AF542,"")</f>
        <v/>
      </c>
      <c r="AI542" s="45">
        <f>IF(AG542=1,AH542-O542,"")</f>
        <v/>
      </c>
      <c r="AJ542" s="44">
        <f>IF(AG542=1,AH542,MAX(-1,MIN(1,O542+INDEX(Types!$H:$H,MATCH($A542&amp;"|"&amp;$D542,Types!$A:$A,0)))))</f>
        <v/>
      </c>
      <c r="AK542" s="43">
        <f>IF(AG542=1,AF542,MAX(AQ542*AS542,AF542))</f>
        <v/>
      </c>
      <c r="AL542" s="43">
        <f>IF(AG542=1,AD542,AK542*(1+AJ542)/2)</f>
        <v/>
      </c>
      <c r="AM542" s="43">
        <f>IF(AG542=1,AE542,AK542*(1-AJ542)/2)</f>
        <v/>
      </c>
      <c r="AN542" s="45">
        <f>IF(AH542="","",AH542-T542)</f>
        <v/>
      </c>
      <c r="AO542" s="51">
        <f>IF(AG542=1,1,IF(U542&gt;0,MIN(AF542/U542,0.99),0))</f>
        <v/>
      </c>
      <c r="AP542" s="43">
        <f>IF(AG542=1,AI542*AF542,0)</f>
        <v/>
      </c>
      <c r="AQ542" s="43">
        <f>N542*(F542+G542)/H542</f>
        <v/>
      </c>
      <c r="AR542" s="43">
        <f>O542*AQ542</f>
        <v/>
      </c>
      <c r="AS542" s="52">
        <f>IF(AG542=1,IF(AQ542&gt;0,AF542/AQ542,1),IFERROR(INDEX(Types!$K:$K,MATCH($A542&amp;"|"&amp;$D542,Types!$A:$A,0)),INDEX(Dashboard!$X$6:$X$22,MATCH($A542,Dashboard!$A$6:$A$22,0))))</f>
        <v/>
      </c>
      <c r="AT542" s="43">
        <f>AQ542*INDEX(Dashboard!$Y$6:$Y$22,MATCH($A542,Dashboard!$A$6:$A$22,0))</f>
        <v/>
      </c>
      <c r="AU542" s="53">
        <f>IF(AND(AG542=1,AT542&gt;0,AF542&gt;0),100*AF542/AT542,"")</f>
        <v/>
      </c>
      <c r="AV542" s="44">
        <f>IF(AU542="","",T542/(AU542/100))</f>
        <v/>
      </c>
      <c r="AW542" s="53">
        <f>IF(AU542="","",IF(AND(ABS(AH542)&gt;=0.1,ABS(T542)&gt;=0.05,SIGN(AH542)=SIGN(T542)),100*T542/AH542,""))</f>
        <v/>
      </c>
      <c r="AX542" s="45">
        <f>IF(AU542="","",T542-AV542)</f>
        <v/>
      </c>
      <c r="AY542" s="45">
        <f>IF(AU542="","",AH542-AV542)</f>
        <v/>
      </c>
      <c r="AZ542" s="54">
        <f>(AL542-AM542)-T542*AT542</f>
        <v/>
      </c>
      <c r="BA542" s="43">
        <f>IF(AU542="",0,(AH542-T542)*AF542)</f>
        <v/>
      </c>
      <c r="BB542" s="43">
        <f>IF(AU542="",0,T542*(AF542-AT542))</f>
        <v/>
      </c>
      <c r="BC542" s="51" t="n">
        <v>0.009264160931709899</v>
      </c>
      <c r="BD542" s="51" t="n">
        <v>0.01905770248808894</v>
      </c>
      <c r="BE542" s="51" t="n">
        <v>0.2141350210970464</v>
      </c>
      <c r="BF542" s="43" t="n">
        <v>3778</v>
      </c>
    </row>
    <row r="543">
      <c r="A543" s="42" t="inlineStr">
        <is>
          <t>MN</t>
        </is>
      </c>
      <c r="B543" s="42" t="inlineStr">
        <is>
          <t>27079</t>
        </is>
      </c>
      <c r="C543" s="42" t="inlineStr">
        <is>
          <t>Le Sueur</t>
        </is>
      </c>
      <c r="D543" s="42" t="inlineStr">
        <is>
          <t>Small town &amp; rural</t>
        </is>
      </c>
      <c r="E543" s="42" t="inlineStr"/>
      <c r="F543" s="43" t="n">
        <v>5636</v>
      </c>
      <c r="G543" s="43" t="n">
        <v>11503</v>
      </c>
      <c r="H543" s="43" t="n">
        <v>17422</v>
      </c>
      <c r="I543" s="43" t="n">
        <v>5672</v>
      </c>
      <c r="J543" s="43" t="n">
        <v>10775</v>
      </c>
      <c r="K543" s="42" t="inlineStr">
        <is>
          <t>Governor</t>
        </is>
      </c>
      <c r="L543" s="43" t="n">
        <v>4591</v>
      </c>
      <c r="M543" s="43" t="n">
        <v>8184</v>
      </c>
      <c r="N543" s="43" t="n">
        <v>13217</v>
      </c>
      <c r="O543" s="44">
        <f>IFERROR((F543-G543)/(F543+G543),"")</f>
        <v/>
      </c>
      <c r="P543" s="44">
        <f>IFERROR((I543-J543)/(I543+J543),"")</f>
        <v/>
      </c>
      <c r="Q543" s="45">
        <f>IFERROR(O543-P543,"")</f>
        <v/>
      </c>
      <c r="R543" s="44">
        <f>IFERROR((L543-M543)/(L543+M543),"")</f>
        <v/>
      </c>
      <c r="S543" s="46">
        <f>H543/SUMIFS(Counties!$H$2:$H$1583,Counties!$A$2:$A$1583,$A543)</f>
        <v/>
      </c>
      <c r="T543" s="44">
        <f>O543+INDEX(Dashboard!$F$6:$F$22,MATCH($A543,Dashboard!$A$6:$A$22,0))</f>
        <v/>
      </c>
      <c r="U543" s="43">
        <f>AQ543*INDEX(Dashboard!$G$6:$G$22,MATCH($A543,Dashboard!$A$6:$A$22,0))</f>
        <v/>
      </c>
      <c r="V543" s="47" t="n"/>
      <c r="W543" s="47" t="n"/>
      <c r="X543" s="47" t="n"/>
      <c r="Y543" s="48" t="n"/>
      <c r="Z543" s="49" t="n"/>
      <c r="AA543" s="49" t="n"/>
      <c r="AB543" s="49" t="n"/>
      <c r="AC543" s="50" t="n"/>
      <c r="AD543" s="43">
        <f>IF(Z543&lt;&gt;"",Z543,N(V543))</f>
        <v/>
      </c>
      <c r="AE543" s="43">
        <f>IF(AA543&lt;&gt;"",AA543,N(W543))</f>
        <v/>
      </c>
      <c r="AF543" s="43">
        <f>AD543+AE543</f>
        <v/>
      </c>
      <c r="AG543" s="42">
        <f>IF(UPPER(AC543)="Y",1,IF(AF543=0,0,IF(AND(Z543="",Y543&lt;&gt;""),IF(Y543&gt;=0.999,1,0),IF(AF543&gt;=U543,1,0))))</f>
        <v/>
      </c>
      <c r="AH543" s="44">
        <f>IF(AF543&gt;0,(AD543-AE543)/AF543,"")</f>
        <v/>
      </c>
      <c r="AI543" s="45">
        <f>IF(AG543=1,AH543-O543,"")</f>
        <v/>
      </c>
      <c r="AJ543" s="44">
        <f>IF(AG543=1,AH543,MAX(-1,MIN(1,O543+INDEX(Types!$H:$H,MATCH($A543&amp;"|"&amp;$D543,Types!$A:$A,0)))))</f>
        <v/>
      </c>
      <c r="AK543" s="43">
        <f>IF(AG543=1,AF543,MAX(AQ543*AS543,AF543))</f>
        <v/>
      </c>
      <c r="AL543" s="43">
        <f>IF(AG543=1,AD543,AK543*(1+AJ543)/2)</f>
        <v/>
      </c>
      <c r="AM543" s="43">
        <f>IF(AG543=1,AE543,AK543*(1-AJ543)/2)</f>
        <v/>
      </c>
      <c r="AN543" s="45">
        <f>IF(AH543="","",AH543-T543)</f>
        <v/>
      </c>
      <c r="AO543" s="51">
        <f>IF(AG543=1,1,IF(U543&gt;0,MIN(AF543/U543,0.99),0))</f>
        <v/>
      </c>
      <c r="AP543" s="43">
        <f>IF(AG543=1,AI543*AF543,0)</f>
        <v/>
      </c>
      <c r="AQ543" s="43">
        <f>N543*(F543+G543)/H543</f>
        <v/>
      </c>
      <c r="AR543" s="43">
        <f>O543*AQ543</f>
        <v/>
      </c>
      <c r="AS543" s="52">
        <f>IF(AG543=1,IF(AQ543&gt;0,AF543/AQ543,1),IFERROR(INDEX(Types!$K:$K,MATCH($A543&amp;"|"&amp;$D543,Types!$A:$A,0)),INDEX(Dashboard!$X$6:$X$22,MATCH($A543,Dashboard!$A$6:$A$22,0))))</f>
        <v/>
      </c>
      <c r="AT543" s="43">
        <f>AQ543*INDEX(Dashboard!$Y$6:$Y$22,MATCH($A543,Dashboard!$A$6:$A$22,0))</f>
        <v/>
      </c>
      <c r="AU543" s="53">
        <f>IF(AND(AG543=1,AT543&gt;0,AF543&gt;0),100*AF543/AT543,"")</f>
        <v/>
      </c>
      <c r="AV543" s="44">
        <f>IF(AU543="","",T543/(AU543/100))</f>
        <v/>
      </c>
      <c r="AW543" s="53">
        <f>IF(AU543="","",IF(AND(ABS(AH543)&gt;=0.1,ABS(T543)&gt;=0.05,SIGN(AH543)=SIGN(T543)),100*T543/AH543,""))</f>
        <v/>
      </c>
      <c r="AX543" s="45">
        <f>IF(AU543="","",T543-AV543)</f>
        <v/>
      </c>
      <c r="AY543" s="45">
        <f>IF(AU543="","",AH543-AV543)</f>
        <v/>
      </c>
      <c r="AZ543" s="54">
        <f>(AL543-AM543)-T543*AT543</f>
        <v/>
      </c>
      <c r="BA543" s="43">
        <f>IF(AU543="",0,(AH543-T543)*AF543)</f>
        <v/>
      </c>
      <c r="BB543" s="43">
        <f>IF(AU543="",0,T543*(AF543-AT543))</f>
        <v/>
      </c>
      <c r="BC543" s="51" t="n">
        <v>0.008819005298239617</v>
      </c>
      <c r="BD543" s="51" t="n">
        <v>0.06850111092121004</v>
      </c>
      <c r="BE543" s="51" t="n">
        <v>0.2539273502155707</v>
      </c>
      <c r="BF543" s="43" t="n">
        <v>29255</v>
      </c>
    </row>
    <row r="544">
      <c r="A544" s="42" t="inlineStr">
        <is>
          <t>MN</t>
        </is>
      </c>
      <c r="B544" s="42" t="inlineStr">
        <is>
          <t>27081</t>
        </is>
      </c>
      <c r="C544" s="42" t="inlineStr">
        <is>
          <t>Lincoln</t>
        </is>
      </c>
      <c r="D544" s="42" t="inlineStr">
        <is>
          <t>Small town &amp; rural</t>
        </is>
      </c>
      <c r="E544" s="42" t="inlineStr"/>
      <c r="F544" s="43" t="n">
        <v>972</v>
      </c>
      <c r="G544" s="43" t="n">
        <v>2190</v>
      </c>
      <c r="H544" s="43" t="n">
        <v>3226</v>
      </c>
      <c r="I544" s="43" t="n">
        <v>937</v>
      </c>
      <c r="J544" s="43" t="n">
        <v>2121</v>
      </c>
      <c r="K544" s="42" t="inlineStr">
        <is>
          <t>Governor</t>
        </is>
      </c>
      <c r="L544" s="43" t="n">
        <v>710</v>
      </c>
      <c r="M544" s="43" t="n">
        <v>1653</v>
      </c>
      <c r="N544" s="43" t="n">
        <v>2440</v>
      </c>
      <c r="O544" s="44">
        <f>IFERROR((F544-G544)/(F544+G544),"")</f>
        <v/>
      </c>
      <c r="P544" s="44">
        <f>IFERROR((I544-J544)/(I544+J544),"")</f>
        <v/>
      </c>
      <c r="Q544" s="45">
        <f>IFERROR(O544-P544,"")</f>
        <v/>
      </c>
      <c r="R544" s="44">
        <f>IFERROR((L544-M544)/(L544+M544),"")</f>
        <v/>
      </c>
      <c r="S544" s="46">
        <f>H544/SUMIFS(Counties!$H$2:$H$1583,Counties!$A$2:$A$1583,$A544)</f>
        <v/>
      </c>
      <c r="T544" s="44">
        <f>O544+INDEX(Dashboard!$F$6:$F$22,MATCH($A544,Dashboard!$A$6:$A$22,0))</f>
        <v/>
      </c>
      <c r="U544" s="43">
        <f>AQ544*INDEX(Dashboard!$G$6:$G$22,MATCH($A544,Dashboard!$A$6:$A$22,0))</f>
        <v/>
      </c>
      <c r="V544" s="47" t="n"/>
      <c r="W544" s="47" t="n"/>
      <c r="X544" s="47" t="n"/>
      <c r="Y544" s="48" t="n"/>
      <c r="Z544" s="49" t="n"/>
      <c r="AA544" s="49" t="n"/>
      <c r="AB544" s="49" t="n"/>
      <c r="AC544" s="50" t="n"/>
      <c r="AD544" s="43">
        <f>IF(Z544&lt;&gt;"",Z544,N(V544))</f>
        <v/>
      </c>
      <c r="AE544" s="43">
        <f>IF(AA544&lt;&gt;"",AA544,N(W544))</f>
        <v/>
      </c>
      <c r="AF544" s="43">
        <f>AD544+AE544</f>
        <v/>
      </c>
      <c r="AG544" s="42">
        <f>IF(UPPER(AC544)="Y",1,IF(AF544=0,0,IF(AND(Z544="",Y544&lt;&gt;""),IF(Y544&gt;=0.999,1,0),IF(AF544&gt;=U544,1,0))))</f>
        <v/>
      </c>
      <c r="AH544" s="44">
        <f>IF(AF544&gt;0,(AD544-AE544)/AF544,"")</f>
        <v/>
      </c>
      <c r="AI544" s="45">
        <f>IF(AG544=1,AH544-O544,"")</f>
        <v/>
      </c>
      <c r="AJ544" s="44">
        <f>IF(AG544=1,AH544,MAX(-1,MIN(1,O544+INDEX(Types!$H:$H,MATCH($A544&amp;"|"&amp;$D544,Types!$A:$A,0)))))</f>
        <v/>
      </c>
      <c r="AK544" s="43">
        <f>IF(AG544=1,AF544,MAX(AQ544*AS544,AF544))</f>
        <v/>
      </c>
      <c r="AL544" s="43">
        <f>IF(AG544=1,AD544,AK544*(1+AJ544)/2)</f>
        <v/>
      </c>
      <c r="AM544" s="43">
        <f>IF(AG544=1,AE544,AK544*(1-AJ544)/2)</f>
        <v/>
      </c>
      <c r="AN544" s="45">
        <f>IF(AH544="","",AH544-T544)</f>
        <v/>
      </c>
      <c r="AO544" s="51">
        <f>IF(AG544=1,1,IF(U544&gt;0,MIN(AF544/U544,0.99),0))</f>
        <v/>
      </c>
      <c r="AP544" s="43">
        <f>IF(AG544=1,AI544*AF544,0)</f>
        <v/>
      </c>
      <c r="AQ544" s="43">
        <f>N544*(F544+G544)/H544</f>
        <v/>
      </c>
      <c r="AR544" s="43">
        <f>O544*AQ544</f>
        <v/>
      </c>
      <c r="AS544" s="52">
        <f>IF(AG544=1,IF(AQ544&gt;0,AF544/AQ544,1),IFERROR(INDEX(Types!$K:$K,MATCH($A544&amp;"|"&amp;$D544,Types!$A:$A,0)),INDEX(Dashboard!$X$6:$X$22,MATCH($A544,Dashboard!$A$6:$A$22,0))))</f>
        <v/>
      </c>
      <c r="AT544" s="43">
        <f>AQ544*INDEX(Dashboard!$Y$6:$Y$22,MATCH($A544,Dashboard!$A$6:$A$22,0))</f>
        <v/>
      </c>
      <c r="AU544" s="53">
        <f>IF(AND(AG544=1,AT544&gt;0,AF544&gt;0),100*AF544/AT544,"")</f>
        <v/>
      </c>
      <c r="AV544" s="44">
        <f>IF(AU544="","",T544/(AU544/100))</f>
        <v/>
      </c>
      <c r="AW544" s="53">
        <f>IF(AU544="","",IF(AND(ABS(AH544)&gt;=0.1,ABS(T544)&gt;=0.05,SIGN(AH544)=SIGN(T544)),100*T544/AH544,""))</f>
        <v/>
      </c>
      <c r="AX544" s="45">
        <f>IF(AU544="","",T544-AV544)</f>
        <v/>
      </c>
      <c r="AY544" s="45">
        <f>IF(AU544="","",AH544-AV544)</f>
        <v/>
      </c>
      <c r="AZ544" s="54">
        <f>(AL544-AM544)-T544*AT544</f>
        <v/>
      </c>
      <c r="BA544" s="43">
        <f>IF(AU544="",0,(AH544-T544)*AF544)</f>
        <v/>
      </c>
      <c r="BB544" s="43">
        <f>IF(AU544="",0,T544*(AF544-AT544))</f>
        <v/>
      </c>
      <c r="BC544" s="51" t="n">
        <v>0.003803658757471472</v>
      </c>
      <c r="BD544" s="51" t="n">
        <v>0.02716899112479623</v>
      </c>
      <c r="BE544" s="51" t="n">
        <v>0.2440385591070522</v>
      </c>
      <c r="BF544" s="43" t="n">
        <v>5521</v>
      </c>
    </row>
    <row r="545">
      <c r="A545" s="42" t="inlineStr">
        <is>
          <t>MN</t>
        </is>
      </c>
      <c r="B545" s="42" t="inlineStr">
        <is>
          <t>27083</t>
        </is>
      </c>
      <c r="C545" s="42" t="inlineStr">
        <is>
          <t>Lyon</t>
        </is>
      </c>
      <c r="D545" s="42" t="inlineStr">
        <is>
          <t>Small town &amp; rural</t>
        </is>
      </c>
      <c r="E545" s="42" t="inlineStr"/>
      <c r="F545" s="43" t="n">
        <v>4284</v>
      </c>
      <c r="G545" s="43" t="n">
        <v>8400</v>
      </c>
      <c r="H545" s="43" t="n">
        <v>12946</v>
      </c>
      <c r="I545" s="43" t="n">
        <v>4634</v>
      </c>
      <c r="J545" s="43" t="n">
        <v>7979</v>
      </c>
      <c r="K545" s="42" t="inlineStr">
        <is>
          <t>Governor</t>
        </is>
      </c>
      <c r="L545" s="43" t="n">
        <v>3264</v>
      </c>
      <c r="M545" s="43" t="n">
        <v>6267</v>
      </c>
      <c r="N545" s="43" t="n">
        <v>9800</v>
      </c>
      <c r="O545" s="44">
        <f>IFERROR((F545-G545)/(F545+G545),"")</f>
        <v/>
      </c>
      <c r="P545" s="44">
        <f>IFERROR((I545-J545)/(I545+J545),"")</f>
        <v/>
      </c>
      <c r="Q545" s="45">
        <f>IFERROR(O545-P545,"")</f>
        <v/>
      </c>
      <c r="R545" s="44">
        <f>IFERROR((L545-M545)/(L545+M545),"")</f>
        <v/>
      </c>
      <c r="S545" s="46">
        <f>H545/SUMIFS(Counties!$H$2:$H$1583,Counties!$A$2:$A$1583,$A545)</f>
        <v/>
      </c>
      <c r="T545" s="44">
        <f>O545+INDEX(Dashboard!$F$6:$F$22,MATCH($A545,Dashboard!$A$6:$A$22,0))</f>
        <v/>
      </c>
      <c r="U545" s="43">
        <f>AQ545*INDEX(Dashboard!$G$6:$G$22,MATCH($A545,Dashboard!$A$6:$A$22,0))</f>
        <v/>
      </c>
      <c r="V545" s="47" t="n"/>
      <c r="W545" s="47" t="n"/>
      <c r="X545" s="47" t="n"/>
      <c r="Y545" s="48" t="n"/>
      <c r="Z545" s="49" t="n"/>
      <c r="AA545" s="49" t="n"/>
      <c r="AB545" s="49" t="n"/>
      <c r="AC545" s="50" t="n"/>
      <c r="AD545" s="43">
        <f>IF(Z545&lt;&gt;"",Z545,N(V545))</f>
        <v/>
      </c>
      <c r="AE545" s="43">
        <f>IF(AA545&lt;&gt;"",AA545,N(W545))</f>
        <v/>
      </c>
      <c r="AF545" s="43">
        <f>AD545+AE545</f>
        <v/>
      </c>
      <c r="AG545" s="42">
        <f>IF(UPPER(AC545)="Y",1,IF(AF545=0,0,IF(AND(Z545="",Y545&lt;&gt;""),IF(Y545&gt;=0.999,1,0),IF(AF545&gt;=U545,1,0))))</f>
        <v/>
      </c>
      <c r="AH545" s="44">
        <f>IF(AF545&gt;0,(AD545-AE545)/AF545,"")</f>
        <v/>
      </c>
      <c r="AI545" s="45">
        <f>IF(AG545=1,AH545-O545,"")</f>
        <v/>
      </c>
      <c r="AJ545" s="44">
        <f>IF(AG545=1,AH545,MAX(-1,MIN(1,O545+INDEX(Types!$H:$H,MATCH($A545&amp;"|"&amp;$D545,Types!$A:$A,0)))))</f>
        <v/>
      </c>
      <c r="AK545" s="43">
        <f>IF(AG545=1,AF545,MAX(AQ545*AS545,AF545))</f>
        <v/>
      </c>
      <c r="AL545" s="43">
        <f>IF(AG545=1,AD545,AK545*(1+AJ545)/2)</f>
        <v/>
      </c>
      <c r="AM545" s="43">
        <f>IF(AG545=1,AE545,AK545*(1-AJ545)/2)</f>
        <v/>
      </c>
      <c r="AN545" s="45">
        <f>IF(AH545="","",AH545-T545)</f>
        <v/>
      </c>
      <c r="AO545" s="51">
        <f>IF(AG545=1,1,IF(U545&gt;0,MIN(AF545/U545,0.99),0))</f>
        <v/>
      </c>
      <c r="AP545" s="43">
        <f>IF(AG545=1,AI545*AF545,0)</f>
        <v/>
      </c>
      <c r="AQ545" s="43">
        <f>N545*(F545+G545)/H545</f>
        <v/>
      </c>
      <c r="AR545" s="43">
        <f>O545*AQ545</f>
        <v/>
      </c>
      <c r="AS545" s="52">
        <f>IF(AG545=1,IF(AQ545&gt;0,AF545/AQ545,1),IFERROR(INDEX(Types!$K:$K,MATCH($A545&amp;"|"&amp;$D545,Types!$A:$A,0)),INDEX(Dashboard!$X$6:$X$22,MATCH($A545,Dashboard!$A$6:$A$22,0))))</f>
        <v/>
      </c>
      <c r="AT545" s="43">
        <f>AQ545*INDEX(Dashboard!$Y$6:$Y$22,MATCH($A545,Dashboard!$A$6:$A$22,0))</f>
        <v/>
      </c>
      <c r="AU545" s="53">
        <f>IF(AND(AG545=1,AT545&gt;0,AF545&gt;0),100*AF545/AT545,"")</f>
        <v/>
      </c>
      <c r="AV545" s="44">
        <f>IF(AU545="","",T545/(AU545/100))</f>
        <v/>
      </c>
      <c r="AW545" s="53">
        <f>IF(AU545="","",IF(AND(ABS(AH545)&gt;=0.1,ABS(T545)&gt;=0.05,SIGN(AH545)=SIGN(T545)),100*T545/AH545,""))</f>
        <v/>
      </c>
      <c r="AX545" s="45">
        <f>IF(AU545="","",T545-AV545)</f>
        <v/>
      </c>
      <c r="AY545" s="45">
        <f>IF(AU545="","",AH545-AV545)</f>
        <v/>
      </c>
      <c r="AZ545" s="54">
        <f>(AL545-AM545)-T545*AT545</f>
        <v/>
      </c>
      <c r="BA545" s="43">
        <f>IF(AU545="",0,(AH545-T545)*AF545)</f>
        <v/>
      </c>
      <c r="BB545" s="43">
        <f>IF(AU545="",0,T545*(AF545-AT545))</f>
        <v/>
      </c>
      <c r="BC545" s="51" t="n">
        <v>0.0317379163880914</v>
      </c>
      <c r="BD545" s="51" t="n">
        <v>0.08062295984583318</v>
      </c>
      <c r="BE545" s="51" t="n">
        <v>0.2864901147180864</v>
      </c>
      <c r="BF545" s="43" t="n">
        <v>25427</v>
      </c>
    </row>
    <row r="546">
      <c r="A546" s="42" t="inlineStr">
        <is>
          <t>MN</t>
        </is>
      </c>
      <c r="B546" s="42" t="inlineStr">
        <is>
          <t>27087</t>
        </is>
      </c>
      <c r="C546" s="42" t="inlineStr">
        <is>
          <t>Mahnomen</t>
        </is>
      </c>
      <c r="D546" s="42" t="inlineStr">
        <is>
          <t>Native American</t>
        </is>
      </c>
      <c r="E546" s="42" t="inlineStr"/>
      <c r="F546" s="43" t="n">
        <v>975</v>
      </c>
      <c r="G546" s="43" t="n">
        <v>1165</v>
      </c>
      <c r="H546" s="43" t="n">
        <v>2176</v>
      </c>
      <c r="I546" s="43" t="n">
        <v>1112</v>
      </c>
      <c r="J546" s="43" t="n">
        <v>1142</v>
      </c>
      <c r="K546" s="42" t="inlineStr">
        <is>
          <t>Governor</t>
        </is>
      </c>
      <c r="L546" s="43" t="n">
        <v>651</v>
      </c>
      <c r="M546" s="43" t="n">
        <v>898</v>
      </c>
      <c r="N546" s="43" t="n">
        <v>1648</v>
      </c>
      <c r="O546" s="44">
        <f>IFERROR((F546-G546)/(F546+G546),"")</f>
        <v/>
      </c>
      <c r="P546" s="44">
        <f>IFERROR((I546-J546)/(I546+J546),"")</f>
        <v/>
      </c>
      <c r="Q546" s="45">
        <f>IFERROR(O546-P546,"")</f>
        <v/>
      </c>
      <c r="R546" s="44">
        <f>IFERROR((L546-M546)/(L546+M546),"")</f>
        <v/>
      </c>
      <c r="S546" s="46">
        <f>H546/SUMIFS(Counties!$H$2:$H$1583,Counties!$A$2:$A$1583,$A546)</f>
        <v/>
      </c>
      <c r="T546" s="44">
        <f>O546+INDEX(Dashboard!$F$6:$F$22,MATCH($A546,Dashboard!$A$6:$A$22,0))</f>
        <v/>
      </c>
      <c r="U546" s="43">
        <f>AQ546*INDEX(Dashboard!$G$6:$G$22,MATCH($A546,Dashboard!$A$6:$A$22,0))</f>
        <v/>
      </c>
      <c r="V546" s="47" t="n"/>
      <c r="W546" s="47" t="n"/>
      <c r="X546" s="47" t="n"/>
      <c r="Y546" s="48" t="n"/>
      <c r="Z546" s="49" t="n"/>
      <c r="AA546" s="49" t="n"/>
      <c r="AB546" s="49" t="n"/>
      <c r="AC546" s="50" t="n"/>
      <c r="AD546" s="43">
        <f>IF(Z546&lt;&gt;"",Z546,N(V546))</f>
        <v/>
      </c>
      <c r="AE546" s="43">
        <f>IF(AA546&lt;&gt;"",AA546,N(W546))</f>
        <v/>
      </c>
      <c r="AF546" s="43">
        <f>AD546+AE546</f>
        <v/>
      </c>
      <c r="AG546" s="42">
        <f>IF(UPPER(AC546)="Y",1,IF(AF546=0,0,IF(AND(Z546="",Y546&lt;&gt;""),IF(Y546&gt;=0.999,1,0),IF(AF546&gt;=U546,1,0))))</f>
        <v/>
      </c>
      <c r="AH546" s="44">
        <f>IF(AF546&gt;0,(AD546-AE546)/AF546,"")</f>
        <v/>
      </c>
      <c r="AI546" s="45">
        <f>IF(AG546=1,AH546-O546,"")</f>
        <v/>
      </c>
      <c r="AJ546" s="44">
        <f>IF(AG546=1,AH546,MAX(-1,MIN(1,O546+INDEX(Types!$H:$H,MATCH($A546&amp;"|"&amp;$D546,Types!$A:$A,0)))))</f>
        <v/>
      </c>
      <c r="AK546" s="43">
        <f>IF(AG546=1,AF546,MAX(AQ546*AS546,AF546))</f>
        <v/>
      </c>
      <c r="AL546" s="43">
        <f>IF(AG546=1,AD546,AK546*(1+AJ546)/2)</f>
        <v/>
      </c>
      <c r="AM546" s="43">
        <f>IF(AG546=1,AE546,AK546*(1-AJ546)/2)</f>
        <v/>
      </c>
      <c r="AN546" s="45">
        <f>IF(AH546="","",AH546-T546)</f>
        <v/>
      </c>
      <c r="AO546" s="51">
        <f>IF(AG546=1,1,IF(U546&gt;0,MIN(AF546/U546,0.99),0))</f>
        <v/>
      </c>
      <c r="AP546" s="43">
        <f>IF(AG546=1,AI546*AF546,0)</f>
        <v/>
      </c>
      <c r="AQ546" s="43">
        <f>N546*(F546+G546)/H546</f>
        <v/>
      </c>
      <c r="AR546" s="43">
        <f>O546*AQ546</f>
        <v/>
      </c>
      <c r="AS546" s="52">
        <f>IF(AG546=1,IF(AQ546&gt;0,AF546/AQ546,1),IFERROR(INDEX(Types!$K:$K,MATCH($A546&amp;"|"&amp;$D546,Types!$A:$A,0)),INDEX(Dashboard!$X$6:$X$22,MATCH($A546,Dashboard!$A$6:$A$22,0))))</f>
        <v/>
      </c>
      <c r="AT546" s="43">
        <f>AQ546*INDEX(Dashboard!$Y$6:$Y$22,MATCH($A546,Dashboard!$A$6:$A$22,0))</f>
        <v/>
      </c>
      <c r="AU546" s="53">
        <f>IF(AND(AG546=1,AT546&gt;0,AF546&gt;0),100*AF546/AT546,"")</f>
        <v/>
      </c>
      <c r="AV546" s="44">
        <f>IF(AU546="","",T546/(AU546/100))</f>
        <v/>
      </c>
      <c r="AW546" s="53">
        <f>IF(AU546="","",IF(AND(ABS(AH546)&gt;=0.1,ABS(T546)&gt;=0.05,SIGN(AH546)=SIGN(T546)),100*T546/AH546,""))</f>
        <v/>
      </c>
      <c r="AX546" s="45">
        <f>IF(AU546="","",T546-AV546)</f>
        <v/>
      </c>
      <c r="AY546" s="45">
        <f>IF(AU546="","",AH546-AV546)</f>
        <v/>
      </c>
      <c r="AZ546" s="54">
        <f>(AL546-AM546)-T546*AT546</f>
        <v/>
      </c>
      <c r="BA546" s="43">
        <f>IF(AU546="",0,(AH546-T546)*AF546)</f>
        <v/>
      </c>
      <c r="BB546" s="43">
        <f>IF(AU546="",0,T546*(AF546-AT546))</f>
        <v/>
      </c>
      <c r="BC546" s="51" t="n">
        <v>0.004924242424242424</v>
      </c>
      <c r="BD546" s="51" t="n">
        <v>0.03958333333333333</v>
      </c>
      <c r="BE546" s="51" t="n">
        <v>0.1428571428571428</v>
      </c>
      <c r="BF546" s="43" t="n">
        <v>5280</v>
      </c>
    </row>
    <row r="547">
      <c r="A547" s="42" t="inlineStr">
        <is>
          <t>MN</t>
        </is>
      </c>
      <c r="B547" s="42" t="inlineStr">
        <is>
          <t>27089</t>
        </is>
      </c>
      <c r="C547" s="42" t="inlineStr">
        <is>
          <t>Marshall</t>
        </is>
      </c>
      <c r="D547" s="42" t="inlineStr">
        <is>
          <t>Small town &amp; rural</t>
        </is>
      </c>
      <c r="E547" s="42" t="inlineStr"/>
      <c r="F547" s="43" t="n">
        <v>1177</v>
      </c>
      <c r="G547" s="43" t="n">
        <v>3774</v>
      </c>
      <c r="H547" s="43" t="n">
        <v>5024</v>
      </c>
      <c r="I547" s="43" t="n">
        <v>1295</v>
      </c>
      <c r="J547" s="43" t="n">
        <v>3721</v>
      </c>
      <c r="K547" s="42" t="inlineStr">
        <is>
          <t>Governor</t>
        </is>
      </c>
      <c r="L547" s="43" t="n">
        <v>954</v>
      </c>
      <c r="M547" s="43" t="n">
        <v>2970</v>
      </c>
      <c r="N547" s="43" t="n">
        <v>4067</v>
      </c>
      <c r="O547" s="44">
        <f>IFERROR((F547-G547)/(F547+G547),"")</f>
        <v/>
      </c>
      <c r="P547" s="44">
        <f>IFERROR((I547-J547)/(I547+J547),"")</f>
        <v/>
      </c>
      <c r="Q547" s="45">
        <f>IFERROR(O547-P547,"")</f>
        <v/>
      </c>
      <c r="R547" s="44">
        <f>IFERROR((L547-M547)/(L547+M547),"")</f>
        <v/>
      </c>
      <c r="S547" s="46">
        <f>H547/SUMIFS(Counties!$H$2:$H$1583,Counties!$A$2:$A$1583,$A547)</f>
        <v/>
      </c>
      <c r="T547" s="44">
        <f>O547+INDEX(Dashboard!$F$6:$F$22,MATCH($A547,Dashboard!$A$6:$A$22,0))</f>
        <v/>
      </c>
      <c r="U547" s="43">
        <f>AQ547*INDEX(Dashboard!$G$6:$G$22,MATCH($A547,Dashboard!$A$6:$A$22,0))</f>
        <v/>
      </c>
      <c r="V547" s="47" t="n"/>
      <c r="W547" s="47" t="n"/>
      <c r="X547" s="47" t="n"/>
      <c r="Y547" s="48" t="n"/>
      <c r="Z547" s="49" t="n"/>
      <c r="AA547" s="49" t="n"/>
      <c r="AB547" s="49" t="n"/>
      <c r="AC547" s="50" t="n"/>
      <c r="AD547" s="43">
        <f>IF(Z547&lt;&gt;"",Z547,N(V547))</f>
        <v/>
      </c>
      <c r="AE547" s="43">
        <f>IF(AA547&lt;&gt;"",AA547,N(W547))</f>
        <v/>
      </c>
      <c r="AF547" s="43">
        <f>AD547+AE547</f>
        <v/>
      </c>
      <c r="AG547" s="42">
        <f>IF(UPPER(AC547)="Y",1,IF(AF547=0,0,IF(AND(Z547="",Y547&lt;&gt;""),IF(Y547&gt;=0.999,1,0),IF(AF547&gt;=U547,1,0))))</f>
        <v/>
      </c>
      <c r="AH547" s="44">
        <f>IF(AF547&gt;0,(AD547-AE547)/AF547,"")</f>
        <v/>
      </c>
      <c r="AI547" s="45">
        <f>IF(AG547=1,AH547-O547,"")</f>
        <v/>
      </c>
      <c r="AJ547" s="44">
        <f>IF(AG547=1,AH547,MAX(-1,MIN(1,O547+INDEX(Types!$H:$H,MATCH($A547&amp;"|"&amp;$D547,Types!$A:$A,0)))))</f>
        <v/>
      </c>
      <c r="AK547" s="43">
        <f>IF(AG547=1,AF547,MAX(AQ547*AS547,AF547))</f>
        <v/>
      </c>
      <c r="AL547" s="43">
        <f>IF(AG547=1,AD547,AK547*(1+AJ547)/2)</f>
        <v/>
      </c>
      <c r="AM547" s="43">
        <f>IF(AG547=1,AE547,AK547*(1-AJ547)/2)</f>
        <v/>
      </c>
      <c r="AN547" s="45">
        <f>IF(AH547="","",AH547-T547)</f>
        <v/>
      </c>
      <c r="AO547" s="51">
        <f>IF(AG547=1,1,IF(U547&gt;0,MIN(AF547/U547,0.99),0))</f>
        <v/>
      </c>
      <c r="AP547" s="43">
        <f>IF(AG547=1,AI547*AF547,0)</f>
        <v/>
      </c>
      <c r="AQ547" s="43">
        <f>N547*(F547+G547)/H547</f>
        <v/>
      </c>
      <c r="AR547" s="43">
        <f>O547*AQ547</f>
        <v/>
      </c>
      <c r="AS547" s="52">
        <f>IF(AG547=1,IF(AQ547&gt;0,AF547/AQ547,1),IFERROR(INDEX(Types!$K:$K,MATCH($A547&amp;"|"&amp;$D547,Types!$A:$A,0)),INDEX(Dashboard!$X$6:$X$22,MATCH($A547,Dashboard!$A$6:$A$22,0))))</f>
        <v/>
      </c>
      <c r="AT547" s="43">
        <f>AQ547*INDEX(Dashboard!$Y$6:$Y$22,MATCH($A547,Dashboard!$A$6:$A$22,0))</f>
        <v/>
      </c>
      <c r="AU547" s="53">
        <f>IF(AND(AG547=1,AT547&gt;0,AF547&gt;0),100*AF547/AT547,"")</f>
        <v/>
      </c>
      <c r="AV547" s="44">
        <f>IF(AU547="","",T547/(AU547/100))</f>
        <v/>
      </c>
      <c r="AW547" s="53">
        <f>IF(AU547="","",IF(AND(ABS(AH547)&gt;=0.1,ABS(T547)&gt;=0.05,SIGN(AH547)=SIGN(T547)),100*T547/AH547,""))</f>
        <v/>
      </c>
      <c r="AX547" s="45">
        <f>IF(AU547="","",T547-AV547)</f>
        <v/>
      </c>
      <c r="AY547" s="45">
        <f>IF(AU547="","",AH547-AV547)</f>
        <v/>
      </c>
      <c r="AZ547" s="54">
        <f>(AL547-AM547)-T547*AT547</f>
        <v/>
      </c>
      <c r="BA547" s="43">
        <f>IF(AU547="",0,(AH547-T547)*AF547)</f>
        <v/>
      </c>
      <c r="BB547" s="43">
        <f>IF(AU547="",0,T547*(AF547-AT547))</f>
        <v/>
      </c>
      <c r="BC547" s="51" t="n">
        <v>0.006696935300794552</v>
      </c>
      <c r="BD547" s="51" t="n">
        <v>0.04835414301929625</v>
      </c>
      <c r="BE547" s="51" t="n">
        <v>0.1887301587301587</v>
      </c>
      <c r="BF547" s="43" t="n">
        <v>8810</v>
      </c>
    </row>
    <row r="548">
      <c r="A548" s="42" t="inlineStr">
        <is>
          <t>MN</t>
        </is>
      </c>
      <c r="B548" s="42" t="inlineStr">
        <is>
          <t>27091</t>
        </is>
      </c>
      <c r="C548" s="42" t="inlineStr">
        <is>
          <t>Martin</t>
        </is>
      </c>
      <c r="D548" s="42" t="inlineStr">
        <is>
          <t>Small town &amp; rural</t>
        </is>
      </c>
      <c r="E548" s="42" t="inlineStr"/>
      <c r="F548" s="43" t="n">
        <v>3171</v>
      </c>
      <c r="G548" s="43" t="n">
        <v>7442</v>
      </c>
      <c r="H548" s="43" t="n">
        <v>10765</v>
      </c>
      <c r="I548" s="43" t="n">
        <v>3305</v>
      </c>
      <c r="J548" s="43" t="n">
        <v>7480</v>
      </c>
      <c r="K548" s="42" t="inlineStr">
        <is>
          <t>Governor</t>
        </is>
      </c>
      <c r="L548" s="43" t="n">
        <v>2471</v>
      </c>
      <c r="M548" s="43" t="n">
        <v>5644</v>
      </c>
      <c r="N548" s="43" t="n">
        <v>8374</v>
      </c>
      <c r="O548" s="44">
        <f>IFERROR((F548-G548)/(F548+G548),"")</f>
        <v/>
      </c>
      <c r="P548" s="44">
        <f>IFERROR((I548-J548)/(I548+J548),"")</f>
        <v/>
      </c>
      <c r="Q548" s="45">
        <f>IFERROR(O548-P548,"")</f>
        <v/>
      </c>
      <c r="R548" s="44">
        <f>IFERROR((L548-M548)/(L548+M548),"")</f>
        <v/>
      </c>
      <c r="S548" s="46">
        <f>H548/SUMIFS(Counties!$H$2:$H$1583,Counties!$A$2:$A$1583,$A548)</f>
        <v/>
      </c>
      <c r="T548" s="44">
        <f>O548+INDEX(Dashboard!$F$6:$F$22,MATCH($A548,Dashboard!$A$6:$A$22,0))</f>
        <v/>
      </c>
      <c r="U548" s="43">
        <f>AQ548*INDEX(Dashboard!$G$6:$G$22,MATCH($A548,Dashboard!$A$6:$A$22,0))</f>
        <v/>
      </c>
      <c r="V548" s="47" t="n"/>
      <c r="W548" s="47" t="n"/>
      <c r="X548" s="47" t="n"/>
      <c r="Y548" s="48" t="n"/>
      <c r="Z548" s="49" t="n"/>
      <c r="AA548" s="49" t="n"/>
      <c r="AB548" s="49" t="n"/>
      <c r="AC548" s="50" t="n"/>
      <c r="AD548" s="43">
        <f>IF(Z548&lt;&gt;"",Z548,N(V548))</f>
        <v/>
      </c>
      <c r="AE548" s="43">
        <f>IF(AA548&lt;&gt;"",AA548,N(W548))</f>
        <v/>
      </c>
      <c r="AF548" s="43">
        <f>AD548+AE548</f>
        <v/>
      </c>
      <c r="AG548" s="42">
        <f>IF(UPPER(AC548)="Y",1,IF(AF548=0,0,IF(AND(Z548="",Y548&lt;&gt;""),IF(Y548&gt;=0.999,1,0),IF(AF548&gt;=U548,1,0))))</f>
        <v/>
      </c>
      <c r="AH548" s="44">
        <f>IF(AF548&gt;0,(AD548-AE548)/AF548,"")</f>
        <v/>
      </c>
      <c r="AI548" s="45">
        <f>IF(AG548=1,AH548-O548,"")</f>
        <v/>
      </c>
      <c r="AJ548" s="44">
        <f>IF(AG548=1,AH548,MAX(-1,MIN(1,O548+INDEX(Types!$H:$H,MATCH($A548&amp;"|"&amp;$D548,Types!$A:$A,0)))))</f>
        <v/>
      </c>
      <c r="AK548" s="43">
        <f>IF(AG548=1,AF548,MAX(AQ548*AS548,AF548))</f>
        <v/>
      </c>
      <c r="AL548" s="43">
        <f>IF(AG548=1,AD548,AK548*(1+AJ548)/2)</f>
        <v/>
      </c>
      <c r="AM548" s="43">
        <f>IF(AG548=1,AE548,AK548*(1-AJ548)/2)</f>
        <v/>
      </c>
      <c r="AN548" s="45">
        <f>IF(AH548="","",AH548-T548)</f>
        <v/>
      </c>
      <c r="AO548" s="51">
        <f>IF(AG548=1,1,IF(U548&gt;0,MIN(AF548/U548,0.99),0))</f>
        <v/>
      </c>
      <c r="AP548" s="43">
        <f>IF(AG548=1,AI548*AF548,0)</f>
        <v/>
      </c>
      <c r="AQ548" s="43">
        <f>N548*(F548+G548)/H548</f>
        <v/>
      </c>
      <c r="AR548" s="43">
        <f>O548*AQ548</f>
        <v/>
      </c>
      <c r="AS548" s="52">
        <f>IF(AG548=1,IF(AQ548&gt;0,AF548/AQ548,1),IFERROR(INDEX(Types!$K:$K,MATCH($A548&amp;"|"&amp;$D548,Types!$A:$A,0)),INDEX(Dashboard!$X$6:$X$22,MATCH($A548,Dashboard!$A$6:$A$22,0))))</f>
        <v/>
      </c>
      <c r="AT548" s="43">
        <f>AQ548*INDEX(Dashboard!$Y$6:$Y$22,MATCH($A548,Dashboard!$A$6:$A$22,0))</f>
        <v/>
      </c>
      <c r="AU548" s="53">
        <f>IF(AND(AG548=1,AT548&gt;0,AF548&gt;0),100*AF548/AT548,"")</f>
        <v/>
      </c>
      <c r="AV548" s="44">
        <f>IF(AU548="","",T548/(AU548/100))</f>
        <v/>
      </c>
      <c r="AW548" s="53">
        <f>IF(AU548="","",IF(AND(ABS(AH548)&gt;=0.1,ABS(T548)&gt;=0.05,SIGN(AH548)=SIGN(T548)),100*T548/AH548,""))</f>
        <v/>
      </c>
      <c r="AX548" s="45">
        <f>IF(AU548="","",T548-AV548)</f>
        <v/>
      </c>
      <c r="AY548" s="45">
        <f>IF(AU548="","",AH548-AV548)</f>
        <v/>
      </c>
      <c r="AZ548" s="54">
        <f>(AL548-AM548)-T548*AT548</f>
        <v/>
      </c>
      <c r="BA548" s="43">
        <f>IF(AU548="",0,(AH548-T548)*AF548)</f>
        <v/>
      </c>
      <c r="BB548" s="43">
        <f>IF(AU548="",0,T548*(AF548-AT548))</f>
        <v/>
      </c>
      <c r="BC548" s="51" t="n">
        <v>0.007122144783028947</v>
      </c>
      <c r="BD548" s="51" t="n">
        <v>0.07717352597039223</v>
      </c>
      <c r="BE548" s="51" t="n">
        <v>0.2378920418177939</v>
      </c>
      <c r="BF548" s="43" t="n">
        <v>19657</v>
      </c>
    </row>
    <row r="549">
      <c r="A549" s="42" t="inlineStr">
        <is>
          <t>MN</t>
        </is>
      </c>
      <c r="B549" s="42" t="inlineStr">
        <is>
          <t>27085</t>
        </is>
      </c>
      <c r="C549" s="42" t="inlineStr">
        <is>
          <t>McLeod</t>
        </is>
      </c>
      <c r="D549" s="42" t="inlineStr">
        <is>
          <t>Small town &amp; rural</t>
        </is>
      </c>
      <c r="E549" s="42" t="inlineStr"/>
      <c r="F549" s="43" t="n">
        <v>6374</v>
      </c>
      <c r="G549" s="43" t="n">
        <v>14394</v>
      </c>
      <c r="H549" s="43" t="n">
        <v>21131</v>
      </c>
      <c r="I549" s="43" t="n">
        <v>6413</v>
      </c>
      <c r="J549" s="43" t="n">
        <v>13986</v>
      </c>
      <c r="K549" s="42" t="inlineStr">
        <is>
          <t>Governor</t>
        </is>
      </c>
      <c r="L549" s="43" t="n">
        <v>5171</v>
      </c>
      <c r="M549" s="43" t="n">
        <v>10768</v>
      </c>
      <c r="N549" s="43" t="n">
        <v>16457</v>
      </c>
      <c r="O549" s="44">
        <f>IFERROR((F549-G549)/(F549+G549),"")</f>
        <v/>
      </c>
      <c r="P549" s="44">
        <f>IFERROR((I549-J549)/(I549+J549),"")</f>
        <v/>
      </c>
      <c r="Q549" s="45">
        <f>IFERROR(O549-P549,"")</f>
        <v/>
      </c>
      <c r="R549" s="44">
        <f>IFERROR((L549-M549)/(L549+M549),"")</f>
        <v/>
      </c>
      <c r="S549" s="46">
        <f>H549/SUMIFS(Counties!$H$2:$H$1583,Counties!$A$2:$A$1583,$A549)</f>
        <v/>
      </c>
      <c r="T549" s="44">
        <f>O549+INDEX(Dashboard!$F$6:$F$22,MATCH($A549,Dashboard!$A$6:$A$22,0))</f>
        <v/>
      </c>
      <c r="U549" s="43">
        <f>AQ549*INDEX(Dashboard!$G$6:$G$22,MATCH($A549,Dashboard!$A$6:$A$22,0))</f>
        <v/>
      </c>
      <c r="V549" s="47" t="n"/>
      <c r="W549" s="47" t="n"/>
      <c r="X549" s="47" t="n"/>
      <c r="Y549" s="48" t="n"/>
      <c r="Z549" s="49" t="n"/>
      <c r="AA549" s="49" t="n"/>
      <c r="AB549" s="49" t="n"/>
      <c r="AC549" s="50" t="n"/>
      <c r="AD549" s="43">
        <f>IF(Z549&lt;&gt;"",Z549,N(V549))</f>
        <v/>
      </c>
      <c r="AE549" s="43">
        <f>IF(AA549&lt;&gt;"",AA549,N(W549))</f>
        <v/>
      </c>
      <c r="AF549" s="43">
        <f>AD549+AE549</f>
        <v/>
      </c>
      <c r="AG549" s="42">
        <f>IF(UPPER(AC549)="Y",1,IF(AF549=0,0,IF(AND(Z549="",Y549&lt;&gt;""),IF(Y549&gt;=0.999,1,0),IF(AF549&gt;=U549,1,0))))</f>
        <v/>
      </c>
      <c r="AH549" s="44">
        <f>IF(AF549&gt;0,(AD549-AE549)/AF549,"")</f>
        <v/>
      </c>
      <c r="AI549" s="45">
        <f>IF(AG549=1,AH549-O549,"")</f>
        <v/>
      </c>
      <c r="AJ549" s="44">
        <f>IF(AG549=1,AH549,MAX(-1,MIN(1,O549+INDEX(Types!$H:$H,MATCH($A549&amp;"|"&amp;$D549,Types!$A:$A,0)))))</f>
        <v/>
      </c>
      <c r="AK549" s="43">
        <f>IF(AG549=1,AF549,MAX(AQ549*AS549,AF549))</f>
        <v/>
      </c>
      <c r="AL549" s="43">
        <f>IF(AG549=1,AD549,AK549*(1+AJ549)/2)</f>
        <v/>
      </c>
      <c r="AM549" s="43">
        <f>IF(AG549=1,AE549,AK549*(1-AJ549)/2)</f>
        <v/>
      </c>
      <c r="AN549" s="45">
        <f>IF(AH549="","",AH549-T549)</f>
        <v/>
      </c>
      <c r="AO549" s="51">
        <f>IF(AG549=1,1,IF(U549&gt;0,MIN(AF549/U549,0.99),0))</f>
        <v/>
      </c>
      <c r="AP549" s="43">
        <f>IF(AG549=1,AI549*AF549,0)</f>
        <v/>
      </c>
      <c r="AQ549" s="43">
        <f>N549*(F549+G549)/H549</f>
        <v/>
      </c>
      <c r="AR549" s="43">
        <f>O549*AQ549</f>
        <v/>
      </c>
      <c r="AS549" s="52">
        <f>IF(AG549=1,IF(AQ549&gt;0,AF549/AQ549,1),IFERROR(INDEX(Types!$K:$K,MATCH($A549&amp;"|"&amp;$D549,Types!$A:$A,0)),INDEX(Dashboard!$X$6:$X$22,MATCH($A549,Dashboard!$A$6:$A$22,0))))</f>
        <v/>
      </c>
      <c r="AT549" s="43">
        <f>AQ549*INDEX(Dashboard!$Y$6:$Y$22,MATCH($A549,Dashboard!$A$6:$A$22,0))</f>
        <v/>
      </c>
      <c r="AU549" s="53">
        <f>IF(AND(AG549=1,AT549&gt;0,AF549&gt;0),100*AF549/AT549,"")</f>
        <v/>
      </c>
      <c r="AV549" s="44">
        <f>IF(AU549="","",T549/(AU549/100))</f>
        <v/>
      </c>
      <c r="AW549" s="53">
        <f>IF(AU549="","",IF(AND(ABS(AH549)&gt;=0.1,ABS(T549)&gt;=0.05,SIGN(AH549)=SIGN(T549)),100*T549/AH549,""))</f>
        <v/>
      </c>
      <c r="AX549" s="45">
        <f>IF(AU549="","",T549-AV549)</f>
        <v/>
      </c>
      <c r="AY549" s="45">
        <f>IF(AU549="","",AH549-AV549)</f>
        <v/>
      </c>
      <c r="AZ549" s="54">
        <f>(AL549-AM549)-T549*AT549</f>
        <v/>
      </c>
      <c r="BA549" s="43">
        <f>IF(AU549="",0,(AH549-T549)*AF549)</f>
        <v/>
      </c>
      <c r="BB549" s="43">
        <f>IF(AU549="",0,T549*(AF549-AT549))</f>
        <v/>
      </c>
      <c r="BC549" s="51" t="n">
        <v>0.008508903085496806</v>
      </c>
      <c r="BD549" s="51" t="n">
        <v>0.07774908250645643</v>
      </c>
      <c r="BE549" s="51" t="n">
        <v>0.1959239130434783</v>
      </c>
      <c r="BF549" s="43" t="n">
        <v>36785</v>
      </c>
    </row>
    <row r="550">
      <c r="A550" s="42" t="inlineStr">
        <is>
          <t>MN</t>
        </is>
      </c>
      <c r="B550" s="42" t="inlineStr">
        <is>
          <t>27093</t>
        </is>
      </c>
      <c r="C550" s="42" t="inlineStr">
        <is>
          <t>Meeker</t>
        </is>
      </c>
      <c r="D550" s="42" t="inlineStr">
        <is>
          <t>Small town &amp; rural</t>
        </is>
      </c>
      <c r="E550" s="42" t="inlineStr"/>
      <c r="F550" s="43" t="n">
        <v>3802</v>
      </c>
      <c r="G550" s="43" t="n">
        <v>9645</v>
      </c>
      <c r="H550" s="43" t="n">
        <v>13647</v>
      </c>
      <c r="I550" s="43" t="n">
        <v>3867</v>
      </c>
      <c r="J550" s="43" t="n">
        <v>9359</v>
      </c>
      <c r="K550" s="42" t="inlineStr">
        <is>
          <t>Governor</t>
        </is>
      </c>
      <c r="L550" s="43" t="n">
        <v>3214</v>
      </c>
      <c r="M550" s="43" t="n">
        <v>7249</v>
      </c>
      <c r="N550" s="43" t="n">
        <v>10814</v>
      </c>
      <c r="O550" s="44">
        <f>IFERROR((F550-G550)/(F550+G550),"")</f>
        <v/>
      </c>
      <c r="P550" s="44">
        <f>IFERROR((I550-J550)/(I550+J550),"")</f>
        <v/>
      </c>
      <c r="Q550" s="45">
        <f>IFERROR(O550-P550,"")</f>
        <v/>
      </c>
      <c r="R550" s="44">
        <f>IFERROR((L550-M550)/(L550+M550),"")</f>
        <v/>
      </c>
      <c r="S550" s="46">
        <f>H550/SUMIFS(Counties!$H$2:$H$1583,Counties!$A$2:$A$1583,$A550)</f>
        <v/>
      </c>
      <c r="T550" s="44">
        <f>O550+INDEX(Dashboard!$F$6:$F$22,MATCH($A550,Dashboard!$A$6:$A$22,0))</f>
        <v/>
      </c>
      <c r="U550" s="43">
        <f>AQ550*INDEX(Dashboard!$G$6:$G$22,MATCH($A550,Dashboard!$A$6:$A$22,0))</f>
        <v/>
      </c>
      <c r="V550" s="47" t="n"/>
      <c r="W550" s="47" t="n"/>
      <c r="X550" s="47" t="n"/>
      <c r="Y550" s="48" t="n"/>
      <c r="Z550" s="49" t="n"/>
      <c r="AA550" s="49" t="n"/>
      <c r="AB550" s="49" t="n"/>
      <c r="AC550" s="50" t="n"/>
      <c r="AD550" s="43">
        <f>IF(Z550&lt;&gt;"",Z550,N(V550))</f>
        <v/>
      </c>
      <c r="AE550" s="43">
        <f>IF(AA550&lt;&gt;"",AA550,N(W550))</f>
        <v/>
      </c>
      <c r="AF550" s="43">
        <f>AD550+AE550</f>
        <v/>
      </c>
      <c r="AG550" s="42">
        <f>IF(UPPER(AC550)="Y",1,IF(AF550=0,0,IF(AND(Z550="",Y550&lt;&gt;""),IF(Y550&gt;=0.999,1,0),IF(AF550&gt;=U550,1,0))))</f>
        <v/>
      </c>
      <c r="AH550" s="44">
        <f>IF(AF550&gt;0,(AD550-AE550)/AF550,"")</f>
        <v/>
      </c>
      <c r="AI550" s="45">
        <f>IF(AG550=1,AH550-O550,"")</f>
        <v/>
      </c>
      <c r="AJ550" s="44">
        <f>IF(AG550=1,AH550,MAX(-1,MIN(1,O550+INDEX(Types!$H:$H,MATCH($A550&amp;"|"&amp;$D550,Types!$A:$A,0)))))</f>
        <v/>
      </c>
      <c r="AK550" s="43">
        <f>IF(AG550=1,AF550,MAX(AQ550*AS550,AF550))</f>
        <v/>
      </c>
      <c r="AL550" s="43">
        <f>IF(AG550=1,AD550,AK550*(1+AJ550)/2)</f>
        <v/>
      </c>
      <c r="AM550" s="43">
        <f>IF(AG550=1,AE550,AK550*(1-AJ550)/2)</f>
        <v/>
      </c>
      <c r="AN550" s="45">
        <f>IF(AH550="","",AH550-T550)</f>
        <v/>
      </c>
      <c r="AO550" s="51">
        <f>IF(AG550=1,1,IF(U550&gt;0,MIN(AF550/U550,0.99),0))</f>
        <v/>
      </c>
      <c r="AP550" s="43">
        <f>IF(AG550=1,AI550*AF550,0)</f>
        <v/>
      </c>
      <c r="AQ550" s="43">
        <f>N550*(F550+G550)/H550</f>
        <v/>
      </c>
      <c r="AR550" s="43">
        <f>O550*AQ550</f>
        <v/>
      </c>
      <c r="AS550" s="52">
        <f>IF(AG550=1,IF(AQ550&gt;0,AF550/AQ550,1),IFERROR(INDEX(Types!$K:$K,MATCH($A550&amp;"|"&amp;$D550,Types!$A:$A,0)),INDEX(Dashboard!$X$6:$X$22,MATCH($A550,Dashboard!$A$6:$A$22,0))))</f>
        <v/>
      </c>
      <c r="AT550" s="43">
        <f>AQ550*INDEX(Dashboard!$Y$6:$Y$22,MATCH($A550,Dashboard!$A$6:$A$22,0))</f>
        <v/>
      </c>
      <c r="AU550" s="53">
        <f>IF(AND(AG550=1,AT550&gt;0,AF550&gt;0),100*AF550/AT550,"")</f>
        <v/>
      </c>
      <c r="AV550" s="44">
        <f>IF(AU550="","",T550/(AU550/100))</f>
        <v/>
      </c>
      <c r="AW550" s="53">
        <f>IF(AU550="","",IF(AND(ABS(AH550)&gt;=0.1,ABS(T550)&gt;=0.05,SIGN(AH550)=SIGN(T550)),100*T550/AH550,""))</f>
        <v/>
      </c>
      <c r="AX550" s="45">
        <f>IF(AU550="","",T550-AV550)</f>
        <v/>
      </c>
      <c r="AY550" s="45">
        <f>IF(AU550="","",AH550-AV550)</f>
        <v/>
      </c>
      <c r="AZ550" s="54">
        <f>(AL550-AM550)-T550*AT550</f>
        <v/>
      </c>
      <c r="BA550" s="43">
        <f>IF(AU550="",0,(AH550-T550)*AF550)</f>
        <v/>
      </c>
      <c r="BB550" s="43">
        <f>IF(AU550="",0,T550*(AF550-AT550))</f>
        <v/>
      </c>
      <c r="BC550" s="51" t="n">
        <v>0.005661983822903363</v>
      </c>
      <c r="BD550" s="51" t="n">
        <v>0.04542358450404427</v>
      </c>
      <c r="BE550" s="51" t="n">
        <v>0.2036402169170355</v>
      </c>
      <c r="BF550" s="43" t="n">
        <v>23490</v>
      </c>
    </row>
    <row r="551">
      <c r="A551" s="42" t="inlineStr">
        <is>
          <t>MN</t>
        </is>
      </c>
      <c r="B551" s="42" t="inlineStr">
        <is>
          <t>27095</t>
        </is>
      </c>
      <c r="C551" s="42" t="inlineStr">
        <is>
          <t>Mille Lacs</t>
        </is>
      </c>
      <c r="D551" s="42" t="inlineStr">
        <is>
          <t>Small town &amp; rural</t>
        </is>
      </c>
      <c r="E551" s="42" t="inlineStr"/>
      <c r="F551" s="43" t="n">
        <v>4374</v>
      </c>
      <c r="G551" s="43" t="n">
        <v>10570</v>
      </c>
      <c r="H551" s="43" t="n">
        <v>15163</v>
      </c>
      <c r="I551" s="43" t="n">
        <v>4404</v>
      </c>
      <c r="J551" s="43" t="n">
        <v>9952</v>
      </c>
      <c r="K551" s="42" t="inlineStr">
        <is>
          <t>Governor</t>
        </is>
      </c>
      <c r="L551" s="43" t="n">
        <v>3390</v>
      </c>
      <c r="M551" s="43" t="n">
        <v>7209</v>
      </c>
      <c r="N551" s="43" t="n">
        <v>11078</v>
      </c>
      <c r="O551" s="44">
        <f>IFERROR((F551-G551)/(F551+G551),"")</f>
        <v/>
      </c>
      <c r="P551" s="44">
        <f>IFERROR((I551-J551)/(I551+J551),"")</f>
        <v/>
      </c>
      <c r="Q551" s="45">
        <f>IFERROR(O551-P551,"")</f>
        <v/>
      </c>
      <c r="R551" s="44">
        <f>IFERROR((L551-M551)/(L551+M551),"")</f>
        <v/>
      </c>
      <c r="S551" s="46">
        <f>H551/SUMIFS(Counties!$H$2:$H$1583,Counties!$A$2:$A$1583,$A551)</f>
        <v/>
      </c>
      <c r="T551" s="44">
        <f>O551+INDEX(Dashboard!$F$6:$F$22,MATCH($A551,Dashboard!$A$6:$A$22,0))</f>
        <v/>
      </c>
      <c r="U551" s="43">
        <f>AQ551*INDEX(Dashboard!$G$6:$G$22,MATCH($A551,Dashboard!$A$6:$A$22,0))</f>
        <v/>
      </c>
      <c r="V551" s="47" t="n"/>
      <c r="W551" s="47" t="n"/>
      <c r="X551" s="47" t="n"/>
      <c r="Y551" s="48" t="n"/>
      <c r="Z551" s="49" t="n"/>
      <c r="AA551" s="49" t="n"/>
      <c r="AB551" s="49" t="n"/>
      <c r="AC551" s="50" t="n"/>
      <c r="AD551" s="43">
        <f>IF(Z551&lt;&gt;"",Z551,N(V551))</f>
        <v/>
      </c>
      <c r="AE551" s="43">
        <f>IF(AA551&lt;&gt;"",AA551,N(W551))</f>
        <v/>
      </c>
      <c r="AF551" s="43">
        <f>AD551+AE551</f>
        <v/>
      </c>
      <c r="AG551" s="42">
        <f>IF(UPPER(AC551)="Y",1,IF(AF551=0,0,IF(AND(Z551="",Y551&lt;&gt;""),IF(Y551&gt;=0.999,1,0),IF(AF551&gt;=U551,1,0))))</f>
        <v/>
      </c>
      <c r="AH551" s="44">
        <f>IF(AF551&gt;0,(AD551-AE551)/AF551,"")</f>
        <v/>
      </c>
      <c r="AI551" s="45">
        <f>IF(AG551=1,AH551-O551,"")</f>
        <v/>
      </c>
      <c r="AJ551" s="44">
        <f>IF(AG551=1,AH551,MAX(-1,MIN(1,O551+INDEX(Types!$H:$H,MATCH($A551&amp;"|"&amp;$D551,Types!$A:$A,0)))))</f>
        <v/>
      </c>
      <c r="AK551" s="43">
        <f>IF(AG551=1,AF551,MAX(AQ551*AS551,AF551))</f>
        <v/>
      </c>
      <c r="AL551" s="43">
        <f>IF(AG551=1,AD551,AK551*(1+AJ551)/2)</f>
        <v/>
      </c>
      <c r="AM551" s="43">
        <f>IF(AG551=1,AE551,AK551*(1-AJ551)/2)</f>
        <v/>
      </c>
      <c r="AN551" s="45">
        <f>IF(AH551="","",AH551-T551)</f>
        <v/>
      </c>
      <c r="AO551" s="51">
        <f>IF(AG551=1,1,IF(U551&gt;0,MIN(AF551/U551,0.99),0))</f>
        <v/>
      </c>
      <c r="AP551" s="43">
        <f>IF(AG551=1,AI551*AF551,0)</f>
        <v/>
      </c>
      <c r="AQ551" s="43">
        <f>N551*(F551+G551)/H551</f>
        <v/>
      </c>
      <c r="AR551" s="43">
        <f>O551*AQ551</f>
        <v/>
      </c>
      <c r="AS551" s="52">
        <f>IF(AG551=1,IF(AQ551&gt;0,AF551/AQ551,1),IFERROR(INDEX(Types!$K:$K,MATCH($A551&amp;"|"&amp;$D551,Types!$A:$A,0)),INDEX(Dashboard!$X$6:$X$22,MATCH($A551,Dashboard!$A$6:$A$22,0))))</f>
        <v/>
      </c>
      <c r="AT551" s="43">
        <f>AQ551*INDEX(Dashboard!$Y$6:$Y$22,MATCH($A551,Dashboard!$A$6:$A$22,0))</f>
        <v/>
      </c>
      <c r="AU551" s="53">
        <f>IF(AND(AG551=1,AT551&gt;0,AF551&gt;0),100*AF551/AT551,"")</f>
        <v/>
      </c>
      <c r="AV551" s="44">
        <f>IF(AU551="","",T551/(AU551/100))</f>
        <v/>
      </c>
      <c r="AW551" s="53">
        <f>IF(AU551="","",IF(AND(ABS(AH551)&gt;=0.1,ABS(T551)&gt;=0.05,SIGN(AH551)=SIGN(T551)),100*T551/AH551,""))</f>
        <v/>
      </c>
      <c r="AX551" s="45">
        <f>IF(AU551="","",T551-AV551)</f>
        <v/>
      </c>
      <c r="AY551" s="45">
        <f>IF(AU551="","",AH551-AV551)</f>
        <v/>
      </c>
      <c r="AZ551" s="54">
        <f>(AL551-AM551)-T551*AT551</f>
        <v/>
      </c>
      <c r="BA551" s="43">
        <f>IF(AU551="",0,(AH551-T551)*AF551)</f>
        <v/>
      </c>
      <c r="BB551" s="43">
        <f>IF(AU551="",0,T551*(AF551-AT551))</f>
        <v/>
      </c>
      <c r="BC551" s="51" t="n">
        <v>0.006963940642432639</v>
      </c>
      <c r="BD551" s="51" t="n">
        <v>0.025339993437124</v>
      </c>
      <c r="BE551" s="51" t="n">
        <v>0.1755492596354306</v>
      </c>
      <c r="BF551" s="43" t="n">
        <v>27427</v>
      </c>
    </row>
    <row r="552">
      <c r="A552" s="42" t="inlineStr">
        <is>
          <t>MN</t>
        </is>
      </c>
      <c r="B552" s="42" t="inlineStr">
        <is>
          <t>27097</t>
        </is>
      </c>
      <c r="C552" s="42" t="inlineStr">
        <is>
          <t>Morrison</t>
        </is>
      </c>
      <c r="D552" s="42" t="inlineStr">
        <is>
          <t>Small town &amp; rural</t>
        </is>
      </c>
      <c r="E552" s="42" t="inlineStr"/>
      <c r="F552" s="43" t="n">
        <v>4306</v>
      </c>
      <c r="G552" s="43" t="n">
        <v>15666</v>
      </c>
      <c r="H552" s="43" t="n">
        <v>20272</v>
      </c>
      <c r="I552" s="43" t="n">
        <v>4367</v>
      </c>
      <c r="J552" s="43" t="n">
        <v>14821</v>
      </c>
      <c r="K552" s="42" t="inlineStr">
        <is>
          <t>Governor</t>
        </is>
      </c>
      <c r="L552" s="43" t="n">
        <v>3451</v>
      </c>
      <c r="M552" s="43" t="n">
        <v>11529</v>
      </c>
      <c r="N552" s="43" t="n">
        <v>15458</v>
      </c>
      <c r="O552" s="44">
        <f>IFERROR((F552-G552)/(F552+G552),"")</f>
        <v/>
      </c>
      <c r="P552" s="44">
        <f>IFERROR((I552-J552)/(I552+J552),"")</f>
        <v/>
      </c>
      <c r="Q552" s="45">
        <f>IFERROR(O552-P552,"")</f>
        <v/>
      </c>
      <c r="R552" s="44">
        <f>IFERROR((L552-M552)/(L552+M552),"")</f>
        <v/>
      </c>
      <c r="S552" s="46">
        <f>H552/SUMIFS(Counties!$H$2:$H$1583,Counties!$A$2:$A$1583,$A552)</f>
        <v/>
      </c>
      <c r="T552" s="44">
        <f>O552+INDEX(Dashboard!$F$6:$F$22,MATCH($A552,Dashboard!$A$6:$A$22,0))</f>
        <v/>
      </c>
      <c r="U552" s="43">
        <f>AQ552*INDEX(Dashboard!$G$6:$G$22,MATCH($A552,Dashboard!$A$6:$A$22,0))</f>
        <v/>
      </c>
      <c r="V552" s="47" t="n"/>
      <c r="W552" s="47" t="n"/>
      <c r="X552" s="47" t="n"/>
      <c r="Y552" s="48" t="n"/>
      <c r="Z552" s="49" t="n"/>
      <c r="AA552" s="49" t="n"/>
      <c r="AB552" s="49" t="n"/>
      <c r="AC552" s="50" t="n"/>
      <c r="AD552" s="43">
        <f>IF(Z552&lt;&gt;"",Z552,N(V552))</f>
        <v/>
      </c>
      <c r="AE552" s="43">
        <f>IF(AA552&lt;&gt;"",AA552,N(W552))</f>
        <v/>
      </c>
      <c r="AF552" s="43">
        <f>AD552+AE552</f>
        <v/>
      </c>
      <c r="AG552" s="42">
        <f>IF(UPPER(AC552)="Y",1,IF(AF552=0,0,IF(AND(Z552="",Y552&lt;&gt;""),IF(Y552&gt;=0.999,1,0),IF(AF552&gt;=U552,1,0))))</f>
        <v/>
      </c>
      <c r="AH552" s="44">
        <f>IF(AF552&gt;0,(AD552-AE552)/AF552,"")</f>
        <v/>
      </c>
      <c r="AI552" s="45">
        <f>IF(AG552=1,AH552-O552,"")</f>
        <v/>
      </c>
      <c r="AJ552" s="44">
        <f>IF(AG552=1,AH552,MAX(-1,MIN(1,O552+INDEX(Types!$H:$H,MATCH($A552&amp;"|"&amp;$D552,Types!$A:$A,0)))))</f>
        <v/>
      </c>
      <c r="AK552" s="43">
        <f>IF(AG552=1,AF552,MAX(AQ552*AS552,AF552))</f>
        <v/>
      </c>
      <c r="AL552" s="43">
        <f>IF(AG552=1,AD552,AK552*(1+AJ552)/2)</f>
        <v/>
      </c>
      <c r="AM552" s="43">
        <f>IF(AG552=1,AE552,AK552*(1-AJ552)/2)</f>
        <v/>
      </c>
      <c r="AN552" s="45">
        <f>IF(AH552="","",AH552-T552)</f>
        <v/>
      </c>
      <c r="AO552" s="51">
        <f>IF(AG552=1,1,IF(U552&gt;0,MIN(AF552/U552,0.99),0))</f>
        <v/>
      </c>
      <c r="AP552" s="43">
        <f>IF(AG552=1,AI552*AF552,0)</f>
        <v/>
      </c>
      <c r="AQ552" s="43">
        <f>N552*(F552+G552)/H552</f>
        <v/>
      </c>
      <c r="AR552" s="43">
        <f>O552*AQ552</f>
        <v/>
      </c>
      <c r="AS552" s="52">
        <f>IF(AG552=1,IF(AQ552&gt;0,AF552/AQ552,1),IFERROR(INDEX(Types!$K:$K,MATCH($A552&amp;"|"&amp;$D552,Types!$A:$A,0)),INDEX(Dashboard!$X$6:$X$22,MATCH($A552,Dashboard!$A$6:$A$22,0))))</f>
        <v/>
      </c>
      <c r="AT552" s="43">
        <f>AQ552*INDEX(Dashboard!$Y$6:$Y$22,MATCH($A552,Dashboard!$A$6:$A$22,0))</f>
        <v/>
      </c>
      <c r="AU552" s="53">
        <f>IF(AND(AG552=1,AT552&gt;0,AF552&gt;0),100*AF552/AT552,"")</f>
        <v/>
      </c>
      <c r="AV552" s="44">
        <f>IF(AU552="","",T552/(AU552/100))</f>
        <v/>
      </c>
      <c r="AW552" s="53">
        <f>IF(AU552="","",IF(AND(ABS(AH552)&gt;=0.1,ABS(T552)&gt;=0.05,SIGN(AH552)=SIGN(T552)),100*T552/AH552,""))</f>
        <v/>
      </c>
      <c r="AX552" s="45">
        <f>IF(AU552="","",T552-AV552)</f>
        <v/>
      </c>
      <c r="AY552" s="45">
        <f>IF(AU552="","",AH552-AV552)</f>
        <v/>
      </c>
      <c r="AZ552" s="54">
        <f>(AL552-AM552)-T552*AT552</f>
        <v/>
      </c>
      <c r="BA552" s="43">
        <f>IF(AU552="",0,(AH552-T552)*AF552)</f>
        <v/>
      </c>
      <c r="BB552" s="43">
        <f>IF(AU552="",0,T552*(AF552-AT552))</f>
        <v/>
      </c>
      <c r="BC552" s="51" t="n">
        <v>0.006627737226277373</v>
      </c>
      <c r="BD552" s="51" t="n">
        <v>0.0195036496350365</v>
      </c>
      <c r="BE552" s="51" t="n">
        <v>0.1898967861038852</v>
      </c>
      <c r="BF552" s="43" t="n">
        <v>34250</v>
      </c>
    </row>
    <row r="553">
      <c r="A553" s="42" t="inlineStr">
        <is>
          <t>MN</t>
        </is>
      </c>
      <c r="B553" s="42" t="inlineStr">
        <is>
          <t>27099</t>
        </is>
      </c>
      <c r="C553" s="42" t="inlineStr">
        <is>
          <t>Mower</t>
        </is>
      </c>
      <c r="D553" s="42" t="inlineStr">
        <is>
          <t>Small town &amp; rural</t>
        </is>
      </c>
      <c r="E553" s="42" t="inlineStr"/>
      <c r="F553" s="43" t="n">
        <v>8312</v>
      </c>
      <c r="G553" s="43" t="n">
        <v>10297</v>
      </c>
      <c r="H553" s="43" t="n">
        <v>18926</v>
      </c>
      <c r="I553" s="43" t="n">
        <v>8899</v>
      </c>
      <c r="J553" s="43" t="n">
        <v>10025</v>
      </c>
      <c r="K553" s="42" t="inlineStr">
        <is>
          <t>Governor</t>
        </is>
      </c>
      <c r="L553" s="43" t="n">
        <v>6573</v>
      </c>
      <c r="M553" s="43" t="n">
        <v>7043</v>
      </c>
      <c r="N553" s="43" t="n">
        <v>14112</v>
      </c>
      <c r="O553" s="44">
        <f>IFERROR((F553-G553)/(F553+G553),"")</f>
        <v/>
      </c>
      <c r="P553" s="44">
        <f>IFERROR((I553-J553)/(I553+J553),"")</f>
        <v/>
      </c>
      <c r="Q553" s="45">
        <f>IFERROR(O553-P553,"")</f>
        <v/>
      </c>
      <c r="R553" s="44">
        <f>IFERROR((L553-M553)/(L553+M553),"")</f>
        <v/>
      </c>
      <c r="S553" s="46">
        <f>H553/SUMIFS(Counties!$H$2:$H$1583,Counties!$A$2:$A$1583,$A553)</f>
        <v/>
      </c>
      <c r="T553" s="44">
        <f>O553+INDEX(Dashboard!$F$6:$F$22,MATCH($A553,Dashboard!$A$6:$A$22,0))</f>
        <v/>
      </c>
      <c r="U553" s="43">
        <f>AQ553*INDEX(Dashboard!$G$6:$G$22,MATCH($A553,Dashboard!$A$6:$A$22,0))</f>
        <v/>
      </c>
      <c r="V553" s="47" t="n"/>
      <c r="W553" s="47" t="n"/>
      <c r="X553" s="47" t="n"/>
      <c r="Y553" s="48" t="n"/>
      <c r="Z553" s="49" t="n"/>
      <c r="AA553" s="49" t="n"/>
      <c r="AB553" s="49" t="n"/>
      <c r="AC553" s="50" t="n"/>
      <c r="AD553" s="43">
        <f>IF(Z553&lt;&gt;"",Z553,N(V553))</f>
        <v/>
      </c>
      <c r="AE553" s="43">
        <f>IF(AA553&lt;&gt;"",AA553,N(W553))</f>
        <v/>
      </c>
      <c r="AF553" s="43">
        <f>AD553+AE553</f>
        <v/>
      </c>
      <c r="AG553" s="42">
        <f>IF(UPPER(AC553)="Y",1,IF(AF553=0,0,IF(AND(Z553="",Y553&lt;&gt;""),IF(Y553&gt;=0.999,1,0),IF(AF553&gt;=U553,1,0))))</f>
        <v/>
      </c>
      <c r="AH553" s="44">
        <f>IF(AF553&gt;0,(AD553-AE553)/AF553,"")</f>
        <v/>
      </c>
      <c r="AI553" s="45">
        <f>IF(AG553=1,AH553-O553,"")</f>
        <v/>
      </c>
      <c r="AJ553" s="44">
        <f>IF(AG553=1,AH553,MAX(-1,MIN(1,O553+INDEX(Types!$H:$H,MATCH($A553&amp;"|"&amp;$D553,Types!$A:$A,0)))))</f>
        <v/>
      </c>
      <c r="AK553" s="43">
        <f>IF(AG553=1,AF553,MAX(AQ553*AS553,AF553))</f>
        <v/>
      </c>
      <c r="AL553" s="43">
        <f>IF(AG553=1,AD553,AK553*(1+AJ553)/2)</f>
        <v/>
      </c>
      <c r="AM553" s="43">
        <f>IF(AG553=1,AE553,AK553*(1-AJ553)/2)</f>
        <v/>
      </c>
      <c r="AN553" s="45">
        <f>IF(AH553="","",AH553-T553)</f>
        <v/>
      </c>
      <c r="AO553" s="51">
        <f>IF(AG553=1,1,IF(U553&gt;0,MIN(AF553/U553,0.99),0))</f>
        <v/>
      </c>
      <c r="AP553" s="43">
        <f>IF(AG553=1,AI553*AF553,0)</f>
        <v/>
      </c>
      <c r="AQ553" s="43">
        <f>N553*(F553+G553)/H553</f>
        <v/>
      </c>
      <c r="AR553" s="43">
        <f>O553*AQ553</f>
        <v/>
      </c>
      <c r="AS553" s="52">
        <f>IF(AG553=1,IF(AQ553&gt;0,AF553/AQ553,1),IFERROR(INDEX(Types!$K:$K,MATCH($A553&amp;"|"&amp;$D553,Types!$A:$A,0)),INDEX(Dashboard!$X$6:$X$22,MATCH($A553,Dashboard!$A$6:$A$22,0))))</f>
        <v/>
      </c>
      <c r="AT553" s="43">
        <f>AQ553*INDEX(Dashboard!$Y$6:$Y$22,MATCH($A553,Dashboard!$A$6:$A$22,0))</f>
        <v/>
      </c>
      <c r="AU553" s="53">
        <f>IF(AND(AG553=1,AT553&gt;0,AF553&gt;0),100*AF553/AT553,"")</f>
        <v/>
      </c>
      <c r="AV553" s="44">
        <f>IF(AU553="","",T553/(AU553/100))</f>
        <v/>
      </c>
      <c r="AW553" s="53">
        <f>IF(AU553="","",IF(AND(ABS(AH553)&gt;=0.1,ABS(T553)&gt;=0.05,SIGN(AH553)=SIGN(T553)),100*T553/AH553,""))</f>
        <v/>
      </c>
      <c r="AX553" s="45">
        <f>IF(AU553="","",T553-AV553)</f>
        <v/>
      </c>
      <c r="AY553" s="45">
        <f>IF(AU553="","",AH553-AV553)</f>
        <v/>
      </c>
      <c r="AZ553" s="54">
        <f>(AL553-AM553)-T553*AT553</f>
        <v/>
      </c>
      <c r="BA553" s="43">
        <f>IF(AU553="",0,(AH553-T553)*AF553)</f>
        <v/>
      </c>
      <c r="BB553" s="43">
        <f>IF(AU553="",0,T553*(AF553-AT553))</f>
        <v/>
      </c>
      <c r="BC553" s="51" t="n">
        <v>0.03921813370612612</v>
      </c>
      <c r="BD553" s="51" t="n">
        <v>0.1366518548105247</v>
      </c>
      <c r="BE553" s="51" t="n">
        <v>0.2346781180547708</v>
      </c>
      <c r="BF553" s="43" t="n">
        <v>40058</v>
      </c>
    </row>
    <row r="554">
      <c r="A554" s="42" t="inlineStr">
        <is>
          <t>MN</t>
        </is>
      </c>
      <c r="B554" s="42" t="inlineStr">
        <is>
          <t>27101</t>
        </is>
      </c>
      <c r="C554" s="42" t="inlineStr">
        <is>
          <t>Murray</t>
        </is>
      </c>
      <c r="D554" s="42" t="inlineStr">
        <is>
          <t>Small town &amp; rural</t>
        </is>
      </c>
      <c r="E554" s="42" t="inlineStr"/>
      <c r="F554" s="43" t="n">
        <v>1329</v>
      </c>
      <c r="G554" s="43" t="n">
        <v>3346</v>
      </c>
      <c r="H554" s="43" t="n">
        <v>4755</v>
      </c>
      <c r="I554" s="43" t="n">
        <v>1449</v>
      </c>
      <c r="J554" s="43" t="n">
        <v>3363</v>
      </c>
      <c r="K554" s="42" t="inlineStr">
        <is>
          <t>Governor</t>
        </is>
      </c>
      <c r="L554" s="43" t="n">
        <v>1051</v>
      </c>
      <c r="M554" s="43" t="n">
        <v>2729</v>
      </c>
      <c r="N554" s="43" t="n">
        <v>3915</v>
      </c>
      <c r="O554" s="44">
        <f>IFERROR((F554-G554)/(F554+G554),"")</f>
        <v/>
      </c>
      <c r="P554" s="44">
        <f>IFERROR((I554-J554)/(I554+J554),"")</f>
        <v/>
      </c>
      <c r="Q554" s="45">
        <f>IFERROR(O554-P554,"")</f>
        <v/>
      </c>
      <c r="R554" s="44">
        <f>IFERROR((L554-M554)/(L554+M554),"")</f>
        <v/>
      </c>
      <c r="S554" s="46">
        <f>H554/SUMIFS(Counties!$H$2:$H$1583,Counties!$A$2:$A$1583,$A554)</f>
        <v/>
      </c>
      <c r="T554" s="44">
        <f>O554+INDEX(Dashboard!$F$6:$F$22,MATCH($A554,Dashboard!$A$6:$A$22,0))</f>
        <v/>
      </c>
      <c r="U554" s="43">
        <f>AQ554*INDEX(Dashboard!$G$6:$G$22,MATCH($A554,Dashboard!$A$6:$A$22,0))</f>
        <v/>
      </c>
      <c r="V554" s="47" t="n"/>
      <c r="W554" s="47" t="n"/>
      <c r="X554" s="47" t="n"/>
      <c r="Y554" s="48" t="n"/>
      <c r="Z554" s="49" t="n"/>
      <c r="AA554" s="49" t="n"/>
      <c r="AB554" s="49" t="n"/>
      <c r="AC554" s="50" t="n"/>
      <c r="AD554" s="43">
        <f>IF(Z554&lt;&gt;"",Z554,N(V554))</f>
        <v/>
      </c>
      <c r="AE554" s="43">
        <f>IF(AA554&lt;&gt;"",AA554,N(W554))</f>
        <v/>
      </c>
      <c r="AF554" s="43">
        <f>AD554+AE554</f>
        <v/>
      </c>
      <c r="AG554" s="42">
        <f>IF(UPPER(AC554)="Y",1,IF(AF554=0,0,IF(AND(Z554="",Y554&lt;&gt;""),IF(Y554&gt;=0.999,1,0),IF(AF554&gt;=U554,1,0))))</f>
        <v/>
      </c>
      <c r="AH554" s="44">
        <f>IF(AF554&gt;0,(AD554-AE554)/AF554,"")</f>
        <v/>
      </c>
      <c r="AI554" s="45">
        <f>IF(AG554=1,AH554-O554,"")</f>
        <v/>
      </c>
      <c r="AJ554" s="44">
        <f>IF(AG554=1,AH554,MAX(-1,MIN(1,O554+INDEX(Types!$H:$H,MATCH($A554&amp;"|"&amp;$D554,Types!$A:$A,0)))))</f>
        <v/>
      </c>
      <c r="AK554" s="43">
        <f>IF(AG554=1,AF554,MAX(AQ554*AS554,AF554))</f>
        <v/>
      </c>
      <c r="AL554" s="43">
        <f>IF(AG554=1,AD554,AK554*(1+AJ554)/2)</f>
        <v/>
      </c>
      <c r="AM554" s="43">
        <f>IF(AG554=1,AE554,AK554*(1-AJ554)/2)</f>
        <v/>
      </c>
      <c r="AN554" s="45">
        <f>IF(AH554="","",AH554-T554)</f>
        <v/>
      </c>
      <c r="AO554" s="51">
        <f>IF(AG554=1,1,IF(U554&gt;0,MIN(AF554/U554,0.99),0))</f>
        <v/>
      </c>
      <c r="AP554" s="43">
        <f>IF(AG554=1,AI554*AF554,0)</f>
        <v/>
      </c>
      <c r="AQ554" s="43">
        <f>N554*(F554+G554)/H554</f>
        <v/>
      </c>
      <c r="AR554" s="43">
        <f>O554*AQ554</f>
        <v/>
      </c>
      <c r="AS554" s="52">
        <f>IF(AG554=1,IF(AQ554&gt;0,AF554/AQ554,1),IFERROR(INDEX(Types!$K:$K,MATCH($A554&amp;"|"&amp;$D554,Types!$A:$A,0)),INDEX(Dashboard!$X$6:$X$22,MATCH($A554,Dashboard!$A$6:$A$22,0))))</f>
        <v/>
      </c>
      <c r="AT554" s="43">
        <f>AQ554*INDEX(Dashboard!$Y$6:$Y$22,MATCH($A554,Dashboard!$A$6:$A$22,0))</f>
        <v/>
      </c>
      <c r="AU554" s="53">
        <f>IF(AND(AG554=1,AT554&gt;0,AF554&gt;0),100*AF554/AT554,"")</f>
        <v/>
      </c>
      <c r="AV554" s="44">
        <f>IF(AU554="","",T554/(AU554/100))</f>
        <v/>
      </c>
      <c r="AW554" s="53">
        <f>IF(AU554="","",IF(AND(ABS(AH554)&gt;=0.1,ABS(T554)&gt;=0.05,SIGN(AH554)=SIGN(T554)),100*T554/AH554,""))</f>
        <v/>
      </c>
      <c r="AX554" s="45">
        <f>IF(AU554="","",T554-AV554)</f>
        <v/>
      </c>
      <c r="AY554" s="45">
        <f>IF(AU554="","",AH554-AV554)</f>
        <v/>
      </c>
      <c r="AZ554" s="54">
        <f>(AL554-AM554)-T554*AT554</f>
        <v/>
      </c>
      <c r="BA554" s="43">
        <f>IF(AU554="",0,(AH554-T554)*AF554)</f>
        <v/>
      </c>
      <c r="BB554" s="43">
        <f>IF(AU554="",0,T554*(AF554-AT554))</f>
        <v/>
      </c>
      <c r="BC554" s="51" t="n">
        <v>0.004224127220772767</v>
      </c>
      <c r="BD554" s="51" t="n">
        <v>0.05391974158280532</v>
      </c>
      <c r="BE554" s="51" t="n">
        <v>0.2391454169538249</v>
      </c>
      <c r="BF554" s="43" t="n">
        <v>8049</v>
      </c>
    </row>
    <row r="555">
      <c r="A555" s="42" t="inlineStr">
        <is>
          <t>MN</t>
        </is>
      </c>
      <c r="B555" s="42" t="inlineStr">
        <is>
          <t>27103</t>
        </is>
      </c>
      <c r="C555" s="42" t="inlineStr">
        <is>
          <t>Nicollet</t>
        </is>
      </c>
      <c r="D555" s="42" t="inlineStr">
        <is>
          <t>Small town &amp; rural</t>
        </is>
      </c>
      <c r="E555" s="42" t="inlineStr"/>
      <c r="F555" s="43" t="n">
        <v>9441</v>
      </c>
      <c r="G555" s="43" t="n">
        <v>9540</v>
      </c>
      <c r="H555" s="43" t="n">
        <v>19354</v>
      </c>
      <c r="I555" s="43" t="n">
        <v>9622</v>
      </c>
      <c r="J555" s="43" t="n">
        <v>9018</v>
      </c>
      <c r="K555" s="42" t="inlineStr">
        <is>
          <t>Governor</t>
        </is>
      </c>
      <c r="L555" s="43" t="n">
        <v>7929</v>
      </c>
      <c r="M555" s="43" t="n">
        <v>6962</v>
      </c>
      <c r="N555" s="43" t="n">
        <v>15309</v>
      </c>
      <c r="O555" s="44">
        <f>IFERROR((F555-G555)/(F555+G555),"")</f>
        <v/>
      </c>
      <c r="P555" s="44">
        <f>IFERROR((I555-J555)/(I555+J555),"")</f>
        <v/>
      </c>
      <c r="Q555" s="45">
        <f>IFERROR(O555-P555,"")</f>
        <v/>
      </c>
      <c r="R555" s="44">
        <f>IFERROR((L555-M555)/(L555+M555),"")</f>
        <v/>
      </c>
      <c r="S555" s="46">
        <f>H555/SUMIFS(Counties!$H$2:$H$1583,Counties!$A$2:$A$1583,$A555)</f>
        <v/>
      </c>
      <c r="T555" s="44">
        <f>O555+INDEX(Dashboard!$F$6:$F$22,MATCH($A555,Dashboard!$A$6:$A$22,0))</f>
        <v/>
      </c>
      <c r="U555" s="43">
        <f>AQ555*INDEX(Dashboard!$G$6:$G$22,MATCH($A555,Dashboard!$A$6:$A$22,0))</f>
        <v/>
      </c>
      <c r="V555" s="47" t="n"/>
      <c r="W555" s="47" t="n"/>
      <c r="X555" s="47" t="n"/>
      <c r="Y555" s="48" t="n"/>
      <c r="Z555" s="49" t="n"/>
      <c r="AA555" s="49" t="n"/>
      <c r="AB555" s="49" t="n"/>
      <c r="AC555" s="50" t="n"/>
      <c r="AD555" s="43">
        <f>IF(Z555&lt;&gt;"",Z555,N(V555))</f>
        <v/>
      </c>
      <c r="AE555" s="43">
        <f>IF(AA555&lt;&gt;"",AA555,N(W555))</f>
        <v/>
      </c>
      <c r="AF555" s="43">
        <f>AD555+AE555</f>
        <v/>
      </c>
      <c r="AG555" s="42">
        <f>IF(UPPER(AC555)="Y",1,IF(AF555=0,0,IF(AND(Z555="",Y555&lt;&gt;""),IF(Y555&gt;=0.999,1,0),IF(AF555&gt;=U555,1,0))))</f>
        <v/>
      </c>
      <c r="AH555" s="44">
        <f>IF(AF555&gt;0,(AD555-AE555)/AF555,"")</f>
        <v/>
      </c>
      <c r="AI555" s="45">
        <f>IF(AG555=1,AH555-O555,"")</f>
        <v/>
      </c>
      <c r="AJ555" s="44">
        <f>IF(AG555=1,AH555,MAX(-1,MIN(1,O555+INDEX(Types!$H:$H,MATCH($A555&amp;"|"&amp;$D555,Types!$A:$A,0)))))</f>
        <v/>
      </c>
      <c r="AK555" s="43">
        <f>IF(AG555=1,AF555,MAX(AQ555*AS555,AF555))</f>
        <v/>
      </c>
      <c r="AL555" s="43">
        <f>IF(AG555=1,AD555,AK555*(1+AJ555)/2)</f>
        <v/>
      </c>
      <c r="AM555" s="43">
        <f>IF(AG555=1,AE555,AK555*(1-AJ555)/2)</f>
        <v/>
      </c>
      <c r="AN555" s="45">
        <f>IF(AH555="","",AH555-T555)</f>
        <v/>
      </c>
      <c r="AO555" s="51">
        <f>IF(AG555=1,1,IF(U555&gt;0,MIN(AF555/U555,0.99),0))</f>
        <v/>
      </c>
      <c r="AP555" s="43">
        <f>IF(AG555=1,AI555*AF555,0)</f>
        <v/>
      </c>
      <c r="AQ555" s="43">
        <f>N555*(F555+G555)/H555</f>
        <v/>
      </c>
      <c r="AR555" s="43">
        <f>O555*AQ555</f>
        <v/>
      </c>
      <c r="AS555" s="52">
        <f>IF(AG555=1,IF(AQ555&gt;0,AF555/AQ555,1),IFERROR(INDEX(Types!$K:$K,MATCH($A555&amp;"|"&amp;$D555,Types!$A:$A,0)),INDEX(Dashboard!$X$6:$X$22,MATCH($A555,Dashboard!$A$6:$A$22,0))))</f>
        <v/>
      </c>
      <c r="AT555" s="43">
        <f>AQ555*INDEX(Dashboard!$Y$6:$Y$22,MATCH($A555,Dashboard!$A$6:$A$22,0))</f>
        <v/>
      </c>
      <c r="AU555" s="53">
        <f>IF(AND(AG555=1,AT555&gt;0,AF555&gt;0),100*AF555/AT555,"")</f>
        <v/>
      </c>
      <c r="AV555" s="44">
        <f>IF(AU555="","",T555/(AU555/100))</f>
        <v/>
      </c>
      <c r="AW555" s="53">
        <f>IF(AU555="","",IF(AND(ABS(AH555)&gt;=0.1,ABS(T555)&gt;=0.05,SIGN(AH555)=SIGN(T555)),100*T555/AH555,""))</f>
        <v/>
      </c>
      <c r="AX555" s="45">
        <f>IF(AU555="","",T555-AV555)</f>
        <v/>
      </c>
      <c r="AY555" s="45">
        <f>IF(AU555="","",AH555-AV555)</f>
        <v/>
      </c>
      <c r="AZ555" s="54">
        <f>(AL555-AM555)-T555*AT555</f>
        <v/>
      </c>
      <c r="BA555" s="43">
        <f>IF(AU555="",0,(AH555-T555)*AF555)</f>
        <v/>
      </c>
      <c r="BB555" s="43">
        <f>IF(AU555="",0,T555*(AF555-AT555))</f>
        <v/>
      </c>
      <c r="BC555" s="51" t="n">
        <v>0.04348460954383505</v>
      </c>
      <c r="BD555" s="51" t="n">
        <v>0.05624671456106536</v>
      </c>
      <c r="BE555" s="51" t="n">
        <v>0.356806049822064</v>
      </c>
      <c r="BF555" s="43" t="n">
        <v>34242</v>
      </c>
    </row>
    <row r="556">
      <c r="A556" s="42" t="inlineStr">
        <is>
          <t>MN</t>
        </is>
      </c>
      <c r="B556" s="42" t="inlineStr">
        <is>
          <t>27105</t>
        </is>
      </c>
      <c r="C556" s="42" t="inlineStr">
        <is>
          <t>Nobles</t>
        </is>
      </c>
      <c r="D556" s="42" t="inlineStr">
        <is>
          <t>Small town &amp; rural</t>
        </is>
      </c>
      <c r="E556" s="42" t="inlineStr"/>
      <c r="F556" s="43" t="n">
        <v>2599</v>
      </c>
      <c r="G556" s="43" t="n">
        <v>5541</v>
      </c>
      <c r="H556" s="43" t="n">
        <v>8258</v>
      </c>
      <c r="I556" s="43" t="n">
        <v>2933</v>
      </c>
      <c r="J556" s="43" t="n">
        <v>5600</v>
      </c>
      <c r="K556" s="42" t="inlineStr">
        <is>
          <t>Governor</t>
        </is>
      </c>
      <c r="L556" s="43" t="n">
        <v>1854</v>
      </c>
      <c r="M556" s="43" t="n">
        <v>4013</v>
      </c>
      <c r="N556" s="43" t="n">
        <v>6082</v>
      </c>
      <c r="O556" s="44">
        <f>IFERROR((F556-G556)/(F556+G556),"")</f>
        <v/>
      </c>
      <c r="P556" s="44">
        <f>IFERROR((I556-J556)/(I556+J556),"")</f>
        <v/>
      </c>
      <c r="Q556" s="45">
        <f>IFERROR(O556-P556,"")</f>
        <v/>
      </c>
      <c r="R556" s="44">
        <f>IFERROR((L556-M556)/(L556+M556),"")</f>
        <v/>
      </c>
      <c r="S556" s="46">
        <f>H556/SUMIFS(Counties!$H$2:$H$1583,Counties!$A$2:$A$1583,$A556)</f>
        <v/>
      </c>
      <c r="T556" s="44">
        <f>O556+INDEX(Dashboard!$F$6:$F$22,MATCH($A556,Dashboard!$A$6:$A$22,0))</f>
        <v/>
      </c>
      <c r="U556" s="43">
        <f>AQ556*INDEX(Dashboard!$G$6:$G$22,MATCH($A556,Dashboard!$A$6:$A$22,0))</f>
        <v/>
      </c>
      <c r="V556" s="47" t="n"/>
      <c r="W556" s="47" t="n"/>
      <c r="X556" s="47" t="n"/>
      <c r="Y556" s="48" t="n"/>
      <c r="Z556" s="49" t="n"/>
      <c r="AA556" s="49" t="n"/>
      <c r="AB556" s="49" t="n"/>
      <c r="AC556" s="50" t="n"/>
      <c r="AD556" s="43">
        <f>IF(Z556&lt;&gt;"",Z556,N(V556))</f>
        <v/>
      </c>
      <c r="AE556" s="43">
        <f>IF(AA556&lt;&gt;"",AA556,N(W556))</f>
        <v/>
      </c>
      <c r="AF556" s="43">
        <f>AD556+AE556</f>
        <v/>
      </c>
      <c r="AG556" s="42">
        <f>IF(UPPER(AC556)="Y",1,IF(AF556=0,0,IF(AND(Z556="",Y556&lt;&gt;""),IF(Y556&gt;=0.999,1,0),IF(AF556&gt;=U556,1,0))))</f>
        <v/>
      </c>
      <c r="AH556" s="44">
        <f>IF(AF556&gt;0,(AD556-AE556)/AF556,"")</f>
        <v/>
      </c>
      <c r="AI556" s="45">
        <f>IF(AG556=1,AH556-O556,"")</f>
        <v/>
      </c>
      <c r="AJ556" s="44">
        <f>IF(AG556=1,AH556,MAX(-1,MIN(1,O556+INDEX(Types!$H:$H,MATCH($A556&amp;"|"&amp;$D556,Types!$A:$A,0)))))</f>
        <v/>
      </c>
      <c r="AK556" s="43">
        <f>IF(AG556=1,AF556,MAX(AQ556*AS556,AF556))</f>
        <v/>
      </c>
      <c r="AL556" s="43">
        <f>IF(AG556=1,AD556,AK556*(1+AJ556)/2)</f>
        <v/>
      </c>
      <c r="AM556" s="43">
        <f>IF(AG556=1,AE556,AK556*(1-AJ556)/2)</f>
        <v/>
      </c>
      <c r="AN556" s="45">
        <f>IF(AH556="","",AH556-T556)</f>
        <v/>
      </c>
      <c r="AO556" s="51">
        <f>IF(AG556=1,1,IF(U556&gt;0,MIN(AF556/U556,0.99),0))</f>
        <v/>
      </c>
      <c r="AP556" s="43">
        <f>IF(AG556=1,AI556*AF556,0)</f>
        <v/>
      </c>
      <c r="AQ556" s="43">
        <f>N556*(F556+G556)/H556</f>
        <v/>
      </c>
      <c r="AR556" s="43">
        <f>O556*AQ556</f>
        <v/>
      </c>
      <c r="AS556" s="52">
        <f>IF(AG556=1,IF(AQ556&gt;0,AF556/AQ556,1),IFERROR(INDEX(Types!$K:$K,MATCH($A556&amp;"|"&amp;$D556,Types!$A:$A,0)),INDEX(Dashboard!$X$6:$X$22,MATCH($A556,Dashboard!$A$6:$A$22,0))))</f>
        <v/>
      </c>
      <c r="AT556" s="43">
        <f>AQ556*INDEX(Dashboard!$Y$6:$Y$22,MATCH($A556,Dashboard!$A$6:$A$22,0))</f>
        <v/>
      </c>
      <c r="AU556" s="53">
        <f>IF(AND(AG556=1,AT556&gt;0,AF556&gt;0),100*AF556/AT556,"")</f>
        <v/>
      </c>
      <c r="AV556" s="44">
        <f>IF(AU556="","",T556/(AU556/100))</f>
        <v/>
      </c>
      <c r="AW556" s="53">
        <f>IF(AU556="","",IF(AND(ABS(AH556)&gt;=0.1,ABS(T556)&gt;=0.05,SIGN(AH556)=SIGN(T556)),100*T556/AH556,""))</f>
        <v/>
      </c>
      <c r="AX556" s="45">
        <f>IF(AU556="","",T556-AV556)</f>
        <v/>
      </c>
      <c r="AY556" s="45">
        <f>IF(AU556="","",AH556-AV556)</f>
        <v/>
      </c>
      <c r="AZ556" s="54">
        <f>(AL556-AM556)-T556*AT556</f>
        <v/>
      </c>
      <c r="BA556" s="43">
        <f>IF(AU556="",0,(AH556-T556)*AF556)</f>
        <v/>
      </c>
      <c r="BB556" s="43">
        <f>IF(AU556="",0,T556*(AF556-AT556))</f>
        <v/>
      </c>
      <c r="BC556" s="51" t="n">
        <v>0.04363234684954204</v>
      </c>
      <c r="BD556" s="51" t="n">
        <v>0.3465733879504764</v>
      </c>
      <c r="BE556" s="51" t="n">
        <v>0.1770613492467797</v>
      </c>
      <c r="BF556" s="43" t="n">
        <v>21727</v>
      </c>
    </row>
    <row r="557">
      <c r="A557" s="42" t="inlineStr">
        <is>
          <t>MN</t>
        </is>
      </c>
      <c r="B557" s="42" t="inlineStr">
        <is>
          <t>27107</t>
        </is>
      </c>
      <c r="C557" s="42" t="inlineStr">
        <is>
          <t>Norman</t>
        </is>
      </c>
      <c r="D557" s="42" t="inlineStr">
        <is>
          <t>Small town &amp; rural</t>
        </is>
      </c>
      <c r="E557" s="42" t="inlineStr"/>
      <c r="F557" s="43" t="n">
        <v>1233</v>
      </c>
      <c r="G557" s="43" t="n">
        <v>1963</v>
      </c>
      <c r="H557" s="43" t="n">
        <v>3285</v>
      </c>
      <c r="I557" s="43" t="n">
        <v>1404</v>
      </c>
      <c r="J557" s="43" t="n">
        <v>1953</v>
      </c>
      <c r="K557" s="42" t="inlineStr">
        <is>
          <t>Governor</t>
        </is>
      </c>
      <c r="L557" s="43" t="n">
        <v>929</v>
      </c>
      <c r="M557" s="43" t="n">
        <v>1448</v>
      </c>
      <c r="N557" s="43" t="n">
        <v>2504</v>
      </c>
      <c r="O557" s="44">
        <f>IFERROR((F557-G557)/(F557+G557),"")</f>
        <v/>
      </c>
      <c r="P557" s="44">
        <f>IFERROR((I557-J557)/(I557+J557),"")</f>
        <v/>
      </c>
      <c r="Q557" s="45">
        <f>IFERROR(O557-P557,"")</f>
        <v/>
      </c>
      <c r="R557" s="44">
        <f>IFERROR((L557-M557)/(L557+M557),"")</f>
        <v/>
      </c>
      <c r="S557" s="46">
        <f>H557/SUMIFS(Counties!$H$2:$H$1583,Counties!$A$2:$A$1583,$A557)</f>
        <v/>
      </c>
      <c r="T557" s="44">
        <f>O557+INDEX(Dashboard!$F$6:$F$22,MATCH($A557,Dashboard!$A$6:$A$22,0))</f>
        <v/>
      </c>
      <c r="U557" s="43">
        <f>AQ557*INDEX(Dashboard!$G$6:$G$22,MATCH($A557,Dashboard!$A$6:$A$22,0))</f>
        <v/>
      </c>
      <c r="V557" s="47" t="n"/>
      <c r="W557" s="47" t="n"/>
      <c r="X557" s="47" t="n"/>
      <c r="Y557" s="48" t="n"/>
      <c r="Z557" s="49" t="n"/>
      <c r="AA557" s="49" t="n"/>
      <c r="AB557" s="49" t="n"/>
      <c r="AC557" s="50" t="n"/>
      <c r="AD557" s="43">
        <f>IF(Z557&lt;&gt;"",Z557,N(V557))</f>
        <v/>
      </c>
      <c r="AE557" s="43">
        <f>IF(AA557&lt;&gt;"",AA557,N(W557))</f>
        <v/>
      </c>
      <c r="AF557" s="43">
        <f>AD557+AE557</f>
        <v/>
      </c>
      <c r="AG557" s="42">
        <f>IF(UPPER(AC557)="Y",1,IF(AF557=0,0,IF(AND(Z557="",Y557&lt;&gt;""),IF(Y557&gt;=0.999,1,0),IF(AF557&gt;=U557,1,0))))</f>
        <v/>
      </c>
      <c r="AH557" s="44">
        <f>IF(AF557&gt;0,(AD557-AE557)/AF557,"")</f>
        <v/>
      </c>
      <c r="AI557" s="45">
        <f>IF(AG557=1,AH557-O557,"")</f>
        <v/>
      </c>
      <c r="AJ557" s="44">
        <f>IF(AG557=1,AH557,MAX(-1,MIN(1,O557+INDEX(Types!$H:$H,MATCH($A557&amp;"|"&amp;$D557,Types!$A:$A,0)))))</f>
        <v/>
      </c>
      <c r="AK557" s="43">
        <f>IF(AG557=1,AF557,MAX(AQ557*AS557,AF557))</f>
        <v/>
      </c>
      <c r="AL557" s="43">
        <f>IF(AG557=1,AD557,AK557*(1+AJ557)/2)</f>
        <v/>
      </c>
      <c r="AM557" s="43">
        <f>IF(AG557=1,AE557,AK557*(1-AJ557)/2)</f>
        <v/>
      </c>
      <c r="AN557" s="45">
        <f>IF(AH557="","",AH557-T557)</f>
        <v/>
      </c>
      <c r="AO557" s="51">
        <f>IF(AG557=1,1,IF(U557&gt;0,MIN(AF557/U557,0.99),0))</f>
        <v/>
      </c>
      <c r="AP557" s="43">
        <f>IF(AG557=1,AI557*AF557,0)</f>
        <v/>
      </c>
      <c r="AQ557" s="43">
        <f>N557*(F557+G557)/H557</f>
        <v/>
      </c>
      <c r="AR557" s="43">
        <f>O557*AQ557</f>
        <v/>
      </c>
      <c r="AS557" s="52">
        <f>IF(AG557=1,IF(AQ557&gt;0,AF557/AQ557,1),IFERROR(INDEX(Types!$K:$K,MATCH($A557&amp;"|"&amp;$D557,Types!$A:$A,0)),INDEX(Dashboard!$X$6:$X$22,MATCH($A557,Dashboard!$A$6:$A$22,0))))</f>
        <v/>
      </c>
      <c r="AT557" s="43">
        <f>AQ557*INDEX(Dashboard!$Y$6:$Y$22,MATCH($A557,Dashboard!$A$6:$A$22,0))</f>
        <v/>
      </c>
      <c r="AU557" s="53">
        <f>IF(AND(AG557=1,AT557&gt;0,AF557&gt;0),100*AF557/AT557,"")</f>
        <v/>
      </c>
      <c r="AV557" s="44">
        <f>IF(AU557="","",T557/(AU557/100))</f>
        <v/>
      </c>
      <c r="AW557" s="53">
        <f>IF(AU557="","",IF(AND(ABS(AH557)&gt;=0.1,ABS(T557)&gt;=0.05,SIGN(AH557)=SIGN(T557)),100*T557/AH557,""))</f>
        <v/>
      </c>
      <c r="AX557" s="45">
        <f>IF(AU557="","",T557-AV557)</f>
        <v/>
      </c>
      <c r="AY557" s="45">
        <f>IF(AU557="","",AH557-AV557)</f>
        <v/>
      </c>
      <c r="AZ557" s="54">
        <f>(AL557-AM557)-T557*AT557</f>
        <v/>
      </c>
      <c r="BA557" s="43">
        <f>IF(AU557="",0,(AH557-T557)*AF557)</f>
        <v/>
      </c>
      <c r="BB557" s="43">
        <f>IF(AU557="",0,T557*(AF557-AT557))</f>
        <v/>
      </c>
      <c r="BC557" s="51" t="n">
        <v>0.007268130826354875</v>
      </c>
      <c r="BD557" s="51" t="n">
        <v>0.05925106651919734</v>
      </c>
      <c r="BE557" s="51" t="n">
        <v>0.2089018116752404</v>
      </c>
      <c r="BF557" s="43" t="n">
        <v>6329</v>
      </c>
    </row>
    <row r="558">
      <c r="A558" s="42" t="inlineStr">
        <is>
          <t>MN</t>
        </is>
      </c>
      <c r="B558" s="42" t="inlineStr">
        <is>
          <t>27109</t>
        </is>
      </c>
      <c r="C558" s="42" t="inlineStr">
        <is>
          <t>Olmsted</t>
        </is>
      </c>
      <c r="D558" s="42" t="inlineStr">
        <is>
          <t>College suburb/metro</t>
        </is>
      </c>
      <c r="E558" s="42" t="inlineStr">
        <is>
          <t>★</t>
        </is>
      </c>
      <c r="F558" s="43" t="n">
        <v>49121</v>
      </c>
      <c r="G558" s="43" t="n">
        <v>39467</v>
      </c>
      <c r="H558" s="43" t="n">
        <v>90524</v>
      </c>
      <c r="I558" s="43" t="n">
        <v>49491</v>
      </c>
      <c r="J558" s="43" t="n">
        <v>39692</v>
      </c>
      <c r="K558" s="42" t="inlineStr">
        <is>
          <t>Governor</t>
        </is>
      </c>
      <c r="L558" s="43" t="n">
        <v>37471</v>
      </c>
      <c r="M558" s="43" t="n">
        <v>29068</v>
      </c>
      <c r="N558" s="43" t="n">
        <v>68121</v>
      </c>
      <c r="O558" s="44">
        <f>IFERROR((F558-G558)/(F558+G558),"")</f>
        <v/>
      </c>
      <c r="P558" s="44">
        <f>IFERROR((I558-J558)/(I558+J558),"")</f>
        <v/>
      </c>
      <c r="Q558" s="45">
        <f>IFERROR(O558-P558,"")</f>
        <v/>
      </c>
      <c r="R558" s="44">
        <f>IFERROR((L558-M558)/(L558+M558),"")</f>
        <v/>
      </c>
      <c r="S558" s="46">
        <f>H558/SUMIFS(Counties!$H$2:$H$1583,Counties!$A$2:$A$1583,$A558)</f>
        <v/>
      </c>
      <c r="T558" s="44">
        <f>O558+INDEX(Dashboard!$F$6:$F$22,MATCH($A558,Dashboard!$A$6:$A$22,0))</f>
        <v/>
      </c>
      <c r="U558" s="43">
        <f>AQ558*INDEX(Dashboard!$G$6:$G$22,MATCH($A558,Dashboard!$A$6:$A$22,0))</f>
        <v/>
      </c>
      <c r="V558" s="47" t="n"/>
      <c r="W558" s="47" t="n"/>
      <c r="X558" s="47" t="n"/>
      <c r="Y558" s="48" t="n"/>
      <c r="Z558" s="49" t="n"/>
      <c r="AA558" s="49" t="n"/>
      <c r="AB558" s="49" t="n"/>
      <c r="AC558" s="50" t="n"/>
      <c r="AD558" s="43">
        <f>IF(Z558&lt;&gt;"",Z558,N(V558))</f>
        <v/>
      </c>
      <c r="AE558" s="43">
        <f>IF(AA558&lt;&gt;"",AA558,N(W558))</f>
        <v/>
      </c>
      <c r="AF558" s="43">
        <f>AD558+AE558</f>
        <v/>
      </c>
      <c r="AG558" s="42">
        <f>IF(UPPER(AC558)="Y",1,IF(AF558=0,0,IF(AND(Z558="",Y558&lt;&gt;""),IF(Y558&gt;=0.999,1,0),IF(AF558&gt;=U558,1,0))))</f>
        <v/>
      </c>
      <c r="AH558" s="44">
        <f>IF(AF558&gt;0,(AD558-AE558)/AF558,"")</f>
        <v/>
      </c>
      <c r="AI558" s="45">
        <f>IF(AG558=1,AH558-O558,"")</f>
        <v/>
      </c>
      <c r="AJ558" s="44">
        <f>IF(AG558=1,AH558,MAX(-1,MIN(1,O558+INDEX(Types!$H:$H,MATCH($A558&amp;"|"&amp;$D558,Types!$A:$A,0)))))</f>
        <v/>
      </c>
      <c r="AK558" s="43">
        <f>IF(AG558=1,AF558,MAX(AQ558*AS558,AF558))</f>
        <v/>
      </c>
      <c r="AL558" s="43">
        <f>IF(AG558=1,AD558,AK558*(1+AJ558)/2)</f>
        <v/>
      </c>
      <c r="AM558" s="43">
        <f>IF(AG558=1,AE558,AK558*(1-AJ558)/2)</f>
        <v/>
      </c>
      <c r="AN558" s="45">
        <f>IF(AH558="","",AH558-T558)</f>
        <v/>
      </c>
      <c r="AO558" s="51">
        <f>IF(AG558=1,1,IF(U558&gt;0,MIN(AF558/U558,0.99),0))</f>
        <v/>
      </c>
      <c r="AP558" s="43">
        <f>IF(AG558=1,AI558*AF558,0)</f>
        <v/>
      </c>
      <c r="AQ558" s="43">
        <f>N558*(F558+G558)/H558</f>
        <v/>
      </c>
      <c r="AR558" s="43">
        <f>O558*AQ558</f>
        <v/>
      </c>
      <c r="AS558" s="52">
        <f>IF(AG558=1,IF(AQ558&gt;0,AF558/AQ558,1),IFERROR(INDEX(Types!$K:$K,MATCH($A558&amp;"|"&amp;$D558,Types!$A:$A,0)),INDEX(Dashboard!$X$6:$X$22,MATCH($A558,Dashboard!$A$6:$A$22,0))))</f>
        <v/>
      </c>
      <c r="AT558" s="43">
        <f>AQ558*INDEX(Dashboard!$Y$6:$Y$22,MATCH($A558,Dashboard!$A$6:$A$22,0))</f>
        <v/>
      </c>
      <c r="AU558" s="53">
        <f>IF(AND(AG558=1,AT558&gt;0,AF558&gt;0),100*AF558/AT558,"")</f>
        <v/>
      </c>
      <c r="AV558" s="44">
        <f>IF(AU558="","",T558/(AU558/100))</f>
        <v/>
      </c>
      <c r="AW558" s="53">
        <f>IF(AU558="","",IF(AND(ABS(AH558)&gt;=0.1,ABS(T558)&gt;=0.05,SIGN(AH558)=SIGN(T558)),100*T558/AH558,""))</f>
        <v/>
      </c>
      <c r="AX558" s="45">
        <f>IF(AU558="","",T558-AV558)</f>
        <v/>
      </c>
      <c r="AY558" s="45">
        <f>IF(AU558="","",AH558-AV558)</f>
        <v/>
      </c>
      <c r="AZ558" s="54">
        <f>(AL558-AM558)-T558*AT558</f>
        <v/>
      </c>
      <c r="BA558" s="43">
        <f>IF(AU558="",0,(AH558-T558)*AF558)</f>
        <v/>
      </c>
      <c r="BB558" s="43">
        <f>IF(AU558="",0,T558*(AF558-AT558))</f>
        <v/>
      </c>
      <c r="BC558" s="51" t="n">
        <v>0.07979536848237694</v>
      </c>
      <c r="BD558" s="51" t="n">
        <v>0.06100713661520536</v>
      </c>
      <c r="BE558" s="51" t="n">
        <v>0.4852447779501425</v>
      </c>
      <c r="BF558" s="43" t="n">
        <v>164784</v>
      </c>
    </row>
    <row r="559">
      <c r="A559" s="42" t="inlineStr">
        <is>
          <t>MN</t>
        </is>
      </c>
      <c r="B559" s="42" t="inlineStr">
        <is>
          <t>27111</t>
        </is>
      </c>
      <c r="C559" s="42" t="inlineStr">
        <is>
          <t>Otter Tail</t>
        </is>
      </c>
      <c r="D559" s="42" t="inlineStr">
        <is>
          <t>Small town &amp; rural</t>
        </is>
      </c>
      <c r="E559" s="42" t="inlineStr"/>
      <c r="F559" s="43" t="n">
        <v>11752</v>
      </c>
      <c r="G559" s="43" t="n">
        <v>24276</v>
      </c>
      <c r="H559" s="43" t="n">
        <v>36608</v>
      </c>
      <c r="I559" s="43" t="n">
        <v>11958</v>
      </c>
      <c r="J559" s="43" t="n">
        <v>23800</v>
      </c>
      <c r="K559" s="42" t="inlineStr">
        <is>
          <t>Governor</t>
        </is>
      </c>
      <c r="L559" s="43" t="n">
        <v>8950</v>
      </c>
      <c r="M559" s="43" t="n">
        <v>18618</v>
      </c>
      <c r="N559" s="43" t="n">
        <v>28518</v>
      </c>
      <c r="O559" s="44">
        <f>IFERROR((F559-G559)/(F559+G559),"")</f>
        <v/>
      </c>
      <c r="P559" s="44">
        <f>IFERROR((I559-J559)/(I559+J559),"")</f>
        <v/>
      </c>
      <c r="Q559" s="45">
        <f>IFERROR(O559-P559,"")</f>
        <v/>
      </c>
      <c r="R559" s="44">
        <f>IFERROR((L559-M559)/(L559+M559),"")</f>
        <v/>
      </c>
      <c r="S559" s="46">
        <f>H559/SUMIFS(Counties!$H$2:$H$1583,Counties!$A$2:$A$1583,$A559)</f>
        <v/>
      </c>
      <c r="T559" s="44">
        <f>O559+INDEX(Dashboard!$F$6:$F$22,MATCH($A559,Dashboard!$A$6:$A$22,0))</f>
        <v/>
      </c>
      <c r="U559" s="43">
        <f>AQ559*INDEX(Dashboard!$G$6:$G$22,MATCH($A559,Dashboard!$A$6:$A$22,0))</f>
        <v/>
      </c>
      <c r="V559" s="47" t="n"/>
      <c r="W559" s="47" t="n"/>
      <c r="X559" s="47" t="n"/>
      <c r="Y559" s="48" t="n"/>
      <c r="Z559" s="49" t="n"/>
      <c r="AA559" s="49" t="n"/>
      <c r="AB559" s="49" t="n"/>
      <c r="AC559" s="50" t="n"/>
      <c r="AD559" s="43">
        <f>IF(Z559&lt;&gt;"",Z559,N(V559))</f>
        <v/>
      </c>
      <c r="AE559" s="43">
        <f>IF(AA559&lt;&gt;"",AA559,N(W559))</f>
        <v/>
      </c>
      <c r="AF559" s="43">
        <f>AD559+AE559</f>
        <v/>
      </c>
      <c r="AG559" s="42">
        <f>IF(UPPER(AC559)="Y",1,IF(AF559=0,0,IF(AND(Z559="",Y559&lt;&gt;""),IF(Y559&gt;=0.999,1,0),IF(AF559&gt;=U559,1,0))))</f>
        <v/>
      </c>
      <c r="AH559" s="44">
        <f>IF(AF559&gt;0,(AD559-AE559)/AF559,"")</f>
        <v/>
      </c>
      <c r="AI559" s="45">
        <f>IF(AG559=1,AH559-O559,"")</f>
        <v/>
      </c>
      <c r="AJ559" s="44">
        <f>IF(AG559=1,AH559,MAX(-1,MIN(1,O559+INDEX(Types!$H:$H,MATCH($A559&amp;"|"&amp;$D559,Types!$A:$A,0)))))</f>
        <v/>
      </c>
      <c r="AK559" s="43">
        <f>IF(AG559=1,AF559,MAX(AQ559*AS559,AF559))</f>
        <v/>
      </c>
      <c r="AL559" s="43">
        <f>IF(AG559=1,AD559,AK559*(1+AJ559)/2)</f>
        <v/>
      </c>
      <c r="AM559" s="43">
        <f>IF(AG559=1,AE559,AK559*(1-AJ559)/2)</f>
        <v/>
      </c>
      <c r="AN559" s="45">
        <f>IF(AH559="","",AH559-T559)</f>
        <v/>
      </c>
      <c r="AO559" s="51">
        <f>IF(AG559=1,1,IF(U559&gt;0,MIN(AF559/U559,0.99),0))</f>
        <v/>
      </c>
      <c r="AP559" s="43">
        <f>IF(AG559=1,AI559*AF559,0)</f>
        <v/>
      </c>
      <c r="AQ559" s="43">
        <f>N559*(F559+G559)/H559</f>
        <v/>
      </c>
      <c r="AR559" s="43">
        <f>O559*AQ559</f>
        <v/>
      </c>
      <c r="AS559" s="52">
        <f>IF(AG559=1,IF(AQ559&gt;0,AF559/AQ559,1),IFERROR(INDEX(Types!$K:$K,MATCH($A559&amp;"|"&amp;$D559,Types!$A:$A,0)),INDEX(Dashboard!$X$6:$X$22,MATCH($A559,Dashboard!$A$6:$A$22,0))))</f>
        <v/>
      </c>
      <c r="AT559" s="43">
        <f>AQ559*INDEX(Dashboard!$Y$6:$Y$22,MATCH($A559,Dashboard!$A$6:$A$22,0))</f>
        <v/>
      </c>
      <c r="AU559" s="53">
        <f>IF(AND(AG559=1,AT559&gt;0,AF559&gt;0),100*AF559/AT559,"")</f>
        <v/>
      </c>
      <c r="AV559" s="44">
        <f>IF(AU559="","",T559/(AU559/100))</f>
        <v/>
      </c>
      <c r="AW559" s="53">
        <f>IF(AU559="","",IF(AND(ABS(AH559)&gt;=0.1,ABS(T559)&gt;=0.05,SIGN(AH559)=SIGN(T559)),100*T559/AH559,""))</f>
        <v/>
      </c>
      <c r="AX559" s="45">
        <f>IF(AU559="","",T559-AV559)</f>
        <v/>
      </c>
      <c r="AY559" s="45">
        <f>IF(AU559="","",AH559-AV559)</f>
        <v/>
      </c>
      <c r="AZ559" s="54">
        <f>(AL559-AM559)-T559*AT559</f>
        <v/>
      </c>
      <c r="BA559" s="43">
        <f>IF(AU559="",0,(AH559-T559)*AF559)</f>
        <v/>
      </c>
      <c r="BB559" s="43">
        <f>IF(AU559="",0,T559*(AF559-AT559))</f>
        <v/>
      </c>
      <c r="BC559" s="51" t="n">
        <v>0.01477913766370864</v>
      </c>
      <c r="BD559" s="51" t="n">
        <v>0.03871276350080823</v>
      </c>
      <c r="BE559" s="51" t="n">
        <v>0.2736937187326293</v>
      </c>
      <c r="BF559" s="43" t="n">
        <v>60626</v>
      </c>
    </row>
    <row r="560">
      <c r="A560" s="42" t="inlineStr">
        <is>
          <t>MN</t>
        </is>
      </c>
      <c r="B560" s="42" t="inlineStr">
        <is>
          <t>27113</t>
        </is>
      </c>
      <c r="C560" s="42" t="inlineStr">
        <is>
          <t>Pennington</t>
        </is>
      </c>
      <c r="D560" s="42" t="inlineStr">
        <is>
          <t>Small town &amp; rural</t>
        </is>
      </c>
      <c r="E560" s="42" t="inlineStr"/>
      <c r="F560" s="43" t="n">
        <v>2439</v>
      </c>
      <c r="G560" s="43" t="n">
        <v>4756</v>
      </c>
      <c r="H560" s="43" t="n">
        <v>7361</v>
      </c>
      <c r="I560" s="43" t="n">
        <v>2568</v>
      </c>
      <c r="J560" s="43" t="n">
        <v>4532</v>
      </c>
      <c r="K560" s="42" t="inlineStr">
        <is>
          <t>Governor</t>
        </is>
      </c>
      <c r="L560" s="43" t="n">
        <v>1734</v>
      </c>
      <c r="M560" s="43" t="n">
        <v>3464</v>
      </c>
      <c r="N560" s="43" t="n">
        <v>5461</v>
      </c>
      <c r="O560" s="44">
        <f>IFERROR((F560-G560)/(F560+G560),"")</f>
        <v/>
      </c>
      <c r="P560" s="44">
        <f>IFERROR((I560-J560)/(I560+J560),"")</f>
        <v/>
      </c>
      <c r="Q560" s="45">
        <f>IFERROR(O560-P560,"")</f>
        <v/>
      </c>
      <c r="R560" s="44">
        <f>IFERROR((L560-M560)/(L560+M560),"")</f>
        <v/>
      </c>
      <c r="S560" s="46">
        <f>H560/SUMIFS(Counties!$H$2:$H$1583,Counties!$A$2:$A$1583,$A560)</f>
        <v/>
      </c>
      <c r="T560" s="44">
        <f>O560+INDEX(Dashboard!$F$6:$F$22,MATCH($A560,Dashboard!$A$6:$A$22,0))</f>
        <v/>
      </c>
      <c r="U560" s="43">
        <f>AQ560*INDEX(Dashboard!$G$6:$G$22,MATCH($A560,Dashboard!$A$6:$A$22,0))</f>
        <v/>
      </c>
      <c r="V560" s="47" t="n"/>
      <c r="W560" s="47" t="n"/>
      <c r="X560" s="47" t="n"/>
      <c r="Y560" s="48" t="n"/>
      <c r="Z560" s="49" t="n"/>
      <c r="AA560" s="49" t="n"/>
      <c r="AB560" s="49" t="n"/>
      <c r="AC560" s="50" t="n"/>
      <c r="AD560" s="43">
        <f>IF(Z560&lt;&gt;"",Z560,N(V560))</f>
        <v/>
      </c>
      <c r="AE560" s="43">
        <f>IF(AA560&lt;&gt;"",AA560,N(W560))</f>
        <v/>
      </c>
      <c r="AF560" s="43">
        <f>AD560+AE560</f>
        <v/>
      </c>
      <c r="AG560" s="42">
        <f>IF(UPPER(AC560)="Y",1,IF(AF560=0,0,IF(AND(Z560="",Y560&lt;&gt;""),IF(Y560&gt;=0.999,1,0),IF(AF560&gt;=U560,1,0))))</f>
        <v/>
      </c>
      <c r="AH560" s="44">
        <f>IF(AF560&gt;0,(AD560-AE560)/AF560,"")</f>
        <v/>
      </c>
      <c r="AI560" s="45">
        <f>IF(AG560=1,AH560-O560,"")</f>
        <v/>
      </c>
      <c r="AJ560" s="44">
        <f>IF(AG560=1,AH560,MAX(-1,MIN(1,O560+INDEX(Types!$H:$H,MATCH($A560&amp;"|"&amp;$D560,Types!$A:$A,0)))))</f>
        <v/>
      </c>
      <c r="AK560" s="43">
        <f>IF(AG560=1,AF560,MAX(AQ560*AS560,AF560))</f>
        <v/>
      </c>
      <c r="AL560" s="43">
        <f>IF(AG560=1,AD560,AK560*(1+AJ560)/2)</f>
        <v/>
      </c>
      <c r="AM560" s="43">
        <f>IF(AG560=1,AE560,AK560*(1-AJ560)/2)</f>
        <v/>
      </c>
      <c r="AN560" s="45">
        <f>IF(AH560="","",AH560-T560)</f>
        <v/>
      </c>
      <c r="AO560" s="51">
        <f>IF(AG560=1,1,IF(U560&gt;0,MIN(AF560/U560,0.99),0))</f>
        <v/>
      </c>
      <c r="AP560" s="43">
        <f>IF(AG560=1,AI560*AF560,0)</f>
        <v/>
      </c>
      <c r="AQ560" s="43">
        <f>N560*(F560+G560)/H560</f>
        <v/>
      </c>
      <c r="AR560" s="43">
        <f>O560*AQ560</f>
        <v/>
      </c>
      <c r="AS560" s="52">
        <f>IF(AG560=1,IF(AQ560&gt;0,AF560/AQ560,1),IFERROR(INDEX(Types!$K:$K,MATCH($A560&amp;"|"&amp;$D560,Types!$A:$A,0)),INDEX(Dashboard!$X$6:$X$22,MATCH($A560,Dashboard!$A$6:$A$22,0))))</f>
        <v/>
      </c>
      <c r="AT560" s="43">
        <f>AQ560*INDEX(Dashboard!$Y$6:$Y$22,MATCH($A560,Dashboard!$A$6:$A$22,0))</f>
        <v/>
      </c>
      <c r="AU560" s="53">
        <f>IF(AND(AG560=1,AT560&gt;0,AF560&gt;0),100*AF560/AT560,"")</f>
        <v/>
      </c>
      <c r="AV560" s="44">
        <f>IF(AU560="","",T560/(AU560/100))</f>
        <v/>
      </c>
      <c r="AW560" s="53">
        <f>IF(AU560="","",IF(AND(ABS(AH560)&gt;=0.1,ABS(T560)&gt;=0.05,SIGN(AH560)=SIGN(T560)),100*T560/AH560,""))</f>
        <v/>
      </c>
      <c r="AX560" s="45">
        <f>IF(AU560="","",T560-AV560)</f>
        <v/>
      </c>
      <c r="AY560" s="45">
        <f>IF(AU560="","",AH560-AV560)</f>
        <v/>
      </c>
      <c r="AZ560" s="54">
        <f>(AL560-AM560)-T560*AT560</f>
        <v/>
      </c>
      <c r="BA560" s="43">
        <f>IF(AU560="",0,(AH560-T560)*AF560)</f>
        <v/>
      </c>
      <c r="BB560" s="43">
        <f>IF(AU560="",0,T560*(AF560-AT560))</f>
        <v/>
      </c>
      <c r="BC560" s="51" t="n">
        <v>0.01035438238296631</v>
      </c>
      <c r="BD560" s="51" t="n">
        <v>0.04943852996937436</v>
      </c>
      <c r="BE560" s="51" t="n">
        <v>0.1933547251837284</v>
      </c>
      <c r="BF560" s="43" t="n">
        <v>13714</v>
      </c>
    </row>
    <row r="561">
      <c r="A561" s="42" t="inlineStr">
        <is>
          <t>MN</t>
        </is>
      </c>
      <c r="B561" s="42" t="inlineStr">
        <is>
          <t>27115</t>
        </is>
      </c>
      <c r="C561" s="42" t="inlineStr">
        <is>
          <t>Pine</t>
        </is>
      </c>
      <c r="D561" s="42" t="inlineStr">
        <is>
          <t>Small town &amp; rural</t>
        </is>
      </c>
      <c r="E561" s="42" t="inlineStr"/>
      <c r="F561" s="43" t="n">
        <v>5339</v>
      </c>
      <c r="G561" s="43" t="n">
        <v>11274</v>
      </c>
      <c r="H561" s="43" t="n">
        <v>16876</v>
      </c>
      <c r="I561" s="43" t="n">
        <v>5419</v>
      </c>
      <c r="J561" s="43" t="n">
        <v>10256</v>
      </c>
      <c r="K561" s="42" t="inlineStr">
        <is>
          <t>Governor</t>
        </is>
      </c>
      <c r="L561" s="43" t="n">
        <v>4290</v>
      </c>
      <c r="M561" s="43" t="n">
        <v>7601</v>
      </c>
      <c r="N561" s="43" t="n">
        <v>12393</v>
      </c>
      <c r="O561" s="44">
        <f>IFERROR((F561-G561)/(F561+G561),"")</f>
        <v/>
      </c>
      <c r="P561" s="44">
        <f>IFERROR((I561-J561)/(I561+J561),"")</f>
        <v/>
      </c>
      <c r="Q561" s="45">
        <f>IFERROR(O561-P561,"")</f>
        <v/>
      </c>
      <c r="R561" s="44">
        <f>IFERROR((L561-M561)/(L561+M561),"")</f>
        <v/>
      </c>
      <c r="S561" s="46">
        <f>H561/SUMIFS(Counties!$H$2:$H$1583,Counties!$A$2:$A$1583,$A561)</f>
        <v/>
      </c>
      <c r="T561" s="44">
        <f>O561+INDEX(Dashboard!$F$6:$F$22,MATCH($A561,Dashboard!$A$6:$A$22,0))</f>
        <v/>
      </c>
      <c r="U561" s="43">
        <f>AQ561*INDEX(Dashboard!$G$6:$G$22,MATCH($A561,Dashboard!$A$6:$A$22,0))</f>
        <v/>
      </c>
      <c r="V561" s="47" t="n"/>
      <c r="W561" s="47" t="n"/>
      <c r="X561" s="47" t="n"/>
      <c r="Y561" s="48" t="n"/>
      <c r="Z561" s="49" t="n"/>
      <c r="AA561" s="49" t="n"/>
      <c r="AB561" s="49" t="n"/>
      <c r="AC561" s="50" t="n"/>
      <c r="AD561" s="43">
        <f>IF(Z561&lt;&gt;"",Z561,N(V561))</f>
        <v/>
      </c>
      <c r="AE561" s="43">
        <f>IF(AA561&lt;&gt;"",AA561,N(W561))</f>
        <v/>
      </c>
      <c r="AF561" s="43">
        <f>AD561+AE561</f>
        <v/>
      </c>
      <c r="AG561" s="42">
        <f>IF(UPPER(AC561)="Y",1,IF(AF561=0,0,IF(AND(Z561="",Y561&lt;&gt;""),IF(Y561&gt;=0.999,1,0),IF(AF561&gt;=U561,1,0))))</f>
        <v/>
      </c>
      <c r="AH561" s="44">
        <f>IF(AF561&gt;0,(AD561-AE561)/AF561,"")</f>
        <v/>
      </c>
      <c r="AI561" s="45">
        <f>IF(AG561=1,AH561-O561,"")</f>
        <v/>
      </c>
      <c r="AJ561" s="44">
        <f>IF(AG561=1,AH561,MAX(-1,MIN(1,O561+INDEX(Types!$H:$H,MATCH($A561&amp;"|"&amp;$D561,Types!$A:$A,0)))))</f>
        <v/>
      </c>
      <c r="AK561" s="43">
        <f>IF(AG561=1,AF561,MAX(AQ561*AS561,AF561))</f>
        <v/>
      </c>
      <c r="AL561" s="43">
        <f>IF(AG561=1,AD561,AK561*(1+AJ561)/2)</f>
        <v/>
      </c>
      <c r="AM561" s="43">
        <f>IF(AG561=1,AE561,AK561*(1-AJ561)/2)</f>
        <v/>
      </c>
      <c r="AN561" s="45">
        <f>IF(AH561="","",AH561-T561)</f>
        <v/>
      </c>
      <c r="AO561" s="51">
        <f>IF(AG561=1,1,IF(U561&gt;0,MIN(AF561/U561,0.99),0))</f>
        <v/>
      </c>
      <c r="AP561" s="43">
        <f>IF(AG561=1,AI561*AF561,0)</f>
        <v/>
      </c>
      <c r="AQ561" s="43">
        <f>N561*(F561+G561)/H561</f>
        <v/>
      </c>
      <c r="AR561" s="43">
        <f>O561*AQ561</f>
        <v/>
      </c>
      <c r="AS561" s="52">
        <f>IF(AG561=1,IF(AQ561&gt;0,AF561/AQ561,1),IFERROR(INDEX(Types!$K:$K,MATCH($A561&amp;"|"&amp;$D561,Types!$A:$A,0)),INDEX(Dashboard!$X$6:$X$22,MATCH($A561,Dashboard!$A$6:$A$22,0))))</f>
        <v/>
      </c>
      <c r="AT561" s="43">
        <f>AQ561*INDEX(Dashboard!$Y$6:$Y$22,MATCH($A561,Dashboard!$A$6:$A$22,0))</f>
        <v/>
      </c>
      <c r="AU561" s="53">
        <f>IF(AND(AG561=1,AT561&gt;0,AF561&gt;0),100*AF561/AT561,"")</f>
        <v/>
      </c>
      <c r="AV561" s="44">
        <f>IF(AU561="","",T561/(AU561/100))</f>
        <v/>
      </c>
      <c r="AW561" s="53">
        <f>IF(AU561="","",IF(AND(ABS(AH561)&gt;=0.1,ABS(T561)&gt;=0.05,SIGN(AH561)=SIGN(T561)),100*T561/AH561,""))</f>
        <v/>
      </c>
      <c r="AX561" s="45">
        <f>IF(AU561="","",T561-AV561)</f>
        <v/>
      </c>
      <c r="AY561" s="45">
        <f>IF(AU561="","",AH561-AV561)</f>
        <v/>
      </c>
      <c r="AZ561" s="54">
        <f>(AL561-AM561)-T561*AT561</f>
        <v/>
      </c>
      <c r="BA561" s="43">
        <f>IF(AU561="",0,(AH561-T561)*AF561)</f>
        <v/>
      </c>
      <c r="BB561" s="43">
        <f>IF(AU561="",0,T561*(AF561-AT561))</f>
        <v/>
      </c>
      <c r="BC561" s="51" t="n">
        <v>0.02235321389542008</v>
      </c>
      <c r="BD561" s="51" t="n">
        <v>0.02953935821439216</v>
      </c>
      <c r="BE561" s="51" t="n">
        <v>0.1634972276955506</v>
      </c>
      <c r="BF561" s="43" t="n">
        <v>30197</v>
      </c>
    </row>
    <row r="562">
      <c r="A562" s="42" t="inlineStr">
        <is>
          <t>MN</t>
        </is>
      </c>
      <c r="B562" s="42" t="inlineStr">
        <is>
          <t>27117</t>
        </is>
      </c>
      <c r="C562" s="42" t="inlineStr">
        <is>
          <t>Pipestone</t>
        </is>
      </c>
      <c r="D562" s="42" t="inlineStr">
        <is>
          <t>Small town &amp; rural</t>
        </is>
      </c>
      <c r="E562" s="42" t="inlineStr"/>
      <c r="F562" s="43" t="n">
        <v>1215</v>
      </c>
      <c r="G562" s="43" t="n">
        <v>3537</v>
      </c>
      <c r="H562" s="43" t="n">
        <v>4828</v>
      </c>
      <c r="I562" s="43" t="n">
        <v>1306</v>
      </c>
      <c r="J562" s="43" t="n">
        <v>3553</v>
      </c>
      <c r="K562" s="42" t="inlineStr">
        <is>
          <t>Governor</t>
        </is>
      </c>
      <c r="L562" s="43" t="n">
        <v>872</v>
      </c>
      <c r="M562" s="43" t="n">
        <v>2819</v>
      </c>
      <c r="N562" s="43" t="n">
        <v>3809</v>
      </c>
      <c r="O562" s="44">
        <f>IFERROR((F562-G562)/(F562+G562),"")</f>
        <v/>
      </c>
      <c r="P562" s="44">
        <f>IFERROR((I562-J562)/(I562+J562),"")</f>
        <v/>
      </c>
      <c r="Q562" s="45">
        <f>IFERROR(O562-P562,"")</f>
        <v/>
      </c>
      <c r="R562" s="44">
        <f>IFERROR((L562-M562)/(L562+M562),"")</f>
        <v/>
      </c>
      <c r="S562" s="46">
        <f>H562/SUMIFS(Counties!$H$2:$H$1583,Counties!$A$2:$A$1583,$A562)</f>
        <v/>
      </c>
      <c r="T562" s="44">
        <f>O562+INDEX(Dashboard!$F$6:$F$22,MATCH($A562,Dashboard!$A$6:$A$22,0))</f>
        <v/>
      </c>
      <c r="U562" s="43">
        <f>AQ562*INDEX(Dashboard!$G$6:$G$22,MATCH($A562,Dashboard!$A$6:$A$22,0))</f>
        <v/>
      </c>
      <c r="V562" s="47" t="n"/>
      <c r="W562" s="47" t="n"/>
      <c r="X562" s="47" t="n"/>
      <c r="Y562" s="48" t="n"/>
      <c r="Z562" s="49" t="n"/>
      <c r="AA562" s="49" t="n"/>
      <c r="AB562" s="49" t="n"/>
      <c r="AC562" s="50" t="n"/>
      <c r="AD562" s="43">
        <f>IF(Z562&lt;&gt;"",Z562,N(V562))</f>
        <v/>
      </c>
      <c r="AE562" s="43">
        <f>IF(AA562&lt;&gt;"",AA562,N(W562))</f>
        <v/>
      </c>
      <c r="AF562" s="43">
        <f>AD562+AE562</f>
        <v/>
      </c>
      <c r="AG562" s="42">
        <f>IF(UPPER(AC562)="Y",1,IF(AF562=0,0,IF(AND(Z562="",Y562&lt;&gt;""),IF(Y562&gt;=0.999,1,0),IF(AF562&gt;=U562,1,0))))</f>
        <v/>
      </c>
      <c r="AH562" s="44">
        <f>IF(AF562&gt;0,(AD562-AE562)/AF562,"")</f>
        <v/>
      </c>
      <c r="AI562" s="45">
        <f>IF(AG562=1,AH562-O562,"")</f>
        <v/>
      </c>
      <c r="AJ562" s="44">
        <f>IF(AG562=1,AH562,MAX(-1,MIN(1,O562+INDEX(Types!$H:$H,MATCH($A562&amp;"|"&amp;$D562,Types!$A:$A,0)))))</f>
        <v/>
      </c>
      <c r="AK562" s="43">
        <f>IF(AG562=1,AF562,MAX(AQ562*AS562,AF562))</f>
        <v/>
      </c>
      <c r="AL562" s="43">
        <f>IF(AG562=1,AD562,AK562*(1+AJ562)/2)</f>
        <v/>
      </c>
      <c r="AM562" s="43">
        <f>IF(AG562=1,AE562,AK562*(1-AJ562)/2)</f>
        <v/>
      </c>
      <c r="AN562" s="45">
        <f>IF(AH562="","",AH562-T562)</f>
        <v/>
      </c>
      <c r="AO562" s="51">
        <f>IF(AG562=1,1,IF(U562&gt;0,MIN(AF562/U562,0.99),0))</f>
        <v/>
      </c>
      <c r="AP562" s="43">
        <f>IF(AG562=1,AI562*AF562,0)</f>
        <v/>
      </c>
      <c r="AQ562" s="43">
        <f>N562*(F562+G562)/H562</f>
        <v/>
      </c>
      <c r="AR562" s="43">
        <f>O562*AQ562</f>
        <v/>
      </c>
      <c r="AS562" s="52">
        <f>IF(AG562=1,IF(AQ562&gt;0,AF562/AQ562,1),IFERROR(INDEX(Types!$K:$K,MATCH($A562&amp;"|"&amp;$D562,Types!$A:$A,0)),INDEX(Dashboard!$X$6:$X$22,MATCH($A562,Dashboard!$A$6:$A$22,0))))</f>
        <v/>
      </c>
      <c r="AT562" s="43">
        <f>AQ562*INDEX(Dashboard!$Y$6:$Y$22,MATCH($A562,Dashboard!$A$6:$A$22,0))</f>
        <v/>
      </c>
      <c r="AU562" s="53">
        <f>IF(AND(AG562=1,AT562&gt;0,AF562&gt;0),100*AF562/AT562,"")</f>
        <v/>
      </c>
      <c r="AV562" s="44">
        <f>IF(AU562="","",T562/(AU562/100))</f>
        <v/>
      </c>
      <c r="AW562" s="53">
        <f>IF(AU562="","",IF(AND(ABS(AH562)&gt;=0.1,ABS(T562)&gt;=0.05,SIGN(AH562)=SIGN(T562)),100*T562/AH562,""))</f>
        <v/>
      </c>
      <c r="AX562" s="45">
        <f>IF(AU562="","",T562-AV562)</f>
        <v/>
      </c>
      <c r="AY562" s="45">
        <f>IF(AU562="","",AH562-AV562)</f>
        <v/>
      </c>
      <c r="AZ562" s="54">
        <f>(AL562-AM562)-T562*AT562</f>
        <v/>
      </c>
      <c r="BA562" s="43">
        <f>IF(AU562="",0,(AH562-T562)*AF562)</f>
        <v/>
      </c>
      <c r="BB562" s="43">
        <f>IF(AU562="",0,T562*(AF562-AT562))</f>
        <v/>
      </c>
      <c r="BC562" s="51" t="n">
        <v>0.01265548945375879</v>
      </c>
      <c r="BD562" s="51" t="n">
        <v>0.08491076257436452</v>
      </c>
      <c r="BE562" s="51" t="n">
        <v>0.2157238734419943</v>
      </c>
      <c r="BF562" s="43" t="n">
        <v>9245</v>
      </c>
    </row>
    <row r="563">
      <c r="A563" s="42" t="inlineStr">
        <is>
          <t>MN</t>
        </is>
      </c>
      <c r="B563" s="42" t="inlineStr">
        <is>
          <t>27119</t>
        </is>
      </c>
      <c r="C563" s="42" t="inlineStr">
        <is>
          <t>Polk</t>
        </is>
      </c>
      <c r="D563" s="42" t="inlineStr">
        <is>
          <t>Small town &amp; rural</t>
        </is>
      </c>
      <c r="E563" s="42" t="inlineStr"/>
      <c r="F563" s="43" t="n">
        <v>4967</v>
      </c>
      <c r="G563" s="43" t="n">
        <v>10162</v>
      </c>
      <c r="H563" s="43" t="n">
        <v>15387</v>
      </c>
      <c r="I563" s="43" t="n">
        <v>5439</v>
      </c>
      <c r="J563" s="43" t="n">
        <v>9865</v>
      </c>
      <c r="K563" s="42" t="inlineStr">
        <is>
          <t>Governor</t>
        </is>
      </c>
      <c r="L563" s="43" t="n">
        <v>3400</v>
      </c>
      <c r="M563" s="43" t="n">
        <v>7180</v>
      </c>
      <c r="N563" s="43" t="n">
        <v>10934</v>
      </c>
      <c r="O563" s="44">
        <f>IFERROR((F563-G563)/(F563+G563),"")</f>
        <v/>
      </c>
      <c r="P563" s="44">
        <f>IFERROR((I563-J563)/(I563+J563),"")</f>
        <v/>
      </c>
      <c r="Q563" s="45">
        <f>IFERROR(O563-P563,"")</f>
        <v/>
      </c>
      <c r="R563" s="44">
        <f>IFERROR((L563-M563)/(L563+M563),"")</f>
        <v/>
      </c>
      <c r="S563" s="46">
        <f>H563/SUMIFS(Counties!$H$2:$H$1583,Counties!$A$2:$A$1583,$A563)</f>
        <v/>
      </c>
      <c r="T563" s="44">
        <f>O563+INDEX(Dashboard!$F$6:$F$22,MATCH($A563,Dashboard!$A$6:$A$22,0))</f>
        <v/>
      </c>
      <c r="U563" s="43">
        <f>AQ563*INDEX(Dashboard!$G$6:$G$22,MATCH($A563,Dashboard!$A$6:$A$22,0))</f>
        <v/>
      </c>
      <c r="V563" s="47" t="n"/>
      <c r="W563" s="47" t="n"/>
      <c r="X563" s="47" t="n"/>
      <c r="Y563" s="48" t="n"/>
      <c r="Z563" s="49" t="n"/>
      <c r="AA563" s="49" t="n"/>
      <c r="AB563" s="49" t="n"/>
      <c r="AC563" s="50" t="n"/>
      <c r="AD563" s="43">
        <f>IF(Z563&lt;&gt;"",Z563,N(V563))</f>
        <v/>
      </c>
      <c r="AE563" s="43">
        <f>IF(AA563&lt;&gt;"",AA563,N(W563))</f>
        <v/>
      </c>
      <c r="AF563" s="43">
        <f>AD563+AE563</f>
        <v/>
      </c>
      <c r="AG563" s="42">
        <f>IF(UPPER(AC563)="Y",1,IF(AF563=0,0,IF(AND(Z563="",Y563&lt;&gt;""),IF(Y563&gt;=0.999,1,0),IF(AF563&gt;=U563,1,0))))</f>
        <v/>
      </c>
      <c r="AH563" s="44">
        <f>IF(AF563&gt;0,(AD563-AE563)/AF563,"")</f>
        <v/>
      </c>
      <c r="AI563" s="45">
        <f>IF(AG563=1,AH563-O563,"")</f>
        <v/>
      </c>
      <c r="AJ563" s="44">
        <f>IF(AG563=1,AH563,MAX(-1,MIN(1,O563+INDEX(Types!$H:$H,MATCH($A563&amp;"|"&amp;$D563,Types!$A:$A,0)))))</f>
        <v/>
      </c>
      <c r="AK563" s="43">
        <f>IF(AG563=1,AF563,MAX(AQ563*AS563,AF563))</f>
        <v/>
      </c>
      <c r="AL563" s="43">
        <f>IF(AG563=1,AD563,AK563*(1+AJ563)/2)</f>
        <v/>
      </c>
      <c r="AM563" s="43">
        <f>IF(AG563=1,AE563,AK563*(1-AJ563)/2)</f>
        <v/>
      </c>
      <c r="AN563" s="45">
        <f>IF(AH563="","",AH563-T563)</f>
        <v/>
      </c>
      <c r="AO563" s="51">
        <f>IF(AG563=1,1,IF(U563&gt;0,MIN(AF563/U563,0.99),0))</f>
        <v/>
      </c>
      <c r="AP563" s="43">
        <f>IF(AG563=1,AI563*AF563,0)</f>
        <v/>
      </c>
      <c r="AQ563" s="43">
        <f>N563*(F563+G563)/H563</f>
        <v/>
      </c>
      <c r="AR563" s="43">
        <f>O563*AQ563</f>
        <v/>
      </c>
      <c r="AS563" s="52">
        <f>IF(AG563=1,IF(AQ563&gt;0,AF563/AQ563,1),IFERROR(INDEX(Types!$K:$K,MATCH($A563&amp;"|"&amp;$D563,Types!$A:$A,0)),INDEX(Dashboard!$X$6:$X$22,MATCH($A563,Dashboard!$A$6:$A$22,0))))</f>
        <v/>
      </c>
      <c r="AT563" s="43">
        <f>AQ563*INDEX(Dashboard!$Y$6:$Y$22,MATCH($A563,Dashboard!$A$6:$A$22,0))</f>
        <v/>
      </c>
      <c r="AU563" s="53">
        <f>IF(AND(AG563=1,AT563&gt;0,AF563&gt;0),100*AF563/AT563,"")</f>
        <v/>
      </c>
      <c r="AV563" s="44">
        <f>IF(AU563="","",T563/(AU563/100))</f>
        <v/>
      </c>
      <c r="AW563" s="53">
        <f>IF(AU563="","",IF(AND(ABS(AH563)&gt;=0.1,ABS(T563)&gt;=0.05,SIGN(AH563)=SIGN(T563)),100*T563/AH563,""))</f>
        <v/>
      </c>
      <c r="AX563" s="45">
        <f>IF(AU563="","",T563-AV563)</f>
        <v/>
      </c>
      <c r="AY563" s="45">
        <f>IF(AU563="","",AH563-AV563)</f>
        <v/>
      </c>
      <c r="AZ563" s="54">
        <f>(AL563-AM563)-T563*AT563</f>
        <v/>
      </c>
      <c r="BA563" s="43">
        <f>IF(AU563="",0,(AH563-T563)*AF563)</f>
        <v/>
      </c>
      <c r="BB563" s="43">
        <f>IF(AU563="",0,T563*(AF563-AT563))</f>
        <v/>
      </c>
      <c r="BC563" s="51" t="n">
        <v>0.02548336183085624</v>
      </c>
      <c r="BD563" s="51" t="n">
        <v>0.07026831513876101</v>
      </c>
      <c r="BE563" s="51" t="n">
        <v>0.2810008644702718</v>
      </c>
      <c r="BF563" s="43" t="n">
        <v>30412</v>
      </c>
    </row>
    <row r="564">
      <c r="A564" s="42" t="inlineStr">
        <is>
          <t>MN</t>
        </is>
      </c>
      <c r="B564" s="42" t="inlineStr">
        <is>
          <t>27121</t>
        </is>
      </c>
      <c r="C564" s="42" t="inlineStr">
        <is>
          <t>Pope</t>
        </is>
      </c>
      <c r="D564" s="42" t="inlineStr">
        <is>
          <t>Small town &amp; rural</t>
        </is>
      </c>
      <c r="E564" s="42" t="inlineStr"/>
      <c r="F564" s="43" t="n">
        <v>2398</v>
      </c>
      <c r="G564" s="43" t="n">
        <v>4677</v>
      </c>
      <c r="H564" s="43" t="n">
        <v>7191</v>
      </c>
      <c r="I564" s="43" t="n">
        <v>2477</v>
      </c>
      <c r="J564" s="43" t="n">
        <v>4417</v>
      </c>
      <c r="K564" s="42" t="inlineStr">
        <is>
          <t>Governor</t>
        </is>
      </c>
      <c r="L564" s="43" t="n">
        <v>1970</v>
      </c>
      <c r="M564" s="43" t="n">
        <v>3549</v>
      </c>
      <c r="N564" s="43" t="n">
        <v>5673</v>
      </c>
      <c r="O564" s="44">
        <f>IFERROR((F564-G564)/(F564+G564),"")</f>
        <v/>
      </c>
      <c r="P564" s="44">
        <f>IFERROR((I564-J564)/(I564+J564),"")</f>
        <v/>
      </c>
      <c r="Q564" s="45">
        <f>IFERROR(O564-P564,"")</f>
        <v/>
      </c>
      <c r="R564" s="44">
        <f>IFERROR((L564-M564)/(L564+M564),"")</f>
        <v/>
      </c>
      <c r="S564" s="46">
        <f>H564/SUMIFS(Counties!$H$2:$H$1583,Counties!$A$2:$A$1583,$A564)</f>
        <v/>
      </c>
      <c r="T564" s="44">
        <f>O564+INDEX(Dashboard!$F$6:$F$22,MATCH($A564,Dashboard!$A$6:$A$22,0))</f>
        <v/>
      </c>
      <c r="U564" s="43">
        <f>AQ564*INDEX(Dashboard!$G$6:$G$22,MATCH($A564,Dashboard!$A$6:$A$22,0))</f>
        <v/>
      </c>
      <c r="V564" s="47" t="n"/>
      <c r="W564" s="47" t="n"/>
      <c r="X564" s="47" t="n"/>
      <c r="Y564" s="48" t="n"/>
      <c r="Z564" s="49" t="n"/>
      <c r="AA564" s="49" t="n"/>
      <c r="AB564" s="49" t="n"/>
      <c r="AC564" s="50" t="n"/>
      <c r="AD564" s="43">
        <f>IF(Z564&lt;&gt;"",Z564,N(V564))</f>
        <v/>
      </c>
      <c r="AE564" s="43">
        <f>IF(AA564&lt;&gt;"",AA564,N(W564))</f>
        <v/>
      </c>
      <c r="AF564" s="43">
        <f>AD564+AE564</f>
        <v/>
      </c>
      <c r="AG564" s="42">
        <f>IF(UPPER(AC564)="Y",1,IF(AF564=0,0,IF(AND(Z564="",Y564&lt;&gt;""),IF(Y564&gt;=0.999,1,0),IF(AF564&gt;=U564,1,0))))</f>
        <v/>
      </c>
      <c r="AH564" s="44">
        <f>IF(AF564&gt;0,(AD564-AE564)/AF564,"")</f>
        <v/>
      </c>
      <c r="AI564" s="45">
        <f>IF(AG564=1,AH564-O564,"")</f>
        <v/>
      </c>
      <c r="AJ564" s="44">
        <f>IF(AG564=1,AH564,MAX(-1,MIN(1,O564+INDEX(Types!$H:$H,MATCH($A564&amp;"|"&amp;$D564,Types!$A:$A,0)))))</f>
        <v/>
      </c>
      <c r="AK564" s="43">
        <f>IF(AG564=1,AF564,MAX(AQ564*AS564,AF564))</f>
        <v/>
      </c>
      <c r="AL564" s="43">
        <f>IF(AG564=1,AD564,AK564*(1+AJ564)/2)</f>
        <v/>
      </c>
      <c r="AM564" s="43">
        <f>IF(AG564=1,AE564,AK564*(1-AJ564)/2)</f>
        <v/>
      </c>
      <c r="AN564" s="45">
        <f>IF(AH564="","",AH564-T564)</f>
        <v/>
      </c>
      <c r="AO564" s="51">
        <f>IF(AG564=1,1,IF(U564&gt;0,MIN(AF564/U564,0.99),0))</f>
        <v/>
      </c>
      <c r="AP564" s="43">
        <f>IF(AG564=1,AI564*AF564,0)</f>
        <v/>
      </c>
      <c r="AQ564" s="43">
        <f>N564*(F564+G564)/H564</f>
        <v/>
      </c>
      <c r="AR564" s="43">
        <f>O564*AQ564</f>
        <v/>
      </c>
      <c r="AS564" s="52">
        <f>IF(AG564=1,IF(AQ564&gt;0,AF564/AQ564,1),IFERROR(INDEX(Types!$K:$K,MATCH($A564&amp;"|"&amp;$D564,Types!$A:$A,0)),INDEX(Dashboard!$X$6:$X$22,MATCH($A564,Dashboard!$A$6:$A$22,0))))</f>
        <v/>
      </c>
      <c r="AT564" s="43">
        <f>AQ564*INDEX(Dashboard!$Y$6:$Y$22,MATCH($A564,Dashboard!$A$6:$A$22,0))</f>
        <v/>
      </c>
      <c r="AU564" s="53">
        <f>IF(AND(AG564=1,AT564&gt;0,AF564&gt;0),100*AF564/AT564,"")</f>
        <v/>
      </c>
      <c r="AV564" s="44">
        <f>IF(AU564="","",T564/(AU564/100))</f>
        <v/>
      </c>
      <c r="AW564" s="53">
        <f>IF(AU564="","",IF(AND(ABS(AH564)&gt;=0.1,ABS(T564)&gt;=0.05,SIGN(AH564)=SIGN(T564)),100*T564/AH564,""))</f>
        <v/>
      </c>
      <c r="AX564" s="45">
        <f>IF(AU564="","",T564-AV564)</f>
        <v/>
      </c>
      <c r="AY564" s="45">
        <f>IF(AU564="","",AH564-AV564)</f>
        <v/>
      </c>
      <c r="AZ564" s="54">
        <f>(AL564-AM564)-T564*AT564</f>
        <v/>
      </c>
      <c r="BA564" s="43">
        <f>IF(AU564="",0,(AH564-T564)*AF564)</f>
        <v/>
      </c>
      <c r="BB564" s="43">
        <f>IF(AU564="",0,T564*(AF564-AT564))</f>
        <v/>
      </c>
      <c r="BC564" s="51" t="n">
        <v>0.004561403508771929</v>
      </c>
      <c r="BD564" s="51" t="n">
        <v>0.02236842105263158</v>
      </c>
      <c r="BE564" s="51" t="n">
        <v>0.2384998179390703</v>
      </c>
      <c r="BF564" s="43" t="n">
        <v>11400</v>
      </c>
    </row>
    <row r="565">
      <c r="A565" s="42" t="inlineStr">
        <is>
          <t>MN</t>
        </is>
      </c>
      <c r="B565" s="42" t="inlineStr">
        <is>
          <t>27123</t>
        </is>
      </c>
      <c r="C565" s="42" t="inlineStr">
        <is>
          <t>Ramsey</t>
        </is>
      </c>
      <c r="D565" s="42" t="inlineStr">
        <is>
          <t>College suburb/metro</t>
        </is>
      </c>
      <c r="E565" s="42" t="inlineStr">
        <is>
          <t>★</t>
        </is>
      </c>
      <c r="F565" s="43" t="n">
        <v>195168</v>
      </c>
      <c r="G565" s="43" t="n">
        <v>75284</v>
      </c>
      <c r="H565" s="43" t="n">
        <v>276736</v>
      </c>
      <c r="I565" s="43" t="n">
        <v>211620</v>
      </c>
      <c r="J565" s="43" t="n">
        <v>77376</v>
      </c>
      <c r="K565" s="42" t="inlineStr">
        <is>
          <t>Governor</t>
        </is>
      </c>
      <c r="L565" s="43" t="n">
        <v>155850</v>
      </c>
      <c r="M565" s="43" t="n">
        <v>54771</v>
      </c>
      <c r="N565" s="43" t="n">
        <v>218077</v>
      </c>
      <c r="O565" s="44">
        <f>IFERROR((F565-G565)/(F565+G565),"")</f>
        <v/>
      </c>
      <c r="P565" s="44">
        <f>IFERROR((I565-J565)/(I565+J565),"")</f>
        <v/>
      </c>
      <c r="Q565" s="45">
        <f>IFERROR(O565-P565,"")</f>
        <v/>
      </c>
      <c r="R565" s="44">
        <f>IFERROR((L565-M565)/(L565+M565),"")</f>
        <v/>
      </c>
      <c r="S565" s="46">
        <f>H565/SUMIFS(Counties!$H$2:$H$1583,Counties!$A$2:$A$1583,$A565)</f>
        <v/>
      </c>
      <c r="T565" s="44">
        <f>O565+INDEX(Dashboard!$F$6:$F$22,MATCH($A565,Dashboard!$A$6:$A$22,0))</f>
        <v/>
      </c>
      <c r="U565" s="43">
        <f>AQ565*INDEX(Dashboard!$G$6:$G$22,MATCH($A565,Dashboard!$A$6:$A$22,0))</f>
        <v/>
      </c>
      <c r="V565" s="47" t="n"/>
      <c r="W565" s="47" t="n"/>
      <c r="X565" s="47" t="n"/>
      <c r="Y565" s="48" t="n"/>
      <c r="Z565" s="49" t="n"/>
      <c r="AA565" s="49" t="n"/>
      <c r="AB565" s="49" t="n"/>
      <c r="AC565" s="50" t="n"/>
      <c r="AD565" s="43">
        <f>IF(Z565&lt;&gt;"",Z565,N(V565))</f>
        <v/>
      </c>
      <c r="AE565" s="43">
        <f>IF(AA565&lt;&gt;"",AA565,N(W565))</f>
        <v/>
      </c>
      <c r="AF565" s="43">
        <f>AD565+AE565</f>
        <v/>
      </c>
      <c r="AG565" s="42">
        <f>IF(UPPER(AC565)="Y",1,IF(AF565=0,0,IF(AND(Z565="",Y565&lt;&gt;""),IF(Y565&gt;=0.999,1,0),IF(AF565&gt;=U565,1,0))))</f>
        <v/>
      </c>
      <c r="AH565" s="44">
        <f>IF(AF565&gt;0,(AD565-AE565)/AF565,"")</f>
        <v/>
      </c>
      <c r="AI565" s="45">
        <f>IF(AG565=1,AH565-O565,"")</f>
        <v/>
      </c>
      <c r="AJ565" s="44">
        <f>IF(AG565=1,AH565,MAX(-1,MIN(1,O565+INDEX(Types!$H:$H,MATCH($A565&amp;"|"&amp;$D565,Types!$A:$A,0)))))</f>
        <v/>
      </c>
      <c r="AK565" s="43">
        <f>IF(AG565=1,AF565,MAX(AQ565*AS565,AF565))</f>
        <v/>
      </c>
      <c r="AL565" s="43">
        <f>IF(AG565=1,AD565,AK565*(1+AJ565)/2)</f>
        <v/>
      </c>
      <c r="AM565" s="43">
        <f>IF(AG565=1,AE565,AK565*(1-AJ565)/2)</f>
        <v/>
      </c>
      <c r="AN565" s="45">
        <f>IF(AH565="","",AH565-T565)</f>
        <v/>
      </c>
      <c r="AO565" s="51">
        <f>IF(AG565=1,1,IF(U565&gt;0,MIN(AF565/U565,0.99),0))</f>
        <v/>
      </c>
      <c r="AP565" s="43">
        <f>IF(AG565=1,AI565*AF565,0)</f>
        <v/>
      </c>
      <c r="AQ565" s="43">
        <f>N565*(F565+G565)/H565</f>
        <v/>
      </c>
      <c r="AR565" s="43">
        <f>O565*AQ565</f>
        <v/>
      </c>
      <c r="AS565" s="52">
        <f>IF(AG565=1,IF(AQ565&gt;0,AF565/AQ565,1),IFERROR(INDEX(Types!$K:$K,MATCH($A565&amp;"|"&amp;$D565,Types!$A:$A,0)),INDEX(Dashboard!$X$6:$X$22,MATCH($A565,Dashboard!$A$6:$A$22,0))))</f>
        <v/>
      </c>
      <c r="AT565" s="43">
        <f>AQ565*INDEX(Dashboard!$Y$6:$Y$22,MATCH($A565,Dashboard!$A$6:$A$22,0))</f>
        <v/>
      </c>
      <c r="AU565" s="53">
        <f>IF(AND(AG565=1,AT565&gt;0,AF565&gt;0),100*AF565/AT565,"")</f>
        <v/>
      </c>
      <c r="AV565" s="44">
        <f>IF(AU565="","",T565/(AU565/100))</f>
        <v/>
      </c>
      <c r="AW565" s="53">
        <f>IF(AU565="","",IF(AND(ABS(AH565)&gt;=0.1,ABS(T565)&gt;=0.05,SIGN(AH565)=SIGN(T565)),100*T565/AH565,""))</f>
        <v/>
      </c>
      <c r="AX565" s="45">
        <f>IF(AU565="","",T565-AV565)</f>
        <v/>
      </c>
      <c r="AY565" s="45">
        <f>IF(AU565="","",AH565-AV565)</f>
        <v/>
      </c>
      <c r="AZ565" s="54">
        <f>(AL565-AM565)-T565*AT565</f>
        <v/>
      </c>
      <c r="BA565" s="43">
        <f>IF(AU565="",0,(AH565-T565)*AF565)</f>
        <v/>
      </c>
      <c r="BB565" s="43">
        <f>IF(AU565="",0,T565*(AF565-AT565))</f>
        <v/>
      </c>
      <c r="BC565" s="51" t="n">
        <v>0.1322296320477545</v>
      </c>
      <c r="BD565" s="51" t="n">
        <v>0.08455719815324349</v>
      </c>
      <c r="BE565" s="51" t="n">
        <v>0.4551693125298085</v>
      </c>
      <c r="BF565" s="43" t="n">
        <v>536075</v>
      </c>
    </row>
    <row r="566">
      <c r="A566" s="42" t="inlineStr">
        <is>
          <t>MN</t>
        </is>
      </c>
      <c r="B566" s="42" t="inlineStr">
        <is>
          <t>27125</t>
        </is>
      </c>
      <c r="C566" s="42" t="inlineStr">
        <is>
          <t>Red Lake</t>
        </is>
      </c>
      <c r="D566" s="42" t="inlineStr">
        <is>
          <t>Small town &amp; rural</t>
        </is>
      </c>
      <c r="E566" s="42" t="inlineStr"/>
      <c r="F566" s="43" t="n">
        <v>642</v>
      </c>
      <c r="G566" s="43" t="n">
        <v>1425</v>
      </c>
      <c r="H566" s="43" t="n">
        <v>2110</v>
      </c>
      <c r="I566" s="43" t="n">
        <v>691</v>
      </c>
      <c r="J566" s="43" t="n">
        <v>1454</v>
      </c>
      <c r="K566" s="42" t="inlineStr">
        <is>
          <t>Governor</t>
        </is>
      </c>
      <c r="L566" s="43" t="n">
        <v>483</v>
      </c>
      <c r="M566" s="43" t="n">
        <v>1047</v>
      </c>
      <c r="N566" s="43" t="n">
        <v>1602</v>
      </c>
      <c r="O566" s="44">
        <f>IFERROR((F566-G566)/(F566+G566),"")</f>
        <v/>
      </c>
      <c r="P566" s="44">
        <f>IFERROR((I566-J566)/(I566+J566),"")</f>
        <v/>
      </c>
      <c r="Q566" s="45">
        <f>IFERROR(O566-P566,"")</f>
        <v/>
      </c>
      <c r="R566" s="44">
        <f>IFERROR((L566-M566)/(L566+M566),"")</f>
        <v/>
      </c>
      <c r="S566" s="46">
        <f>H566/SUMIFS(Counties!$H$2:$H$1583,Counties!$A$2:$A$1583,$A566)</f>
        <v/>
      </c>
      <c r="T566" s="44">
        <f>O566+INDEX(Dashboard!$F$6:$F$22,MATCH($A566,Dashboard!$A$6:$A$22,0))</f>
        <v/>
      </c>
      <c r="U566" s="43">
        <f>AQ566*INDEX(Dashboard!$G$6:$G$22,MATCH($A566,Dashboard!$A$6:$A$22,0))</f>
        <v/>
      </c>
      <c r="V566" s="47" t="n"/>
      <c r="W566" s="47" t="n"/>
      <c r="X566" s="47" t="n"/>
      <c r="Y566" s="48" t="n"/>
      <c r="Z566" s="49" t="n"/>
      <c r="AA566" s="49" t="n"/>
      <c r="AB566" s="49" t="n"/>
      <c r="AC566" s="50" t="n"/>
      <c r="AD566" s="43">
        <f>IF(Z566&lt;&gt;"",Z566,N(V566))</f>
        <v/>
      </c>
      <c r="AE566" s="43">
        <f>IF(AA566&lt;&gt;"",AA566,N(W566))</f>
        <v/>
      </c>
      <c r="AF566" s="43">
        <f>AD566+AE566</f>
        <v/>
      </c>
      <c r="AG566" s="42">
        <f>IF(UPPER(AC566)="Y",1,IF(AF566=0,0,IF(AND(Z566="",Y566&lt;&gt;""),IF(Y566&gt;=0.999,1,0),IF(AF566&gt;=U566,1,0))))</f>
        <v/>
      </c>
      <c r="AH566" s="44">
        <f>IF(AF566&gt;0,(AD566-AE566)/AF566,"")</f>
        <v/>
      </c>
      <c r="AI566" s="45">
        <f>IF(AG566=1,AH566-O566,"")</f>
        <v/>
      </c>
      <c r="AJ566" s="44">
        <f>IF(AG566=1,AH566,MAX(-1,MIN(1,O566+INDEX(Types!$H:$H,MATCH($A566&amp;"|"&amp;$D566,Types!$A:$A,0)))))</f>
        <v/>
      </c>
      <c r="AK566" s="43">
        <f>IF(AG566=1,AF566,MAX(AQ566*AS566,AF566))</f>
        <v/>
      </c>
      <c r="AL566" s="43">
        <f>IF(AG566=1,AD566,AK566*(1+AJ566)/2)</f>
        <v/>
      </c>
      <c r="AM566" s="43">
        <f>IF(AG566=1,AE566,AK566*(1-AJ566)/2)</f>
        <v/>
      </c>
      <c r="AN566" s="45">
        <f>IF(AH566="","",AH566-T566)</f>
        <v/>
      </c>
      <c r="AO566" s="51">
        <f>IF(AG566=1,1,IF(U566&gt;0,MIN(AF566/U566,0.99),0))</f>
        <v/>
      </c>
      <c r="AP566" s="43">
        <f>IF(AG566=1,AI566*AF566,0)</f>
        <v/>
      </c>
      <c r="AQ566" s="43">
        <f>N566*(F566+G566)/H566</f>
        <v/>
      </c>
      <c r="AR566" s="43">
        <f>O566*AQ566</f>
        <v/>
      </c>
      <c r="AS566" s="52">
        <f>IF(AG566=1,IF(AQ566&gt;0,AF566/AQ566,1),IFERROR(INDEX(Types!$K:$K,MATCH($A566&amp;"|"&amp;$D566,Types!$A:$A,0)),INDEX(Dashboard!$X$6:$X$22,MATCH($A566,Dashboard!$A$6:$A$22,0))))</f>
        <v/>
      </c>
      <c r="AT566" s="43">
        <f>AQ566*INDEX(Dashboard!$Y$6:$Y$22,MATCH($A566,Dashboard!$A$6:$A$22,0))</f>
        <v/>
      </c>
      <c r="AU566" s="53">
        <f>IF(AND(AG566=1,AT566&gt;0,AF566&gt;0),100*AF566/AT566,"")</f>
        <v/>
      </c>
      <c r="AV566" s="44">
        <f>IF(AU566="","",T566/(AU566/100))</f>
        <v/>
      </c>
      <c r="AW566" s="53">
        <f>IF(AU566="","",IF(AND(ABS(AH566)&gt;=0.1,ABS(T566)&gt;=0.05,SIGN(AH566)=SIGN(T566)),100*T566/AH566,""))</f>
        <v/>
      </c>
      <c r="AX566" s="45">
        <f>IF(AU566="","",T566-AV566)</f>
        <v/>
      </c>
      <c r="AY566" s="45">
        <f>IF(AU566="","",AH566-AV566)</f>
        <v/>
      </c>
      <c r="AZ566" s="54">
        <f>(AL566-AM566)-T566*AT566</f>
        <v/>
      </c>
      <c r="BA566" s="43">
        <f>IF(AU566="",0,(AH566-T566)*AF566)</f>
        <v/>
      </c>
      <c r="BB566" s="43">
        <f>IF(AU566="",0,T566*(AF566-AT566))</f>
        <v/>
      </c>
      <c r="BC566" s="51" t="n">
        <v>0.008437739708514446</v>
      </c>
      <c r="BD566" s="51" t="n">
        <v>0.03707491690104833</v>
      </c>
      <c r="BE566" s="51" t="n">
        <v>0.1762773722627737</v>
      </c>
      <c r="BF566" s="43" t="n">
        <v>3911</v>
      </c>
    </row>
    <row r="567">
      <c r="A567" s="42" t="inlineStr">
        <is>
          <t>MN</t>
        </is>
      </c>
      <c r="B567" s="42" t="inlineStr">
        <is>
          <t>27127</t>
        </is>
      </c>
      <c r="C567" s="42" t="inlineStr">
        <is>
          <t>Redwood</t>
        </is>
      </c>
      <c r="D567" s="42" t="inlineStr">
        <is>
          <t>Small town &amp; rural</t>
        </is>
      </c>
      <c r="E567" s="42" t="inlineStr"/>
      <c r="F567" s="43" t="n">
        <v>2300</v>
      </c>
      <c r="G567" s="43" t="n">
        <v>5895</v>
      </c>
      <c r="H567" s="43" t="n">
        <v>8299</v>
      </c>
      <c r="I567" s="43" t="n">
        <v>2355</v>
      </c>
      <c r="J567" s="43" t="n">
        <v>5771</v>
      </c>
      <c r="K567" s="42" t="inlineStr">
        <is>
          <t>Governor</t>
        </is>
      </c>
      <c r="L567" s="43" t="n">
        <v>1698</v>
      </c>
      <c r="M567" s="43" t="n">
        <v>4581</v>
      </c>
      <c r="N567" s="43" t="n">
        <v>6439</v>
      </c>
      <c r="O567" s="44">
        <f>IFERROR((F567-G567)/(F567+G567),"")</f>
        <v/>
      </c>
      <c r="P567" s="44">
        <f>IFERROR((I567-J567)/(I567+J567),"")</f>
        <v/>
      </c>
      <c r="Q567" s="45">
        <f>IFERROR(O567-P567,"")</f>
        <v/>
      </c>
      <c r="R567" s="44">
        <f>IFERROR((L567-M567)/(L567+M567),"")</f>
        <v/>
      </c>
      <c r="S567" s="46">
        <f>H567/SUMIFS(Counties!$H$2:$H$1583,Counties!$A$2:$A$1583,$A567)</f>
        <v/>
      </c>
      <c r="T567" s="44">
        <f>O567+INDEX(Dashboard!$F$6:$F$22,MATCH($A567,Dashboard!$A$6:$A$22,0))</f>
        <v/>
      </c>
      <c r="U567" s="43">
        <f>AQ567*INDEX(Dashboard!$G$6:$G$22,MATCH($A567,Dashboard!$A$6:$A$22,0))</f>
        <v/>
      </c>
      <c r="V567" s="47" t="n"/>
      <c r="W567" s="47" t="n"/>
      <c r="X567" s="47" t="n"/>
      <c r="Y567" s="48" t="n"/>
      <c r="Z567" s="49" t="n"/>
      <c r="AA567" s="49" t="n"/>
      <c r="AB567" s="49" t="n"/>
      <c r="AC567" s="50" t="n"/>
      <c r="AD567" s="43">
        <f>IF(Z567&lt;&gt;"",Z567,N(V567))</f>
        <v/>
      </c>
      <c r="AE567" s="43">
        <f>IF(AA567&lt;&gt;"",AA567,N(W567))</f>
        <v/>
      </c>
      <c r="AF567" s="43">
        <f>AD567+AE567</f>
        <v/>
      </c>
      <c r="AG567" s="42">
        <f>IF(UPPER(AC567)="Y",1,IF(AF567=0,0,IF(AND(Z567="",Y567&lt;&gt;""),IF(Y567&gt;=0.999,1,0),IF(AF567&gt;=U567,1,0))))</f>
        <v/>
      </c>
      <c r="AH567" s="44">
        <f>IF(AF567&gt;0,(AD567-AE567)/AF567,"")</f>
        <v/>
      </c>
      <c r="AI567" s="45">
        <f>IF(AG567=1,AH567-O567,"")</f>
        <v/>
      </c>
      <c r="AJ567" s="44">
        <f>IF(AG567=1,AH567,MAX(-1,MIN(1,O567+INDEX(Types!$H:$H,MATCH($A567&amp;"|"&amp;$D567,Types!$A:$A,0)))))</f>
        <v/>
      </c>
      <c r="AK567" s="43">
        <f>IF(AG567=1,AF567,MAX(AQ567*AS567,AF567))</f>
        <v/>
      </c>
      <c r="AL567" s="43">
        <f>IF(AG567=1,AD567,AK567*(1+AJ567)/2)</f>
        <v/>
      </c>
      <c r="AM567" s="43">
        <f>IF(AG567=1,AE567,AK567*(1-AJ567)/2)</f>
        <v/>
      </c>
      <c r="AN567" s="45">
        <f>IF(AH567="","",AH567-T567)</f>
        <v/>
      </c>
      <c r="AO567" s="51">
        <f>IF(AG567=1,1,IF(U567&gt;0,MIN(AF567/U567,0.99),0))</f>
        <v/>
      </c>
      <c r="AP567" s="43">
        <f>IF(AG567=1,AI567*AF567,0)</f>
        <v/>
      </c>
      <c r="AQ567" s="43">
        <f>N567*(F567+G567)/H567</f>
        <v/>
      </c>
      <c r="AR567" s="43">
        <f>O567*AQ567</f>
        <v/>
      </c>
      <c r="AS567" s="52">
        <f>IF(AG567=1,IF(AQ567&gt;0,AF567/AQ567,1),IFERROR(INDEX(Types!$K:$K,MATCH($A567&amp;"|"&amp;$D567,Types!$A:$A,0)),INDEX(Dashboard!$X$6:$X$22,MATCH($A567,Dashboard!$A$6:$A$22,0))))</f>
        <v/>
      </c>
      <c r="AT567" s="43">
        <f>AQ567*INDEX(Dashboard!$Y$6:$Y$22,MATCH($A567,Dashboard!$A$6:$A$22,0))</f>
        <v/>
      </c>
      <c r="AU567" s="53">
        <f>IF(AND(AG567=1,AT567&gt;0,AF567&gt;0),100*AF567/AT567,"")</f>
        <v/>
      </c>
      <c r="AV567" s="44">
        <f>IF(AU567="","",T567/(AU567/100))</f>
        <v/>
      </c>
      <c r="AW567" s="53">
        <f>IF(AU567="","",IF(AND(ABS(AH567)&gt;=0.1,ABS(T567)&gt;=0.05,SIGN(AH567)=SIGN(T567)),100*T567/AH567,""))</f>
        <v/>
      </c>
      <c r="AX567" s="45">
        <f>IF(AU567="","",T567-AV567)</f>
        <v/>
      </c>
      <c r="AY567" s="45">
        <f>IF(AU567="","",AH567-AV567)</f>
        <v/>
      </c>
      <c r="AZ567" s="54">
        <f>(AL567-AM567)-T567*AT567</f>
        <v/>
      </c>
      <c r="BA567" s="43">
        <f>IF(AU567="",0,(AH567-T567)*AF567)</f>
        <v/>
      </c>
      <c r="BB567" s="43">
        <f>IF(AU567="",0,T567*(AF567-AT567))</f>
        <v/>
      </c>
      <c r="BC567" s="51" t="n">
        <v>0.008634222919937205</v>
      </c>
      <c r="BD567" s="51" t="n">
        <v>0.04585295656724228</v>
      </c>
      <c r="BE567" s="51" t="n">
        <v>0.2079226868242273</v>
      </c>
      <c r="BF567" s="43" t="n">
        <v>15288</v>
      </c>
    </row>
    <row r="568">
      <c r="A568" s="42" t="inlineStr">
        <is>
          <t>MN</t>
        </is>
      </c>
      <c r="B568" s="42" t="inlineStr">
        <is>
          <t>27129</t>
        </is>
      </c>
      <c r="C568" s="42" t="inlineStr">
        <is>
          <t>Renville</t>
        </is>
      </c>
      <c r="D568" s="42" t="inlineStr">
        <is>
          <t>Small town &amp; rural</t>
        </is>
      </c>
      <c r="E568" s="42" t="inlineStr"/>
      <c r="F568" s="43" t="n">
        <v>2280</v>
      </c>
      <c r="G568" s="43" t="n">
        <v>5610</v>
      </c>
      <c r="H568" s="43" t="n">
        <v>8042</v>
      </c>
      <c r="I568" s="43" t="n">
        <v>2496</v>
      </c>
      <c r="J568" s="43" t="n">
        <v>5467</v>
      </c>
      <c r="K568" s="42" t="inlineStr">
        <is>
          <t>Governor</t>
        </is>
      </c>
      <c r="L568" s="43" t="n">
        <v>1883</v>
      </c>
      <c r="M568" s="43" t="n">
        <v>4192</v>
      </c>
      <c r="N568" s="43" t="n">
        <v>6297</v>
      </c>
      <c r="O568" s="44">
        <f>IFERROR((F568-G568)/(F568+G568),"")</f>
        <v/>
      </c>
      <c r="P568" s="44">
        <f>IFERROR((I568-J568)/(I568+J568),"")</f>
        <v/>
      </c>
      <c r="Q568" s="45">
        <f>IFERROR(O568-P568,"")</f>
        <v/>
      </c>
      <c r="R568" s="44">
        <f>IFERROR((L568-M568)/(L568+M568),"")</f>
        <v/>
      </c>
      <c r="S568" s="46">
        <f>H568/SUMIFS(Counties!$H$2:$H$1583,Counties!$A$2:$A$1583,$A568)</f>
        <v/>
      </c>
      <c r="T568" s="44">
        <f>O568+INDEX(Dashboard!$F$6:$F$22,MATCH($A568,Dashboard!$A$6:$A$22,0))</f>
        <v/>
      </c>
      <c r="U568" s="43">
        <f>AQ568*INDEX(Dashboard!$G$6:$G$22,MATCH($A568,Dashboard!$A$6:$A$22,0))</f>
        <v/>
      </c>
      <c r="V568" s="47" t="n"/>
      <c r="W568" s="47" t="n"/>
      <c r="X568" s="47" t="n"/>
      <c r="Y568" s="48" t="n"/>
      <c r="Z568" s="49" t="n"/>
      <c r="AA568" s="49" t="n"/>
      <c r="AB568" s="49" t="n"/>
      <c r="AC568" s="50" t="n"/>
      <c r="AD568" s="43">
        <f>IF(Z568&lt;&gt;"",Z568,N(V568))</f>
        <v/>
      </c>
      <c r="AE568" s="43">
        <f>IF(AA568&lt;&gt;"",AA568,N(W568))</f>
        <v/>
      </c>
      <c r="AF568" s="43">
        <f>AD568+AE568</f>
        <v/>
      </c>
      <c r="AG568" s="42">
        <f>IF(UPPER(AC568)="Y",1,IF(AF568=0,0,IF(AND(Z568="",Y568&lt;&gt;""),IF(Y568&gt;=0.999,1,0),IF(AF568&gt;=U568,1,0))))</f>
        <v/>
      </c>
      <c r="AH568" s="44">
        <f>IF(AF568&gt;0,(AD568-AE568)/AF568,"")</f>
        <v/>
      </c>
      <c r="AI568" s="45">
        <f>IF(AG568=1,AH568-O568,"")</f>
        <v/>
      </c>
      <c r="AJ568" s="44">
        <f>IF(AG568=1,AH568,MAX(-1,MIN(1,O568+INDEX(Types!$H:$H,MATCH($A568&amp;"|"&amp;$D568,Types!$A:$A,0)))))</f>
        <v/>
      </c>
      <c r="AK568" s="43">
        <f>IF(AG568=1,AF568,MAX(AQ568*AS568,AF568))</f>
        <v/>
      </c>
      <c r="AL568" s="43">
        <f>IF(AG568=1,AD568,AK568*(1+AJ568)/2)</f>
        <v/>
      </c>
      <c r="AM568" s="43">
        <f>IF(AG568=1,AE568,AK568*(1-AJ568)/2)</f>
        <v/>
      </c>
      <c r="AN568" s="45">
        <f>IF(AH568="","",AH568-T568)</f>
        <v/>
      </c>
      <c r="AO568" s="51">
        <f>IF(AG568=1,1,IF(U568&gt;0,MIN(AF568/U568,0.99),0))</f>
        <v/>
      </c>
      <c r="AP568" s="43">
        <f>IF(AG568=1,AI568*AF568,0)</f>
        <v/>
      </c>
      <c r="AQ568" s="43">
        <f>N568*(F568+G568)/H568</f>
        <v/>
      </c>
      <c r="AR568" s="43">
        <f>O568*AQ568</f>
        <v/>
      </c>
      <c r="AS568" s="52">
        <f>IF(AG568=1,IF(AQ568&gt;0,AF568/AQ568,1),IFERROR(INDEX(Types!$K:$K,MATCH($A568&amp;"|"&amp;$D568,Types!$A:$A,0)),INDEX(Dashboard!$X$6:$X$22,MATCH($A568,Dashboard!$A$6:$A$22,0))))</f>
        <v/>
      </c>
      <c r="AT568" s="43">
        <f>AQ568*INDEX(Dashboard!$Y$6:$Y$22,MATCH($A568,Dashboard!$A$6:$A$22,0))</f>
        <v/>
      </c>
      <c r="AU568" s="53">
        <f>IF(AND(AG568=1,AT568&gt;0,AF568&gt;0),100*AF568/AT568,"")</f>
        <v/>
      </c>
      <c r="AV568" s="44">
        <f>IF(AU568="","",T568/(AU568/100))</f>
        <v/>
      </c>
      <c r="AW568" s="53">
        <f>IF(AU568="","",IF(AND(ABS(AH568)&gt;=0.1,ABS(T568)&gt;=0.05,SIGN(AH568)=SIGN(T568)),100*T568/AH568,""))</f>
        <v/>
      </c>
      <c r="AX568" s="45">
        <f>IF(AU568="","",T568-AV568)</f>
        <v/>
      </c>
      <c r="AY568" s="45">
        <f>IF(AU568="","",AH568-AV568)</f>
        <v/>
      </c>
      <c r="AZ568" s="54">
        <f>(AL568-AM568)-T568*AT568</f>
        <v/>
      </c>
      <c r="BA568" s="43">
        <f>IF(AU568="",0,(AH568-T568)*AF568)</f>
        <v/>
      </c>
      <c r="BB568" s="43">
        <f>IF(AU568="",0,T568*(AF568-AT568))</f>
        <v/>
      </c>
      <c r="BC568" s="51" t="n">
        <v>0.006760524114859214</v>
      </c>
      <c r="BD568" s="51" t="n">
        <v>0.1060078059659883</v>
      </c>
      <c r="BE568" s="51" t="n">
        <v>0.1839159465828751</v>
      </c>
      <c r="BF568" s="43" t="n">
        <v>14348</v>
      </c>
    </row>
    <row r="569">
      <c r="A569" s="42" t="inlineStr">
        <is>
          <t>MN</t>
        </is>
      </c>
      <c r="B569" s="42" t="inlineStr">
        <is>
          <t>27131</t>
        </is>
      </c>
      <c r="C569" s="42" t="inlineStr">
        <is>
          <t>Rice</t>
        </is>
      </c>
      <c r="D569" s="42" t="inlineStr">
        <is>
          <t>Small town &amp; rural</t>
        </is>
      </c>
      <c r="E569" s="42" t="inlineStr"/>
      <c r="F569" s="43" t="n">
        <v>17353</v>
      </c>
      <c r="G569" s="43" t="n">
        <v>18264</v>
      </c>
      <c r="H569" s="43" t="n">
        <v>36284</v>
      </c>
      <c r="I569" s="43" t="n">
        <v>17402</v>
      </c>
      <c r="J569" s="43" t="n">
        <v>17464</v>
      </c>
      <c r="K569" s="42" t="inlineStr">
        <is>
          <t>Governor</t>
        </is>
      </c>
      <c r="L569" s="43" t="n">
        <v>14252</v>
      </c>
      <c r="M569" s="43" t="n">
        <v>13182</v>
      </c>
      <c r="N569" s="43" t="n">
        <v>28379</v>
      </c>
      <c r="O569" s="44">
        <f>IFERROR((F569-G569)/(F569+G569),"")</f>
        <v/>
      </c>
      <c r="P569" s="44">
        <f>IFERROR((I569-J569)/(I569+J569),"")</f>
        <v/>
      </c>
      <c r="Q569" s="45">
        <f>IFERROR(O569-P569,"")</f>
        <v/>
      </c>
      <c r="R569" s="44">
        <f>IFERROR((L569-M569)/(L569+M569),"")</f>
        <v/>
      </c>
      <c r="S569" s="46">
        <f>H569/SUMIFS(Counties!$H$2:$H$1583,Counties!$A$2:$A$1583,$A569)</f>
        <v/>
      </c>
      <c r="T569" s="44">
        <f>O569+INDEX(Dashboard!$F$6:$F$22,MATCH($A569,Dashboard!$A$6:$A$22,0))</f>
        <v/>
      </c>
      <c r="U569" s="43">
        <f>AQ569*INDEX(Dashboard!$G$6:$G$22,MATCH($A569,Dashboard!$A$6:$A$22,0))</f>
        <v/>
      </c>
      <c r="V569" s="47" t="n"/>
      <c r="W569" s="47" t="n"/>
      <c r="X569" s="47" t="n"/>
      <c r="Y569" s="48" t="n"/>
      <c r="Z569" s="49" t="n"/>
      <c r="AA569" s="49" t="n"/>
      <c r="AB569" s="49" t="n"/>
      <c r="AC569" s="50" t="n"/>
      <c r="AD569" s="43">
        <f>IF(Z569&lt;&gt;"",Z569,N(V569))</f>
        <v/>
      </c>
      <c r="AE569" s="43">
        <f>IF(AA569&lt;&gt;"",AA569,N(W569))</f>
        <v/>
      </c>
      <c r="AF569" s="43">
        <f>AD569+AE569</f>
        <v/>
      </c>
      <c r="AG569" s="42">
        <f>IF(UPPER(AC569)="Y",1,IF(AF569=0,0,IF(AND(Z569="",Y569&lt;&gt;""),IF(Y569&gt;=0.999,1,0),IF(AF569&gt;=U569,1,0))))</f>
        <v/>
      </c>
      <c r="AH569" s="44">
        <f>IF(AF569&gt;0,(AD569-AE569)/AF569,"")</f>
        <v/>
      </c>
      <c r="AI569" s="45">
        <f>IF(AG569=1,AH569-O569,"")</f>
        <v/>
      </c>
      <c r="AJ569" s="44">
        <f>IF(AG569=1,AH569,MAX(-1,MIN(1,O569+INDEX(Types!$H:$H,MATCH($A569&amp;"|"&amp;$D569,Types!$A:$A,0)))))</f>
        <v/>
      </c>
      <c r="AK569" s="43">
        <f>IF(AG569=1,AF569,MAX(AQ569*AS569,AF569))</f>
        <v/>
      </c>
      <c r="AL569" s="43">
        <f>IF(AG569=1,AD569,AK569*(1+AJ569)/2)</f>
        <v/>
      </c>
      <c r="AM569" s="43">
        <f>IF(AG569=1,AE569,AK569*(1-AJ569)/2)</f>
        <v/>
      </c>
      <c r="AN569" s="45">
        <f>IF(AH569="","",AH569-T569)</f>
        <v/>
      </c>
      <c r="AO569" s="51">
        <f>IF(AG569=1,1,IF(U569&gt;0,MIN(AF569/U569,0.99),0))</f>
        <v/>
      </c>
      <c r="AP569" s="43">
        <f>IF(AG569=1,AI569*AF569,0)</f>
        <v/>
      </c>
      <c r="AQ569" s="43">
        <f>N569*(F569+G569)/H569</f>
        <v/>
      </c>
      <c r="AR569" s="43">
        <f>O569*AQ569</f>
        <v/>
      </c>
      <c r="AS569" s="52">
        <f>IF(AG569=1,IF(AQ569&gt;0,AF569/AQ569,1),IFERROR(INDEX(Types!$K:$K,MATCH($A569&amp;"|"&amp;$D569,Types!$A:$A,0)),INDEX(Dashboard!$X$6:$X$22,MATCH($A569,Dashboard!$A$6:$A$22,0))))</f>
        <v/>
      </c>
      <c r="AT569" s="43">
        <f>AQ569*INDEX(Dashboard!$Y$6:$Y$22,MATCH($A569,Dashboard!$A$6:$A$22,0))</f>
        <v/>
      </c>
      <c r="AU569" s="53">
        <f>IF(AND(AG569=1,AT569&gt;0,AF569&gt;0),100*AF569/AT569,"")</f>
        <v/>
      </c>
      <c r="AV569" s="44">
        <f>IF(AU569="","",T569/(AU569/100))</f>
        <v/>
      </c>
      <c r="AW569" s="53">
        <f>IF(AU569="","",IF(AND(ABS(AH569)&gt;=0.1,ABS(T569)&gt;=0.05,SIGN(AH569)=SIGN(T569)),100*T569/AH569,""))</f>
        <v/>
      </c>
      <c r="AX569" s="45">
        <f>IF(AU569="","",T569-AV569)</f>
        <v/>
      </c>
      <c r="AY569" s="45">
        <f>IF(AU569="","",AH569-AV569)</f>
        <v/>
      </c>
      <c r="AZ569" s="54">
        <f>(AL569-AM569)-T569*AT569</f>
        <v/>
      </c>
      <c r="BA569" s="43">
        <f>IF(AU569="",0,(AH569-T569)*AF569)</f>
        <v/>
      </c>
      <c r="BB569" s="43">
        <f>IF(AU569="",0,T569*(AF569-AT569))</f>
        <v/>
      </c>
      <c r="BC569" s="51" t="n">
        <v>0.07025961029022193</v>
      </c>
      <c r="BD569" s="51" t="n">
        <v>0.105095072702655</v>
      </c>
      <c r="BE569" s="51" t="n">
        <v>0.2969895166527507</v>
      </c>
      <c r="BF569" s="43" t="n">
        <v>67948</v>
      </c>
    </row>
    <row r="570">
      <c r="A570" s="42" t="inlineStr">
        <is>
          <t>MN</t>
        </is>
      </c>
      <c r="B570" s="42" t="inlineStr">
        <is>
          <t>27133</t>
        </is>
      </c>
      <c r="C570" s="42" t="inlineStr">
        <is>
          <t>Rock</t>
        </is>
      </c>
      <c r="D570" s="42" t="inlineStr">
        <is>
          <t>Small town &amp; rural</t>
        </is>
      </c>
      <c r="E570" s="42" t="inlineStr"/>
      <c r="F570" s="43" t="n">
        <v>1585</v>
      </c>
      <c r="G570" s="43" t="n">
        <v>3690</v>
      </c>
      <c r="H570" s="43" t="n">
        <v>5361</v>
      </c>
      <c r="I570" s="43" t="n">
        <v>1556</v>
      </c>
      <c r="J570" s="43" t="n">
        <v>3583</v>
      </c>
      <c r="K570" s="42" t="inlineStr">
        <is>
          <t>Governor</t>
        </is>
      </c>
      <c r="L570" s="43" t="n">
        <v>1139</v>
      </c>
      <c r="M570" s="43" t="n">
        <v>2877</v>
      </c>
      <c r="N570" s="43" t="n">
        <v>4139</v>
      </c>
      <c r="O570" s="44">
        <f>IFERROR((F570-G570)/(F570+G570),"")</f>
        <v/>
      </c>
      <c r="P570" s="44">
        <f>IFERROR((I570-J570)/(I570+J570),"")</f>
        <v/>
      </c>
      <c r="Q570" s="45">
        <f>IFERROR(O570-P570,"")</f>
        <v/>
      </c>
      <c r="R570" s="44">
        <f>IFERROR((L570-M570)/(L570+M570),"")</f>
        <v/>
      </c>
      <c r="S570" s="46">
        <f>H570/SUMIFS(Counties!$H$2:$H$1583,Counties!$A$2:$A$1583,$A570)</f>
        <v/>
      </c>
      <c r="T570" s="44">
        <f>O570+INDEX(Dashboard!$F$6:$F$22,MATCH($A570,Dashboard!$A$6:$A$22,0))</f>
        <v/>
      </c>
      <c r="U570" s="43">
        <f>AQ570*INDEX(Dashboard!$G$6:$G$22,MATCH($A570,Dashboard!$A$6:$A$22,0))</f>
        <v/>
      </c>
      <c r="V570" s="47" t="n"/>
      <c r="W570" s="47" t="n"/>
      <c r="X570" s="47" t="n"/>
      <c r="Y570" s="48" t="n"/>
      <c r="Z570" s="49" t="n"/>
      <c r="AA570" s="49" t="n"/>
      <c r="AB570" s="49" t="n"/>
      <c r="AC570" s="50" t="n"/>
      <c r="AD570" s="43">
        <f>IF(Z570&lt;&gt;"",Z570,N(V570))</f>
        <v/>
      </c>
      <c r="AE570" s="43">
        <f>IF(AA570&lt;&gt;"",AA570,N(W570))</f>
        <v/>
      </c>
      <c r="AF570" s="43">
        <f>AD570+AE570</f>
        <v/>
      </c>
      <c r="AG570" s="42">
        <f>IF(UPPER(AC570)="Y",1,IF(AF570=0,0,IF(AND(Z570="",Y570&lt;&gt;""),IF(Y570&gt;=0.999,1,0),IF(AF570&gt;=U570,1,0))))</f>
        <v/>
      </c>
      <c r="AH570" s="44">
        <f>IF(AF570&gt;0,(AD570-AE570)/AF570,"")</f>
        <v/>
      </c>
      <c r="AI570" s="45">
        <f>IF(AG570=1,AH570-O570,"")</f>
        <v/>
      </c>
      <c r="AJ570" s="44">
        <f>IF(AG570=1,AH570,MAX(-1,MIN(1,O570+INDEX(Types!$H:$H,MATCH($A570&amp;"|"&amp;$D570,Types!$A:$A,0)))))</f>
        <v/>
      </c>
      <c r="AK570" s="43">
        <f>IF(AG570=1,AF570,MAX(AQ570*AS570,AF570))</f>
        <v/>
      </c>
      <c r="AL570" s="43">
        <f>IF(AG570=1,AD570,AK570*(1+AJ570)/2)</f>
        <v/>
      </c>
      <c r="AM570" s="43">
        <f>IF(AG570=1,AE570,AK570*(1-AJ570)/2)</f>
        <v/>
      </c>
      <c r="AN570" s="45">
        <f>IF(AH570="","",AH570-T570)</f>
        <v/>
      </c>
      <c r="AO570" s="51">
        <f>IF(AG570=1,1,IF(U570&gt;0,MIN(AF570/U570,0.99),0))</f>
        <v/>
      </c>
      <c r="AP570" s="43">
        <f>IF(AG570=1,AI570*AF570,0)</f>
        <v/>
      </c>
      <c r="AQ570" s="43">
        <f>N570*(F570+G570)/H570</f>
        <v/>
      </c>
      <c r="AR570" s="43">
        <f>O570*AQ570</f>
        <v/>
      </c>
      <c r="AS570" s="52">
        <f>IF(AG570=1,IF(AQ570&gt;0,AF570/AQ570,1),IFERROR(INDEX(Types!$K:$K,MATCH($A570&amp;"|"&amp;$D570,Types!$A:$A,0)),INDEX(Dashboard!$X$6:$X$22,MATCH($A570,Dashboard!$A$6:$A$22,0))))</f>
        <v/>
      </c>
      <c r="AT570" s="43">
        <f>AQ570*INDEX(Dashboard!$Y$6:$Y$22,MATCH($A570,Dashboard!$A$6:$A$22,0))</f>
        <v/>
      </c>
      <c r="AU570" s="53">
        <f>IF(AND(AG570=1,AT570&gt;0,AF570&gt;0),100*AF570/AT570,"")</f>
        <v/>
      </c>
      <c r="AV570" s="44">
        <f>IF(AU570="","",T570/(AU570/100))</f>
        <v/>
      </c>
      <c r="AW570" s="53">
        <f>IF(AU570="","",IF(AND(ABS(AH570)&gt;=0.1,ABS(T570)&gt;=0.05,SIGN(AH570)=SIGN(T570)),100*T570/AH570,""))</f>
        <v/>
      </c>
      <c r="AX570" s="45">
        <f>IF(AU570="","",T570-AV570)</f>
        <v/>
      </c>
      <c r="AY570" s="45">
        <f>IF(AU570="","",AH570-AV570)</f>
        <v/>
      </c>
      <c r="AZ570" s="54">
        <f>(AL570-AM570)-T570*AT570</f>
        <v/>
      </c>
      <c r="BA570" s="43">
        <f>IF(AU570="",0,(AH570-T570)*AF570)</f>
        <v/>
      </c>
      <c r="BB570" s="43">
        <f>IF(AU570="",0,T570*(AF570-AT570))</f>
        <v/>
      </c>
      <c r="BC570" s="51" t="n">
        <v>0.01015600460684745</v>
      </c>
      <c r="BD570" s="51" t="n">
        <v>0.04072871950581091</v>
      </c>
      <c r="BE570" s="51" t="n">
        <v>0.2632864996945632</v>
      </c>
      <c r="BF570" s="43" t="n">
        <v>9551</v>
      </c>
    </row>
    <row r="571">
      <c r="A571" s="42" t="inlineStr">
        <is>
          <t>MN</t>
        </is>
      </c>
      <c r="B571" s="42" t="inlineStr">
        <is>
          <t>27135</t>
        </is>
      </c>
      <c r="C571" s="42" t="inlineStr">
        <is>
          <t>Roseau</t>
        </is>
      </c>
      <c r="D571" s="42" t="inlineStr">
        <is>
          <t>Small town &amp; rural</t>
        </is>
      </c>
      <c r="E571" s="42" t="inlineStr"/>
      <c r="F571" s="43" t="n">
        <v>2093</v>
      </c>
      <c r="G571" s="43" t="n">
        <v>6279</v>
      </c>
      <c r="H571" s="43" t="n">
        <v>8486</v>
      </c>
      <c r="I571" s="43" t="n">
        <v>2188</v>
      </c>
      <c r="J571" s="43" t="n">
        <v>6065</v>
      </c>
      <c r="K571" s="42" t="inlineStr">
        <is>
          <t>Governor</t>
        </is>
      </c>
      <c r="L571" s="43" t="n">
        <v>1535</v>
      </c>
      <c r="M571" s="43" t="n">
        <v>4783</v>
      </c>
      <c r="N571" s="43" t="n">
        <v>6501</v>
      </c>
      <c r="O571" s="44">
        <f>IFERROR((F571-G571)/(F571+G571),"")</f>
        <v/>
      </c>
      <c r="P571" s="44">
        <f>IFERROR((I571-J571)/(I571+J571),"")</f>
        <v/>
      </c>
      <c r="Q571" s="45">
        <f>IFERROR(O571-P571,"")</f>
        <v/>
      </c>
      <c r="R571" s="44">
        <f>IFERROR((L571-M571)/(L571+M571),"")</f>
        <v/>
      </c>
      <c r="S571" s="46">
        <f>H571/SUMIFS(Counties!$H$2:$H$1583,Counties!$A$2:$A$1583,$A571)</f>
        <v/>
      </c>
      <c r="T571" s="44">
        <f>O571+INDEX(Dashboard!$F$6:$F$22,MATCH($A571,Dashboard!$A$6:$A$22,0))</f>
        <v/>
      </c>
      <c r="U571" s="43">
        <f>AQ571*INDEX(Dashboard!$G$6:$G$22,MATCH($A571,Dashboard!$A$6:$A$22,0))</f>
        <v/>
      </c>
      <c r="V571" s="47" t="n"/>
      <c r="W571" s="47" t="n"/>
      <c r="X571" s="47" t="n"/>
      <c r="Y571" s="48" t="n"/>
      <c r="Z571" s="49" t="n"/>
      <c r="AA571" s="49" t="n"/>
      <c r="AB571" s="49" t="n"/>
      <c r="AC571" s="50" t="n"/>
      <c r="AD571" s="43">
        <f>IF(Z571&lt;&gt;"",Z571,N(V571))</f>
        <v/>
      </c>
      <c r="AE571" s="43">
        <f>IF(AA571&lt;&gt;"",AA571,N(W571))</f>
        <v/>
      </c>
      <c r="AF571" s="43">
        <f>AD571+AE571</f>
        <v/>
      </c>
      <c r="AG571" s="42">
        <f>IF(UPPER(AC571)="Y",1,IF(AF571=0,0,IF(AND(Z571="",Y571&lt;&gt;""),IF(Y571&gt;=0.999,1,0),IF(AF571&gt;=U571,1,0))))</f>
        <v/>
      </c>
      <c r="AH571" s="44">
        <f>IF(AF571&gt;0,(AD571-AE571)/AF571,"")</f>
        <v/>
      </c>
      <c r="AI571" s="45">
        <f>IF(AG571=1,AH571-O571,"")</f>
        <v/>
      </c>
      <c r="AJ571" s="44">
        <f>IF(AG571=1,AH571,MAX(-1,MIN(1,O571+INDEX(Types!$H:$H,MATCH($A571&amp;"|"&amp;$D571,Types!$A:$A,0)))))</f>
        <v/>
      </c>
      <c r="AK571" s="43">
        <f>IF(AG571=1,AF571,MAX(AQ571*AS571,AF571))</f>
        <v/>
      </c>
      <c r="AL571" s="43">
        <f>IF(AG571=1,AD571,AK571*(1+AJ571)/2)</f>
        <v/>
      </c>
      <c r="AM571" s="43">
        <f>IF(AG571=1,AE571,AK571*(1-AJ571)/2)</f>
        <v/>
      </c>
      <c r="AN571" s="45">
        <f>IF(AH571="","",AH571-T571)</f>
        <v/>
      </c>
      <c r="AO571" s="51">
        <f>IF(AG571=1,1,IF(U571&gt;0,MIN(AF571/U571,0.99),0))</f>
        <v/>
      </c>
      <c r="AP571" s="43">
        <f>IF(AG571=1,AI571*AF571,0)</f>
        <v/>
      </c>
      <c r="AQ571" s="43">
        <f>N571*(F571+G571)/H571</f>
        <v/>
      </c>
      <c r="AR571" s="43">
        <f>O571*AQ571</f>
        <v/>
      </c>
      <c r="AS571" s="52">
        <f>IF(AG571=1,IF(AQ571&gt;0,AF571/AQ571,1),IFERROR(INDEX(Types!$K:$K,MATCH($A571&amp;"|"&amp;$D571,Types!$A:$A,0)),INDEX(Dashboard!$X$6:$X$22,MATCH($A571,Dashboard!$A$6:$A$22,0))))</f>
        <v/>
      </c>
      <c r="AT571" s="43">
        <f>AQ571*INDEX(Dashboard!$Y$6:$Y$22,MATCH($A571,Dashboard!$A$6:$A$22,0))</f>
        <v/>
      </c>
      <c r="AU571" s="53">
        <f>IF(AND(AG571=1,AT571&gt;0,AF571&gt;0),100*AF571/AT571,"")</f>
        <v/>
      </c>
      <c r="AV571" s="44">
        <f>IF(AU571="","",T571/(AU571/100))</f>
        <v/>
      </c>
      <c r="AW571" s="53">
        <f>IF(AU571="","",IF(AND(ABS(AH571)&gt;=0.1,ABS(T571)&gt;=0.05,SIGN(AH571)=SIGN(T571)),100*T571/AH571,""))</f>
        <v/>
      </c>
      <c r="AX571" s="45">
        <f>IF(AU571="","",T571-AV571)</f>
        <v/>
      </c>
      <c r="AY571" s="45">
        <f>IF(AU571="","",AH571-AV571)</f>
        <v/>
      </c>
      <c r="AZ571" s="54">
        <f>(AL571-AM571)-T571*AT571</f>
        <v/>
      </c>
      <c r="BA571" s="43">
        <f>IF(AU571="",0,(AH571-T571)*AF571)</f>
        <v/>
      </c>
      <c r="BB571" s="43">
        <f>IF(AU571="",0,T571*(AF571-AT571))</f>
        <v/>
      </c>
      <c r="BC571" s="51" t="n">
        <v>0.008785733018620508</v>
      </c>
      <c r="BD571" s="51" t="n">
        <v>0.02111198531340152</v>
      </c>
      <c r="BE571" s="51" t="n">
        <v>0.2048923864606049</v>
      </c>
      <c r="BF571" s="43" t="n">
        <v>15252</v>
      </c>
    </row>
    <row r="572">
      <c r="A572" s="42" t="inlineStr">
        <is>
          <t>MN</t>
        </is>
      </c>
      <c r="B572" s="42" t="inlineStr">
        <is>
          <t>27139</t>
        </is>
      </c>
      <c r="C572" s="42" t="inlineStr">
        <is>
          <t>Scott</t>
        </is>
      </c>
      <c r="D572" s="42" t="inlineStr">
        <is>
          <t>College suburb/metro</t>
        </is>
      </c>
      <c r="E572" s="42" t="inlineStr"/>
      <c r="F572" s="43" t="n">
        <v>40214</v>
      </c>
      <c r="G572" s="43" t="n">
        <v>47837</v>
      </c>
      <c r="H572" s="43" t="n">
        <v>89806</v>
      </c>
      <c r="I572" s="43" t="n">
        <v>40040</v>
      </c>
      <c r="J572" s="43" t="n">
        <v>45872</v>
      </c>
      <c r="K572" s="42" t="inlineStr">
        <is>
          <t>Governor</t>
        </is>
      </c>
      <c r="L572" s="43" t="n">
        <v>30870</v>
      </c>
      <c r="M572" s="43" t="n">
        <v>35289</v>
      </c>
      <c r="N572" s="43" t="n">
        <v>67960</v>
      </c>
      <c r="O572" s="44">
        <f>IFERROR((F572-G572)/(F572+G572),"")</f>
        <v/>
      </c>
      <c r="P572" s="44">
        <f>IFERROR((I572-J572)/(I572+J572),"")</f>
        <v/>
      </c>
      <c r="Q572" s="45">
        <f>IFERROR(O572-P572,"")</f>
        <v/>
      </c>
      <c r="R572" s="44">
        <f>IFERROR((L572-M572)/(L572+M572),"")</f>
        <v/>
      </c>
      <c r="S572" s="46">
        <f>H572/SUMIFS(Counties!$H$2:$H$1583,Counties!$A$2:$A$1583,$A572)</f>
        <v/>
      </c>
      <c r="T572" s="44">
        <f>O572+INDEX(Dashboard!$F$6:$F$22,MATCH($A572,Dashboard!$A$6:$A$22,0))</f>
        <v/>
      </c>
      <c r="U572" s="43">
        <f>AQ572*INDEX(Dashboard!$G$6:$G$22,MATCH($A572,Dashboard!$A$6:$A$22,0))</f>
        <v/>
      </c>
      <c r="V572" s="47" t="n"/>
      <c r="W572" s="47" t="n"/>
      <c r="X572" s="47" t="n"/>
      <c r="Y572" s="48" t="n"/>
      <c r="Z572" s="49" t="n"/>
      <c r="AA572" s="49" t="n"/>
      <c r="AB572" s="49" t="n"/>
      <c r="AC572" s="50" t="n"/>
      <c r="AD572" s="43">
        <f>IF(Z572&lt;&gt;"",Z572,N(V572))</f>
        <v/>
      </c>
      <c r="AE572" s="43">
        <f>IF(AA572&lt;&gt;"",AA572,N(W572))</f>
        <v/>
      </c>
      <c r="AF572" s="43">
        <f>AD572+AE572</f>
        <v/>
      </c>
      <c r="AG572" s="42">
        <f>IF(UPPER(AC572)="Y",1,IF(AF572=0,0,IF(AND(Z572="",Y572&lt;&gt;""),IF(Y572&gt;=0.999,1,0),IF(AF572&gt;=U572,1,0))))</f>
        <v/>
      </c>
      <c r="AH572" s="44">
        <f>IF(AF572&gt;0,(AD572-AE572)/AF572,"")</f>
        <v/>
      </c>
      <c r="AI572" s="45">
        <f>IF(AG572=1,AH572-O572,"")</f>
        <v/>
      </c>
      <c r="AJ572" s="44">
        <f>IF(AG572=1,AH572,MAX(-1,MIN(1,O572+INDEX(Types!$H:$H,MATCH($A572&amp;"|"&amp;$D572,Types!$A:$A,0)))))</f>
        <v/>
      </c>
      <c r="AK572" s="43">
        <f>IF(AG572=1,AF572,MAX(AQ572*AS572,AF572))</f>
        <v/>
      </c>
      <c r="AL572" s="43">
        <f>IF(AG572=1,AD572,AK572*(1+AJ572)/2)</f>
        <v/>
      </c>
      <c r="AM572" s="43">
        <f>IF(AG572=1,AE572,AK572*(1-AJ572)/2)</f>
        <v/>
      </c>
      <c r="AN572" s="45">
        <f>IF(AH572="","",AH572-T572)</f>
        <v/>
      </c>
      <c r="AO572" s="51">
        <f>IF(AG572=1,1,IF(U572&gt;0,MIN(AF572/U572,0.99),0))</f>
        <v/>
      </c>
      <c r="AP572" s="43">
        <f>IF(AG572=1,AI572*AF572,0)</f>
        <v/>
      </c>
      <c r="AQ572" s="43">
        <f>N572*(F572+G572)/H572</f>
        <v/>
      </c>
      <c r="AR572" s="43">
        <f>O572*AQ572</f>
        <v/>
      </c>
      <c r="AS572" s="52">
        <f>IF(AG572=1,IF(AQ572&gt;0,AF572/AQ572,1),IFERROR(INDEX(Types!$K:$K,MATCH($A572&amp;"|"&amp;$D572,Types!$A:$A,0)),INDEX(Dashboard!$X$6:$X$22,MATCH($A572,Dashboard!$A$6:$A$22,0))))</f>
        <v/>
      </c>
      <c r="AT572" s="43">
        <f>AQ572*INDEX(Dashboard!$Y$6:$Y$22,MATCH($A572,Dashboard!$A$6:$A$22,0))</f>
        <v/>
      </c>
      <c r="AU572" s="53">
        <f>IF(AND(AG572=1,AT572&gt;0,AF572&gt;0),100*AF572/AT572,"")</f>
        <v/>
      </c>
      <c r="AV572" s="44">
        <f>IF(AU572="","",T572/(AU572/100))</f>
        <v/>
      </c>
      <c r="AW572" s="53">
        <f>IF(AU572="","",IF(AND(ABS(AH572)&gt;=0.1,ABS(T572)&gt;=0.05,SIGN(AH572)=SIGN(T572)),100*T572/AH572,""))</f>
        <v/>
      </c>
      <c r="AX572" s="45">
        <f>IF(AU572="","",T572-AV572)</f>
        <v/>
      </c>
      <c r="AY572" s="45">
        <f>IF(AU572="","",AH572-AV572)</f>
        <v/>
      </c>
      <c r="AZ572" s="54">
        <f>(AL572-AM572)-T572*AT572</f>
        <v/>
      </c>
      <c r="BA572" s="43">
        <f>IF(AU572="",0,(AH572-T572)*AF572)</f>
        <v/>
      </c>
      <c r="BB572" s="43">
        <f>IF(AU572="",0,T572*(AF572-AT572))</f>
        <v/>
      </c>
      <c r="BC572" s="51" t="n">
        <v>0.07280475438664048</v>
      </c>
      <c r="BD572" s="51" t="n">
        <v>0.06580281617826382</v>
      </c>
      <c r="BE572" s="51" t="n">
        <v>0.4307746057097225</v>
      </c>
      <c r="BF572" s="43" t="n">
        <v>155814</v>
      </c>
    </row>
    <row r="573">
      <c r="A573" s="42" t="inlineStr">
        <is>
          <t>MN</t>
        </is>
      </c>
      <c r="B573" s="42" t="inlineStr">
        <is>
          <t>27141</t>
        </is>
      </c>
      <c r="C573" s="42" t="inlineStr">
        <is>
          <t>Sherburne</t>
        </is>
      </c>
      <c r="D573" s="42" t="inlineStr">
        <is>
          <t>Mid-size/working metro</t>
        </is>
      </c>
      <c r="E573" s="42" t="inlineStr">
        <is>
          <t>★</t>
        </is>
      </c>
      <c r="F573" s="43" t="n">
        <v>18329</v>
      </c>
      <c r="G573" s="43" t="n">
        <v>38491</v>
      </c>
      <c r="H573" s="43" t="n">
        <v>57777</v>
      </c>
      <c r="I573" s="43" t="n">
        <v>18065</v>
      </c>
      <c r="J573" s="43" t="n">
        <v>36222</v>
      </c>
      <c r="K573" s="42" t="inlineStr">
        <is>
          <t>Governor</t>
        </is>
      </c>
      <c r="L573" s="43" t="n">
        <v>13697</v>
      </c>
      <c r="M573" s="43" t="n">
        <v>26517</v>
      </c>
      <c r="N573" s="43" t="n">
        <v>41621</v>
      </c>
      <c r="O573" s="44">
        <f>IFERROR((F573-G573)/(F573+G573),"")</f>
        <v/>
      </c>
      <c r="P573" s="44">
        <f>IFERROR((I573-J573)/(I573+J573),"")</f>
        <v/>
      </c>
      <c r="Q573" s="45">
        <f>IFERROR(O573-P573,"")</f>
        <v/>
      </c>
      <c r="R573" s="44">
        <f>IFERROR((L573-M573)/(L573+M573),"")</f>
        <v/>
      </c>
      <c r="S573" s="46">
        <f>H573/SUMIFS(Counties!$H$2:$H$1583,Counties!$A$2:$A$1583,$A573)</f>
        <v/>
      </c>
      <c r="T573" s="44">
        <f>O573+INDEX(Dashboard!$F$6:$F$22,MATCH($A573,Dashboard!$A$6:$A$22,0))</f>
        <v/>
      </c>
      <c r="U573" s="43">
        <f>AQ573*INDEX(Dashboard!$G$6:$G$22,MATCH($A573,Dashboard!$A$6:$A$22,0))</f>
        <v/>
      </c>
      <c r="V573" s="47" t="n"/>
      <c r="W573" s="47" t="n"/>
      <c r="X573" s="47" t="n"/>
      <c r="Y573" s="48" t="n"/>
      <c r="Z573" s="49" t="n"/>
      <c r="AA573" s="49" t="n"/>
      <c r="AB573" s="49" t="n"/>
      <c r="AC573" s="50" t="n"/>
      <c r="AD573" s="43">
        <f>IF(Z573&lt;&gt;"",Z573,N(V573))</f>
        <v/>
      </c>
      <c r="AE573" s="43">
        <f>IF(AA573&lt;&gt;"",AA573,N(W573))</f>
        <v/>
      </c>
      <c r="AF573" s="43">
        <f>AD573+AE573</f>
        <v/>
      </c>
      <c r="AG573" s="42">
        <f>IF(UPPER(AC573)="Y",1,IF(AF573=0,0,IF(AND(Z573="",Y573&lt;&gt;""),IF(Y573&gt;=0.999,1,0),IF(AF573&gt;=U573,1,0))))</f>
        <v/>
      </c>
      <c r="AH573" s="44">
        <f>IF(AF573&gt;0,(AD573-AE573)/AF573,"")</f>
        <v/>
      </c>
      <c r="AI573" s="45">
        <f>IF(AG573=1,AH573-O573,"")</f>
        <v/>
      </c>
      <c r="AJ573" s="44">
        <f>IF(AG573=1,AH573,MAX(-1,MIN(1,O573+INDEX(Types!$H:$H,MATCH($A573&amp;"|"&amp;$D573,Types!$A:$A,0)))))</f>
        <v/>
      </c>
      <c r="AK573" s="43">
        <f>IF(AG573=1,AF573,MAX(AQ573*AS573,AF573))</f>
        <v/>
      </c>
      <c r="AL573" s="43">
        <f>IF(AG573=1,AD573,AK573*(1+AJ573)/2)</f>
        <v/>
      </c>
      <c r="AM573" s="43">
        <f>IF(AG573=1,AE573,AK573*(1-AJ573)/2)</f>
        <v/>
      </c>
      <c r="AN573" s="45">
        <f>IF(AH573="","",AH573-T573)</f>
        <v/>
      </c>
      <c r="AO573" s="51">
        <f>IF(AG573=1,1,IF(U573&gt;0,MIN(AF573/U573,0.99),0))</f>
        <v/>
      </c>
      <c r="AP573" s="43">
        <f>IF(AG573=1,AI573*AF573,0)</f>
        <v/>
      </c>
      <c r="AQ573" s="43">
        <f>N573*(F573+G573)/H573</f>
        <v/>
      </c>
      <c r="AR573" s="43">
        <f>O573*AQ573</f>
        <v/>
      </c>
      <c r="AS573" s="52">
        <f>IF(AG573=1,IF(AQ573&gt;0,AF573/AQ573,1),IFERROR(INDEX(Types!$K:$K,MATCH($A573&amp;"|"&amp;$D573,Types!$A:$A,0)),INDEX(Dashboard!$X$6:$X$22,MATCH($A573,Dashboard!$A$6:$A$22,0))))</f>
        <v/>
      </c>
      <c r="AT573" s="43">
        <f>AQ573*INDEX(Dashboard!$Y$6:$Y$22,MATCH($A573,Dashboard!$A$6:$A$22,0))</f>
        <v/>
      </c>
      <c r="AU573" s="53">
        <f>IF(AND(AG573=1,AT573&gt;0,AF573&gt;0),100*AF573/AT573,"")</f>
        <v/>
      </c>
      <c r="AV573" s="44">
        <f>IF(AU573="","",T573/(AU573/100))</f>
        <v/>
      </c>
      <c r="AW573" s="53">
        <f>IF(AU573="","",IF(AND(ABS(AH573)&gt;=0.1,ABS(T573)&gt;=0.05,SIGN(AH573)=SIGN(T573)),100*T573/AH573,""))</f>
        <v/>
      </c>
      <c r="AX573" s="45">
        <f>IF(AU573="","",T573-AV573)</f>
        <v/>
      </c>
      <c r="AY573" s="45">
        <f>IF(AU573="","",AH573-AV573)</f>
        <v/>
      </c>
      <c r="AZ573" s="54">
        <f>(AL573-AM573)-T573*AT573</f>
        <v/>
      </c>
      <c r="BA573" s="43">
        <f>IF(AU573="",0,(AH573-T573)*AF573)</f>
        <v/>
      </c>
      <c r="BB573" s="43">
        <f>IF(AU573="",0,T573*(AF573-AT573))</f>
        <v/>
      </c>
      <c r="BC573" s="51" t="n">
        <v>0.04856857718724928</v>
      </c>
      <c r="BD573" s="51" t="n">
        <v>0.03634815959924075</v>
      </c>
      <c r="BE573" s="51" t="n">
        <v>0.2812523922529281</v>
      </c>
      <c r="BF573" s="43" t="n">
        <v>102206</v>
      </c>
    </row>
    <row r="574">
      <c r="A574" s="42" t="inlineStr">
        <is>
          <t>MN</t>
        </is>
      </c>
      <c r="B574" s="42" t="inlineStr">
        <is>
          <t>27143</t>
        </is>
      </c>
      <c r="C574" s="42" t="inlineStr">
        <is>
          <t>Sibley</t>
        </is>
      </c>
      <c r="D574" s="42" t="inlineStr">
        <is>
          <t>Small town &amp; rural</t>
        </is>
      </c>
      <c r="E574" s="42" t="inlineStr"/>
      <c r="F574" s="43" t="n">
        <v>2351</v>
      </c>
      <c r="G574" s="43" t="n">
        <v>6014</v>
      </c>
      <c r="H574" s="43" t="n">
        <v>8512</v>
      </c>
      <c r="I574" s="43" t="n">
        <v>2417</v>
      </c>
      <c r="J574" s="43" t="n">
        <v>5864</v>
      </c>
      <c r="K574" s="42" t="inlineStr">
        <is>
          <t>Governor</t>
        </is>
      </c>
      <c r="L574" s="43" t="n">
        <v>1907</v>
      </c>
      <c r="M574" s="43" t="n">
        <v>4519</v>
      </c>
      <c r="N574" s="43" t="n">
        <v>6620</v>
      </c>
      <c r="O574" s="44">
        <f>IFERROR((F574-G574)/(F574+G574),"")</f>
        <v/>
      </c>
      <c r="P574" s="44">
        <f>IFERROR((I574-J574)/(I574+J574),"")</f>
        <v/>
      </c>
      <c r="Q574" s="45">
        <f>IFERROR(O574-P574,"")</f>
        <v/>
      </c>
      <c r="R574" s="44">
        <f>IFERROR((L574-M574)/(L574+M574),"")</f>
        <v/>
      </c>
      <c r="S574" s="46">
        <f>H574/SUMIFS(Counties!$H$2:$H$1583,Counties!$A$2:$A$1583,$A574)</f>
        <v/>
      </c>
      <c r="T574" s="44">
        <f>O574+INDEX(Dashboard!$F$6:$F$22,MATCH($A574,Dashboard!$A$6:$A$22,0))</f>
        <v/>
      </c>
      <c r="U574" s="43">
        <f>AQ574*INDEX(Dashboard!$G$6:$G$22,MATCH($A574,Dashboard!$A$6:$A$22,0))</f>
        <v/>
      </c>
      <c r="V574" s="47" t="n"/>
      <c r="W574" s="47" t="n"/>
      <c r="X574" s="47" t="n"/>
      <c r="Y574" s="48" t="n"/>
      <c r="Z574" s="49" t="n"/>
      <c r="AA574" s="49" t="n"/>
      <c r="AB574" s="49" t="n"/>
      <c r="AC574" s="50" t="n"/>
      <c r="AD574" s="43">
        <f>IF(Z574&lt;&gt;"",Z574,N(V574))</f>
        <v/>
      </c>
      <c r="AE574" s="43">
        <f>IF(AA574&lt;&gt;"",AA574,N(W574))</f>
        <v/>
      </c>
      <c r="AF574" s="43">
        <f>AD574+AE574</f>
        <v/>
      </c>
      <c r="AG574" s="42">
        <f>IF(UPPER(AC574)="Y",1,IF(AF574=0,0,IF(AND(Z574="",Y574&lt;&gt;""),IF(Y574&gt;=0.999,1,0),IF(AF574&gt;=U574,1,0))))</f>
        <v/>
      </c>
      <c r="AH574" s="44">
        <f>IF(AF574&gt;0,(AD574-AE574)/AF574,"")</f>
        <v/>
      </c>
      <c r="AI574" s="45">
        <f>IF(AG574=1,AH574-O574,"")</f>
        <v/>
      </c>
      <c r="AJ574" s="44">
        <f>IF(AG574=1,AH574,MAX(-1,MIN(1,O574+INDEX(Types!$H:$H,MATCH($A574&amp;"|"&amp;$D574,Types!$A:$A,0)))))</f>
        <v/>
      </c>
      <c r="AK574" s="43">
        <f>IF(AG574=1,AF574,MAX(AQ574*AS574,AF574))</f>
        <v/>
      </c>
      <c r="AL574" s="43">
        <f>IF(AG574=1,AD574,AK574*(1+AJ574)/2)</f>
        <v/>
      </c>
      <c r="AM574" s="43">
        <f>IF(AG574=1,AE574,AK574*(1-AJ574)/2)</f>
        <v/>
      </c>
      <c r="AN574" s="45">
        <f>IF(AH574="","",AH574-T574)</f>
        <v/>
      </c>
      <c r="AO574" s="51">
        <f>IF(AG574=1,1,IF(U574&gt;0,MIN(AF574/U574,0.99),0))</f>
        <v/>
      </c>
      <c r="AP574" s="43">
        <f>IF(AG574=1,AI574*AF574,0)</f>
        <v/>
      </c>
      <c r="AQ574" s="43">
        <f>N574*(F574+G574)/H574</f>
        <v/>
      </c>
      <c r="AR574" s="43">
        <f>O574*AQ574</f>
        <v/>
      </c>
      <c r="AS574" s="52">
        <f>IF(AG574=1,IF(AQ574&gt;0,AF574/AQ574,1),IFERROR(INDEX(Types!$K:$K,MATCH($A574&amp;"|"&amp;$D574,Types!$A:$A,0)),INDEX(Dashboard!$X$6:$X$22,MATCH($A574,Dashboard!$A$6:$A$22,0))))</f>
        <v/>
      </c>
      <c r="AT574" s="43">
        <f>AQ574*INDEX(Dashboard!$Y$6:$Y$22,MATCH($A574,Dashboard!$A$6:$A$22,0))</f>
        <v/>
      </c>
      <c r="AU574" s="53">
        <f>IF(AND(AG574=1,AT574&gt;0,AF574&gt;0),100*AF574/AT574,"")</f>
        <v/>
      </c>
      <c r="AV574" s="44">
        <f>IF(AU574="","",T574/(AU574/100))</f>
        <v/>
      </c>
      <c r="AW574" s="53">
        <f>IF(AU574="","",IF(AND(ABS(AH574)&gt;=0.1,ABS(T574)&gt;=0.05,SIGN(AH574)=SIGN(T574)),100*T574/AH574,""))</f>
        <v/>
      </c>
      <c r="AX574" s="45">
        <f>IF(AU574="","",T574-AV574)</f>
        <v/>
      </c>
      <c r="AY574" s="45">
        <f>IF(AU574="","",AH574-AV574)</f>
        <v/>
      </c>
      <c r="AZ574" s="54">
        <f>(AL574-AM574)-T574*AT574</f>
        <v/>
      </c>
      <c r="BA574" s="43">
        <f>IF(AU574="",0,(AH574-T574)*AF574)</f>
        <v/>
      </c>
      <c r="BB574" s="43">
        <f>IF(AU574="",0,T574*(AF574-AT574))</f>
        <v/>
      </c>
      <c r="BC574" s="51" t="n">
        <v>0.009016176080615222</v>
      </c>
      <c r="BD574" s="51" t="n">
        <v>0.0943383717846725</v>
      </c>
      <c r="BE574" s="51" t="n">
        <v>0.185684250764526</v>
      </c>
      <c r="BF574" s="43" t="n">
        <v>15084</v>
      </c>
    </row>
    <row r="575">
      <c r="A575" s="42" t="inlineStr">
        <is>
          <t>MN</t>
        </is>
      </c>
      <c r="B575" s="42" t="inlineStr">
        <is>
          <t>27137</t>
        </is>
      </c>
      <c r="C575" s="42" t="inlineStr">
        <is>
          <t>St. Louis</t>
        </is>
      </c>
      <c r="D575" s="42" t="inlineStr">
        <is>
          <t>Mid-size/working metro</t>
        </is>
      </c>
      <c r="E575" s="42" t="inlineStr">
        <is>
          <t>★</t>
        </is>
      </c>
      <c r="F575" s="43" t="n">
        <v>66335</v>
      </c>
      <c r="G575" s="43" t="n">
        <v>50065</v>
      </c>
      <c r="H575" s="43" t="n">
        <v>118587</v>
      </c>
      <c r="I575" s="43" t="n">
        <v>67704</v>
      </c>
      <c r="J575" s="43" t="n">
        <v>49017</v>
      </c>
      <c r="K575" s="42" t="inlineStr">
        <is>
          <t>Governor</t>
        </is>
      </c>
      <c r="L575" s="43" t="n">
        <v>53551</v>
      </c>
      <c r="M575" s="43" t="n">
        <v>35372</v>
      </c>
      <c r="N575" s="43" t="n">
        <v>92840</v>
      </c>
      <c r="O575" s="44">
        <f>IFERROR((F575-G575)/(F575+G575),"")</f>
        <v/>
      </c>
      <c r="P575" s="44">
        <f>IFERROR((I575-J575)/(I575+J575),"")</f>
        <v/>
      </c>
      <c r="Q575" s="45">
        <f>IFERROR(O575-P575,"")</f>
        <v/>
      </c>
      <c r="R575" s="44">
        <f>IFERROR((L575-M575)/(L575+M575),"")</f>
        <v/>
      </c>
      <c r="S575" s="46">
        <f>H575/SUMIFS(Counties!$H$2:$H$1583,Counties!$A$2:$A$1583,$A575)</f>
        <v/>
      </c>
      <c r="T575" s="44">
        <f>O575+INDEX(Dashboard!$F$6:$F$22,MATCH($A575,Dashboard!$A$6:$A$22,0))</f>
        <v/>
      </c>
      <c r="U575" s="43">
        <f>AQ575*INDEX(Dashboard!$G$6:$G$22,MATCH($A575,Dashboard!$A$6:$A$22,0))</f>
        <v/>
      </c>
      <c r="V575" s="47" t="n"/>
      <c r="W575" s="47" t="n"/>
      <c r="X575" s="47" t="n"/>
      <c r="Y575" s="48" t="n"/>
      <c r="Z575" s="49" t="n"/>
      <c r="AA575" s="49" t="n"/>
      <c r="AB575" s="49" t="n"/>
      <c r="AC575" s="50" t="n"/>
      <c r="AD575" s="43">
        <f>IF(Z575&lt;&gt;"",Z575,N(V575))</f>
        <v/>
      </c>
      <c r="AE575" s="43">
        <f>IF(AA575&lt;&gt;"",AA575,N(W575))</f>
        <v/>
      </c>
      <c r="AF575" s="43">
        <f>AD575+AE575</f>
        <v/>
      </c>
      <c r="AG575" s="42">
        <f>IF(UPPER(AC575)="Y",1,IF(AF575=0,0,IF(AND(Z575="",Y575&lt;&gt;""),IF(Y575&gt;=0.999,1,0),IF(AF575&gt;=U575,1,0))))</f>
        <v/>
      </c>
      <c r="AH575" s="44">
        <f>IF(AF575&gt;0,(AD575-AE575)/AF575,"")</f>
        <v/>
      </c>
      <c r="AI575" s="45">
        <f>IF(AG575=1,AH575-O575,"")</f>
        <v/>
      </c>
      <c r="AJ575" s="44">
        <f>IF(AG575=1,AH575,MAX(-1,MIN(1,O575+INDEX(Types!$H:$H,MATCH($A575&amp;"|"&amp;$D575,Types!$A:$A,0)))))</f>
        <v/>
      </c>
      <c r="AK575" s="43">
        <f>IF(AG575=1,AF575,MAX(AQ575*AS575,AF575))</f>
        <v/>
      </c>
      <c r="AL575" s="43">
        <f>IF(AG575=1,AD575,AK575*(1+AJ575)/2)</f>
        <v/>
      </c>
      <c r="AM575" s="43">
        <f>IF(AG575=1,AE575,AK575*(1-AJ575)/2)</f>
        <v/>
      </c>
      <c r="AN575" s="45">
        <f>IF(AH575="","",AH575-T575)</f>
        <v/>
      </c>
      <c r="AO575" s="51">
        <f>IF(AG575=1,1,IF(U575&gt;0,MIN(AF575/U575,0.99),0))</f>
        <v/>
      </c>
      <c r="AP575" s="43">
        <f>IF(AG575=1,AI575*AF575,0)</f>
        <v/>
      </c>
      <c r="AQ575" s="43">
        <f>N575*(F575+G575)/H575</f>
        <v/>
      </c>
      <c r="AR575" s="43">
        <f>O575*AQ575</f>
        <v/>
      </c>
      <c r="AS575" s="52">
        <f>IF(AG575=1,IF(AQ575&gt;0,AF575/AQ575,1),IFERROR(INDEX(Types!$K:$K,MATCH($A575&amp;"|"&amp;$D575,Types!$A:$A,0)),INDEX(Dashboard!$X$6:$X$22,MATCH($A575,Dashboard!$A$6:$A$22,0))))</f>
        <v/>
      </c>
      <c r="AT575" s="43">
        <f>AQ575*INDEX(Dashboard!$Y$6:$Y$22,MATCH($A575,Dashboard!$A$6:$A$22,0))</f>
        <v/>
      </c>
      <c r="AU575" s="53">
        <f>IF(AND(AG575=1,AT575&gt;0,AF575&gt;0),100*AF575/AT575,"")</f>
        <v/>
      </c>
      <c r="AV575" s="44">
        <f>IF(AU575="","",T575/(AU575/100))</f>
        <v/>
      </c>
      <c r="AW575" s="53">
        <f>IF(AU575="","",IF(AND(ABS(AH575)&gt;=0.1,ABS(T575)&gt;=0.05,SIGN(AH575)=SIGN(T575)),100*T575/AH575,""))</f>
        <v/>
      </c>
      <c r="AX575" s="45">
        <f>IF(AU575="","",T575-AV575)</f>
        <v/>
      </c>
      <c r="AY575" s="45">
        <f>IF(AU575="","",AH575-AV575)</f>
        <v/>
      </c>
      <c r="AZ575" s="54">
        <f>(AL575-AM575)-T575*AT575</f>
        <v/>
      </c>
      <c r="BA575" s="43">
        <f>IF(AU575="",0,(AH575-T575)*AF575)</f>
        <v/>
      </c>
      <c r="BB575" s="43">
        <f>IF(AU575="",0,T575*(AF575-AT575))</f>
        <v/>
      </c>
      <c r="BC575" s="51" t="n">
        <v>0.01517101050300727</v>
      </c>
      <c r="BD575" s="51" t="n">
        <v>0.01965947514886741</v>
      </c>
      <c r="BE575" s="51" t="n">
        <v>0.3250076017549194</v>
      </c>
      <c r="BF575" s="43" t="n">
        <v>200514</v>
      </c>
    </row>
    <row r="576">
      <c r="A576" s="42" t="inlineStr">
        <is>
          <t>MN</t>
        </is>
      </c>
      <c r="B576" s="42" t="inlineStr">
        <is>
          <t>27145</t>
        </is>
      </c>
      <c r="C576" s="42" t="inlineStr">
        <is>
          <t>Stearns</t>
        </is>
      </c>
      <c r="D576" s="42" t="inlineStr">
        <is>
          <t>Mid-size/working metro</t>
        </is>
      </c>
      <c r="E576" s="42" t="inlineStr">
        <is>
          <t>★</t>
        </is>
      </c>
      <c r="F576" s="43" t="n">
        <v>30829</v>
      </c>
      <c r="G576" s="43" t="n">
        <v>53932</v>
      </c>
      <c r="H576" s="43" t="n">
        <v>86361</v>
      </c>
      <c r="I576" s="43" t="n">
        <v>31879</v>
      </c>
      <c r="J576" s="43" t="n">
        <v>50959</v>
      </c>
      <c r="K576" s="42" t="inlineStr">
        <is>
          <t>Governor</t>
        </is>
      </c>
      <c r="L576" s="43" t="n">
        <v>24162</v>
      </c>
      <c r="M576" s="43" t="n">
        <v>39171</v>
      </c>
      <c r="N576" s="43" t="n">
        <v>65485</v>
      </c>
      <c r="O576" s="44">
        <f>IFERROR((F576-G576)/(F576+G576),"")</f>
        <v/>
      </c>
      <c r="P576" s="44">
        <f>IFERROR((I576-J576)/(I576+J576),"")</f>
        <v/>
      </c>
      <c r="Q576" s="45">
        <f>IFERROR(O576-P576,"")</f>
        <v/>
      </c>
      <c r="R576" s="44">
        <f>IFERROR((L576-M576)/(L576+M576),"")</f>
        <v/>
      </c>
      <c r="S576" s="46">
        <f>H576/SUMIFS(Counties!$H$2:$H$1583,Counties!$A$2:$A$1583,$A576)</f>
        <v/>
      </c>
      <c r="T576" s="44">
        <f>O576+INDEX(Dashboard!$F$6:$F$22,MATCH($A576,Dashboard!$A$6:$A$22,0))</f>
        <v/>
      </c>
      <c r="U576" s="43">
        <f>AQ576*INDEX(Dashboard!$G$6:$G$22,MATCH($A576,Dashboard!$A$6:$A$22,0))</f>
        <v/>
      </c>
      <c r="V576" s="47" t="n"/>
      <c r="W576" s="47" t="n"/>
      <c r="X576" s="47" t="n"/>
      <c r="Y576" s="48" t="n"/>
      <c r="Z576" s="49" t="n"/>
      <c r="AA576" s="49" t="n"/>
      <c r="AB576" s="49" t="n"/>
      <c r="AC576" s="50" t="n"/>
      <c r="AD576" s="43">
        <f>IF(Z576&lt;&gt;"",Z576,N(V576))</f>
        <v/>
      </c>
      <c r="AE576" s="43">
        <f>IF(AA576&lt;&gt;"",AA576,N(W576))</f>
        <v/>
      </c>
      <c r="AF576" s="43">
        <f>AD576+AE576</f>
        <v/>
      </c>
      <c r="AG576" s="42">
        <f>IF(UPPER(AC576)="Y",1,IF(AF576=0,0,IF(AND(Z576="",Y576&lt;&gt;""),IF(Y576&gt;=0.999,1,0),IF(AF576&gt;=U576,1,0))))</f>
        <v/>
      </c>
      <c r="AH576" s="44">
        <f>IF(AF576&gt;0,(AD576-AE576)/AF576,"")</f>
        <v/>
      </c>
      <c r="AI576" s="45">
        <f>IF(AG576=1,AH576-O576,"")</f>
        <v/>
      </c>
      <c r="AJ576" s="44">
        <f>IF(AG576=1,AH576,MAX(-1,MIN(1,O576+INDEX(Types!$H:$H,MATCH($A576&amp;"|"&amp;$D576,Types!$A:$A,0)))))</f>
        <v/>
      </c>
      <c r="AK576" s="43">
        <f>IF(AG576=1,AF576,MAX(AQ576*AS576,AF576))</f>
        <v/>
      </c>
      <c r="AL576" s="43">
        <f>IF(AG576=1,AD576,AK576*(1+AJ576)/2)</f>
        <v/>
      </c>
      <c r="AM576" s="43">
        <f>IF(AG576=1,AE576,AK576*(1-AJ576)/2)</f>
        <v/>
      </c>
      <c r="AN576" s="45">
        <f>IF(AH576="","",AH576-T576)</f>
        <v/>
      </c>
      <c r="AO576" s="51">
        <f>IF(AG576=1,1,IF(U576&gt;0,MIN(AF576/U576,0.99),0))</f>
        <v/>
      </c>
      <c r="AP576" s="43">
        <f>IF(AG576=1,AI576*AF576,0)</f>
        <v/>
      </c>
      <c r="AQ576" s="43">
        <f>N576*(F576+G576)/H576</f>
        <v/>
      </c>
      <c r="AR576" s="43">
        <f>O576*AQ576</f>
        <v/>
      </c>
      <c r="AS576" s="52">
        <f>IF(AG576=1,IF(AQ576&gt;0,AF576/AQ576,1),IFERROR(INDEX(Types!$K:$K,MATCH($A576&amp;"|"&amp;$D576,Types!$A:$A,0)),INDEX(Dashboard!$X$6:$X$22,MATCH($A576,Dashboard!$A$6:$A$22,0))))</f>
        <v/>
      </c>
      <c r="AT576" s="43">
        <f>AQ576*INDEX(Dashboard!$Y$6:$Y$22,MATCH($A576,Dashboard!$A$6:$A$22,0))</f>
        <v/>
      </c>
      <c r="AU576" s="53">
        <f>IF(AND(AG576=1,AT576&gt;0,AF576&gt;0),100*AF576/AT576,"")</f>
        <v/>
      </c>
      <c r="AV576" s="44">
        <f>IF(AU576="","",T576/(AU576/100))</f>
        <v/>
      </c>
      <c r="AW576" s="53">
        <f>IF(AU576="","",IF(AND(ABS(AH576)&gt;=0.1,ABS(T576)&gt;=0.05,SIGN(AH576)=SIGN(T576)),100*T576/AH576,""))</f>
        <v/>
      </c>
      <c r="AX576" s="45">
        <f>IF(AU576="","",T576-AV576)</f>
        <v/>
      </c>
      <c r="AY576" s="45">
        <f>IF(AU576="","",AH576-AV576)</f>
        <v/>
      </c>
      <c r="AZ576" s="54">
        <f>(AL576-AM576)-T576*AT576</f>
        <v/>
      </c>
      <c r="BA576" s="43">
        <f>IF(AU576="",0,(AH576-T576)*AF576)</f>
        <v/>
      </c>
      <c r="BB576" s="43">
        <f>IF(AU576="",0,T576*(AF576-AT576))</f>
        <v/>
      </c>
      <c r="BC576" s="51" t="n">
        <v>0.09903278108052703</v>
      </c>
      <c r="BD576" s="51" t="n">
        <v>0.04896351652720575</v>
      </c>
      <c r="BE576" s="51" t="n">
        <v>0.2858807319000628</v>
      </c>
      <c r="BF576" s="43" t="n">
        <v>160977</v>
      </c>
    </row>
    <row r="577">
      <c r="A577" s="42" t="inlineStr">
        <is>
          <t>MN</t>
        </is>
      </c>
      <c r="B577" s="42" t="inlineStr">
        <is>
          <t>27147</t>
        </is>
      </c>
      <c r="C577" s="42" t="inlineStr">
        <is>
          <t>Steele</t>
        </is>
      </c>
      <c r="D577" s="42" t="inlineStr">
        <is>
          <t>Small town &amp; rural</t>
        </is>
      </c>
      <c r="E577" s="42" t="inlineStr"/>
      <c r="F577" s="43" t="n">
        <v>7650</v>
      </c>
      <c r="G577" s="43" t="n">
        <v>12742</v>
      </c>
      <c r="H577" s="43" t="n">
        <v>20809</v>
      </c>
      <c r="I577" s="43" t="n">
        <v>7917</v>
      </c>
      <c r="J577" s="43" t="n">
        <v>12656</v>
      </c>
      <c r="K577" s="42" t="inlineStr">
        <is>
          <t>Governor</t>
        </is>
      </c>
      <c r="L577" s="43" t="n">
        <v>6498</v>
      </c>
      <c r="M577" s="43" t="n">
        <v>9485</v>
      </c>
      <c r="N577" s="43" t="n">
        <v>16539</v>
      </c>
      <c r="O577" s="44">
        <f>IFERROR((F577-G577)/(F577+G577),"")</f>
        <v/>
      </c>
      <c r="P577" s="44">
        <f>IFERROR((I577-J577)/(I577+J577),"")</f>
        <v/>
      </c>
      <c r="Q577" s="45">
        <f>IFERROR(O577-P577,"")</f>
        <v/>
      </c>
      <c r="R577" s="44">
        <f>IFERROR((L577-M577)/(L577+M577),"")</f>
        <v/>
      </c>
      <c r="S577" s="46">
        <f>H577/SUMIFS(Counties!$H$2:$H$1583,Counties!$A$2:$A$1583,$A577)</f>
        <v/>
      </c>
      <c r="T577" s="44">
        <f>O577+INDEX(Dashboard!$F$6:$F$22,MATCH($A577,Dashboard!$A$6:$A$22,0))</f>
        <v/>
      </c>
      <c r="U577" s="43">
        <f>AQ577*INDEX(Dashboard!$G$6:$G$22,MATCH($A577,Dashboard!$A$6:$A$22,0))</f>
        <v/>
      </c>
      <c r="V577" s="47" t="n"/>
      <c r="W577" s="47" t="n"/>
      <c r="X577" s="47" t="n"/>
      <c r="Y577" s="48" t="n"/>
      <c r="Z577" s="49" t="n"/>
      <c r="AA577" s="49" t="n"/>
      <c r="AB577" s="49" t="n"/>
      <c r="AC577" s="50" t="n"/>
      <c r="AD577" s="43">
        <f>IF(Z577&lt;&gt;"",Z577,N(V577))</f>
        <v/>
      </c>
      <c r="AE577" s="43">
        <f>IF(AA577&lt;&gt;"",AA577,N(W577))</f>
        <v/>
      </c>
      <c r="AF577" s="43">
        <f>AD577+AE577</f>
        <v/>
      </c>
      <c r="AG577" s="42">
        <f>IF(UPPER(AC577)="Y",1,IF(AF577=0,0,IF(AND(Z577="",Y577&lt;&gt;""),IF(Y577&gt;=0.999,1,0),IF(AF577&gt;=U577,1,0))))</f>
        <v/>
      </c>
      <c r="AH577" s="44">
        <f>IF(AF577&gt;0,(AD577-AE577)/AF577,"")</f>
        <v/>
      </c>
      <c r="AI577" s="45">
        <f>IF(AG577=1,AH577-O577,"")</f>
        <v/>
      </c>
      <c r="AJ577" s="44">
        <f>IF(AG577=1,AH577,MAX(-1,MIN(1,O577+INDEX(Types!$H:$H,MATCH($A577&amp;"|"&amp;$D577,Types!$A:$A,0)))))</f>
        <v/>
      </c>
      <c r="AK577" s="43">
        <f>IF(AG577=1,AF577,MAX(AQ577*AS577,AF577))</f>
        <v/>
      </c>
      <c r="AL577" s="43">
        <f>IF(AG577=1,AD577,AK577*(1+AJ577)/2)</f>
        <v/>
      </c>
      <c r="AM577" s="43">
        <f>IF(AG577=1,AE577,AK577*(1-AJ577)/2)</f>
        <v/>
      </c>
      <c r="AN577" s="45">
        <f>IF(AH577="","",AH577-T577)</f>
        <v/>
      </c>
      <c r="AO577" s="51">
        <f>IF(AG577=1,1,IF(U577&gt;0,MIN(AF577/U577,0.99),0))</f>
        <v/>
      </c>
      <c r="AP577" s="43">
        <f>IF(AG577=1,AI577*AF577,0)</f>
        <v/>
      </c>
      <c r="AQ577" s="43">
        <f>N577*(F577+G577)/H577</f>
        <v/>
      </c>
      <c r="AR577" s="43">
        <f>O577*AQ577</f>
        <v/>
      </c>
      <c r="AS577" s="52">
        <f>IF(AG577=1,IF(AQ577&gt;0,AF577/AQ577,1),IFERROR(INDEX(Types!$K:$K,MATCH($A577&amp;"|"&amp;$D577,Types!$A:$A,0)),INDEX(Dashboard!$X$6:$X$22,MATCH($A577,Dashboard!$A$6:$A$22,0))))</f>
        <v/>
      </c>
      <c r="AT577" s="43">
        <f>AQ577*INDEX(Dashboard!$Y$6:$Y$22,MATCH($A577,Dashboard!$A$6:$A$22,0))</f>
        <v/>
      </c>
      <c r="AU577" s="53">
        <f>IF(AND(AG577=1,AT577&gt;0,AF577&gt;0),100*AF577/AT577,"")</f>
        <v/>
      </c>
      <c r="AV577" s="44">
        <f>IF(AU577="","",T577/(AU577/100))</f>
        <v/>
      </c>
      <c r="AW577" s="53">
        <f>IF(AU577="","",IF(AND(ABS(AH577)&gt;=0.1,ABS(T577)&gt;=0.05,SIGN(AH577)=SIGN(T577)),100*T577/AH577,""))</f>
        <v/>
      </c>
      <c r="AX577" s="45">
        <f>IF(AU577="","",T577-AV577)</f>
        <v/>
      </c>
      <c r="AY577" s="45">
        <f>IF(AU577="","",AH577-AV577)</f>
        <v/>
      </c>
      <c r="AZ577" s="54">
        <f>(AL577-AM577)-T577*AT577</f>
        <v/>
      </c>
      <c r="BA577" s="43">
        <f>IF(AU577="",0,(AH577-T577)*AF577)</f>
        <v/>
      </c>
      <c r="BB577" s="43">
        <f>IF(AU577="",0,T577*(AF577-AT577))</f>
        <v/>
      </c>
      <c r="BC577" s="51" t="n">
        <v>0.03618289195906042</v>
      </c>
      <c r="BD577" s="51" t="n">
        <v>0.09043050693460891</v>
      </c>
      <c r="BE577" s="51" t="n">
        <v>0.2968203435129505</v>
      </c>
      <c r="BF577" s="43" t="n">
        <v>37421</v>
      </c>
    </row>
    <row r="578">
      <c r="A578" s="42" t="inlineStr">
        <is>
          <t>MN</t>
        </is>
      </c>
      <c r="B578" s="42" t="inlineStr">
        <is>
          <t>27149</t>
        </is>
      </c>
      <c r="C578" s="42" t="inlineStr">
        <is>
          <t>Stevens</t>
        </is>
      </c>
      <c r="D578" s="42" t="inlineStr">
        <is>
          <t>Small town &amp; rural</t>
        </is>
      </c>
      <c r="E578" s="42" t="inlineStr"/>
      <c r="F578" s="43" t="n">
        <v>1827</v>
      </c>
      <c r="G578" s="43" t="n">
        <v>3213</v>
      </c>
      <c r="H578" s="43" t="n">
        <v>5122</v>
      </c>
      <c r="I578" s="43" t="n">
        <v>1922</v>
      </c>
      <c r="J578" s="43" t="n">
        <v>3044</v>
      </c>
      <c r="K578" s="42" t="inlineStr">
        <is>
          <t>Governor</t>
        </is>
      </c>
      <c r="L578" s="43" t="n">
        <v>1490</v>
      </c>
      <c r="M578" s="43" t="n">
        <v>2437</v>
      </c>
      <c r="N578" s="43" t="n">
        <v>4033</v>
      </c>
      <c r="O578" s="44">
        <f>IFERROR((F578-G578)/(F578+G578),"")</f>
        <v/>
      </c>
      <c r="P578" s="44">
        <f>IFERROR((I578-J578)/(I578+J578),"")</f>
        <v/>
      </c>
      <c r="Q578" s="45">
        <f>IFERROR(O578-P578,"")</f>
        <v/>
      </c>
      <c r="R578" s="44">
        <f>IFERROR((L578-M578)/(L578+M578),"")</f>
        <v/>
      </c>
      <c r="S578" s="46">
        <f>H578/SUMIFS(Counties!$H$2:$H$1583,Counties!$A$2:$A$1583,$A578)</f>
        <v/>
      </c>
      <c r="T578" s="44">
        <f>O578+INDEX(Dashboard!$F$6:$F$22,MATCH($A578,Dashboard!$A$6:$A$22,0))</f>
        <v/>
      </c>
      <c r="U578" s="43">
        <f>AQ578*INDEX(Dashboard!$G$6:$G$22,MATCH($A578,Dashboard!$A$6:$A$22,0))</f>
        <v/>
      </c>
      <c r="V578" s="47" t="n"/>
      <c r="W578" s="47" t="n"/>
      <c r="X578" s="47" t="n"/>
      <c r="Y578" s="48" t="n"/>
      <c r="Z578" s="49" t="n"/>
      <c r="AA578" s="49" t="n"/>
      <c r="AB578" s="49" t="n"/>
      <c r="AC578" s="50" t="n"/>
      <c r="AD578" s="43">
        <f>IF(Z578&lt;&gt;"",Z578,N(V578))</f>
        <v/>
      </c>
      <c r="AE578" s="43">
        <f>IF(AA578&lt;&gt;"",AA578,N(W578))</f>
        <v/>
      </c>
      <c r="AF578" s="43">
        <f>AD578+AE578</f>
        <v/>
      </c>
      <c r="AG578" s="42">
        <f>IF(UPPER(AC578)="Y",1,IF(AF578=0,0,IF(AND(Z578="",Y578&lt;&gt;""),IF(Y578&gt;=0.999,1,0),IF(AF578&gt;=U578,1,0))))</f>
        <v/>
      </c>
      <c r="AH578" s="44">
        <f>IF(AF578&gt;0,(AD578-AE578)/AF578,"")</f>
        <v/>
      </c>
      <c r="AI578" s="45">
        <f>IF(AG578=1,AH578-O578,"")</f>
        <v/>
      </c>
      <c r="AJ578" s="44">
        <f>IF(AG578=1,AH578,MAX(-1,MIN(1,O578+INDEX(Types!$H:$H,MATCH($A578&amp;"|"&amp;$D578,Types!$A:$A,0)))))</f>
        <v/>
      </c>
      <c r="AK578" s="43">
        <f>IF(AG578=1,AF578,MAX(AQ578*AS578,AF578))</f>
        <v/>
      </c>
      <c r="AL578" s="43">
        <f>IF(AG578=1,AD578,AK578*(1+AJ578)/2)</f>
        <v/>
      </c>
      <c r="AM578" s="43">
        <f>IF(AG578=1,AE578,AK578*(1-AJ578)/2)</f>
        <v/>
      </c>
      <c r="AN578" s="45">
        <f>IF(AH578="","",AH578-T578)</f>
        <v/>
      </c>
      <c r="AO578" s="51">
        <f>IF(AG578=1,1,IF(U578&gt;0,MIN(AF578/U578,0.99),0))</f>
        <v/>
      </c>
      <c r="AP578" s="43">
        <f>IF(AG578=1,AI578*AF578,0)</f>
        <v/>
      </c>
      <c r="AQ578" s="43">
        <f>N578*(F578+G578)/H578</f>
        <v/>
      </c>
      <c r="AR578" s="43">
        <f>O578*AQ578</f>
        <v/>
      </c>
      <c r="AS578" s="52">
        <f>IF(AG578=1,IF(AQ578&gt;0,AF578/AQ578,1),IFERROR(INDEX(Types!$K:$K,MATCH($A578&amp;"|"&amp;$D578,Types!$A:$A,0)),INDEX(Dashboard!$X$6:$X$22,MATCH($A578,Dashboard!$A$6:$A$22,0))))</f>
        <v/>
      </c>
      <c r="AT578" s="43">
        <f>AQ578*INDEX(Dashboard!$Y$6:$Y$22,MATCH($A578,Dashboard!$A$6:$A$22,0))</f>
        <v/>
      </c>
      <c r="AU578" s="53">
        <f>IF(AND(AG578=1,AT578&gt;0,AF578&gt;0),100*AF578/AT578,"")</f>
        <v/>
      </c>
      <c r="AV578" s="44">
        <f>IF(AU578="","",T578/(AU578/100))</f>
        <v/>
      </c>
      <c r="AW578" s="53">
        <f>IF(AU578="","",IF(AND(ABS(AH578)&gt;=0.1,ABS(T578)&gt;=0.05,SIGN(AH578)=SIGN(T578)),100*T578/AH578,""))</f>
        <v/>
      </c>
      <c r="AX578" s="45">
        <f>IF(AU578="","",T578-AV578)</f>
        <v/>
      </c>
      <c r="AY578" s="45">
        <f>IF(AU578="","",AH578-AV578)</f>
        <v/>
      </c>
      <c r="AZ578" s="54">
        <f>(AL578-AM578)-T578*AT578</f>
        <v/>
      </c>
      <c r="BA578" s="43">
        <f>IF(AU578="",0,(AH578-T578)*AF578)</f>
        <v/>
      </c>
      <c r="BB578" s="43">
        <f>IF(AU578="",0,T578*(AF578-AT578))</f>
        <v/>
      </c>
      <c r="BC578" s="51" t="n">
        <v>0.01233552631578947</v>
      </c>
      <c r="BD578" s="51" t="n">
        <v>0.1248972039473684</v>
      </c>
      <c r="BE578" s="51" t="n">
        <v>0.3077319587628866</v>
      </c>
      <c r="BF578" s="43" t="n">
        <v>9728</v>
      </c>
    </row>
    <row r="579">
      <c r="A579" s="42" t="inlineStr">
        <is>
          <t>MN</t>
        </is>
      </c>
      <c r="B579" s="42" t="inlineStr">
        <is>
          <t>27151</t>
        </is>
      </c>
      <c r="C579" s="42" t="inlineStr">
        <is>
          <t>Swift</t>
        </is>
      </c>
      <c r="D579" s="42" t="inlineStr">
        <is>
          <t>Small town &amp; rural</t>
        </is>
      </c>
      <c r="E579" s="42" t="inlineStr"/>
      <c r="F579" s="43" t="n">
        <v>1618</v>
      </c>
      <c r="G579" s="43" t="n">
        <v>3340</v>
      </c>
      <c r="H579" s="43" t="n">
        <v>5041</v>
      </c>
      <c r="I579" s="43" t="n">
        <v>1784</v>
      </c>
      <c r="J579" s="43" t="n">
        <v>3316</v>
      </c>
      <c r="K579" s="42" t="inlineStr">
        <is>
          <t>Governor</t>
        </is>
      </c>
      <c r="L579" s="43" t="n">
        <v>1389</v>
      </c>
      <c r="M579" s="43" t="n">
        <v>2409</v>
      </c>
      <c r="N579" s="43" t="n">
        <v>3917</v>
      </c>
      <c r="O579" s="44">
        <f>IFERROR((F579-G579)/(F579+G579),"")</f>
        <v/>
      </c>
      <c r="P579" s="44">
        <f>IFERROR((I579-J579)/(I579+J579),"")</f>
        <v/>
      </c>
      <c r="Q579" s="45">
        <f>IFERROR(O579-P579,"")</f>
        <v/>
      </c>
      <c r="R579" s="44">
        <f>IFERROR((L579-M579)/(L579+M579),"")</f>
        <v/>
      </c>
      <c r="S579" s="46">
        <f>H579/SUMIFS(Counties!$H$2:$H$1583,Counties!$A$2:$A$1583,$A579)</f>
        <v/>
      </c>
      <c r="T579" s="44">
        <f>O579+INDEX(Dashboard!$F$6:$F$22,MATCH($A579,Dashboard!$A$6:$A$22,0))</f>
        <v/>
      </c>
      <c r="U579" s="43">
        <f>AQ579*INDEX(Dashboard!$G$6:$G$22,MATCH($A579,Dashboard!$A$6:$A$22,0))</f>
        <v/>
      </c>
      <c r="V579" s="47" t="n"/>
      <c r="W579" s="47" t="n"/>
      <c r="X579" s="47" t="n"/>
      <c r="Y579" s="48" t="n"/>
      <c r="Z579" s="49" t="n"/>
      <c r="AA579" s="49" t="n"/>
      <c r="AB579" s="49" t="n"/>
      <c r="AC579" s="50" t="n"/>
      <c r="AD579" s="43">
        <f>IF(Z579&lt;&gt;"",Z579,N(V579))</f>
        <v/>
      </c>
      <c r="AE579" s="43">
        <f>IF(AA579&lt;&gt;"",AA579,N(W579))</f>
        <v/>
      </c>
      <c r="AF579" s="43">
        <f>AD579+AE579</f>
        <v/>
      </c>
      <c r="AG579" s="42">
        <f>IF(UPPER(AC579)="Y",1,IF(AF579=0,0,IF(AND(Z579="",Y579&lt;&gt;""),IF(Y579&gt;=0.999,1,0),IF(AF579&gt;=U579,1,0))))</f>
        <v/>
      </c>
      <c r="AH579" s="44">
        <f>IF(AF579&gt;0,(AD579-AE579)/AF579,"")</f>
        <v/>
      </c>
      <c r="AI579" s="45">
        <f>IF(AG579=1,AH579-O579,"")</f>
        <v/>
      </c>
      <c r="AJ579" s="44">
        <f>IF(AG579=1,AH579,MAX(-1,MIN(1,O579+INDEX(Types!$H:$H,MATCH($A579&amp;"|"&amp;$D579,Types!$A:$A,0)))))</f>
        <v/>
      </c>
      <c r="AK579" s="43">
        <f>IF(AG579=1,AF579,MAX(AQ579*AS579,AF579))</f>
        <v/>
      </c>
      <c r="AL579" s="43">
        <f>IF(AG579=1,AD579,AK579*(1+AJ579)/2)</f>
        <v/>
      </c>
      <c r="AM579" s="43">
        <f>IF(AG579=1,AE579,AK579*(1-AJ579)/2)</f>
        <v/>
      </c>
      <c r="AN579" s="45">
        <f>IF(AH579="","",AH579-T579)</f>
        <v/>
      </c>
      <c r="AO579" s="51">
        <f>IF(AG579=1,1,IF(U579&gt;0,MIN(AF579/U579,0.99),0))</f>
        <v/>
      </c>
      <c r="AP579" s="43">
        <f>IF(AG579=1,AI579*AF579,0)</f>
        <v/>
      </c>
      <c r="AQ579" s="43">
        <f>N579*(F579+G579)/H579</f>
        <v/>
      </c>
      <c r="AR579" s="43">
        <f>O579*AQ579</f>
        <v/>
      </c>
      <c r="AS579" s="52">
        <f>IF(AG579=1,IF(AQ579&gt;0,AF579/AQ579,1),IFERROR(INDEX(Types!$K:$K,MATCH($A579&amp;"|"&amp;$D579,Types!$A:$A,0)),INDEX(Dashboard!$X$6:$X$22,MATCH($A579,Dashboard!$A$6:$A$22,0))))</f>
        <v/>
      </c>
      <c r="AT579" s="43">
        <f>AQ579*INDEX(Dashboard!$Y$6:$Y$22,MATCH($A579,Dashboard!$A$6:$A$22,0))</f>
        <v/>
      </c>
      <c r="AU579" s="53">
        <f>IF(AND(AG579=1,AT579&gt;0,AF579&gt;0),100*AF579/AT579,"")</f>
        <v/>
      </c>
      <c r="AV579" s="44">
        <f>IF(AU579="","",T579/(AU579/100))</f>
        <v/>
      </c>
      <c r="AW579" s="53">
        <f>IF(AU579="","",IF(AND(ABS(AH579)&gt;=0.1,ABS(T579)&gt;=0.05,SIGN(AH579)=SIGN(T579)),100*T579/AH579,""))</f>
        <v/>
      </c>
      <c r="AX579" s="45">
        <f>IF(AU579="","",T579-AV579)</f>
        <v/>
      </c>
      <c r="AY579" s="45">
        <f>IF(AU579="","",AH579-AV579)</f>
        <v/>
      </c>
      <c r="AZ579" s="54">
        <f>(AL579-AM579)-T579*AT579</f>
        <v/>
      </c>
      <c r="BA579" s="43">
        <f>IF(AU579="",0,(AH579-T579)*AF579)</f>
        <v/>
      </c>
      <c r="BB579" s="43">
        <f>IF(AU579="",0,T579*(AF579-AT579))</f>
        <v/>
      </c>
      <c r="BC579" s="51" t="n">
        <v>0.01234694927461673</v>
      </c>
      <c r="BD579" s="51" t="n">
        <v>0.07367013067187983</v>
      </c>
      <c r="BE579" s="51" t="n">
        <v>0.2295714073854367</v>
      </c>
      <c r="BF579" s="43" t="n">
        <v>9719</v>
      </c>
    </row>
    <row r="580">
      <c r="A580" s="42" t="inlineStr">
        <is>
          <t>MN</t>
        </is>
      </c>
      <c r="B580" s="42" t="inlineStr">
        <is>
          <t>27153</t>
        </is>
      </c>
      <c r="C580" s="42" t="inlineStr">
        <is>
          <t>Todd</t>
        </is>
      </c>
      <c r="D580" s="42" t="inlineStr">
        <is>
          <t>Small town &amp; rural</t>
        </is>
      </c>
      <c r="E580" s="42" t="inlineStr"/>
      <c r="F580" s="43" t="n">
        <v>3072</v>
      </c>
      <c r="G580" s="43" t="n">
        <v>10392</v>
      </c>
      <c r="H580" s="43" t="n">
        <v>13672</v>
      </c>
      <c r="I580" s="43" t="n">
        <v>3286</v>
      </c>
      <c r="J580" s="43" t="n">
        <v>9753</v>
      </c>
      <c r="K580" s="42" t="inlineStr">
        <is>
          <t>Governor</t>
        </is>
      </c>
      <c r="L580" s="43" t="n">
        <v>2649</v>
      </c>
      <c r="M580" s="43" t="n">
        <v>7780</v>
      </c>
      <c r="N580" s="43" t="n">
        <v>10859</v>
      </c>
      <c r="O580" s="44">
        <f>IFERROR((F580-G580)/(F580+G580),"")</f>
        <v/>
      </c>
      <c r="P580" s="44">
        <f>IFERROR((I580-J580)/(I580+J580),"")</f>
        <v/>
      </c>
      <c r="Q580" s="45">
        <f>IFERROR(O580-P580,"")</f>
        <v/>
      </c>
      <c r="R580" s="44">
        <f>IFERROR((L580-M580)/(L580+M580),"")</f>
        <v/>
      </c>
      <c r="S580" s="46">
        <f>H580/SUMIFS(Counties!$H$2:$H$1583,Counties!$A$2:$A$1583,$A580)</f>
        <v/>
      </c>
      <c r="T580" s="44">
        <f>O580+INDEX(Dashboard!$F$6:$F$22,MATCH($A580,Dashboard!$A$6:$A$22,0))</f>
        <v/>
      </c>
      <c r="U580" s="43">
        <f>AQ580*INDEX(Dashboard!$G$6:$G$22,MATCH($A580,Dashboard!$A$6:$A$22,0))</f>
        <v/>
      </c>
      <c r="V580" s="47" t="n"/>
      <c r="W580" s="47" t="n"/>
      <c r="X580" s="47" t="n"/>
      <c r="Y580" s="48" t="n"/>
      <c r="Z580" s="49" t="n"/>
      <c r="AA580" s="49" t="n"/>
      <c r="AB580" s="49" t="n"/>
      <c r="AC580" s="50" t="n"/>
      <c r="AD580" s="43">
        <f>IF(Z580&lt;&gt;"",Z580,N(V580))</f>
        <v/>
      </c>
      <c r="AE580" s="43">
        <f>IF(AA580&lt;&gt;"",AA580,N(W580))</f>
        <v/>
      </c>
      <c r="AF580" s="43">
        <f>AD580+AE580</f>
        <v/>
      </c>
      <c r="AG580" s="42">
        <f>IF(UPPER(AC580)="Y",1,IF(AF580=0,0,IF(AND(Z580="",Y580&lt;&gt;""),IF(Y580&gt;=0.999,1,0),IF(AF580&gt;=U580,1,0))))</f>
        <v/>
      </c>
      <c r="AH580" s="44">
        <f>IF(AF580&gt;0,(AD580-AE580)/AF580,"")</f>
        <v/>
      </c>
      <c r="AI580" s="45">
        <f>IF(AG580=1,AH580-O580,"")</f>
        <v/>
      </c>
      <c r="AJ580" s="44">
        <f>IF(AG580=1,AH580,MAX(-1,MIN(1,O580+INDEX(Types!$H:$H,MATCH($A580&amp;"|"&amp;$D580,Types!$A:$A,0)))))</f>
        <v/>
      </c>
      <c r="AK580" s="43">
        <f>IF(AG580=1,AF580,MAX(AQ580*AS580,AF580))</f>
        <v/>
      </c>
      <c r="AL580" s="43">
        <f>IF(AG580=1,AD580,AK580*(1+AJ580)/2)</f>
        <v/>
      </c>
      <c r="AM580" s="43">
        <f>IF(AG580=1,AE580,AK580*(1-AJ580)/2)</f>
        <v/>
      </c>
      <c r="AN580" s="45">
        <f>IF(AH580="","",AH580-T580)</f>
        <v/>
      </c>
      <c r="AO580" s="51">
        <f>IF(AG580=1,1,IF(U580&gt;0,MIN(AF580/U580,0.99),0))</f>
        <v/>
      </c>
      <c r="AP580" s="43">
        <f>IF(AG580=1,AI580*AF580,0)</f>
        <v/>
      </c>
      <c r="AQ580" s="43">
        <f>N580*(F580+G580)/H580</f>
        <v/>
      </c>
      <c r="AR580" s="43">
        <f>O580*AQ580</f>
        <v/>
      </c>
      <c r="AS580" s="52">
        <f>IF(AG580=1,IF(AQ580&gt;0,AF580/AQ580,1),IFERROR(INDEX(Types!$K:$K,MATCH($A580&amp;"|"&amp;$D580,Types!$A:$A,0)),INDEX(Dashboard!$X$6:$X$22,MATCH($A580,Dashboard!$A$6:$A$22,0))))</f>
        <v/>
      </c>
      <c r="AT580" s="43">
        <f>AQ580*INDEX(Dashboard!$Y$6:$Y$22,MATCH($A580,Dashboard!$A$6:$A$22,0))</f>
        <v/>
      </c>
      <c r="AU580" s="53">
        <f>IF(AND(AG580=1,AT580&gt;0,AF580&gt;0),100*AF580/AT580,"")</f>
        <v/>
      </c>
      <c r="AV580" s="44">
        <f>IF(AU580="","",T580/(AU580/100))</f>
        <v/>
      </c>
      <c r="AW580" s="53">
        <f>IF(AU580="","",IF(AND(ABS(AH580)&gt;=0.1,ABS(T580)&gt;=0.05,SIGN(AH580)=SIGN(T580)),100*T580/AH580,""))</f>
        <v/>
      </c>
      <c r="AX580" s="45">
        <f>IF(AU580="","",T580-AV580)</f>
        <v/>
      </c>
      <c r="AY580" s="45">
        <f>IF(AU580="","",AH580-AV580)</f>
        <v/>
      </c>
      <c r="AZ580" s="54">
        <f>(AL580-AM580)-T580*AT580</f>
        <v/>
      </c>
      <c r="BA580" s="43">
        <f>IF(AU580="",0,(AH580-T580)*AF580)</f>
        <v/>
      </c>
      <c r="BB580" s="43">
        <f>IF(AU580="",0,T580*(AF580-AT580))</f>
        <v/>
      </c>
      <c r="BC580" s="51" t="n">
        <v>0.005883040479993766</v>
      </c>
      <c r="BD580" s="51" t="n">
        <v>0.102154517473799</v>
      </c>
      <c r="BE580" s="51" t="n">
        <v>0.1515753619074652</v>
      </c>
      <c r="BF580" s="43" t="n">
        <v>25667</v>
      </c>
    </row>
    <row r="581">
      <c r="A581" s="42" t="inlineStr">
        <is>
          <t>MN</t>
        </is>
      </c>
      <c r="B581" s="42" t="inlineStr">
        <is>
          <t>27155</t>
        </is>
      </c>
      <c r="C581" s="42" t="inlineStr">
        <is>
          <t>Traverse</t>
        </is>
      </c>
      <c r="D581" s="42" t="inlineStr">
        <is>
          <t>Small town &amp; rural</t>
        </is>
      </c>
      <c r="E581" s="42" t="inlineStr"/>
      <c r="F581" s="43" t="n">
        <v>597</v>
      </c>
      <c r="G581" s="43" t="n">
        <v>1165</v>
      </c>
      <c r="H581" s="43" t="n">
        <v>1801</v>
      </c>
      <c r="I581" s="43" t="n">
        <v>661</v>
      </c>
      <c r="J581" s="43" t="n">
        <v>1172</v>
      </c>
      <c r="K581" s="42" t="inlineStr">
        <is>
          <t>Governor</t>
        </is>
      </c>
      <c r="L581" s="43" t="n">
        <v>519</v>
      </c>
      <c r="M581" s="43" t="n">
        <v>968</v>
      </c>
      <c r="N581" s="43" t="n">
        <v>1548</v>
      </c>
      <c r="O581" s="44">
        <f>IFERROR((F581-G581)/(F581+G581),"")</f>
        <v/>
      </c>
      <c r="P581" s="44">
        <f>IFERROR((I581-J581)/(I581+J581),"")</f>
        <v/>
      </c>
      <c r="Q581" s="45">
        <f>IFERROR(O581-P581,"")</f>
        <v/>
      </c>
      <c r="R581" s="44">
        <f>IFERROR((L581-M581)/(L581+M581),"")</f>
        <v/>
      </c>
      <c r="S581" s="46">
        <f>H581/SUMIFS(Counties!$H$2:$H$1583,Counties!$A$2:$A$1583,$A581)</f>
        <v/>
      </c>
      <c r="T581" s="44">
        <f>O581+INDEX(Dashboard!$F$6:$F$22,MATCH($A581,Dashboard!$A$6:$A$22,0))</f>
        <v/>
      </c>
      <c r="U581" s="43">
        <f>AQ581*INDEX(Dashboard!$G$6:$G$22,MATCH($A581,Dashboard!$A$6:$A$22,0))</f>
        <v/>
      </c>
      <c r="V581" s="47" t="n"/>
      <c r="W581" s="47" t="n"/>
      <c r="X581" s="47" t="n"/>
      <c r="Y581" s="48" t="n"/>
      <c r="Z581" s="49" t="n"/>
      <c r="AA581" s="49" t="n"/>
      <c r="AB581" s="49" t="n"/>
      <c r="AC581" s="50" t="n"/>
      <c r="AD581" s="43">
        <f>IF(Z581&lt;&gt;"",Z581,N(V581))</f>
        <v/>
      </c>
      <c r="AE581" s="43">
        <f>IF(AA581&lt;&gt;"",AA581,N(W581))</f>
        <v/>
      </c>
      <c r="AF581" s="43">
        <f>AD581+AE581</f>
        <v/>
      </c>
      <c r="AG581" s="42">
        <f>IF(UPPER(AC581)="Y",1,IF(AF581=0,0,IF(AND(Z581="",Y581&lt;&gt;""),IF(Y581&gt;=0.999,1,0),IF(AF581&gt;=U581,1,0))))</f>
        <v/>
      </c>
      <c r="AH581" s="44">
        <f>IF(AF581&gt;0,(AD581-AE581)/AF581,"")</f>
        <v/>
      </c>
      <c r="AI581" s="45">
        <f>IF(AG581=1,AH581-O581,"")</f>
        <v/>
      </c>
      <c r="AJ581" s="44">
        <f>IF(AG581=1,AH581,MAX(-1,MIN(1,O581+INDEX(Types!$H:$H,MATCH($A581&amp;"|"&amp;$D581,Types!$A:$A,0)))))</f>
        <v/>
      </c>
      <c r="AK581" s="43">
        <f>IF(AG581=1,AF581,MAX(AQ581*AS581,AF581))</f>
        <v/>
      </c>
      <c r="AL581" s="43">
        <f>IF(AG581=1,AD581,AK581*(1+AJ581)/2)</f>
        <v/>
      </c>
      <c r="AM581" s="43">
        <f>IF(AG581=1,AE581,AK581*(1-AJ581)/2)</f>
        <v/>
      </c>
      <c r="AN581" s="45">
        <f>IF(AH581="","",AH581-T581)</f>
        <v/>
      </c>
      <c r="AO581" s="51">
        <f>IF(AG581=1,1,IF(U581&gt;0,MIN(AF581/U581,0.99),0))</f>
        <v/>
      </c>
      <c r="AP581" s="43">
        <f>IF(AG581=1,AI581*AF581,0)</f>
        <v/>
      </c>
      <c r="AQ581" s="43">
        <f>N581*(F581+G581)/H581</f>
        <v/>
      </c>
      <c r="AR581" s="43">
        <f>O581*AQ581</f>
        <v/>
      </c>
      <c r="AS581" s="52">
        <f>IF(AG581=1,IF(AQ581&gt;0,AF581/AQ581,1),IFERROR(INDEX(Types!$K:$K,MATCH($A581&amp;"|"&amp;$D581,Types!$A:$A,0)),INDEX(Dashboard!$X$6:$X$22,MATCH($A581,Dashboard!$A$6:$A$22,0))))</f>
        <v/>
      </c>
      <c r="AT581" s="43">
        <f>AQ581*INDEX(Dashboard!$Y$6:$Y$22,MATCH($A581,Dashboard!$A$6:$A$22,0))</f>
        <v/>
      </c>
      <c r="AU581" s="53">
        <f>IF(AND(AG581=1,AT581&gt;0,AF581&gt;0),100*AF581/AT581,"")</f>
        <v/>
      </c>
      <c r="AV581" s="44">
        <f>IF(AU581="","",T581/(AU581/100))</f>
        <v/>
      </c>
      <c r="AW581" s="53">
        <f>IF(AU581="","",IF(AND(ABS(AH581)&gt;=0.1,ABS(T581)&gt;=0.05,SIGN(AH581)=SIGN(T581)),100*T581/AH581,""))</f>
        <v/>
      </c>
      <c r="AX581" s="45">
        <f>IF(AU581="","",T581-AV581)</f>
        <v/>
      </c>
      <c r="AY581" s="45">
        <f>IF(AU581="","",AH581-AV581)</f>
        <v/>
      </c>
      <c r="AZ581" s="54">
        <f>(AL581-AM581)-T581*AT581</f>
        <v/>
      </c>
      <c r="BA581" s="43">
        <f>IF(AU581="",0,(AH581-T581)*AF581)</f>
        <v/>
      </c>
      <c r="BB581" s="43">
        <f>IF(AU581="",0,T581*(AF581-AT581))</f>
        <v/>
      </c>
      <c r="BC581" s="51" t="n">
        <v>0.009247448979591837</v>
      </c>
      <c r="BD581" s="51" t="n">
        <v>0.06058673469387755</v>
      </c>
      <c r="BE581" s="51" t="n">
        <v>0.17457553330431</v>
      </c>
      <c r="BF581" s="43" t="n">
        <v>3136</v>
      </c>
    </row>
    <row r="582">
      <c r="A582" s="42" t="inlineStr">
        <is>
          <t>MN</t>
        </is>
      </c>
      <c r="B582" s="42" t="inlineStr">
        <is>
          <t>27157</t>
        </is>
      </c>
      <c r="C582" s="42" t="inlineStr">
        <is>
          <t>Wabasha</t>
        </is>
      </c>
      <c r="D582" s="42" t="inlineStr">
        <is>
          <t>Small town &amp; rural</t>
        </is>
      </c>
      <c r="E582" s="42" t="inlineStr"/>
      <c r="F582" s="43" t="n">
        <v>4721</v>
      </c>
      <c r="G582" s="43" t="n">
        <v>8523</v>
      </c>
      <c r="H582" s="43" t="n">
        <v>13481</v>
      </c>
      <c r="I582" s="43" t="n">
        <v>4696</v>
      </c>
      <c r="J582" s="43" t="n">
        <v>8153</v>
      </c>
      <c r="K582" s="42" t="inlineStr">
        <is>
          <t>Governor</t>
        </is>
      </c>
      <c r="L582" s="43" t="n">
        <v>4020</v>
      </c>
      <c r="M582" s="43" t="n">
        <v>6366</v>
      </c>
      <c r="N582" s="43" t="n">
        <v>10731</v>
      </c>
      <c r="O582" s="44">
        <f>IFERROR((F582-G582)/(F582+G582),"")</f>
        <v/>
      </c>
      <c r="P582" s="44">
        <f>IFERROR((I582-J582)/(I582+J582),"")</f>
        <v/>
      </c>
      <c r="Q582" s="45">
        <f>IFERROR(O582-P582,"")</f>
        <v/>
      </c>
      <c r="R582" s="44">
        <f>IFERROR((L582-M582)/(L582+M582),"")</f>
        <v/>
      </c>
      <c r="S582" s="46">
        <f>H582/SUMIFS(Counties!$H$2:$H$1583,Counties!$A$2:$A$1583,$A582)</f>
        <v/>
      </c>
      <c r="T582" s="44">
        <f>O582+INDEX(Dashboard!$F$6:$F$22,MATCH($A582,Dashboard!$A$6:$A$22,0))</f>
        <v/>
      </c>
      <c r="U582" s="43">
        <f>AQ582*INDEX(Dashboard!$G$6:$G$22,MATCH($A582,Dashboard!$A$6:$A$22,0))</f>
        <v/>
      </c>
      <c r="V582" s="47" t="n"/>
      <c r="W582" s="47" t="n"/>
      <c r="X582" s="47" t="n"/>
      <c r="Y582" s="48" t="n"/>
      <c r="Z582" s="49" t="n"/>
      <c r="AA582" s="49" t="n"/>
      <c r="AB582" s="49" t="n"/>
      <c r="AC582" s="50" t="n"/>
      <c r="AD582" s="43">
        <f>IF(Z582&lt;&gt;"",Z582,N(V582))</f>
        <v/>
      </c>
      <c r="AE582" s="43">
        <f>IF(AA582&lt;&gt;"",AA582,N(W582))</f>
        <v/>
      </c>
      <c r="AF582" s="43">
        <f>AD582+AE582</f>
        <v/>
      </c>
      <c r="AG582" s="42">
        <f>IF(UPPER(AC582)="Y",1,IF(AF582=0,0,IF(AND(Z582="",Y582&lt;&gt;""),IF(Y582&gt;=0.999,1,0),IF(AF582&gt;=U582,1,0))))</f>
        <v/>
      </c>
      <c r="AH582" s="44">
        <f>IF(AF582&gt;0,(AD582-AE582)/AF582,"")</f>
        <v/>
      </c>
      <c r="AI582" s="45">
        <f>IF(AG582=1,AH582-O582,"")</f>
        <v/>
      </c>
      <c r="AJ582" s="44">
        <f>IF(AG582=1,AH582,MAX(-1,MIN(1,O582+INDEX(Types!$H:$H,MATCH($A582&amp;"|"&amp;$D582,Types!$A:$A,0)))))</f>
        <v/>
      </c>
      <c r="AK582" s="43">
        <f>IF(AG582=1,AF582,MAX(AQ582*AS582,AF582))</f>
        <v/>
      </c>
      <c r="AL582" s="43">
        <f>IF(AG582=1,AD582,AK582*(1+AJ582)/2)</f>
        <v/>
      </c>
      <c r="AM582" s="43">
        <f>IF(AG582=1,AE582,AK582*(1-AJ582)/2)</f>
        <v/>
      </c>
      <c r="AN582" s="45">
        <f>IF(AH582="","",AH582-T582)</f>
        <v/>
      </c>
      <c r="AO582" s="51">
        <f>IF(AG582=1,1,IF(U582&gt;0,MIN(AF582/U582,0.99),0))</f>
        <v/>
      </c>
      <c r="AP582" s="43">
        <f>IF(AG582=1,AI582*AF582,0)</f>
        <v/>
      </c>
      <c r="AQ582" s="43">
        <f>N582*(F582+G582)/H582</f>
        <v/>
      </c>
      <c r="AR582" s="43">
        <f>O582*AQ582</f>
        <v/>
      </c>
      <c r="AS582" s="52">
        <f>IF(AG582=1,IF(AQ582&gt;0,AF582/AQ582,1),IFERROR(INDEX(Types!$K:$K,MATCH($A582&amp;"|"&amp;$D582,Types!$A:$A,0)),INDEX(Dashboard!$X$6:$X$22,MATCH($A582,Dashboard!$A$6:$A$22,0))))</f>
        <v/>
      </c>
      <c r="AT582" s="43">
        <f>AQ582*INDEX(Dashboard!$Y$6:$Y$22,MATCH($A582,Dashboard!$A$6:$A$22,0))</f>
        <v/>
      </c>
      <c r="AU582" s="53">
        <f>IF(AND(AG582=1,AT582&gt;0,AF582&gt;0),100*AF582/AT582,"")</f>
        <v/>
      </c>
      <c r="AV582" s="44">
        <f>IF(AU582="","",T582/(AU582/100))</f>
        <v/>
      </c>
      <c r="AW582" s="53">
        <f>IF(AU582="","",IF(AND(ABS(AH582)&gt;=0.1,ABS(T582)&gt;=0.05,SIGN(AH582)=SIGN(T582)),100*T582/AH582,""))</f>
        <v/>
      </c>
      <c r="AX582" s="45">
        <f>IF(AU582="","",T582-AV582)</f>
        <v/>
      </c>
      <c r="AY582" s="45">
        <f>IF(AU582="","",AH582-AV582)</f>
        <v/>
      </c>
      <c r="AZ582" s="54">
        <f>(AL582-AM582)-T582*AT582</f>
        <v/>
      </c>
      <c r="BA582" s="43">
        <f>IF(AU582="",0,(AH582-T582)*AF582)</f>
        <v/>
      </c>
      <c r="BB582" s="43">
        <f>IF(AU582="",0,T582*(AF582-AT582))</f>
        <v/>
      </c>
      <c r="BC582" s="51" t="n">
        <v>0.005857123091823087</v>
      </c>
      <c r="BD582" s="51" t="n">
        <v>0.03597288198127566</v>
      </c>
      <c r="BE582" s="51" t="n">
        <v>0.265653298835705</v>
      </c>
      <c r="BF582" s="43" t="n">
        <v>21683</v>
      </c>
    </row>
    <row r="583">
      <c r="A583" s="42" t="inlineStr">
        <is>
          <t>MN</t>
        </is>
      </c>
      <c r="B583" s="42" t="inlineStr">
        <is>
          <t>27159</t>
        </is>
      </c>
      <c r="C583" s="42" t="inlineStr">
        <is>
          <t>Wadena</t>
        </is>
      </c>
      <c r="D583" s="42" t="inlineStr">
        <is>
          <t>Small town &amp; rural</t>
        </is>
      </c>
      <c r="E583" s="42" t="inlineStr"/>
      <c r="F583" s="43" t="n">
        <v>1898</v>
      </c>
      <c r="G583" s="43" t="n">
        <v>6028</v>
      </c>
      <c r="H583" s="43" t="n">
        <v>8024</v>
      </c>
      <c r="I583" s="43" t="n">
        <v>2023</v>
      </c>
      <c r="J583" s="43" t="n">
        <v>5520</v>
      </c>
      <c r="K583" s="42" t="inlineStr">
        <is>
          <t>Governor</t>
        </is>
      </c>
      <c r="L583" s="43" t="n">
        <v>1511</v>
      </c>
      <c r="M583" s="43" t="n">
        <v>4260</v>
      </c>
      <c r="N583" s="43" t="n">
        <v>5983</v>
      </c>
      <c r="O583" s="44">
        <f>IFERROR((F583-G583)/(F583+G583),"")</f>
        <v/>
      </c>
      <c r="P583" s="44">
        <f>IFERROR((I583-J583)/(I583+J583),"")</f>
        <v/>
      </c>
      <c r="Q583" s="45">
        <f>IFERROR(O583-P583,"")</f>
        <v/>
      </c>
      <c r="R583" s="44">
        <f>IFERROR((L583-M583)/(L583+M583),"")</f>
        <v/>
      </c>
      <c r="S583" s="46">
        <f>H583/SUMIFS(Counties!$H$2:$H$1583,Counties!$A$2:$A$1583,$A583)</f>
        <v/>
      </c>
      <c r="T583" s="44">
        <f>O583+INDEX(Dashboard!$F$6:$F$22,MATCH($A583,Dashboard!$A$6:$A$22,0))</f>
        <v/>
      </c>
      <c r="U583" s="43">
        <f>AQ583*INDEX(Dashboard!$G$6:$G$22,MATCH($A583,Dashboard!$A$6:$A$22,0))</f>
        <v/>
      </c>
      <c r="V583" s="47" t="n"/>
      <c r="W583" s="47" t="n"/>
      <c r="X583" s="47" t="n"/>
      <c r="Y583" s="48" t="n"/>
      <c r="Z583" s="49" t="n"/>
      <c r="AA583" s="49" t="n"/>
      <c r="AB583" s="49" t="n"/>
      <c r="AC583" s="50" t="n"/>
      <c r="AD583" s="43">
        <f>IF(Z583&lt;&gt;"",Z583,N(V583))</f>
        <v/>
      </c>
      <c r="AE583" s="43">
        <f>IF(AA583&lt;&gt;"",AA583,N(W583))</f>
        <v/>
      </c>
      <c r="AF583" s="43">
        <f>AD583+AE583</f>
        <v/>
      </c>
      <c r="AG583" s="42">
        <f>IF(UPPER(AC583)="Y",1,IF(AF583=0,0,IF(AND(Z583="",Y583&lt;&gt;""),IF(Y583&gt;=0.999,1,0),IF(AF583&gt;=U583,1,0))))</f>
        <v/>
      </c>
      <c r="AH583" s="44">
        <f>IF(AF583&gt;0,(AD583-AE583)/AF583,"")</f>
        <v/>
      </c>
      <c r="AI583" s="45">
        <f>IF(AG583=1,AH583-O583,"")</f>
        <v/>
      </c>
      <c r="AJ583" s="44">
        <f>IF(AG583=1,AH583,MAX(-1,MIN(1,O583+INDEX(Types!$H:$H,MATCH($A583&amp;"|"&amp;$D583,Types!$A:$A,0)))))</f>
        <v/>
      </c>
      <c r="AK583" s="43">
        <f>IF(AG583=1,AF583,MAX(AQ583*AS583,AF583))</f>
        <v/>
      </c>
      <c r="AL583" s="43">
        <f>IF(AG583=1,AD583,AK583*(1+AJ583)/2)</f>
        <v/>
      </c>
      <c r="AM583" s="43">
        <f>IF(AG583=1,AE583,AK583*(1-AJ583)/2)</f>
        <v/>
      </c>
      <c r="AN583" s="45">
        <f>IF(AH583="","",AH583-T583)</f>
        <v/>
      </c>
      <c r="AO583" s="51">
        <f>IF(AG583=1,1,IF(U583&gt;0,MIN(AF583/U583,0.99),0))</f>
        <v/>
      </c>
      <c r="AP583" s="43">
        <f>IF(AG583=1,AI583*AF583,0)</f>
        <v/>
      </c>
      <c r="AQ583" s="43">
        <f>N583*(F583+G583)/H583</f>
        <v/>
      </c>
      <c r="AR583" s="43">
        <f>O583*AQ583</f>
        <v/>
      </c>
      <c r="AS583" s="52">
        <f>IF(AG583=1,IF(AQ583&gt;0,AF583/AQ583,1),IFERROR(INDEX(Types!$K:$K,MATCH($A583&amp;"|"&amp;$D583,Types!$A:$A,0)),INDEX(Dashboard!$X$6:$X$22,MATCH($A583,Dashboard!$A$6:$A$22,0))))</f>
        <v/>
      </c>
      <c r="AT583" s="43">
        <f>AQ583*INDEX(Dashboard!$Y$6:$Y$22,MATCH($A583,Dashboard!$A$6:$A$22,0))</f>
        <v/>
      </c>
      <c r="AU583" s="53">
        <f>IF(AND(AG583=1,AT583&gt;0,AF583&gt;0),100*AF583/AT583,"")</f>
        <v/>
      </c>
      <c r="AV583" s="44">
        <f>IF(AU583="","",T583/(AU583/100))</f>
        <v/>
      </c>
      <c r="AW583" s="53">
        <f>IF(AU583="","",IF(AND(ABS(AH583)&gt;=0.1,ABS(T583)&gt;=0.05,SIGN(AH583)=SIGN(T583)),100*T583/AH583,""))</f>
        <v/>
      </c>
      <c r="AX583" s="45">
        <f>IF(AU583="","",T583-AV583)</f>
        <v/>
      </c>
      <c r="AY583" s="45">
        <f>IF(AU583="","",AH583-AV583)</f>
        <v/>
      </c>
      <c r="AZ583" s="54">
        <f>(AL583-AM583)-T583*AT583</f>
        <v/>
      </c>
      <c r="BA583" s="43">
        <f>IF(AU583="",0,(AH583-T583)*AF583)</f>
        <v/>
      </c>
      <c r="BB583" s="43">
        <f>IF(AU583="",0,T583*(AF583-AT583))</f>
        <v/>
      </c>
      <c r="BC583" s="51" t="n">
        <v>0.0102520890386911</v>
      </c>
      <c r="BD583" s="51" t="n">
        <v>0.02682395899164385</v>
      </c>
      <c r="BE583" s="51" t="n">
        <v>0.1749234181895004</v>
      </c>
      <c r="BF583" s="43" t="n">
        <v>14241</v>
      </c>
    </row>
    <row r="584">
      <c r="A584" s="42" t="inlineStr">
        <is>
          <t>MN</t>
        </is>
      </c>
      <c r="B584" s="42" t="inlineStr">
        <is>
          <t>27161</t>
        </is>
      </c>
      <c r="C584" s="42" t="inlineStr">
        <is>
          <t>Waseca</t>
        </is>
      </c>
      <c r="D584" s="42" t="inlineStr">
        <is>
          <t>Small town &amp; rural</t>
        </is>
      </c>
      <c r="E584" s="42" t="inlineStr"/>
      <c r="F584" s="43" t="n">
        <v>3402</v>
      </c>
      <c r="G584" s="43" t="n">
        <v>6770</v>
      </c>
      <c r="H584" s="43" t="n">
        <v>10361</v>
      </c>
      <c r="I584" s="43" t="n">
        <v>3496</v>
      </c>
      <c r="J584" s="43" t="n">
        <v>6624</v>
      </c>
      <c r="K584" s="42" t="inlineStr">
        <is>
          <t>Governor</t>
        </is>
      </c>
      <c r="L584" s="43" t="n">
        <v>2843</v>
      </c>
      <c r="M584" s="43" t="n">
        <v>5212</v>
      </c>
      <c r="N584" s="43" t="n">
        <v>8383</v>
      </c>
      <c r="O584" s="44">
        <f>IFERROR((F584-G584)/(F584+G584),"")</f>
        <v/>
      </c>
      <c r="P584" s="44">
        <f>IFERROR((I584-J584)/(I584+J584),"")</f>
        <v/>
      </c>
      <c r="Q584" s="45">
        <f>IFERROR(O584-P584,"")</f>
        <v/>
      </c>
      <c r="R584" s="44">
        <f>IFERROR((L584-M584)/(L584+M584),"")</f>
        <v/>
      </c>
      <c r="S584" s="46">
        <f>H584/SUMIFS(Counties!$H$2:$H$1583,Counties!$A$2:$A$1583,$A584)</f>
        <v/>
      </c>
      <c r="T584" s="44">
        <f>O584+INDEX(Dashboard!$F$6:$F$22,MATCH($A584,Dashboard!$A$6:$A$22,0))</f>
        <v/>
      </c>
      <c r="U584" s="43">
        <f>AQ584*INDEX(Dashboard!$G$6:$G$22,MATCH($A584,Dashboard!$A$6:$A$22,0))</f>
        <v/>
      </c>
      <c r="V584" s="47" t="n"/>
      <c r="W584" s="47" t="n"/>
      <c r="X584" s="47" t="n"/>
      <c r="Y584" s="48" t="n"/>
      <c r="Z584" s="49" t="n"/>
      <c r="AA584" s="49" t="n"/>
      <c r="AB584" s="49" t="n"/>
      <c r="AC584" s="50" t="n"/>
      <c r="AD584" s="43">
        <f>IF(Z584&lt;&gt;"",Z584,N(V584))</f>
        <v/>
      </c>
      <c r="AE584" s="43">
        <f>IF(AA584&lt;&gt;"",AA584,N(W584))</f>
        <v/>
      </c>
      <c r="AF584" s="43">
        <f>AD584+AE584</f>
        <v/>
      </c>
      <c r="AG584" s="42">
        <f>IF(UPPER(AC584)="Y",1,IF(AF584=0,0,IF(AND(Z584="",Y584&lt;&gt;""),IF(Y584&gt;=0.999,1,0),IF(AF584&gt;=U584,1,0))))</f>
        <v/>
      </c>
      <c r="AH584" s="44">
        <f>IF(AF584&gt;0,(AD584-AE584)/AF584,"")</f>
        <v/>
      </c>
      <c r="AI584" s="45">
        <f>IF(AG584=1,AH584-O584,"")</f>
        <v/>
      </c>
      <c r="AJ584" s="44">
        <f>IF(AG584=1,AH584,MAX(-1,MIN(1,O584+INDEX(Types!$H:$H,MATCH($A584&amp;"|"&amp;$D584,Types!$A:$A,0)))))</f>
        <v/>
      </c>
      <c r="AK584" s="43">
        <f>IF(AG584=1,AF584,MAX(AQ584*AS584,AF584))</f>
        <v/>
      </c>
      <c r="AL584" s="43">
        <f>IF(AG584=1,AD584,AK584*(1+AJ584)/2)</f>
        <v/>
      </c>
      <c r="AM584" s="43">
        <f>IF(AG584=1,AE584,AK584*(1-AJ584)/2)</f>
        <v/>
      </c>
      <c r="AN584" s="45">
        <f>IF(AH584="","",AH584-T584)</f>
        <v/>
      </c>
      <c r="AO584" s="51">
        <f>IF(AG584=1,1,IF(U584&gt;0,MIN(AF584/U584,0.99),0))</f>
        <v/>
      </c>
      <c r="AP584" s="43">
        <f>IF(AG584=1,AI584*AF584,0)</f>
        <v/>
      </c>
      <c r="AQ584" s="43">
        <f>N584*(F584+G584)/H584</f>
        <v/>
      </c>
      <c r="AR584" s="43">
        <f>O584*AQ584</f>
        <v/>
      </c>
      <c r="AS584" s="52">
        <f>IF(AG584=1,IF(AQ584&gt;0,AF584/AQ584,1),IFERROR(INDEX(Types!$K:$K,MATCH($A584&amp;"|"&amp;$D584,Types!$A:$A,0)),INDEX(Dashboard!$X$6:$X$22,MATCH($A584,Dashboard!$A$6:$A$22,0))))</f>
        <v/>
      </c>
      <c r="AT584" s="43">
        <f>AQ584*INDEX(Dashboard!$Y$6:$Y$22,MATCH($A584,Dashboard!$A$6:$A$22,0))</f>
        <v/>
      </c>
      <c r="AU584" s="53">
        <f>IF(AND(AG584=1,AT584&gt;0,AF584&gt;0),100*AF584/AT584,"")</f>
        <v/>
      </c>
      <c r="AV584" s="44">
        <f>IF(AU584="","",T584/(AU584/100))</f>
        <v/>
      </c>
      <c r="AW584" s="53">
        <f>IF(AU584="","",IF(AND(ABS(AH584)&gt;=0.1,ABS(T584)&gt;=0.05,SIGN(AH584)=SIGN(T584)),100*T584/AH584,""))</f>
        <v/>
      </c>
      <c r="AX584" s="45">
        <f>IF(AU584="","",T584-AV584)</f>
        <v/>
      </c>
      <c r="AY584" s="45">
        <f>IF(AU584="","",AH584-AV584)</f>
        <v/>
      </c>
      <c r="AZ584" s="54">
        <f>(AL584-AM584)-T584*AT584</f>
        <v/>
      </c>
      <c r="BA584" s="43">
        <f>IF(AU584="",0,(AH584-T584)*AF584)</f>
        <v/>
      </c>
      <c r="BB584" s="43">
        <f>IF(AU584="",0,T584*(AF584-AT584))</f>
        <v/>
      </c>
      <c r="BC584" s="51" t="n">
        <v>0.02154786365312681</v>
      </c>
      <c r="BD584" s="51" t="n">
        <v>0.07691902428744533</v>
      </c>
      <c r="BE584" s="51" t="n">
        <v>0.2092422284715361</v>
      </c>
      <c r="BF584" s="43" t="n">
        <v>18981</v>
      </c>
    </row>
    <row r="585">
      <c r="A585" s="42" t="inlineStr">
        <is>
          <t>MN</t>
        </is>
      </c>
      <c r="B585" s="42" t="inlineStr">
        <is>
          <t>27163</t>
        </is>
      </c>
      <c r="C585" s="42" t="inlineStr">
        <is>
          <t>Washington</t>
        </is>
      </c>
      <c r="D585" s="42" t="inlineStr">
        <is>
          <t>College suburb/metro</t>
        </is>
      </c>
      <c r="E585" s="42" t="inlineStr">
        <is>
          <t>★</t>
        </is>
      </c>
      <c r="F585" s="43" t="n">
        <v>90324</v>
      </c>
      <c r="G585" s="43" t="n">
        <v>75271</v>
      </c>
      <c r="H585" s="43" t="n">
        <v>168743</v>
      </c>
      <c r="I585" s="43" t="n">
        <v>89165</v>
      </c>
      <c r="J585" s="43" t="n">
        <v>73764</v>
      </c>
      <c r="K585" s="42" t="inlineStr">
        <is>
          <t>Governor</t>
        </is>
      </c>
      <c r="L585" s="43" t="n">
        <v>70814</v>
      </c>
      <c r="M585" s="43" t="n">
        <v>56472</v>
      </c>
      <c r="N585" s="43" t="n">
        <v>130714</v>
      </c>
      <c r="O585" s="44">
        <f>IFERROR((F585-G585)/(F585+G585),"")</f>
        <v/>
      </c>
      <c r="P585" s="44">
        <f>IFERROR((I585-J585)/(I585+J585),"")</f>
        <v/>
      </c>
      <c r="Q585" s="45">
        <f>IFERROR(O585-P585,"")</f>
        <v/>
      </c>
      <c r="R585" s="44">
        <f>IFERROR((L585-M585)/(L585+M585),"")</f>
        <v/>
      </c>
      <c r="S585" s="46">
        <f>H585/SUMIFS(Counties!$H$2:$H$1583,Counties!$A$2:$A$1583,$A585)</f>
        <v/>
      </c>
      <c r="T585" s="44">
        <f>O585+INDEX(Dashboard!$F$6:$F$22,MATCH($A585,Dashboard!$A$6:$A$22,0))</f>
        <v/>
      </c>
      <c r="U585" s="43">
        <f>AQ585*INDEX(Dashboard!$G$6:$G$22,MATCH($A585,Dashboard!$A$6:$A$22,0))</f>
        <v/>
      </c>
      <c r="V585" s="47" t="n"/>
      <c r="W585" s="47" t="n"/>
      <c r="X585" s="47" t="n"/>
      <c r="Y585" s="48" t="n"/>
      <c r="Z585" s="49" t="n"/>
      <c r="AA585" s="49" t="n"/>
      <c r="AB585" s="49" t="n"/>
      <c r="AC585" s="50" t="n"/>
      <c r="AD585" s="43">
        <f>IF(Z585&lt;&gt;"",Z585,N(V585))</f>
        <v/>
      </c>
      <c r="AE585" s="43">
        <f>IF(AA585&lt;&gt;"",AA585,N(W585))</f>
        <v/>
      </c>
      <c r="AF585" s="43">
        <f>AD585+AE585</f>
        <v/>
      </c>
      <c r="AG585" s="42">
        <f>IF(UPPER(AC585)="Y",1,IF(AF585=0,0,IF(AND(Z585="",Y585&lt;&gt;""),IF(Y585&gt;=0.999,1,0),IF(AF585&gt;=U585,1,0))))</f>
        <v/>
      </c>
      <c r="AH585" s="44">
        <f>IF(AF585&gt;0,(AD585-AE585)/AF585,"")</f>
        <v/>
      </c>
      <c r="AI585" s="45">
        <f>IF(AG585=1,AH585-O585,"")</f>
        <v/>
      </c>
      <c r="AJ585" s="44">
        <f>IF(AG585=1,AH585,MAX(-1,MIN(1,O585+INDEX(Types!$H:$H,MATCH($A585&amp;"|"&amp;$D585,Types!$A:$A,0)))))</f>
        <v/>
      </c>
      <c r="AK585" s="43">
        <f>IF(AG585=1,AF585,MAX(AQ585*AS585,AF585))</f>
        <v/>
      </c>
      <c r="AL585" s="43">
        <f>IF(AG585=1,AD585,AK585*(1+AJ585)/2)</f>
        <v/>
      </c>
      <c r="AM585" s="43">
        <f>IF(AG585=1,AE585,AK585*(1-AJ585)/2)</f>
        <v/>
      </c>
      <c r="AN585" s="45">
        <f>IF(AH585="","",AH585-T585)</f>
        <v/>
      </c>
      <c r="AO585" s="51">
        <f>IF(AG585=1,1,IF(U585&gt;0,MIN(AF585/U585,0.99),0))</f>
        <v/>
      </c>
      <c r="AP585" s="43">
        <f>IF(AG585=1,AI585*AF585,0)</f>
        <v/>
      </c>
      <c r="AQ585" s="43">
        <f>N585*(F585+G585)/H585</f>
        <v/>
      </c>
      <c r="AR585" s="43">
        <f>O585*AQ585</f>
        <v/>
      </c>
      <c r="AS585" s="52">
        <f>IF(AG585=1,IF(AQ585&gt;0,AF585/AQ585,1),IFERROR(INDEX(Types!$K:$K,MATCH($A585&amp;"|"&amp;$D585,Types!$A:$A,0)),INDEX(Dashboard!$X$6:$X$22,MATCH($A585,Dashboard!$A$6:$A$22,0))))</f>
        <v/>
      </c>
      <c r="AT585" s="43">
        <f>AQ585*INDEX(Dashboard!$Y$6:$Y$22,MATCH($A585,Dashboard!$A$6:$A$22,0))</f>
        <v/>
      </c>
      <c r="AU585" s="53">
        <f>IF(AND(AG585=1,AT585&gt;0,AF585&gt;0),100*AF585/AT585,"")</f>
        <v/>
      </c>
      <c r="AV585" s="44">
        <f>IF(AU585="","",T585/(AU585/100))</f>
        <v/>
      </c>
      <c r="AW585" s="53">
        <f>IF(AU585="","",IF(AND(ABS(AH585)&gt;=0.1,ABS(T585)&gt;=0.05,SIGN(AH585)=SIGN(T585)),100*T585/AH585,""))</f>
        <v/>
      </c>
      <c r="AX585" s="45">
        <f>IF(AU585="","",T585-AV585)</f>
        <v/>
      </c>
      <c r="AY585" s="45">
        <f>IF(AU585="","",AH585-AV585)</f>
        <v/>
      </c>
      <c r="AZ585" s="54">
        <f>(AL585-AM585)-T585*AT585</f>
        <v/>
      </c>
      <c r="BA585" s="43">
        <f>IF(AU585="",0,(AH585-T585)*AF585)</f>
        <v/>
      </c>
      <c r="BB585" s="43">
        <f>IF(AU585="",0,T585*(AF585-AT585))</f>
        <v/>
      </c>
      <c r="BC585" s="51" t="n">
        <v>0.05808500874752631</v>
      </c>
      <c r="BD585" s="51" t="n">
        <v>0.05399446468006998</v>
      </c>
      <c r="BE585" s="51" t="n">
        <v>0.4887828033551798</v>
      </c>
      <c r="BF585" s="43" t="n">
        <v>278936</v>
      </c>
    </row>
    <row r="586">
      <c r="A586" s="42" t="inlineStr">
        <is>
          <t>MN</t>
        </is>
      </c>
      <c r="B586" s="42" t="inlineStr">
        <is>
          <t>27165</t>
        </is>
      </c>
      <c r="C586" s="42" t="inlineStr">
        <is>
          <t>Watonwan</t>
        </is>
      </c>
      <c r="D586" s="42" t="inlineStr">
        <is>
          <t>Small town &amp; rural</t>
        </is>
      </c>
      <c r="E586" s="42" t="inlineStr"/>
      <c r="F586" s="43" t="n">
        <v>1723</v>
      </c>
      <c r="G586" s="43" t="n">
        <v>3087</v>
      </c>
      <c r="H586" s="43" t="n">
        <v>4910</v>
      </c>
      <c r="I586" s="43" t="n">
        <v>1987</v>
      </c>
      <c r="J586" s="43" t="n">
        <v>3103</v>
      </c>
      <c r="K586" s="42" t="inlineStr">
        <is>
          <t>Governor</t>
        </is>
      </c>
      <c r="L586" s="43" t="n">
        <v>1445</v>
      </c>
      <c r="M586" s="43" t="n">
        <v>2325</v>
      </c>
      <c r="N586" s="43" t="n">
        <v>3868</v>
      </c>
      <c r="O586" s="44">
        <f>IFERROR((F586-G586)/(F586+G586),"")</f>
        <v/>
      </c>
      <c r="P586" s="44">
        <f>IFERROR((I586-J586)/(I586+J586),"")</f>
        <v/>
      </c>
      <c r="Q586" s="45">
        <f>IFERROR(O586-P586,"")</f>
        <v/>
      </c>
      <c r="R586" s="44">
        <f>IFERROR((L586-M586)/(L586+M586),"")</f>
        <v/>
      </c>
      <c r="S586" s="46">
        <f>H586/SUMIFS(Counties!$H$2:$H$1583,Counties!$A$2:$A$1583,$A586)</f>
        <v/>
      </c>
      <c r="T586" s="44">
        <f>O586+INDEX(Dashboard!$F$6:$F$22,MATCH($A586,Dashboard!$A$6:$A$22,0))</f>
        <v/>
      </c>
      <c r="U586" s="43">
        <f>AQ586*INDEX(Dashboard!$G$6:$G$22,MATCH($A586,Dashboard!$A$6:$A$22,0))</f>
        <v/>
      </c>
      <c r="V586" s="47" t="n"/>
      <c r="W586" s="47" t="n"/>
      <c r="X586" s="47" t="n"/>
      <c r="Y586" s="48" t="n"/>
      <c r="Z586" s="49" t="n"/>
      <c r="AA586" s="49" t="n"/>
      <c r="AB586" s="49" t="n"/>
      <c r="AC586" s="50" t="n"/>
      <c r="AD586" s="43">
        <f>IF(Z586&lt;&gt;"",Z586,N(V586))</f>
        <v/>
      </c>
      <c r="AE586" s="43">
        <f>IF(AA586&lt;&gt;"",AA586,N(W586))</f>
        <v/>
      </c>
      <c r="AF586" s="43">
        <f>AD586+AE586</f>
        <v/>
      </c>
      <c r="AG586" s="42">
        <f>IF(UPPER(AC586)="Y",1,IF(AF586=0,0,IF(AND(Z586="",Y586&lt;&gt;""),IF(Y586&gt;=0.999,1,0),IF(AF586&gt;=U586,1,0))))</f>
        <v/>
      </c>
      <c r="AH586" s="44">
        <f>IF(AF586&gt;0,(AD586-AE586)/AF586,"")</f>
        <v/>
      </c>
      <c r="AI586" s="45">
        <f>IF(AG586=1,AH586-O586,"")</f>
        <v/>
      </c>
      <c r="AJ586" s="44">
        <f>IF(AG586=1,AH586,MAX(-1,MIN(1,O586+INDEX(Types!$H:$H,MATCH($A586&amp;"|"&amp;$D586,Types!$A:$A,0)))))</f>
        <v/>
      </c>
      <c r="AK586" s="43">
        <f>IF(AG586=1,AF586,MAX(AQ586*AS586,AF586))</f>
        <v/>
      </c>
      <c r="AL586" s="43">
        <f>IF(AG586=1,AD586,AK586*(1+AJ586)/2)</f>
        <v/>
      </c>
      <c r="AM586" s="43">
        <f>IF(AG586=1,AE586,AK586*(1-AJ586)/2)</f>
        <v/>
      </c>
      <c r="AN586" s="45">
        <f>IF(AH586="","",AH586-T586)</f>
        <v/>
      </c>
      <c r="AO586" s="51">
        <f>IF(AG586=1,1,IF(U586&gt;0,MIN(AF586/U586,0.99),0))</f>
        <v/>
      </c>
      <c r="AP586" s="43">
        <f>IF(AG586=1,AI586*AF586,0)</f>
        <v/>
      </c>
      <c r="AQ586" s="43">
        <f>N586*(F586+G586)/H586</f>
        <v/>
      </c>
      <c r="AR586" s="43">
        <f>O586*AQ586</f>
        <v/>
      </c>
      <c r="AS586" s="52">
        <f>IF(AG586=1,IF(AQ586&gt;0,AF586/AQ586,1),IFERROR(INDEX(Types!$K:$K,MATCH($A586&amp;"|"&amp;$D586,Types!$A:$A,0)),INDEX(Dashboard!$X$6:$X$22,MATCH($A586,Dashboard!$A$6:$A$22,0))))</f>
        <v/>
      </c>
      <c r="AT586" s="43">
        <f>AQ586*INDEX(Dashboard!$Y$6:$Y$22,MATCH($A586,Dashboard!$A$6:$A$22,0))</f>
        <v/>
      </c>
      <c r="AU586" s="53">
        <f>IF(AND(AG586=1,AT586&gt;0,AF586&gt;0),100*AF586/AT586,"")</f>
        <v/>
      </c>
      <c r="AV586" s="44">
        <f>IF(AU586="","",T586/(AU586/100))</f>
        <v/>
      </c>
      <c r="AW586" s="53">
        <f>IF(AU586="","",IF(AND(ABS(AH586)&gt;=0.1,ABS(T586)&gt;=0.05,SIGN(AH586)=SIGN(T586)),100*T586/AH586,""))</f>
        <v/>
      </c>
      <c r="AX586" s="45">
        <f>IF(AU586="","",T586-AV586)</f>
        <v/>
      </c>
      <c r="AY586" s="45">
        <f>IF(AU586="","",AH586-AV586)</f>
        <v/>
      </c>
      <c r="AZ586" s="54">
        <f>(AL586-AM586)-T586*AT586</f>
        <v/>
      </c>
      <c r="BA586" s="43">
        <f>IF(AU586="",0,(AH586-T586)*AF586)</f>
        <v/>
      </c>
      <c r="BB586" s="43">
        <f>IF(AU586="",0,T586*(AF586-AT586))</f>
        <v/>
      </c>
      <c r="BC586" s="51" t="n">
        <v>0.007493003520808884</v>
      </c>
      <c r="BD586" s="51" t="n">
        <v>0.3060395413920737</v>
      </c>
      <c r="BE586" s="51" t="n">
        <v>0.1818911328072756</v>
      </c>
      <c r="BF586" s="43" t="n">
        <v>11077</v>
      </c>
    </row>
    <row r="587">
      <c r="A587" s="42" t="inlineStr">
        <is>
          <t>MN</t>
        </is>
      </c>
      <c r="B587" s="42" t="inlineStr">
        <is>
          <t>27167</t>
        </is>
      </c>
      <c r="C587" s="42" t="inlineStr">
        <is>
          <t>Wilkin</t>
        </is>
      </c>
      <c r="D587" s="42" t="inlineStr">
        <is>
          <t>Small town &amp; rural</t>
        </is>
      </c>
      <c r="E587" s="42" t="inlineStr"/>
      <c r="F587" s="43" t="n">
        <v>986</v>
      </c>
      <c r="G587" s="43" t="n">
        <v>2290</v>
      </c>
      <c r="H587" s="43" t="n">
        <v>3343</v>
      </c>
      <c r="I587" s="43" t="n">
        <v>1026</v>
      </c>
      <c r="J587" s="43" t="n">
        <v>2328</v>
      </c>
      <c r="K587" s="42" t="inlineStr">
        <is>
          <t>Governor</t>
        </is>
      </c>
      <c r="L587" s="43" t="n">
        <v>704</v>
      </c>
      <c r="M587" s="43" t="n">
        <v>1783</v>
      </c>
      <c r="N587" s="43" t="n">
        <v>2592</v>
      </c>
      <c r="O587" s="44">
        <f>IFERROR((F587-G587)/(F587+G587),"")</f>
        <v/>
      </c>
      <c r="P587" s="44">
        <f>IFERROR((I587-J587)/(I587+J587),"")</f>
        <v/>
      </c>
      <c r="Q587" s="45">
        <f>IFERROR(O587-P587,"")</f>
        <v/>
      </c>
      <c r="R587" s="44">
        <f>IFERROR((L587-M587)/(L587+M587),"")</f>
        <v/>
      </c>
      <c r="S587" s="46">
        <f>H587/SUMIFS(Counties!$H$2:$H$1583,Counties!$A$2:$A$1583,$A587)</f>
        <v/>
      </c>
      <c r="T587" s="44">
        <f>O587+INDEX(Dashboard!$F$6:$F$22,MATCH($A587,Dashboard!$A$6:$A$22,0))</f>
        <v/>
      </c>
      <c r="U587" s="43">
        <f>AQ587*INDEX(Dashboard!$G$6:$G$22,MATCH($A587,Dashboard!$A$6:$A$22,0))</f>
        <v/>
      </c>
      <c r="V587" s="47" t="n"/>
      <c r="W587" s="47" t="n"/>
      <c r="X587" s="47" t="n"/>
      <c r="Y587" s="48" t="n"/>
      <c r="Z587" s="49" t="n"/>
      <c r="AA587" s="49" t="n"/>
      <c r="AB587" s="49" t="n"/>
      <c r="AC587" s="50" t="n"/>
      <c r="AD587" s="43">
        <f>IF(Z587&lt;&gt;"",Z587,N(V587))</f>
        <v/>
      </c>
      <c r="AE587" s="43">
        <f>IF(AA587&lt;&gt;"",AA587,N(W587))</f>
        <v/>
      </c>
      <c r="AF587" s="43">
        <f>AD587+AE587</f>
        <v/>
      </c>
      <c r="AG587" s="42">
        <f>IF(UPPER(AC587)="Y",1,IF(AF587=0,0,IF(AND(Z587="",Y587&lt;&gt;""),IF(Y587&gt;=0.999,1,0),IF(AF587&gt;=U587,1,0))))</f>
        <v/>
      </c>
      <c r="AH587" s="44">
        <f>IF(AF587&gt;0,(AD587-AE587)/AF587,"")</f>
        <v/>
      </c>
      <c r="AI587" s="45">
        <f>IF(AG587=1,AH587-O587,"")</f>
        <v/>
      </c>
      <c r="AJ587" s="44">
        <f>IF(AG587=1,AH587,MAX(-1,MIN(1,O587+INDEX(Types!$H:$H,MATCH($A587&amp;"|"&amp;$D587,Types!$A:$A,0)))))</f>
        <v/>
      </c>
      <c r="AK587" s="43">
        <f>IF(AG587=1,AF587,MAX(AQ587*AS587,AF587))</f>
        <v/>
      </c>
      <c r="AL587" s="43">
        <f>IF(AG587=1,AD587,AK587*(1+AJ587)/2)</f>
        <v/>
      </c>
      <c r="AM587" s="43">
        <f>IF(AG587=1,AE587,AK587*(1-AJ587)/2)</f>
        <v/>
      </c>
      <c r="AN587" s="45">
        <f>IF(AH587="","",AH587-T587)</f>
        <v/>
      </c>
      <c r="AO587" s="51">
        <f>IF(AG587=1,1,IF(U587&gt;0,MIN(AF587/U587,0.99),0))</f>
        <v/>
      </c>
      <c r="AP587" s="43">
        <f>IF(AG587=1,AI587*AF587,0)</f>
        <v/>
      </c>
      <c r="AQ587" s="43">
        <f>N587*(F587+G587)/H587</f>
        <v/>
      </c>
      <c r="AR587" s="43">
        <f>O587*AQ587</f>
        <v/>
      </c>
      <c r="AS587" s="52">
        <f>IF(AG587=1,IF(AQ587&gt;0,AF587/AQ587,1),IFERROR(INDEX(Types!$K:$K,MATCH($A587&amp;"|"&amp;$D587,Types!$A:$A,0)),INDEX(Dashboard!$X$6:$X$22,MATCH($A587,Dashboard!$A$6:$A$22,0))))</f>
        <v/>
      </c>
      <c r="AT587" s="43">
        <f>AQ587*INDEX(Dashboard!$Y$6:$Y$22,MATCH($A587,Dashboard!$A$6:$A$22,0))</f>
        <v/>
      </c>
      <c r="AU587" s="53">
        <f>IF(AND(AG587=1,AT587&gt;0,AF587&gt;0),100*AF587/AT587,"")</f>
        <v/>
      </c>
      <c r="AV587" s="44">
        <f>IF(AU587="","",T587/(AU587/100))</f>
        <v/>
      </c>
      <c r="AW587" s="53">
        <f>IF(AU587="","",IF(AND(ABS(AH587)&gt;=0.1,ABS(T587)&gt;=0.05,SIGN(AH587)=SIGN(T587)),100*T587/AH587,""))</f>
        <v/>
      </c>
      <c r="AX587" s="45">
        <f>IF(AU587="","",T587-AV587)</f>
        <v/>
      </c>
      <c r="AY587" s="45">
        <f>IF(AU587="","",AH587-AV587)</f>
        <v/>
      </c>
      <c r="AZ587" s="54">
        <f>(AL587-AM587)-T587*AT587</f>
        <v/>
      </c>
      <c r="BA587" s="43">
        <f>IF(AU587="",0,(AH587-T587)*AF587)</f>
        <v/>
      </c>
      <c r="BB587" s="43">
        <f>IF(AU587="",0,T587*(AF587-AT587))</f>
        <v/>
      </c>
      <c r="BC587" s="51" t="n">
        <v>0.007770377418331748</v>
      </c>
      <c r="BD587" s="51" t="n">
        <v>0.03964478274659055</v>
      </c>
      <c r="BE587" s="51" t="n">
        <v>0.2152576399732322</v>
      </c>
      <c r="BF587" s="43" t="n">
        <v>6306</v>
      </c>
    </row>
    <row r="588">
      <c r="A588" s="42" t="inlineStr">
        <is>
          <t>MN</t>
        </is>
      </c>
      <c r="B588" s="42" t="inlineStr">
        <is>
          <t>27169</t>
        </is>
      </c>
      <c r="C588" s="42" t="inlineStr">
        <is>
          <t>Winona</t>
        </is>
      </c>
      <c r="D588" s="42" t="inlineStr">
        <is>
          <t>Small town &amp; rural</t>
        </is>
      </c>
      <c r="E588" s="42" t="inlineStr"/>
      <c r="F588" s="43" t="n">
        <v>12929</v>
      </c>
      <c r="G588" s="43" t="n">
        <v>14288</v>
      </c>
      <c r="H588" s="43" t="n">
        <v>27721</v>
      </c>
      <c r="I588" s="43" t="n">
        <v>13333</v>
      </c>
      <c r="J588" s="43" t="n">
        <v>13227</v>
      </c>
      <c r="K588" s="42" t="inlineStr">
        <is>
          <t>Governor</t>
        </is>
      </c>
      <c r="L588" s="43" t="n">
        <v>9889</v>
      </c>
      <c r="M588" s="43" t="n">
        <v>9913</v>
      </c>
      <c r="N588" s="43" t="n">
        <v>20450</v>
      </c>
      <c r="O588" s="44">
        <f>IFERROR((F588-G588)/(F588+G588),"")</f>
        <v/>
      </c>
      <c r="P588" s="44">
        <f>IFERROR((I588-J588)/(I588+J588),"")</f>
        <v/>
      </c>
      <c r="Q588" s="45">
        <f>IFERROR(O588-P588,"")</f>
        <v/>
      </c>
      <c r="R588" s="44">
        <f>IFERROR((L588-M588)/(L588+M588),"")</f>
        <v/>
      </c>
      <c r="S588" s="46">
        <f>H588/SUMIFS(Counties!$H$2:$H$1583,Counties!$A$2:$A$1583,$A588)</f>
        <v/>
      </c>
      <c r="T588" s="44">
        <f>O588+INDEX(Dashboard!$F$6:$F$22,MATCH($A588,Dashboard!$A$6:$A$22,0))</f>
        <v/>
      </c>
      <c r="U588" s="43">
        <f>AQ588*INDEX(Dashboard!$G$6:$G$22,MATCH($A588,Dashboard!$A$6:$A$22,0))</f>
        <v/>
      </c>
      <c r="V588" s="47" t="n"/>
      <c r="W588" s="47" t="n"/>
      <c r="X588" s="47" t="n"/>
      <c r="Y588" s="48" t="n"/>
      <c r="Z588" s="49" t="n"/>
      <c r="AA588" s="49" t="n"/>
      <c r="AB588" s="49" t="n"/>
      <c r="AC588" s="50" t="n"/>
      <c r="AD588" s="43">
        <f>IF(Z588&lt;&gt;"",Z588,N(V588))</f>
        <v/>
      </c>
      <c r="AE588" s="43">
        <f>IF(AA588&lt;&gt;"",AA588,N(W588))</f>
        <v/>
      </c>
      <c r="AF588" s="43">
        <f>AD588+AE588</f>
        <v/>
      </c>
      <c r="AG588" s="42">
        <f>IF(UPPER(AC588)="Y",1,IF(AF588=0,0,IF(AND(Z588="",Y588&lt;&gt;""),IF(Y588&gt;=0.999,1,0),IF(AF588&gt;=U588,1,0))))</f>
        <v/>
      </c>
      <c r="AH588" s="44">
        <f>IF(AF588&gt;0,(AD588-AE588)/AF588,"")</f>
        <v/>
      </c>
      <c r="AI588" s="45">
        <f>IF(AG588=1,AH588-O588,"")</f>
        <v/>
      </c>
      <c r="AJ588" s="44">
        <f>IF(AG588=1,AH588,MAX(-1,MIN(1,O588+INDEX(Types!$H:$H,MATCH($A588&amp;"|"&amp;$D588,Types!$A:$A,0)))))</f>
        <v/>
      </c>
      <c r="AK588" s="43">
        <f>IF(AG588=1,AF588,MAX(AQ588*AS588,AF588))</f>
        <v/>
      </c>
      <c r="AL588" s="43">
        <f>IF(AG588=1,AD588,AK588*(1+AJ588)/2)</f>
        <v/>
      </c>
      <c r="AM588" s="43">
        <f>IF(AG588=1,AE588,AK588*(1-AJ588)/2)</f>
        <v/>
      </c>
      <c r="AN588" s="45">
        <f>IF(AH588="","",AH588-T588)</f>
        <v/>
      </c>
      <c r="AO588" s="51">
        <f>IF(AG588=1,1,IF(U588&gt;0,MIN(AF588/U588,0.99),0))</f>
        <v/>
      </c>
      <c r="AP588" s="43">
        <f>IF(AG588=1,AI588*AF588,0)</f>
        <v/>
      </c>
      <c r="AQ588" s="43">
        <f>N588*(F588+G588)/H588</f>
        <v/>
      </c>
      <c r="AR588" s="43">
        <f>O588*AQ588</f>
        <v/>
      </c>
      <c r="AS588" s="52">
        <f>IF(AG588=1,IF(AQ588&gt;0,AF588/AQ588,1),IFERROR(INDEX(Types!$K:$K,MATCH($A588&amp;"|"&amp;$D588,Types!$A:$A,0)),INDEX(Dashboard!$X$6:$X$22,MATCH($A588,Dashboard!$A$6:$A$22,0))))</f>
        <v/>
      </c>
      <c r="AT588" s="43">
        <f>AQ588*INDEX(Dashboard!$Y$6:$Y$22,MATCH($A588,Dashboard!$A$6:$A$22,0))</f>
        <v/>
      </c>
      <c r="AU588" s="53">
        <f>IF(AND(AG588=1,AT588&gt;0,AF588&gt;0),100*AF588/AT588,"")</f>
        <v/>
      </c>
      <c r="AV588" s="44">
        <f>IF(AU588="","",T588/(AU588/100))</f>
        <v/>
      </c>
      <c r="AW588" s="53">
        <f>IF(AU588="","",IF(AND(ABS(AH588)&gt;=0.1,ABS(T588)&gt;=0.05,SIGN(AH588)=SIGN(T588)),100*T588/AH588,""))</f>
        <v/>
      </c>
      <c r="AX588" s="45">
        <f>IF(AU588="","",T588-AV588)</f>
        <v/>
      </c>
      <c r="AY588" s="45">
        <f>IF(AU588="","",AH588-AV588)</f>
        <v/>
      </c>
      <c r="AZ588" s="54">
        <f>(AL588-AM588)-T588*AT588</f>
        <v/>
      </c>
      <c r="BA588" s="43">
        <f>IF(AU588="",0,(AH588-T588)*AF588)</f>
        <v/>
      </c>
      <c r="BB588" s="43">
        <f>IF(AU588="",0,T588*(AF588-AT588))</f>
        <v/>
      </c>
      <c r="BC588" s="51" t="n">
        <v>0.02029323625832143</v>
      </c>
      <c r="BD588" s="51" t="n">
        <v>0.03893726996641259</v>
      </c>
      <c r="BE588" s="51" t="n">
        <v>0.3205793757610716</v>
      </c>
      <c r="BF588" s="43" t="n">
        <v>49721</v>
      </c>
    </row>
    <row r="589">
      <c r="A589" s="42" t="inlineStr">
        <is>
          <t>MN</t>
        </is>
      </c>
      <c r="B589" s="42" t="inlineStr">
        <is>
          <t>27171</t>
        </is>
      </c>
      <c r="C589" s="42" t="inlineStr">
        <is>
          <t>Wright</t>
        </is>
      </c>
      <c r="D589" s="42" t="inlineStr">
        <is>
          <t>Mid-size/working metro</t>
        </is>
      </c>
      <c r="E589" s="42" t="inlineStr">
        <is>
          <t>★</t>
        </is>
      </c>
      <c r="F589" s="43" t="n">
        <v>30883</v>
      </c>
      <c r="G589" s="43" t="n">
        <v>57211</v>
      </c>
      <c r="H589" s="43" t="n">
        <v>89700</v>
      </c>
      <c r="I589" s="43" t="n">
        <v>28430</v>
      </c>
      <c r="J589" s="43" t="n">
        <v>51973</v>
      </c>
      <c r="K589" s="42" t="inlineStr">
        <is>
          <t>Governor</t>
        </is>
      </c>
      <c r="L589" s="43" t="n">
        <v>23116</v>
      </c>
      <c r="M589" s="43" t="n">
        <v>40993</v>
      </c>
      <c r="N589" s="43" t="n">
        <v>66223</v>
      </c>
      <c r="O589" s="44">
        <f>IFERROR((F589-G589)/(F589+G589),"")</f>
        <v/>
      </c>
      <c r="P589" s="44">
        <f>IFERROR((I589-J589)/(I589+J589),"")</f>
        <v/>
      </c>
      <c r="Q589" s="45">
        <f>IFERROR(O589-P589,"")</f>
        <v/>
      </c>
      <c r="R589" s="44">
        <f>IFERROR((L589-M589)/(L589+M589),"")</f>
        <v/>
      </c>
      <c r="S589" s="46">
        <f>H589/SUMIFS(Counties!$H$2:$H$1583,Counties!$A$2:$A$1583,$A589)</f>
        <v/>
      </c>
      <c r="T589" s="44">
        <f>O589+INDEX(Dashboard!$F$6:$F$22,MATCH($A589,Dashboard!$A$6:$A$22,0))</f>
        <v/>
      </c>
      <c r="U589" s="43">
        <f>AQ589*INDEX(Dashboard!$G$6:$G$22,MATCH($A589,Dashboard!$A$6:$A$22,0))</f>
        <v/>
      </c>
      <c r="V589" s="47" t="n"/>
      <c r="W589" s="47" t="n"/>
      <c r="X589" s="47" t="n"/>
      <c r="Y589" s="48" t="n"/>
      <c r="Z589" s="49" t="n"/>
      <c r="AA589" s="49" t="n"/>
      <c r="AB589" s="49" t="n"/>
      <c r="AC589" s="50" t="n"/>
      <c r="AD589" s="43">
        <f>IF(Z589&lt;&gt;"",Z589,N(V589))</f>
        <v/>
      </c>
      <c r="AE589" s="43">
        <f>IF(AA589&lt;&gt;"",AA589,N(W589))</f>
        <v/>
      </c>
      <c r="AF589" s="43">
        <f>AD589+AE589</f>
        <v/>
      </c>
      <c r="AG589" s="42">
        <f>IF(UPPER(AC589)="Y",1,IF(AF589=0,0,IF(AND(Z589="",Y589&lt;&gt;""),IF(Y589&gt;=0.999,1,0),IF(AF589&gt;=U589,1,0))))</f>
        <v/>
      </c>
      <c r="AH589" s="44">
        <f>IF(AF589&gt;0,(AD589-AE589)/AF589,"")</f>
        <v/>
      </c>
      <c r="AI589" s="45">
        <f>IF(AG589=1,AH589-O589,"")</f>
        <v/>
      </c>
      <c r="AJ589" s="44">
        <f>IF(AG589=1,AH589,MAX(-1,MIN(1,O589+INDEX(Types!$H:$H,MATCH($A589&amp;"|"&amp;$D589,Types!$A:$A,0)))))</f>
        <v/>
      </c>
      <c r="AK589" s="43">
        <f>IF(AG589=1,AF589,MAX(AQ589*AS589,AF589))</f>
        <v/>
      </c>
      <c r="AL589" s="43">
        <f>IF(AG589=1,AD589,AK589*(1+AJ589)/2)</f>
        <v/>
      </c>
      <c r="AM589" s="43">
        <f>IF(AG589=1,AE589,AK589*(1-AJ589)/2)</f>
        <v/>
      </c>
      <c r="AN589" s="45">
        <f>IF(AH589="","",AH589-T589)</f>
        <v/>
      </c>
      <c r="AO589" s="51">
        <f>IF(AG589=1,1,IF(U589&gt;0,MIN(AF589/U589,0.99),0))</f>
        <v/>
      </c>
      <c r="AP589" s="43">
        <f>IF(AG589=1,AI589*AF589,0)</f>
        <v/>
      </c>
      <c r="AQ589" s="43">
        <f>N589*(F589+G589)/H589</f>
        <v/>
      </c>
      <c r="AR589" s="43">
        <f>O589*AQ589</f>
        <v/>
      </c>
      <c r="AS589" s="52">
        <f>IF(AG589=1,IF(AQ589&gt;0,AF589/AQ589,1),IFERROR(INDEX(Types!$K:$K,MATCH($A589&amp;"|"&amp;$D589,Types!$A:$A,0)),INDEX(Dashboard!$X$6:$X$22,MATCH($A589,Dashboard!$A$6:$A$22,0))))</f>
        <v/>
      </c>
      <c r="AT589" s="43">
        <f>AQ589*INDEX(Dashboard!$Y$6:$Y$22,MATCH($A589,Dashboard!$A$6:$A$22,0))</f>
        <v/>
      </c>
      <c r="AU589" s="53">
        <f>IF(AND(AG589=1,AT589&gt;0,AF589&gt;0),100*AF589/AT589,"")</f>
        <v/>
      </c>
      <c r="AV589" s="44">
        <f>IF(AU589="","",T589/(AU589/100))</f>
        <v/>
      </c>
      <c r="AW589" s="53">
        <f>IF(AU589="","",IF(AND(ABS(AH589)&gt;=0.1,ABS(T589)&gt;=0.05,SIGN(AH589)=SIGN(T589)),100*T589/AH589,""))</f>
        <v/>
      </c>
      <c r="AX589" s="45">
        <f>IF(AU589="","",T589-AV589)</f>
        <v/>
      </c>
      <c r="AY589" s="45">
        <f>IF(AU589="","",AH589-AV589)</f>
        <v/>
      </c>
      <c r="AZ589" s="54">
        <f>(AL589-AM589)-T589*AT589</f>
        <v/>
      </c>
      <c r="BA589" s="43">
        <f>IF(AU589="",0,(AH589-T589)*AF589)</f>
        <v/>
      </c>
      <c r="BB589" s="43">
        <f>IF(AU589="",0,T589*(AF589-AT589))</f>
        <v/>
      </c>
      <c r="BC589" s="51" t="n">
        <v>0.02837578564340059</v>
      </c>
      <c r="BD589" s="51" t="n">
        <v>0.03735362222957327</v>
      </c>
      <c r="BE589" s="51" t="n">
        <v>0.340087196444744</v>
      </c>
      <c r="BF589" s="43" t="n">
        <v>151150</v>
      </c>
    </row>
    <row r="590">
      <c r="A590" s="42" t="inlineStr">
        <is>
          <t>MN</t>
        </is>
      </c>
      <c r="B590" s="42" t="inlineStr">
        <is>
          <t>27173</t>
        </is>
      </c>
      <c r="C590" s="42" t="inlineStr">
        <is>
          <t>Yellow Medicine</t>
        </is>
      </c>
      <c r="D590" s="42" t="inlineStr">
        <is>
          <t>Small town &amp; rural</t>
        </is>
      </c>
      <c r="E590" s="42" t="inlineStr"/>
      <c r="F590" s="43" t="n">
        <v>1548</v>
      </c>
      <c r="G590" s="43" t="n">
        <v>3738</v>
      </c>
      <c r="H590" s="43" t="n">
        <v>5391</v>
      </c>
      <c r="I590" s="43" t="n">
        <v>1688</v>
      </c>
      <c r="J590" s="43" t="n">
        <v>3734</v>
      </c>
      <c r="K590" s="42" t="inlineStr">
        <is>
          <t>Governor</t>
        </is>
      </c>
      <c r="L590" s="43" t="n">
        <v>1299</v>
      </c>
      <c r="M590" s="43" t="n">
        <v>2919</v>
      </c>
      <c r="N590" s="43" t="n">
        <v>4361</v>
      </c>
      <c r="O590" s="44">
        <f>IFERROR((F590-G590)/(F590+G590),"")</f>
        <v/>
      </c>
      <c r="P590" s="44">
        <f>IFERROR((I590-J590)/(I590+J590),"")</f>
        <v/>
      </c>
      <c r="Q590" s="45">
        <f>IFERROR(O590-P590,"")</f>
        <v/>
      </c>
      <c r="R590" s="44">
        <f>IFERROR((L590-M590)/(L590+M590),"")</f>
        <v/>
      </c>
      <c r="S590" s="46">
        <f>H590/SUMIFS(Counties!$H$2:$H$1583,Counties!$A$2:$A$1583,$A590)</f>
        <v/>
      </c>
      <c r="T590" s="44">
        <f>O590+INDEX(Dashboard!$F$6:$F$22,MATCH($A590,Dashboard!$A$6:$A$22,0))</f>
        <v/>
      </c>
      <c r="U590" s="43">
        <f>AQ590*INDEX(Dashboard!$G$6:$G$22,MATCH($A590,Dashboard!$A$6:$A$22,0))</f>
        <v/>
      </c>
      <c r="V590" s="47" t="n"/>
      <c r="W590" s="47" t="n"/>
      <c r="X590" s="47" t="n"/>
      <c r="Y590" s="48" t="n"/>
      <c r="Z590" s="49" t="n"/>
      <c r="AA590" s="49" t="n"/>
      <c r="AB590" s="49" t="n"/>
      <c r="AC590" s="50" t="n"/>
      <c r="AD590" s="43">
        <f>IF(Z590&lt;&gt;"",Z590,N(V590))</f>
        <v/>
      </c>
      <c r="AE590" s="43">
        <f>IF(AA590&lt;&gt;"",AA590,N(W590))</f>
        <v/>
      </c>
      <c r="AF590" s="43">
        <f>AD590+AE590</f>
        <v/>
      </c>
      <c r="AG590" s="42">
        <f>IF(UPPER(AC590)="Y",1,IF(AF590=0,0,IF(AND(Z590="",Y590&lt;&gt;""),IF(Y590&gt;=0.999,1,0),IF(AF590&gt;=U590,1,0))))</f>
        <v/>
      </c>
      <c r="AH590" s="44">
        <f>IF(AF590&gt;0,(AD590-AE590)/AF590,"")</f>
        <v/>
      </c>
      <c r="AI590" s="45">
        <f>IF(AG590=1,AH590-O590,"")</f>
        <v/>
      </c>
      <c r="AJ590" s="44">
        <f>IF(AG590=1,AH590,MAX(-1,MIN(1,O590+INDEX(Types!$H:$H,MATCH($A590&amp;"|"&amp;$D590,Types!$A:$A,0)))))</f>
        <v/>
      </c>
      <c r="AK590" s="43">
        <f>IF(AG590=1,AF590,MAX(AQ590*AS590,AF590))</f>
        <v/>
      </c>
      <c r="AL590" s="43">
        <f>IF(AG590=1,AD590,AK590*(1+AJ590)/2)</f>
        <v/>
      </c>
      <c r="AM590" s="43">
        <f>IF(AG590=1,AE590,AK590*(1-AJ590)/2)</f>
        <v/>
      </c>
      <c r="AN590" s="45">
        <f>IF(AH590="","",AH590-T590)</f>
        <v/>
      </c>
      <c r="AO590" s="51">
        <f>IF(AG590=1,1,IF(U590&gt;0,MIN(AF590/U590,0.99),0))</f>
        <v/>
      </c>
      <c r="AP590" s="43">
        <f>IF(AG590=1,AI590*AF590,0)</f>
        <v/>
      </c>
      <c r="AQ590" s="43">
        <f>N590*(F590+G590)/H590</f>
        <v/>
      </c>
      <c r="AR590" s="43">
        <f>O590*AQ590</f>
        <v/>
      </c>
      <c r="AS590" s="52">
        <f>IF(AG590=1,IF(AQ590&gt;0,AF590/AQ590,1),IFERROR(INDEX(Types!$K:$K,MATCH($A590&amp;"|"&amp;$D590,Types!$A:$A,0)),INDEX(Dashboard!$X$6:$X$22,MATCH($A590,Dashboard!$A$6:$A$22,0))))</f>
        <v/>
      </c>
      <c r="AT590" s="43">
        <f>AQ590*INDEX(Dashboard!$Y$6:$Y$22,MATCH($A590,Dashboard!$A$6:$A$22,0))</f>
        <v/>
      </c>
      <c r="AU590" s="53">
        <f>IF(AND(AG590=1,AT590&gt;0,AF590&gt;0),100*AF590/AT590,"")</f>
        <v/>
      </c>
      <c r="AV590" s="44">
        <f>IF(AU590="","",T590/(AU590/100))</f>
        <v/>
      </c>
      <c r="AW590" s="53">
        <f>IF(AU590="","",IF(AND(ABS(AH590)&gt;=0.1,ABS(T590)&gt;=0.05,SIGN(AH590)=SIGN(T590)),100*T590/AH590,""))</f>
        <v/>
      </c>
      <c r="AX590" s="45">
        <f>IF(AU590="","",T590-AV590)</f>
        <v/>
      </c>
      <c r="AY590" s="45">
        <f>IF(AU590="","",AH590-AV590)</f>
        <v/>
      </c>
      <c r="AZ590" s="54">
        <f>(AL590-AM590)-T590*AT590</f>
        <v/>
      </c>
      <c r="BA590" s="43">
        <f>IF(AU590="",0,(AH590-T590)*AF590)</f>
        <v/>
      </c>
      <c r="BB590" s="43">
        <f>IF(AU590="",0,T590*(AF590-AT590))</f>
        <v/>
      </c>
      <c r="BC590" s="51" t="n">
        <v>0.008239146508925743</v>
      </c>
      <c r="BD590" s="51" t="n">
        <v>0.05587831414386817</v>
      </c>
      <c r="BE590" s="51" t="n">
        <v>0.1898120072771377</v>
      </c>
      <c r="BF590" s="43" t="n">
        <v>9467</v>
      </c>
    </row>
    <row r="591">
      <c r="A591" s="42" t="inlineStr">
        <is>
          <t>MS</t>
        </is>
      </c>
      <c r="B591" s="42" t="inlineStr">
        <is>
          <t>28001</t>
        </is>
      </c>
      <c r="C591" s="42" t="inlineStr">
        <is>
          <t>Adams</t>
        </is>
      </c>
      <c r="D591" s="42" t="inlineStr">
        <is>
          <t>Black Belt</t>
        </is>
      </c>
      <c r="E591" s="42" t="inlineStr"/>
      <c r="F591" s="43" t="n">
        <v>6743</v>
      </c>
      <c r="G591" s="43" t="n">
        <v>5081</v>
      </c>
      <c r="H591" s="43" t="n">
        <v>11928</v>
      </c>
      <c r="I591" s="43" t="n">
        <v>7917</v>
      </c>
      <c r="J591" s="43" t="n">
        <v>5696</v>
      </c>
      <c r="K591" s="42" t="inlineStr">
        <is>
          <t>US House</t>
        </is>
      </c>
      <c r="L591" s="43" t="n">
        <v>4469</v>
      </c>
      <c r="M591" s="43" t="n">
        <v>3817</v>
      </c>
      <c r="N591" s="43" t="n">
        <v>8286</v>
      </c>
      <c r="O591" s="44">
        <f>IFERROR((F591-G591)/(F591+G591),"")</f>
        <v/>
      </c>
      <c r="P591" s="44">
        <f>IFERROR((I591-J591)/(I591+J591),"")</f>
        <v/>
      </c>
      <c r="Q591" s="45">
        <f>IFERROR(O591-P591,"")</f>
        <v/>
      </c>
      <c r="R591" s="44">
        <f>IFERROR((L591-M591)/(L591+M591),"")</f>
        <v/>
      </c>
      <c r="S591" s="46">
        <f>H591/SUMIFS(Counties!$H$2:$H$1583,Counties!$A$2:$A$1583,$A591)</f>
        <v/>
      </c>
      <c r="T591" s="44">
        <f>O591+INDEX(Dashboard!$F$6:$F$22,MATCH($A591,Dashboard!$A$6:$A$22,0))</f>
        <v/>
      </c>
      <c r="U591" s="43">
        <f>AQ591*INDEX(Dashboard!$G$6:$G$22,MATCH($A591,Dashboard!$A$6:$A$22,0))</f>
        <v/>
      </c>
      <c r="V591" s="47" t="n"/>
      <c r="W591" s="47" t="n"/>
      <c r="X591" s="47" t="n"/>
      <c r="Y591" s="48" t="n"/>
      <c r="Z591" s="49" t="n"/>
      <c r="AA591" s="49" t="n"/>
      <c r="AB591" s="49" t="n"/>
      <c r="AC591" s="50" t="n"/>
      <c r="AD591" s="43">
        <f>IF(Z591&lt;&gt;"",Z591,N(V591))</f>
        <v/>
      </c>
      <c r="AE591" s="43">
        <f>IF(AA591&lt;&gt;"",AA591,N(W591))</f>
        <v/>
      </c>
      <c r="AF591" s="43">
        <f>AD591+AE591</f>
        <v/>
      </c>
      <c r="AG591" s="42">
        <f>IF(UPPER(AC591)="Y",1,IF(AF591=0,0,IF(AND(Z591="",Y591&lt;&gt;""),IF(Y591&gt;=0.999,1,0),IF(AF591&gt;=U591,1,0))))</f>
        <v/>
      </c>
      <c r="AH591" s="44">
        <f>IF(AF591&gt;0,(AD591-AE591)/AF591,"")</f>
        <v/>
      </c>
      <c r="AI591" s="45">
        <f>IF(AG591=1,AH591-O591,"")</f>
        <v/>
      </c>
      <c r="AJ591" s="44">
        <f>IF(AG591=1,AH591,MAX(-1,MIN(1,O591+INDEX(Types!$H:$H,MATCH($A591&amp;"|"&amp;$D591,Types!$A:$A,0)))))</f>
        <v/>
      </c>
      <c r="AK591" s="43">
        <f>IF(AG591=1,AF591,MAX(AQ591*AS591,AF591))</f>
        <v/>
      </c>
      <c r="AL591" s="43">
        <f>IF(AG591=1,AD591,AK591*(1+AJ591)/2)</f>
        <v/>
      </c>
      <c r="AM591" s="43">
        <f>IF(AG591=1,AE591,AK591*(1-AJ591)/2)</f>
        <v/>
      </c>
      <c r="AN591" s="45">
        <f>IF(AH591="","",AH591-T591)</f>
        <v/>
      </c>
      <c r="AO591" s="51">
        <f>IF(AG591=1,1,IF(U591&gt;0,MIN(AF591/U591,0.99),0))</f>
        <v/>
      </c>
      <c r="AP591" s="43">
        <f>IF(AG591=1,AI591*AF591,0)</f>
        <v/>
      </c>
      <c r="AQ591" s="43">
        <f>N591*(F591+G591)/H591</f>
        <v/>
      </c>
      <c r="AR591" s="43">
        <f>O591*AQ591</f>
        <v/>
      </c>
      <c r="AS591" s="52">
        <f>IF(AG591=1,IF(AQ591&gt;0,AF591/AQ591,1),IFERROR(INDEX(Types!$K:$K,MATCH($A591&amp;"|"&amp;$D591,Types!$A:$A,0)),INDEX(Dashboard!$X$6:$X$22,MATCH($A591,Dashboard!$A$6:$A$22,0))))</f>
        <v/>
      </c>
      <c r="AT591" s="43">
        <f>AQ591*INDEX(Dashboard!$Y$6:$Y$22,MATCH($A591,Dashboard!$A$6:$A$22,0))</f>
        <v/>
      </c>
      <c r="AU591" s="53">
        <f>IF(AND(AG591=1,AT591&gt;0,AF591&gt;0),100*AF591/AT591,"")</f>
        <v/>
      </c>
      <c r="AV591" s="44">
        <f>IF(AU591="","",T591/(AU591/100))</f>
        <v/>
      </c>
      <c r="AW591" s="53">
        <f>IF(AU591="","",IF(AND(ABS(AH591)&gt;=0.1,ABS(T591)&gt;=0.05,SIGN(AH591)=SIGN(T591)),100*T591/AH591,""))</f>
        <v/>
      </c>
      <c r="AX591" s="45">
        <f>IF(AU591="","",T591-AV591)</f>
        <v/>
      </c>
      <c r="AY591" s="45">
        <f>IF(AU591="","",AH591-AV591)</f>
        <v/>
      </c>
      <c r="AZ591" s="54">
        <f>(AL591-AM591)-T591*AT591</f>
        <v/>
      </c>
      <c r="BA591" s="43">
        <f>IF(AU591="",0,(AH591-T591)*AF591)</f>
        <v/>
      </c>
      <c r="BB591" s="43">
        <f>IF(AU591="",0,T591*(AF591-AT591))</f>
        <v/>
      </c>
      <c r="BC591" s="51" t="n">
        <v>0.5581298267585055</v>
      </c>
      <c r="BD591" s="51" t="n">
        <v>0.04633688165309956</v>
      </c>
      <c r="BE591" s="51" t="n">
        <v>0.1930420234228915</v>
      </c>
      <c r="BF591" s="43" t="n">
        <v>28746</v>
      </c>
    </row>
    <row r="592">
      <c r="A592" s="42" t="inlineStr">
        <is>
          <t>MS</t>
        </is>
      </c>
      <c r="B592" s="42" t="inlineStr">
        <is>
          <t>28003</t>
        </is>
      </c>
      <c r="C592" s="42" t="inlineStr">
        <is>
          <t>Alcorn</t>
        </is>
      </c>
      <c r="D592" s="42" t="inlineStr">
        <is>
          <t>Small town &amp; rural</t>
        </is>
      </c>
      <c r="E592" s="42" t="inlineStr"/>
      <c r="F592" s="43" t="n">
        <v>2328</v>
      </c>
      <c r="G592" s="43" t="n">
        <v>12657</v>
      </c>
      <c r="H592" s="43" t="n">
        <v>15112</v>
      </c>
      <c r="I592" s="43" t="n">
        <v>2782</v>
      </c>
      <c r="J592" s="43" t="n">
        <v>12818</v>
      </c>
      <c r="K592" s="42" t="inlineStr">
        <is>
          <t>US House</t>
        </is>
      </c>
      <c r="L592" s="43" t="n">
        <v>880</v>
      </c>
      <c r="M592" s="43" t="n">
        <v>6179</v>
      </c>
      <c r="N592" s="43" t="n">
        <v>7059</v>
      </c>
      <c r="O592" s="44">
        <f>IFERROR((F592-G592)/(F592+G592),"")</f>
        <v/>
      </c>
      <c r="P592" s="44">
        <f>IFERROR((I592-J592)/(I592+J592),"")</f>
        <v/>
      </c>
      <c r="Q592" s="45">
        <f>IFERROR(O592-P592,"")</f>
        <v/>
      </c>
      <c r="R592" s="44">
        <f>IFERROR((L592-M592)/(L592+M592),"")</f>
        <v/>
      </c>
      <c r="S592" s="46">
        <f>H592/SUMIFS(Counties!$H$2:$H$1583,Counties!$A$2:$A$1583,$A592)</f>
        <v/>
      </c>
      <c r="T592" s="44">
        <f>O592+INDEX(Dashboard!$F$6:$F$22,MATCH($A592,Dashboard!$A$6:$A$22,0))</f>
        <v/>
      </c>
      <c r="U592" s="43">
        <f>AQ592*INDEX(Dashboard!$G$6:$G$22,MATCH($A592,Dashboard!$A$6:$A$22,0))</f>
        <v/>
      </c>
      <c r="V592" s="47" t="n"/>
      <c r="W592" s="47" t="n"/>
      <c r="X592" s="47" t="n"/>
      <c r="Y592" s="48" t="n"/>
      <c r="Z592" s="49" t="n"/>
      <c r="AA592" s="49" t="n"/>
      <c r="AB592" s="49" t="n"/>
      <c r="AC592" s="50" t="n"/>
      <c r="AD592" s="43">
        <f>IF(Z592&lt;&gt;"",Z592,N(V592))</f>
        <v/>
      </c>
      <c r="AE592" s="43">
        <f>IF(AA592&lt;&gt;"",AA592,N(W592))</f>
        <v/>
      </c>
      <c r="AF592" s="43">
        <f>AD592+AE592</f>
        <v/>
      </c>
      <c r="AG592" s="42">
        <f>IF(UPPER(AC592)="Y",1,IF(AF592=0,0,IF(AND(Z592="",Y592&lt;&gt;""),IF(Y592&gt;=0.999,1,0),IF(AF592&gt;=U592,1,0))))</f>
        <v/>
      </c>
      <c r="AH592" s="44">
        <f>IF(AF592&gt;0,(AD592-AE592)/AF592,"")</f>
        <v/>
      </c>
      <c r="AI592" s="45">
        <f>IF(AG592=1,AH592-O592,"")</f>
        <v/>
      </c>
      <c r="AJ592" s="44">
        <f>IF(AG592=1,AH592,MAX(-1,MIN(1,O592+INDEX(Types!$H:$H,MATCH($A592&amp;"|"&amp;$D592,Types!$A:$A,0)))))</f>
        <v/>
      </c>
      <c r="AK592" s="43">
        <f>IF(AG592=1,AF592,MAX(AQ592*AS592,AF592))</f>
        <v/>
      </c>
      <c r="AL592" s="43">
        <f>IF(AG592=1,AD592,AK592*(1+AJ592)/2)</f>
        <v/>
      </c>
      <c r="AM592" s="43">
        <f>IF(AG592=1,AE592,AK592*(1-AJ592)/2)</f>
        <v/>
      </c>
      <c r="AN592" s="45">
        <f>IF(AH592="","",AH592-T592)</f>
        <v/>
      </c>
      <c r="AO592" s="51">
        <f>IF(AG592=1,1,IF(U592&gt;0,MIN(AF592/U592,0.99),0))</f>
        <v/>
      </c>
      <c r="AP592" s="43">
        <f>IF(AG592=1,AI592*AF592,0)</f>
        <v/>
      </c>
      <c r="AQ592" s="43">
        <f>N592*(F592+G592)/H592</f>
        <v/>
      </c>
      <c r="AR592" s="43">
        <f>O592*AQ592</f>
        <v/>
      </c>
      <c r="AS592" s="52">
        <f>IF(AG592=1,IF(AQ592&gt;0,AF592/AQ592,1),IFERROR(INDEX(Types!$K:$K,MATCH($A592&amp;"|"&amp;$D592,Types!$A:$A,0)),INDEX(Dashboard!$X$6:$X$22,MATCH($A592,Dashboard!$A$6:$A$22,0))))</f>
        <v/>
      </c>
      <c r="AT592" s="43">
        <f>AQ592*INDEX(Dashboard!$Y$6:$Y$22,MATCH($A592,Dashboard!$A$6:$A$22,0))</f>
        <v/>
      </c>
      <c r="AU592" s="53">
        <f>IF(AND(AG592=1,AT592&gt;0,AF592&gt;0),100*AF592/AT592,"")</f>
        <v/>
      </c>
      <c r="AV592" s="44">
        <f>IF(AU592="","",T592/(AU592/100))</f>
        <v/>
      </c>
      <c r="AW592" s="53">
        <f>IF(AU592="","",IF(AND(ABS(AH592)&gt;=0.1,ABS(T592)&gt;=0.05,SIGN(AH592)=SIGN(T592)),100*T592/AH592,""))</f>
        <v/>
      </c>
      <c r="AX592" s="45">
        <f>IF(AU592="","",T592-AV592)</f>
        <v/>
      </c>
      <c r="AY592" s="45">
        <f>IF(AU592="","",AH592-AV592)</f>
        <v/>
      </c>
      <c r="AZ592" s="54">
        <f>(AL592-AM592)-T592*AT592</f>
        <v/>
      </c>
      <c r="BA592" s="43">
        <f>IF(AU592="",0,(AH592-T592)*AF592)</f>
        <v/>
      </c>
      <c r="BB592" s="43">
        <f>IF(AU592="",0,T592*(AF592-AT592))</f>
        <v/>
      </c>
      <c r="BC592" s="51" t="n">
        <v>0.1236560714808847</v>
      </c>
      <c r="BD592" s="51" t="n">
        <v>0.03861139592793321</v>
      </c>
      <c r="BE592" s="51" t="n">
        <v>0.1843561472852091</v>
      </c>
      <c r="BF592" s="43" t="n">
        <v>34135</v>
      </c>
    </row>
    <row r="593">
      <c r="A593" s="42" t="inlineStr">
        <is>
          <t>MS</t>
        </is>
      </c>
      <c r="B593" s="42" t="inlineStr">
        <is>
          <t>28005</t>
        </is>
      </c>
      <c r="C593" s="42" t="inlineStr">
        <is>
          <t>Amite</t>
        </is>
      </c>
      <c r="D593" s="42" t="inlineStr">
        <is>
          <t>Small town &amp; rural</t>
        </is>
      </c>
      <c r="E593" s="42" t="inlineStr"/>
      <c r="F593" s="43" t="n">
        <v>2246</v>
      </c>
      <c r="G593" s="43" t="n">
        <v>4484</v>
      </c>
      <c r="H593" s="43" t="n">
        <v>6815</v>
      </c>
      <c r="I593" s="43" t="n">
        <v>2620</v>
      </c>
      <c r="J593" s="43" t="n">
        <v>4503</v>
      </c>
      <c r="K593" s="42" t="inlineStr">
        <is>
          <t>US House</t>
        </is>
      </c>
      <c r="L593" s="43" t="n">
        <v>1538</v>
      </c>
      <c r="M593" s="43" t="n">
        <v>3127</v>
      </c>
      <c r="N593" s="43" t="n">
        <v>4665</v>
      </c>
      <c r="O593" s="44">
        <f>IFERROR((F593-G593)/(F593+G593),"")</f>
        <v/>
      </c>
      <c r="P593" s="44">
        <f>IFERROR((I593-J593)/(I593+J593),"")</f>
        <v/>
      </c>
      <c r="Q593" s="45">
        <f>IFERROR(O593-P593,"")</f>
        <v/>
      </c>
      <c r="R593" s="44">
        <f>IFERROR((L593-M593)/(L593+M593),"")</f>
        <v/>
      </c>
      <c r="S593" s="46">
        <f>H593/SUMIFS(Counties!$H$2:$H$1583,Counties!$A$2:$A$1583,$A593)</f>
        <v/>
      </c>
      <c r="T593" s="44">
        <f>O593+INDEX(Dashboard!$F$6:$F$22,MATCH($A593,Dashboard!$A$6:$A$22,0))</f>
        <v/>
      </c>
      <c r="U593" s="43">
        <f>AQ593*INDEX(Dashboard!$G$6:$G$22,MATCH($A593,Dashboard!$A$6:$A$22,0))</f>
        <v/>
      </c>
      <c r="V593" s="47" t="n"/>
      <c r="W593" s="47" t="n"/>
      <c r="X593" s="47" t="n"/>
      <c r="Y593" s="48" t="n"/>
      <c r="Z593" s="49" t="n"/>
      <c r="AA593" s="49" t="n"/>
      <c r="AB593" s="49" t="n"/>
      <c r="AC593" s="50" t="n"/>
      <c r="AD593" s="43">
        <f>IF(Z593&lt;&gt;"",Z593,N(V593))</f>
        <v/>
      </c>
      <c r="AE593" s="43">
        <f>IF(AA593&lt;&gt;"",AA593,N(W593))</f>
        <v/>
      </c>
      <c r="AF593" s="43">
        <f>AD593+AE593</f>
        <v/>
      </c>
      <c r="AG593" s="42">
        <f>IF(UPPER(AC593)="Y",1,IF(AF593=0,0,IF(AND(Z593="",Y593&lt;&gt;""),IF(Y593&gt;=0.999,1,0),IF(AF593&gt;=U593,1,0))))</f>
        <v/>
      </c>
      <c r="AH593" s="44">
        <f>IF(AF593&gt;0,(AD593-AE593)/AF593,"")</f>
        <v/>
      </c>
      <c r="AI593" s="45">
        <f>IF(AG593=1,AH593-O593,"")</f>
        <v/>
      </c>
      <c r="AJ593" s="44">
        <f>IF(AG593=1,AH593,MAX(-1,MIN(1,O593+INDEX(Types!$H:$H,MATCH($A593&amp;"|"&amp;$D593,Types!$A:$A,0)))))</f>
        <v/>
      </c>
      <c r="AK593" s="43">
        <f>IF(AG593=1,AF593,MAX(AQ593*AS593,AF593))</f>
        <v/>
      </c>
      <c r="AL593" s="43">
        <f>IF(AG593=1,AD593,AK593*(1+AJ593)/2)</f>
        <v/>
      </c>
      <c r="AM593" s="43">
        <f>IF(AG593=1,AE593,AK593*(1-AJ593)/2)</f>
        <v/>
      </c>
      <c r="AN593" s="45">
        <f>IF(AH593="","",AH593-T593)</f>
        <v/>
      </c>
      <c r="AO593" s="51">
        <f>IF(AG593=1,1,IF(U593&gt;0,MIN(AF593/U593,0.99),0))</f>
        <v/>
      </c>
      <c r="AP593" s="43">
        <f>IF(AG593=1,AI593*AF593,0)</f>
        <v/>
      </c>
      <c r="AQ593" s="43">
        <f>N593*(F593+G593)/H593</f>
        <v/>
      </c>
      <c r="AR593" s="43">
        <f>O593*AQ593</f>
        <v/>
      </c>
      <c r="AS593" s="52">
        <f>IF(AG593=1,IF(AQ593&gt;0,AF593/AQ593,1),IFERROR(INDEX(Types!$K:$K,MATCH($A593&amp;"|"&amp;$D593,Types!$A:$A,0)),INDEX(Dashboard!$X$6:$X$22,MATCH($A593,Dashboard!$A$6:$A$22,0))))</f>
        <v/>
      </c>
      <c r="AT593" s="43">
        <f>AQ593*INDEX(Dashboard!$Y$6:$Y$22,MATCH($A593,Dashboard!$A$6:$A$22,0))</f>
        <v/>
      </c>
      <c r="AU593" s="53">
        <f>IF(AND(AG593=1,AT593&gt;0,AF593&gt;0),100*AF593/AT593,"")</f>
        <v/>
      </c>
      <c r="AV593" s="44">
        <f>IF(AU593="","",T593/(AU593/100))</f>
        <v/>
      </c>
      <c r="AW593" s="53">
        <f>IF(AU593="","",IF(AND(ABS(AH593)&gt;=0.1,ABS(T593)&gt;=0.05,SIGN(AH593)=SIGN(T593)),100*T593/AH593,""))</f>
        <v/>
      </c>
      <c r="AX593" s="45">
        <f>IF(AU593="","",T593-AV593)</f>
        <v/>
      </c>
      <c r="AY593" s="45">
        <f>IF(AU593="","",AH593-AV593)</f>
        <v/>
      </c>
      <c r="AZ593" s="54">
        <f>(AL593-AM593)-T593*AT593</f>
        <v/>
      </c>
      <c r="BA593" s="43">
        <f>IF(AU593="",0,(AH593-T593)*AF593)</f>
        <v/>
      </c>
      <c r="BB593" s="43">
        <f>IF(AU593="",0,T593*(AF593-AT593))</f>
        <v/>
      </c>
      <c r="BC593" s="51" t="n">
        <v>0.3804854524995981</v>
      </c>
      <c r="BD593" s="51" t="n">
        <v>0.01438675454107057</v>
      </c>
      <c r="BE593" s="51" t="n">
        <v>0.07985460953849544</v>
      </c>
      <c r="BF593" s="43" t="n">
        <v>12442</v>
      </c>
    </row>
    <row r="594">
      <c r="A594" s="42" t="inlineStr">
        <is>
          <t>MS</t>
        </is>
      </c>
      <c r="B594" s="42" t="inlineStr">
        <is>
          <t>28007</t>
        </is>
      </c>
      <c r="C594" s="42" t="inlineStr">
        <is>
          <t>Attala</t>
        </is>
      </c>
      <c r="D594" s="42" t="inlineStr">
        <is>
          <t>Black Belt</t>
        </is>
      </c>
      <c r="E594" s="42" t="inlineStr"/>
      <c r="F594" s="43" t="n">
        <v>2930</v>
      </c>
      <c r="G594" s="43" t="n">
        <v>4723</v>
      </c>
      <c r="H594" s="43" t="n">
        <v>7703</v>
      </c>
      <c r="I594" s="43" t="n">
        <v>3542</v>
      </c>
      <c r="J594" s="43" t="n">
        <v>5178</v>
      </c>
      <c r="K594" s="42" t="inlineStr">
        <is>
          <t>US House</t>
        </is>
      </c>
      <c r="L594" s="43" t="n">
        <v>2008</v>
      </c>
      <c r="M594" s="43" t="n">
        <v>3194</v>
      </c>
      <c r="N594" s="43" t="n">
        <v>5202</v>
      </c>
      <c r="O594" s="44">
        <f>IFERROR((F594-G594)/(F594+G594),"")</f>
        <v/>
      </c>
      <c r="P594" s="44">
        <f>IFERROR((I594-J594)/(I594+J594),"")</f>
        <v/>
      </c>
      <c r="Q594" s="45">
        <f>IFERROR(O594-P594,"")</f>
        <v/>
      </c>
      <c r="R594" s="44">
        <f>IFERROR((L594-M594)/(L594+M594),"")</f>
        <v/>
      </c>
      <c r="S594" s="46">
        <f>H594/SUMIFS(Counties!$H$2:$H$1583,Counties!$A$2:$A$1583,$A594)</f>
        <v/>
      </c>
      <c r="T594" s="44">
        <f>O594+INDEX(Dashboard!$F$6:$F$22,MATCH($A594,Dashboard!$A$6:$A$22,0))</f>
        <v/>
      </c>
      <c r="U594" s="43">
        <f>AQ594*INDEX(Dashboard!$G$6:$G$22,MATCH($A594,Dashboard!$A$6:$A$22,0))</f>
        <v/>
      </c>
      <c r="V594" s="47" t="n"/>
      <c r="W594" s="47" t="n"/>
      <c r="X594" s="47" t="n"/>
      <c r="Y594" s="48" t="n"/>
      <c r="Z594" s="49" t="n"/>
      <c r="AA594" s="49" t="n"/>
      <c r="AB594" s="49" t="n"/>
      <c r="AC594" s="50" t="n"/>
      <c r="AD594" s="43">
        <f>IF(Z594&lt;&gt;"",Z594,N(V594))</f>
        <v/>
      </c>
      <c r="AE594" s="43">
        <f>IF(AA594&lt;&gt;"",AA594,N(W594))</f>
        <v/>
      </c>
      <c r="AF594" s="43">
        <f>AD594+AE594</f>
        <v/>
      </c>
      <c r="AG594" s="42">
        <f>IF(UPPER(AC594)="Y",1,IF(AF594=0,0,IF(AND(Z594="",Y594&lt;&gt;""),IF(Y594&gt;=0.999,1,0),IF(AF594&gt;=U594,1,0))))</f>
        <v/>
      </c>
      <c r="AH594" s="44">
        <f>IF(AF594&gt;0,(AD594-AE594)/AF594,"")</f>
        <v/>
      </c>
      <c r="AI594" s="45">
        <f>IF(AG594=1,AH594-O594,"")</f>
        <v/>
      </c>
      <c r="AJ594" s="44">
        <f>IF(AG594=1,AH594,MAX(-1,MIN(1,O594+INDEX(Types!$H:$H,MATCH($A594&amp;"|"&amp;$D594,Types!$A:$A,0)))))</f>
        <v/>
      </c>
      <c r="AK594" s="43">
        <f>IF(AG594=1,AF594,MAX(AQ594*AS594,AF594))</f>
        <v/>
      </c>
      <c r="AL594" s="43">
        <f>IF(AG594=1,AD594,AK594*(1+AJ594)/2)</f>
        <v/>
      </c>
      <c r="AM594" s="43">
        <f>IF(AG594=1,AE594,AK594*(1-AJ594)/2)</f>
        <v/>
      </c>
      <c r="AN594" s="45">
        <f>IF(AH594="","",AH594-T594)</f>
        <v/>
      </c>
      <c r="AO594" s="51">
        <f>IF(AG594=1,1,IF(U594&gt;0,MIN(AF594/U594,0.99),0))</f>
        <v/>
      </c>
      <c r="AP594" s="43">
        <f>IF(AG594=1,AI594*AF594,0)</f>
        <v/>
      </c>
      <c r="AQ594" s="43">
        <f>N594*(F594+G594)/H594</f>
        <v/>
      </c>
      <c r="AR594" s="43">
        <f>O594*AQ594</f>
        <v/>
      </c>
      <c r="AS594" s="52">
        <f>IF(AG594=1,IF(AQ594&gt;0,AF594/AQ594,1),IFERROR(INDEX(Types!$K:$K,MATCH($A594&amp;"|"&amp;$D594,Types!$A:$A,0)),INDEX(Dashboard!$X$6:$X$22,MATCH($A594,Dashboard!$A$6:$A$22,0))))</f>
        <v/>
      </c>
      <c r="AT594" s="43">
        <f>AQ594*INDEX(Dashboard!$Y$6:$Y$22,MATCH($A594,Dashboard!$A$6:$A$22,0))</f>
        <v/>
      </c>
      <c r="AU594" s="53">
        <f>IF(AND(AG594=1,AT594&gt;0,AF594&gt;0),100*AF594/AT594,"")</f>
        <v/>
      </c>
      <c r="AV594" s="44">
        <f>IF(AU594="","",T594/(AU594/100))</f>
        <v/>
      </c>
      <c r="AW594" s="53">
        <f>IF(AU594="","",IF(AND(ABS(AH594)&gt;=0.1,ABS(T594)&gt;=0.05,SIGN(AH594)=SIGN(T594)),100*T594/AH594,""))</f>
        <v/>
      </c>
      <c r="AX594" s="45">
        <f>IF(AU594="","",T594-AV594)</f>
        <v/>
      </c>
      <c r="AY594" s="45">
        <f>IF(AU594="","",AH594-AV594)</f>
        <v/>
      </c>
      <c r="AZ594" s="54">
        <f>(AL594-AM594)-T594*AT594</f>
        <v/>
      </c>
      <c r="BA594" s="43">
        <f>IF(AU594="",0,(AH594-T594)*AF594)</f>
        <v/>
      </c>
      <c r="BB594" s="43">
        <f>IF(AU594="",0,T594*(AF594-AT594))</f>
        <v/>
      </c>
      <c r="BC594" s="51" t="n">
        <v>0.4439195806210035</v>
      </c>
      <c r="BD594" s="51" t="n">
        <v>0.0213721988593813</v>
      </c>
      <c r="BE594" s="51" t="n">
        <v>0.1576742197520308</v>
      </c>
      <c r="BF594" s="43" t="n">
        <v>17359</v>
      </c>
    </row>
    <row r="595">
      <c r="A595" s="42" t="inlineStr">
        <is>
          <t>MS</t>
        </is>
      </c>
      <c r="B595" s="42" t="inlineStr">
        <is>
          <t>28009</t>
        </is>
      </c>
      <c r="C595" s="42" t="inlineStr">
        <is>
          <t>Benton</t>
        </is>
      </c>
      <c r="D595" s="42" t="inlineStr">
        <is>
          <t>Small town &amp; rural</t>
        </is>
      </c>
      <c r="E595" s="42" t="inlineStr"/>
      <c r="F595" s="43" t="n">
        <v>1318</v>
      </c>
      <c r="G595" s="43" t="n">
        <v>2535</v>
      </c>
      <c r="H595" s="43" t="n">
        <v>3880</v>
      </c>
      <c r="I595" s="43" t="n">
        <v>1679</v>
      </c>
      <c r="J595" s="43" t="n">
        <v>2570</v>
      </c>
      <c r="K595" s="42" t="inlineStr">
        <is>
          <t>US House</t>
        </is>
      </c>
      <c r="L595" s="43" t="n">
        <v>772</v>
      </c>
      <c r="M595" s="43" t="n">
        <v>1383</v>
      </c>
      <c r="N595" s="43" t="n">
        <v>2155</v>
      </c>
      <c r="O595" s="44">
        <f>IFERROR((F595-G595)/(F595+G595),"")</f>
        <v/>
      </c>
      <c r="P595" s="44">
        <f>IFERROR((I595-J595)/(I595+J595),"")</f>
        <v/>
      </c>
      <c r="Q595" s="45">
        <f>IFERROR(O595-P595,"")</f>
        <v/>
      </c>
      <c r="R595" s="44">
        <f>IFERROR((L595-M595)/(L595+M595),"")</f>
        <v/>
      </c>
      <c r="S595" s="46">
        <f>H595/SUMIFS(Counties!$H$2:$H$1583,Counties!$A$2:$A$1583,$A595)</f>
        <v/>
      </c>
      <c r="T595" s="44">
        <f>O595+INDEX(Dashboard!$F$6:$F$22,MATCH($A595,Dashboard!$A$6:$A$22,0))</f>
        <v/>
      </c>
      <c r="U595" s="43">
        <f>AQ595*INDEX(Dashboard!$G$6:$G$22,MATCH($A595,Dashboard!$A$6:$A$22,0))</f>
        <v/>
      </c>
      <c r="V595" s="47" t="n"/>
      <c r="W595" s="47" t="n"/>
      <c r="X595" s="47" t="n"/>
      <c r="Y595" s="48" t="n"/>
      <c r="Z595" s="49" t="n"/>
      <c r="AA595" s="49" t="n"/>
      <c r="AB595" s="49" t="n"/>
      <c r="AC595" s="50" t="n"/>
      <c r="AD595" s="43">
        <f>IF(Z595&lt;&gt;"",Z595,N(V595))</f>
        <v/>
      </c>
      <c r="AE595" s="43">
        <f>IF(AA595&lt;&gt;"",AA595,N(W595))</f>
        <v/>
      </c>
      <c r="AF595" s="43">
        <f>AD595+AE595</f>
        <v/>
      </c>
      <c r="AG595" s="42">
        <f>IF(UPPER(AC595)="Y",1,IF(AF595=0,0,IF(AND(Z595="",Y595&lt;&gt;""),IF(Y595&gt;=0.999,1,0),IF(AF595&gt;=U595,1,0))))</f>
        <v/>
      </c>
      <c r="AH595" s="44">
        <f>IF(AF595&gt;0,(AD595-AE595)/AF595,"")</f>
        <v/>
      </c>
      <c r="AI595" s="45">
        <f>IF(AG595=1,AH595-O595,"")</f>
        <v/>
      </c>
      <c r="AJ595" s="44">
        <f>IF(AG595=1,AH595,MAX(-1,MIN(1,O595+INDEX(Types!$H:$H,MATCH($A595&amp;"|"&amp;$D595,Types!$A:$A,0)))))</f>
        <v/>
      </c>
      <c r="AK595" s="43">
        <f>IF(AG595=1,AF595,MAX(AQ595*AS595,AF595))</f>
        <v/>
      </c>
      <c r="AL595" s="43">
        <f>IF(AG595=1,AD595,AK595*(1+AJ595)/2)</f>
        <v/>
      </c>
      <c r="AM595" s="43">
        <f>IF(AG595=1,AE595,AK595*(1-AJ595)/2)</f>
        <v/>
      </c>
      <c r="AN595" s="45">
        <f>IF(AH595="","",AH595-T595)</f>
        <v/>
      </c>
      <c r="AO595" s="51">
        <f>IF(AG595=1,1,IF(U595&gt;0,MIN(AF595/U595,0.99),0))</f>
        <v/>
      </c>
      <c r="AP595" s="43">
        <f>IF(AG595=1,AI595*AF595,0)</f>
        <v/>
      </c>
      <c r="AQ595" s="43">
        <f>N595*(F595+G595)/H595</f>
        <v/>
      </c>
      <c r="AR595" s="43">
        <f>O595*AQ595</f>
        <v/>
      </c>
      <c r="AS595" s="52">
        <f>IF(AG595=1,IF(AQ595&gt;0,AF595/AQ595,1),IFERROR(INDEX(Types!$K:$K,MATCH($A595&amp;"|"&amp;$D595,Types!$A:$A,0)),INDEX(Dashboard!$X$6:$X$22,MATCH($A595,Dashboard!$A$6:$A$22,0))))</f>
        <v/>
      </c>
      <c r="AT595" s="43">
        <f>AQ595*INDEX(Dashboard!$Y$6:$Y$22,MATCH($A595,Dashboard!$A$6:$A$22,0))</f>
        <v/>
      </c>
      <c r="AU595" s="53">
        <f>IF(AND(AG595=1,AT595&gt;0,AF595&gt;0),100*AF595/AT595,"")</f>
        <v/>
      </c>
      <c r="AV595" s="44">
        <f>IF(AU595="","",T595/(AU595/100))</f>
        <v/>
      </c>
      <c r="AW595" s="53">
        <f>IF(AU595="","",IF(AND(ABS(AH595)&gt;=0.1,ABS(T595)&gt;=0.05,SIGN(AH595)=SIGN(T595)),100*T595/AH595,""))</f>
        <v/>
      </c>
      <c r="AX595" s="45">
        <f>IF(AU595="","",T595-AV595)</f>
        <v/>
      </c>
      <c r="AY595" s="45">
        <f>IF(AU595="","",AH595-AV595)</f>
        <v/>
      </c>
      <c r="AZ595" s="54">
        <f>(AL595-AM595)-T595*AT595</f>
        <v/>
      </c>
      <c r="BA595" s="43">
        <f>IF(AU595="",0,(AH595-T595)*AF595)</f>
        <v/>
      </c>
      <c r="BB595" s="43">
        <f>IF(AU595="",0,T595*(AF595-AT595))</f>
        <v/>
      </c>
      <c r="BC595" s="51" t="n">
        <v>0.3425652057004571</v>
      </c>
      <c r="BD595" s="51" t="n">
        <v>0.02554450121000269</v>
      </c>
      <c r="BE595" s="51" t="n">
        <v>0.1211174416467561</v>
      </c>
      <c r="BF595" s="43" t="n">
        <v>7438</v>
      </c>
    </row>
    <row r="596">
      <c r="A596" s="42" t="inlineStr">
        <is>
          <t>MS</t>
        </is>
      </c>
      <c r="B596" s="42" t="inlineStr">
        <is>
          <t>28011</t>
        </is>
      </c>
      <c r="C596" s="42" t="inlineStr">
        <is>
          <t>Bolivar</t>
        </is>
      </c>
      <c r="D596" s="42" t="inlineStr">
        <is>
          <t>Black Belt</t>
        </is>
      </c>
      <c r="E596" s="42" t="inlineStr"/>
      <c r="F596" s="43" t="n">
        <v>6419</v>
      </c>
      <c r="G596" s="43" t="n">
        <v>3943</v>
      </c>
      <c r="H596" s="43" t="n">
        <v>10435</v>
      </c>
      <c r="I596" s="43" t="n">
        <v>8904</v>
      </c>
      <c r="J596" s="43" t="n">
        <v>4671</v>
      </c>
      <c r="K596" s="42" t="inlineStr">
        <is>
          <t>US House</t>
        </is>
      </c>
      <c r="L596" s="43" t="n">
        <v>4912</v>
      </c>
      <c r="M596" s="43" t="n">
        <v>2753</v>
      </c>
      <c r="N596" s="43" t="n">
        <v>7665</v>
      </c>
      <c r="O596" s="44">
        <f>IFERROR((F596-G596)/(F596+G596),"")</f>
        <v/>
      </c>
      <c r="P596" s="44">
        <f>IFERROR((I596-J596)/(I596+J596),"")</f>
        <v/>
      </c>
      <c r="Q596" s="45">
        <f>IFERROR(O596-P596,"")</f>
        <v/>
      </c>
      <c r="R596" s="44">
        <f>IFERROR((L596-M596)/(L596+M596),"")</f>
        <v/>
      </c>
      <c r="S596" s="46">
        <f>H596/SUMIFS(Counties!$H$2:$H$1583,Counties!$A$2:$A$1583,$A596)</f>
        <v/>
      </c>
      <c r="T596" s="44">
        <f>O596+INDEX(Dashboard!$F$6:$F$22,MATCH($A596,Dashboard!$A$6:$A$22,0))</f>
        <v/>
      </c>
      <c r="U596" s="43">
        <f>AQ596*INDEX(Dashboard!$G$6:$G$22,MATCH($A596,Dashboard!$A$6:$A$22,0))</f>
        <v/>
      </c>
      <c r="V596" s="47" t="n"/>
      <c r="W596" s="47" t="n"/>
      <c r="X596" s="47" t="n"/>
      <c r="Y596" s="48" t="n"/>
      <c r="Z596" s="49" t="n"/>
      <c r="AA596" s="49" t="n"/>
      <c r="AB596" s="49" t="n"/>
      <c r="AC596" s="50" t="n"/>
      <c r="AD596" s="43">
        <f>IF(Z596&lt;&gt;"",Z596,N(V596))</f>
        <v/>
      </c>
      <c r="AE596" s="43">
        <f>IF(AA596&lt;&gt;"",AA596,N(W596))</f>
        <v/>
      </c>
      <c r="AF596" s="43">
        <f>AD596+AE596</f>
        <v/>
      </c>
      <c r="AG596" s="42">
        <f>IF(UPPER(AC596)="Y",1,IF(AF596=0,0,IF(AND(Z596="",Y596&lt;&gt;""),IF(Y596&gt;=0.999,1,0),IF(AF596&gt;=U596,1,0))))</f>
        <v/>
      </c>
      <c r="AH596" s="44">
        <f>IF(AF596&gt;0,(AD596-AE596)/AF596,"")</f>
        <v/>
      </c>
      <c r="AI596" s="45">
        <f>IF(AG596=1,AH596-O596,"")</f>
        <v/>
      </c>
      <c r="AJ596" s="44">
        <f>IF(AG596=1,AH596,MAX(-1,MIN(1,O596+INDEX(Types!$H:$H,MATCH($A596&amp;"|"&amp;$D596,Types!$A:$A,0)))))</f>
        <v/>
      </c>
      <c r="AK596" s="43">
        <f>IF(AG596=1,AF596,MAX(AQ596*AS596,AF596))</f>
        <v/>
      </c>
      <c r="AL596" s="43">
        <f>IF(AG596=1,AD596,AK596*(1+AJ596)/2)</f>
        <v/>
      </c>
      <c r="AM596" s="43">
        <f>IF(AG596=1,AE596,AK596*(1-AJ596)/2)</f>
        <v/>
      </c>
      <c r="AN596" s="45">
        <f>IF(AH596="","",AH596-T596)</f>
        <v/>
      </c>
      <c r="AO596" s="51">
        <f>IF(AG596=1,1,IF(U596&gt;0,MIN(AF596/U596,0.99),0))</f>
        <v/>
      </c>
      <c r="AP596" s="43">
        <f>IF(AG596=1,AI596*AF596,0)</f>
        <v/>
      </c>
      <c r="AQ596" s="43">
        <f>N596*(F596+G596)/H596</f>
        <v/>
      </c>
      <c r="AR596" s="43">
        <f>O596*AQ596</f>
        <v/>
      </c>
      <c r="AS596" s="52">
        <f>IF(AG596=1,IF(AQ596&gt;0,AF596/AQ596,1),IFERROR(INDEX(Types!$K:$K,MATCH($A596&amp;"|"&amp;$D596,Types!$A:$A,0)),INDEX(Dashboard!$X$6:$X$22,MATCH($A596,Dashboard!$A$6:$A$22,0))))</f>
        <v/>
      </c>
      <c r="AT596" s="43">
        <f>AQ596*INDEX(Dashboard!$Y$6:$Y$22,MATCH($A596,Dashboard!$A$6:$A$22,0))</f>
        <v/>
      </c>
      <c r="AU596" s="53">
        <f>IF(AND(AG596=1,AT596&gt;0,AF596&gt;0),100*AF596/AT596,"")</f>
        <v/>
      </c>
      <c r="AV596" s="44">
        <f>IF(AU596="","",T596/(AU596/100))</f>
        <v/>
      </c>
      <c r="AW596" s="53">
        <f>IF(AU596="","",IF(AND(ABS(AH596)&gt;=0.1,ABS(T596)&gt;=0.05,SIGN(AH596)=SIGN(T596)),100*T596/AH596,""))</f>
        <v/>
      </c>
      <c r="AX596" s="45">
        <f>IF(AU596="","",T596-AV596)</f>
        <v/>
      </c>
      <c r="AY596" s="45">
        <f>IF(AU596="","",AH596-AV596)</f>
        <v/>
      </c>
      <c r="AZ596" s="54">
        <f>(AL596-AM596)-T596*AT596</f>
        <v/>
      </c>
      <c r="BA596" s="43">
        <f>IF(AU596="",0,(AH596-T596)*AF596)</f>
        <v/>
      </c>
      <c r="BB596" s="43">
        <f>IF(AU596="",0,T596*(AF596-AT596))</f>
        <v/>
      </c>
      <c r="BC596" s="51" t="n">
        <v>0.6302471692902513</v>
      </c>
      <c r="BD596" s="51" t="n">
        <v>0.02782380557856946</v>
      </c>
      <c r="BE596" s="51" t="n">
        <v>0.2655135791230466</v>
      </c>
      <c r="BF596" s="43" t="n">
        <v>28968</v>
      </c>
    </row>
    <row r="597">
      <c r="A597" s="42" t="inlineStr">
        <is>
          <t>MS</t>
        </is>
      </c>
      <c r="B597" s="42" t="inlineStr">
        <is>
          <t>28013</t>
        </is>
      </c>
      <c r="C597" s="42" t="inlineStr">
        <is>
          <t>Calhoun</t>
        </is>
      </c>
      <c r="D597" s="42" t="inlineStr">
        <is>
          <t>Small town &amp; rural</t>
        </is>
      </c>
      <c r="E597" s="42" t="inlineStr"/>
      <c r="F597" s="43" t="n">
        <v>1547</v>
      </c>
      <c r="G597" s="43" t="n">
        <v>4443</v>
      </c>
      <c r="H597" s="43" t="n">
        <v>6034</v>
      </c>
      <c r="I597" s="43" t="n">
        <v>1902</v>
      </c>
      <c r="J597" s="43" t="n">
        <v>4625</v>
      </c>
      <c r="K597" s="42" t="inlineStr">
        <is>
          <t>US House</t>
        </is>
      </c>
      <c r="L597" s="43" t="n">
        <v>664</v>
      </c>
      <c r="M597" s="43" t="n">
        <v>2789</v>
      </c>
      <c r="N597" s="43" t="n">
        <v>3453</v>
      </c>
      <c r="O597" s="44">
        <f>IFERROR((F597-G597)/(F597+G597),"")</f>
        <v/>
      </c>
      <c r="P597" s="44">
        <f>IFERROR((I597-J597)/(I597+J597),"")</f>
        <v/>
      </c>
      <c r="Q597" s="45">
        <f>IFERROR(O597-P597,"")</f>
        <v/>
      </c>
      <c r="R597" s="44">
        <f>IFERROR((L597-M597)/(L597+M597),"")</f>
        <v/>
      </c>
      <c r="S597" s="46">
        <f>H597/SUMIFS(Counties!$H$2:$H$1583,Counties!$A$2:$A$1583,$A597)</f>
        <v/>
      </c>
      <c r="T597" s="44">
        <f>O597+INDEX(Dashboard!$F$6:$F$22,MATCH($A597,Dashboard!$A$6:$A$22,0))</f>
        <v/>
      </c>
      <c r="U597" s="43">
        <f>AQ597*INDEX(Dashboard!$G$6:$G$22,MATCH($A597,Dashboard!$A$6:$A$22,0))</f>
        <v/>
      </c>
      <c r="V597" s="47" t="n"/>
      <c r="W597" s="47" t="n"/>
      <c r="X597" s="47" t="n"/>
      <c r="Y597" s="48" t="n"/>
      <c r="Z597" s="49" t="n"/>
      <c r="AA597" s="49" t="n"/>
      <c r="AB597" s="49" t="n"/>
      <c r="AC597" s="50" t="n"/>
      <c r="AD597" s="43">
        <f>IF(Z597&lt;&gt;"",Z597,N(V597))</f>
        <v/>
      </c>
      <c r="AE597" s="43">
        <f>IF(AA597&lt;&gt;"",AA597,N(W597))</f>
        <v/>
      </c>
      <c r="AF597" s="43">
        <f>AD597+AE597</f>
        <v/>
      </c>
      <c r="AG597" s="42">
        <f>IF(UPPER(AC597)="Y",1,IF(AF597=0,0,IF(AND(Z597="",Y597&lt;&gt;""),IF(Y597&gt;=0.999,1,0),IF(AF597&gt;=U597,1,0))))</f>
        <v/>
      </c>
      <c r="AH597" s="44">
        <f>IF(AF597&gt;0,(AD597-AE597)/AF597,"")</f>
        <v/>
      </c>
      <c r="AI597" s="45">
        <f>IF(AG597=1,AH597-O597,"")</f>
        <v/>
      </c>
      <c r="AJ597" s="44">
        <f>IF(AG597=1,AH597,MAX(-1,MIN(1,O597+INDEX(Types!$H:$H,MATCH($A597&amp;"|"&amp;$D597,Types!$A:$A,0)))))</f>
        <v/>
      </c>
      <c r="AK597" s="43">
        <f>IF(AG597=1,AF597,MAX(AQ597*AS597,AF597))</f>
        <v/>
      </c>
      <c r="AL597" s="43">
        <f>IF(AG597=1,AD597,AK597*(1+AJ597)/2)</f>
        <v/>
      </c>
      <c r="AM597" s="43">
        <f>IF(AG597=1,AE597,AK597*(1-AJ597)/2)</f>
        <v/>
      </c>
      <c r="AN597" s="45">
        <f>IF(AH597="","",AH597-T597)</f>
        <v/>
      </c>
      <c r="AO597" s="51">
        <f>IF(AG597=1,1,IF(U597&gt;0,MIN(AF597/U597,0.99),0))</f>
        <v/>
      </c>
      <c r="AP597" s="43">
        <f>IF(AG597=1,AI597*AF597,0)</f>
        <v/>
      </c>
      <c r="AQ597" s="43">
        <f>N597*(F597+G597)/H597</f>
        <v/>
      </c>
      <c r="AR597" s="43">
        <f>O597*AQ597</f>
        <v/>
      </c>
      <c r="AS597" s="52">
        <f>IF(AG597=1,IF(AQ597&gt;0,AF597/AQ597,1),IFERROR(INDEX(Types!$K:$K,MATCH($A597&amp;"|"&amp;$D597,Types!$A:$A,0)),INDEX(Dashboard!$X$6:$X$22,MATCH($A597,Dashboard!$A$6:$A$22,0))))</f>
        <v/>
      </c>
      <c r="AT597" s="43">
        <f>AQ597*INDEX(Dashboard!$Y$6:$Y$22,MATCH($A597,Dashboard!$A$6:$A$22,0))</f>
        <v/>
      </c>
      <c r="AU597" s="53">
        <f>IF(AND(AG597=1,AT597&gt;0,AF597&gt;0),100*AF597/AT597,"")</f>
        <v/>
      </c>
      <c r="AV597" s="44">
        <f>IF(AU597="","",T597/(AU597/100))</f>
        <v/>
      </c>
      <c r="AW597" s="53">
        <f>IF(AU597="","",IF(AND(ABS(AH597)&gt;=0.1,ABS(T597)&gt;=0.05,SIGN(AH597)=SIGN(T597)),100*T597/AH597,""))</f>
        <v/>
      </c>
      <c r="AX597" s="45">
        <f>IF(AU597="","",T597-AV597)</f>
        <v/>
      </c>
      <c r="AY597" s="45">
        <f>IF(AU597="","",AH597-AV597)</f>
        <v/>
      </c>
      <c r="AZ597" s="54">
        <f>(AL597-AM597)-T597*AT597</f>
        <v/>
      </c>
      <c r="BA597" s="43">
        <f>IF(AU597="",0,(AH597-T597)*AF597)</f>
        <v/>
      </c>
      <c r="BB597" s="43">
        <f>IF(AU597="",0,T597*(AF597-AT597))</f>
        <v/>
      </c>
      <c r="BC597" s="51" t="n">
        <v>0.2756799369333859</v>
      </c>
      <c r="BD597" s="51" t="n">
        <v>0.06582577847851794</v>
      </c>
      <c r="BE597" s="51" t="n">
        <v>0.13075165887088</v>
      </c>
      <c r="BF597" s="43" t="n">
        <v>12685</v>
      </c>
    </row>
    <row r="598">
      <c r="A598" s="42" t="inlineStr">
        <is>
          <t>MS</t>
        </is>
      </c>
      <c r="B598" s="42" t="inlineStr">
        <is>
          <t>28015</t>
        </is>
      </c>
      <c r="C598" s="42" t="inlineStr">
        <is>
          <t>Carroll</t>
        </is>
      </c>
      <c r="D598" s="42" t="inlineStr">
        <is>
          <t>Small town &amp; rural</t>
        </is>
      </c>
      <c r="E598" s="42" t="inlineStr"/>
      <c r="F598" s="43" t="n">
        <v>1431</v>
      </c>
      <c r="G598" s="43" t="n">
        <v>3730</v>
      </c>
      <c r="H598" s="43" t="n">
        <v>5194</v>
      </c>
      <c r="I598" s="43" t="n">
        <v>1729</v>
      </c>
      <c r="J598" s="43" t="n">
        <v>3924</v>
      </c>
      <c r="K598" s="42" t="inlineStr">
        <is>
          <t>US House</t>
        </is>
      </c>
      <c r="L598" s="43" t="n">
        <v>1112</v>
      </c>
      <c r="M598" s="43" t="n">
        <v>2626</v>
      </c>
      <c r="N598" s="43" t="n">
        <v>3738</v>
      </c>
      <c r="O598" s="44">
        <f>IFERROR((F598-G598)/(F598+G598),"")</f>
        <v/>
      </c>
      <c r="P598" s="44">
        <f>IFERROR((I598-J598)/(I598+J598),"")</f>
        <v/>
      </c>
      <c r="Q598" s="45">
        <f>IFERROR(O598-P598,"")</f>
        <v/>
      </c>
      <c r="R598" s="44">
        <f>IFERROR((L598-M598)/(L598+M598),"")</f>
        <v/>
      </c>
      <c r="S598" s="46">
        <f>H598/SUMIFS(Counties!$H$2:$H$1583,Counties!$A$2:$A$1583,$A598)</f>
        <v/>
      </c>
      <c r="T598" s="44">
        <f>O598+INDEX(Dashboard!$F$6:$F$22,MATCH($A598,Dashboard!$A$6:$A$22,0))</f>
        <v/>
      </c>
      <c r="U598" s="43">
        <f>AQ598*INDEX(Dashboard!$G$6:$G$22,MATCH($A598,Dashboard!$A$6:$A$22,0))</f>
        <v/>
      </c>
      <c r="V598" s="47" t="n"/>
      <c r="W598" s="47" t="n"/>
      <c r="X598" s="47" t="n"/>
      <c r="Y598" s="48" t="n"/>
      <c r="Z598" s="49" t="n"/>
      <c r="AA598" s="49" t="n"/>
      <c r="AB598" s="49" t="n"/>
      <c r="AC598" s="50" t="n"/>
      <c r="AD598" s="43">
        <f>IF(Z598&lt;&gt;"",Z598,N(V598))</f>
        <v/>
      </c>
      <c r="AE598" s="43">
        <f>IF(AA598&lt;&gt;"",AA598,N(W598))</f>
        <v/>
      </c>
      <c r="AF598" s="43">
        <f>AD598+AE598</f>
        <v/>
      </c>
      <c r="AG598" s="42">
        <f>IF(UPPER(AC598)="Y",1,IF(AF598=0,0,IF(AND(Z598="",Y598&lt;&gt;""),IF(Y598&gt;=0.999,1,0),IF(AF598&gt;=U598,1,0))))</f>
        <v/>
      </c>
      <c r="AH598" s="44">
        <f>IF(AF598&gt;0,(AD598-AE598)/AF598,"")</f>
        <v/>
      </c>
      <c r="AI598" s="45">
        <f>IF(AG598=1,AH598-O598,"")</f>
        <v/>
      </c>
      <c r="AJ598" s="44">
        <f>IF(AG598=1,AH598,MAX(-1,MIN(1,O598+INDEX(Types!$H:$H,MATCH($A598&amp;"|"&amp;$D598,Types!$A:$A,0)))))</f>
        <v/>
      </c>
      <c r="AK598" s="43">
        <f>IF(AG598=1,AF598,MAX(AQ598*AS598,AF598))</f>
        <v/>
      </c>
      <c r="AL598" s="43">
        <f>IF(AG598=1,AD598,AK598*(1+AJ598)/2)</f>
        <v/>
      </c>
      <c r="AM598" s="43">
        <f>IF(AG598=1,AE598,AK598*(1-AJ598)/2)</f>
        <v/>
      </c>
      <c r="AN598" s="45">
        <f>IF(AH598="","",AH598-T598)</f>
        <v/>
      </c>
      <c r="AO598" s="51">
        <f>IF(AG598=1,1,IF(U598&gt;0,MIN(AF598/U598,0.99),0))</f>
        <v/>
      </c>
      <c r="AP598" s="43">
        <f>IF(AG598=1,AI598*AF598,0)</f>
        <v/>
      </c>
      <c r="AQ598" s="43">
        <f>N598*(F598+G598)/H598</f>
        <v/>
      </c>
      <c r="AR598" s="43">
        <f>O598*AQ598</f>
        <v/>
      </c>
      <c r="AS598" s="52">
        <f>IF(AG598=1,IF(AQ598&gt;0,AF598/AQ598,1),IFERROR(INDEX(Types!$K:$K,MATCH($A598&amp;"|"&amp;$D598,Types!$A:$A,0)),INDEX(Dashboard!$X$6:$X$22,MATCH($A598,Dashboard!$A$6:$A$22,0))))</f>
        <v/>
      </c>
      <c r="AT598" s="43">
        <f>AQ598*INDEX(Dashboard!$Y$6:$Y$22,MATCH($A598,Dashboard!$A$6:$A$22,0))</f>
        <v/>
      </c>
      <c r="AU598" s="53">
        <f>IF(AND(AG598=1,AT598&gt;0,AF598&gt;0),100*AF598/AT598,"")</f>
        <v/>
      </c>
      <c r="AV598" s="44">
        <f>IF(AU598="","",T598/(AU598/100))</f>
        <v/>
      </c>
      <c r="AW598" s="53">
        <f>IF(AU598="","",IF(AND(ABS(AH598)&gt;=0.1,ABS(T598)&gt;=0.05,SIGN(AH598)=SIGN(T598)),100*T598/AH598,""))</f>
        <v/>
      </c>
      <c r="AX598" s="45">
        <f>IF(AU598="","",T598-AV598)</f>
        <v/>
      </c>
      <c r="AY598" s="45">
        <f>IF(AU598="","",AH598-AV598)</f>
        <v/>
      </c>
      <c r="AZ598" s="54">
        <f>(AL598-AM598)-T598*AT598</f>
        <v/>
      </c>
      <c r="BA598" s="43">
        <f>IF(AU598="",0,(AH598-T598)*AF598)</f>
        <v/>
      </c>
      <c r="BB598" s="43">
        <f>IF(AU598="",0,T598*(AF598-AT598))</f>
        <v/>
      </c>
      <c r="BC598" s="51" t="n">
        <v>0.3326691137912952</v>
      </c>
      <c r="BD598" s="51" t="n">
        <v>0.0183534347142108</v>
      </c>
      <c r="BE598" s="51" t="n">
        <v>0.1849269143087032</v>
      </c>
      <c r="BF598" s="43" t="n">
        <v>9535</v>
      </c>
    </row>
    <row r="599">
      <c r="A599" s="42" t="inlineStr">
        <is>
          <t>MS</t>
        </is>
      </c>
      <c r="B599" s="42" t="inlineStr">
        <is>
          <t>28017</t>
        </is>
      </c>
      <c r="C599" s="42" t="inlineStr">
        <is>
          <t>Chickasaw</t>
        </is>
      </c>
      <c r="D599" s="42" t="inlineStr">
        <is>
          <t>Black Belt</t>
        </is>
      </c>
      <c r="E599" s="42" t="inlineStr"/>
      <c r="F599" s="43" t="n">
        <v>3090</v>
      </c>
      <c r="G599" s="43" t="n">
        <v>4079</v>
      </c>
      <c r="H599" s="43" t="n">
        <v>7234</v>
      </c>
      <c r="I599" s="43" t="n">
        <v>3810</v>
      </c>
      <c r="J599" s="43" t="n">
        <v>4175</v>
      </c>
      <c r="K599" s="42" t="inlineStr">
        <is>
          <t>US House</t>
        </is>
      </c>
      <c r="L599" s="43" t="n">
        <v>1658</v>
      </c>
      <c r="M599" s="43" t="n">
        <v>2619</v>
      </c>
      <c r="N599" s="43" t="n">
        <v>4277</v>
      </c>
      <c r="O599" s="44">
        <f>IFERROR((F599-G599)/(F599+G599),"")</f>
        <v/>
      </c>
      <c r="P599" s="44">
        <f>IFERROR((I599-J599)/(I599+J599),"")</f>
        <v/>
      </c>
      <c r="Q599" s="45">
        <f>IFERROR(O599-P599,"")</f>
        <v/>
      </c>
      <c r="R599" s="44">
        <f>IFERROR((L599-M599)/(L599+M599),"")</f>
        <v/>
      </c>
      <c r="S599" s="46">
        <f>H599/SUMIFS(Counties!$H$2:$H$1583,Counties!$A$2:$A$1583,$A599)</f>
        <v/>
      </c>
      <c r="T599" s="44">
        <f>O599+INDEX(Dashboard!$F$6:$F$22,MATCH($A599,Dashboard!$A$6:$A$22,0))</f>
        <v/>
      </c>
      <c r="U599" s="43">
        <f>AQ599*INDEX(Dashboard!$G$6:$G$22,MATCH($A599,Dashboard!$A$6:$A$22,0))</f>
        <v/>
      </c>
      <c r="V599" s="47" t="n"/>
      <c r="W599" s="47" t="n"/>
      <c r="X599" s="47" t="n"/>
      <c r="Y599" s="48" t="n"/>
      <c r="Z599" s="49" t="n"/>
      <c r="AA599" s="49" t="n"/>
      <c r="AB599" s="49" t="n"/>
      <c r="AC599" s="50" t="n"/>
      <c r="AD599" s="43">
        <f>IF(Z599&lt;&gt;"",Z599,N(V599))</f>
        <v/>
      </c>
      <c r="AE599" s="43">
        <f>IF(AA599&lt;&gt;"",AA599,N(W599))</f>
        <v/>
      </c>
      <c r="AF599" s="43">
        <f>AD599+AE599</f>
        <v/>
      </c>
      <c r="AG599" s="42">
        <f>IF(UPPER(AC599)="Y",1,IF(AF599=0,0,IF(AND(Z599="",Y599&lt;&gt;""),IF(Y599&gt;=0.999,1,0),IF(AF599&gt;=U599,1,0))))</f>
        <v/>
      </c>
      <c r="AH599" s="44">
        <f>IF(AF599&gt;0,(AD599-AE599)/AF599,"")</f>
        <v/>
      </c>
      <c r="AI599" s="45">
        <f>IF(AG599=1,AH599-O599,"")</f>
        <v/>
      </c>
      <c r="AJ599" s="44">
        <f>IF(AG599=1,AH599,MAX(-1,MIN(1,O599+INDEX(Types!$H:$H,MATCH($A599&amp;"|"&amp;$D599,Types!$A:$A,0)))))</f>
        <v/>
      </c>
      <c r="AK599" s="43">
        <f>IF(AG599=1,AF599,MAX(AQ599*AS599,AF599))</f>
        <v/>
      </c>
      <c r="AL599" s="43">
        <f>IF(AG599=1,AD599,AK599*(1+AJ599)/2)</f>
        <v/>
      </c>
      <c r="AM599" s="43">
        <f>IF(AG599=1,AE599,AK599*(1-AJ599)/2)</f>
        <v/>
      </c>
      <c r="AN599" s="45">
        <f>IF(AH599="","",AH599-T599)</f>
        <v/>
      </c>
      <c r="AO599" s="51">
        <f>IF(AG599=1,1,IF(U599&gt;0,MIN(AF599/U599,0.99),0))</f>
        <v/>
      </c>
      <c r="AP599" s="43">
        <f>IF(AG599=1,AI599*AF599,0)</f>
        <v/>
      </c>
      <c r="AQ599" s="43">
        <f>N599*(F599+G599)/H599</f>
        <v/>
      </c>
      <c r="AR599" s="43">
        <f>O599*AQ599</f>
        <v/>
      </c>
      <c r="AS599" s="52">
        <f>IF(AG599=1,IF(AQ599&gt;0,AF599/AQ599,1),IFERROR(INDEX(Types!$K:$K,MATCH($A599&amp;"|"&amp;$D599,Types!$A:$A,0)),INDEX(Dashboard!$X$6:$X$22,MATCH($A599,Dashboard!$A$6:$A$22,0))))</f>
        <v/>
      </c>
      <c r="AT599" s="43">
        <f>AQ599*INDEX(Dashboard!$Y$6:$Y$22,MATCH($A599,Dashboard!$A$6:$A$22,0))</f>
        <v/>
      </c>
      <c r="AU599" s="53">
        <f>IF(AND(AG599=1,AT599&gt;0,AF599&gt;0),100*AF599/AT599,"")</f>
        <v/>
      </c>
      <c r="AV599" s="44">
        <f>IF(AU599="","",T599/(AU599/100))</f>
        <v/>
      </c>
      <c r="AW599" s="53">
        <f>IF(AU599="","",IF(AND(ABS(AH599)&gt;=0.1,ABS(T599)&gt;=0.05,SIGN(AH599)=SIGN(T599)),100*T599/AH599,""))</f>
        <v/>
      </c>
      <c r="AX599" s="45">
        <f>IF(AU599="","",T599-AV599)</f>
        <v/>
      </c>
      <c r="AY599" s="45">
        <f>IF(AU599="","",AH599-AV599)</f>
        <v/>
      </c>
      <c r="AZ599" s="54">
        <f>(AL599-AM599)-T599*AT599</f>
        <v/>
      </c>
      <c r="BA599" s="43">
        <f>IF(AU599="",0,(AH599-T599)*AF599)</f>
        <v/>
      </c>
      <c r="BB599" s="43">
        <f>IF(AU599="",0,T599*(AF599-AT599))</f>
        <v/>
      </c>
      <c r="BC599" s="51" t="n">
        <v>0.4410055733428199</v>
      </c>
      <c r="BD599" s="51" t="n">
        <v>0.04120716233843235</v>
      </c>
      <c r="BE599" s="51" t="n">
        <v>0.1239858906525573</v>
      </c>
      <c r="BF599" s="43" t="n">
        <v>16866</v>
      </c>
    </row>
    <row r="600">
      <c r="A600" s="42" t="inlineStr">
        <is>
          <t>MS</t>
        </is>
      </c>
      <c r="B600" s="42" t="inlineStr">
        <is>
          <t>28019</t>
        </is>
      </c>
      <c r="C600" s="42" t="inlineStr">
        <is>
          <t>Choctaw</t>
        </is>
      </c>
      <c r="D600" s="42" t="inlineStr">
        <is>
          <t>Small town &amp; rural</t>
        </is>
      </c>
      <c r="E600" s="42" t="inlineStr"/>
      <c r="F600" s="43" t="n">
        <v>965</v>
      </c>
      <c r="G600" s="43" t="n">
        <v>2881</v>
      </c>
      <c r="H600" s="43" t="n">
        <v>3890</v>
      </c>
      <c r="I600" s="43" t="n">
        <v>1185</v>
      </c>
      <c r="J600" s="43" t="n">
        <v>3001</v>
      </c>
      <c r="K600" s="42" t="inlineStr">
        <is>
          <t>US House</t>
        </is>
      </c>
      <c r="L600" s="43" t="n">
        <v>538</v>
      </c>
      <c r="M600" s="43" t="n">
        <v>1974</v>
      </c>
      <c r="N600" s="43" t="n">
        <v>2512</v>
      </c>
      <c r="O600" s="44">
        <f>IFERROR((F600-G600)/(F600+G600),"")</f>
        <v/>
      </c>
      <c r="P600" s="44">
        <f>IFERROR((I600-J600)/(I600+J600),"")</f>
        <v/>
      </c>
      <c r="Q600" s="45">
        <f>IFERROR(O600-P600,"")</f>
        <v/>
      </c>
      <c r="R600" s="44">
        <f>IFERROR((L600-M600)/(L600+M600),"")</f>
        <v/>
      </c>
      <c r="S600" s="46">
        <f>H600/SUMIFS(Counties!$H$2:$H$1583,Counties!$A$2:$A$1583,$A600)</f>
        <v/>
      </c>
      <c r="T600" s="44">
        <f>O600+INDEX(Dashboard!$F$6:$F$22,MATCH($A600,Dashboard!$A$6:$A$22,0))</f>
        <v/>
      </c>
      <c r="U600" s="43">
        <f>AQ600*INDEX(Dashboard!$G$6:$G$22,MATCH($A600,Dashboard!$A$6:$A$22,0))</f>
        <v/>
      </c>
      <c r="V600" s="47" t="n"/>
      <c r="W600" s="47" t="n"/>
      <c r="X600" s="47" t="n"/>
      <c r="Y600" s="48" t="n"/>
      <c r="Z600" s="49" t="n"/>
      <c r="AA600" s="49" t="n"/>
      <c r="AB600" s="49" t="n"/>
      <c r="AC600" s="50" t="n"/>
      <c r="AD600" s="43">
        <f>IF(Z600&lt;&gt;"",Z600,N(V600))</f>
        <v/>
      </c>
      <c r="AE600" s="43">
        <f>IF(AA600&lt;&gt;"",AA600,N(W600))</f>
        <v/>
      </c>
      <c r="AF600" s="43">
        <f>AD600+AE600</f>
        <v/>
      </c>
      <c r="AG600" s="42">
        <f>IF(UPPER(AC600)="Y",1,IF(AF600=0,0,IF(AND(Z600="",Y600&lt;&gt;""),IF(Y600&gt;=0.999,1,0),IF(AF600&gt;=U600,1,0))))</f>
        <v/>
      </c>
      <c r="AH600" s="44">
        <f>IF(AF600&gt;0,(AD600-AE600)/AF600,"")</f>
        <v/>
      </c>
      <c r="AI600" s="45">
        <f>IF(AG600=1,AH600-O600,"")</f>
        <v/>
      </c>
      <c r="AJ600" s="44">
        <f>IF(AG600=1,AH600,MAX(-1,MIN(1,O600+INDEX(Types!$H:$H,MATCH($A600&amp;"|"&amp;$D600,Types!$A:$A,0)))))</f>
        <v/>
      </c>
      <c r="AK600" s="43">
        <f>IF(AG600=1,AF600,MAX(AQ600*AS600,AF600))</f>
        <v/>
      </c>
      <c r="AL600" s="43">
        <f>IF(AG600=1,AD600,AK600*(1+AJ600)/2)</f>
        <v/>
      </c>
      <c r="AM600" s="43">
        <f>IF(AG600=1,AE600,AK600*(1-AJ600)/2)</f>
        <v/>
      </c>
      <c r="AN600" s="45">
        <f>IF(AH600="","",AH600-T600)</f>
        <v/>
      </c>
      <c r="AO600" s="51">
        <f>IF(AG600=1,1,IF(U600&gt;0,MIN(AF600/U600,0.99),0))</f>
        <v/>
      </c>
      <c r="AP600" s="43">
        <f>IF(AG600=1,AI600*AF600,0)</f>
        <v/>
      </c>
      <c r="AQ600" s="43">
        <f>N600*(F600+G600)/H600</f>
        <v/>
      </c>
      <c r="AR600" s="43">
        <f>O600*AQ600</f>
        <v/>
      </c>
      <c r="AS600" s="52">
        <f>IF(AG600=1,IF(AQ600&gt;0,AF600/AQ600,1),IFERROR(INDEX(Types!$K:$K,MATCH($A600&amp;"|"&amp;$D600,Types!$A:$A,0)),INDEX(Dashboard!$X$6:$X$22,MATCH($A600,Dashboard!$A$6:$A$22,0))))</f>
        <v/>
      </c>
      <c r="AT600" s="43">
        <f>AQ600*INDEX(Dashboard!$Y$6:$Y$22,MATCH($A600,Dashboard!$A$6:$A$22,0))</f>
        <v/>
      </c>
      <c r="AU600" s="53">
        <f>IF(AND(AG600=1,AT600&gt;0,AF600&gt;0),100*AF600/AT600,"")</f>
        <v/>
      </c>
      <c r="AV600" s="44">
        <f>IF(AU600="","",T600/(AU600/100))</f>
        <v/>
      </c>
      <c r="AW600" s="53">
        <f>IF(AU600="","",IF(AND(ABS(AH600)&gt;=0.1,ABS(T600)&gt;=0.05,SIGN(AH600)=SIGN(T600)),100*T600/AH600,""))</f>
        <v/>
      </c>
      <c r="AX600" s="45">
        <f>IF(AU600="","",T600-AV600)</f>
        <v/>
      </c>
      <c r="AY600" s="45">
        <f>IF(AU600="","",AH600-AV600)</f>
        <v/>
      </c>
      <c r="AZ600" s="54">
        <f>(AL600-AM600)-T600*AT600</f>
        <v/>
      </c>
      <c r="BA600" s="43">
        <f>IF(AU600="",0,(AH600-T600)*AF600)</f>
        <v/>
      </c>
      <c r="BB600" s="43">
        <f>IF(AU600="",0,T600*(AF600-AT600))</f>
        <v/>
      </c>
      <c r="BC600" s="51" t="n">
        <v>0.2851137487636004</v>
      </c>
      <c r="BD600" s="51" t="n">
        <v>0.0195351137487636</v>
      </c>
      <c r="BE600" s="51" t="n">
        <v>0.185823754789272</v>
      </c>
      <c r="BF600" s="43" t="n">
        <v>8088</v>
      </c>
    </row>
    <row r="601">
      <c r="A601" s="42" t="inlineStr">
        <is>
          <t>MS</t>
        </is>
      </c>
      <c r="B601" s="42" t="inlineStr">
        <is>
          <t>28021</t>
        </is>
      </c>
      <c r="C601" s="42" t="inlineStr">
        <is>
          <t>Claiborne</t>
        </is>
      </c>
      <c r="D601" s="42" t="inlineStr">
        <is>
          <t>Black Belt</t>
        </is>
      </c>
      <c r="E601" s="42" t="inlineStr"/>
      <c r="F601" s="43" t="n">
        <v>2950</v>
      </c>
      <c r="G601" s="43" t="n">
        <v>558</v>
      </c>
      <c r="H601" s="43" t="n">
        <v>3541</v>
      </c>
      <c r="I601" s="43" t="n">
        <v>3772</v>
      </c>
      <c r="J601" s="43" t="n">
        <v>603</v>
      </c>
      <c r="K601" s="42" t="inlineStr">
        <is>
          <t>US House</t>
        </is>
      </c>
      <c r="L601" s="43" t="n">
        <v>1795</v>
      </c>
      <c r="M601" s="43" t="n">
        <v>316</v>
      </c>
      <c r="N601" s="43" t="n">
        <v>2111</v>
      </c>
      <c r="O601" s="44">
        <f>IFERROR((F601-G601)/(F601+G601),"")</f>
        <v/>
      </c>
      <c r="P601" s="44">
        <f>IFERROR((I601-J601)/(I601+J601),"")</f>
        <v/>
      </c>
      <c r="Q601" s="45">
        <f>IFERROR(O601-P601,"")</f>
        <v/>
      </c>
      <c r="R601" s="44">
        <f>IFERROR((L601-M601)/(L601+M601),"")</f>
        <v/>
      </c>
      <c r="S601" s="46">
        <f>H601/SUMIFS(Counties!$H$2:$H$1583,Counties!$A$2:$A$1583,$A601)</f>
        <v/>
      </c>
      <c r="T601" s="44">
        <f>O601+INDEX(Dashboard!$F$6:$F$22,MATCH($A601,Dashboard!$A$6:$A$22,0))</f>
        <v/>
      </c>
      <c r="U601" s="43">
        <f>AQ601*INDEX(Dashboard!$G$6:$G$22,MATCH($A601,Dashboard!$A$6:$A$22,0))</f>
        <v/>
      </c>
      <c r="V601" s="47" t="n"/>
      <c r="W601" s="47" t="n"/>
      <c r="X601" s="47" t="n"/>
      <c r="Y601" s="48" t="n"/>
      <c r="Z601" s="49" t="n"/>
      <c r="AA601" s="49" t="n"/>
      <c r="AB601" s="49" t="n"/>
      <c r="AC601" s="50" t="n"/>
      <c r="AD601" s="43">
        <f>IF(Z601&lt;&gt;"",Z601,N(V601))</f>
        <v/>
      </c>
      <c r="AE601" s="43">
        <f>IF(AA601&lt;&gt;"",AA601,N(W601))</f>
        <v/>
      </c>
      <c r="AF601" s="43">
        <f>AD601+AE601</f>
        <v/>
      </c>
      <c r="AG601" s="42">
        <f>IF(UPPER(AC601)="Y",1,IF(AF601=0,0,IF(AND(Z601="",Y601&lt;&gt;""),IF(Y601&gt;=0.999,1,0),IF(AF601&gt;=U601,1,0))))</f>
        <v/>
      </c>
      <c r="AH601" s="44">
        <f>IF(AF601&gt;0,(AD601-AE601)/AF601,"")</f>
        <v/>
      </c>
      <c r="AI601" s="45">
        <f>IF(AG601=1,AH601-O601,"")</f>
        <v/>
      </c>
      <c r="AJ601" s="44">
        <f>IF(AG601=1,AH601,MAX(-1,MIN(1,O601+INDEX(Types!$H:$H,MATCH($A601&amp;"|"&amp;$D601,Types!$A:$A,0)))))</f>
        <v/>
      </c>
      <c r="AK601" s="43">
        <f>IF(AG601=1,AF601,MAX(AQ601*AS601,AF601))</f>
        <v/>
      </c>
      <c r="AL601" s="43">
        <f>IF(AG601=1,AD601,AK601*(1+AJ601)/2)</f>
        <v/>
      </c>
      <c r="AM601" s="43">
        <f>IF(AG601=1,AE601,AK601*(1-AJ601)/2)</f>
        <v/>
      </c>
      <c r="AN601" s="45">
        <f>IF(AH601="","",AH601-T601)</f>
        <v/>
      </c>
      <c r="AO601" s="51">
        <f>IF(AG601=1,1,IF(U601&gt;0,MIN(AF601/U601,0.99),0))</f>
        <v/>
      </c>
      <c r="AP601" s="43">
        <f>IF(AG601=1,AI601*AF601,0)</f>
        <v/>
      </c>
      <c r="AQ601" s="43">
        <f>N601*(F601+G601)/H601</f>
        <v/>
      </c>
      <c r="AR601" s="43">
        <f>O601*AQ601</f>
        <v/>
      </c>
      <c r="AS601" s="52">
        <f>IF(AG601=1,IF(AQ601&gt;0,AF601/AQ601,1),IFERROR(INDEX(Types!$K:$K,MATCH($A601&amp;"|"&amp;$D601,Types!$A:$A,0)),INDEX(Dashboard!$X$6:$X$22,MATCH($A601,Dashboard!$A$6:$A$22,0))))</f>
        <v/>
      </c>
      <c r="AT601" s="43">
        <f>AQ601*INDEX(Dashboard!$Y$6:$Y$22,MATCH($A601,Dashboard!$A$6:$A$22,0))</f>
        <v/>
      </c>
      <c r="AU601" s="53">
        <f>IF(AND(AG601=1,AT601&gt;0,AF601&gt;0),100*AF601/AT601,"")</f>
        <v/>
      </c>
      <c r="AV601" s="44">
        <f>IF(AU601="","",T601/(AU601/100))</f>
        <v/>
      </c>
      <c r="AW601" s="53">
        <f>IF(AU601="","",IF(AND(ABS(AH601)&gt;=0.1,ABS(T601)&gt;=0.05,SIGN(AH601)=SIGN(T601)),100*T601/AH601,""))</f>
        <v/>
      </c>
      <c r="AX601" s="45">
        <f>IF(AU601="","",T601-AV601)</f>
        <v/>
      </c>
      <c r="AY601" s="45">
        <f>IF(AU601="","",AH601-AV601)</f>
        <v/>
      </c>
      <c r="AZ601" s="54">
        <f>(AL601-AM601)-T601*AT601</f>
        <v/>
      </c>
      <c r="BA601" s="43">
        <f>IF(AU601="",0,(AH601-T601)*AF601)</f>
        <v/>
      </c>
      <c r="BB601" s="43">
        <f>IF(AU601="",0,T601*(AF601-AT601))</f>
        <v/>
      </c>
      <c r="BC601" s="51" t="n">
        <v>0.8579552048276663</v>
      </c>
      <c r="BD601" s="51" t="n">
        <v>0.01427410931878844</v>
      </c>
      <c r="BE601" s="51" t="n">
        <v>0.2056545313710302</v>
      </c>
      <c r="BF601" s="43" t="n">
        <v>8617</v>
      </c>
    </row>
    <row r="602">
      <c r="A602" s="42" t="inlineStr">
        <is>
          <t>MS</t>
        </is>
      </c>
      <c r="B602" s="42" t="inlineStr">
        <is>
          <t>28023</t>
        </is>
      </c>
      <c r="C602" s="42" t="inlineStr">
        <is>
          <t>Clarke</t>
        </is>
      </c>
      <c r="D602" s="42" t="inlineStr">
        <is>
          <t>Small town &amp; rural</t>
        </is>
      </c>
      <c r="E602" s="42" t="inlineStr"/>
      <c r="F602" s="43" t="n">
        <v>2430</v>
      </c>
      <c r="G602" s="43" t="n">
        <v>5093</v>
      </c>
      <c r="H602" s="43" t="n">
        <v>7571</v>
      </c>
      <c r="I602" s="43" t="n">
        <v>2838</v>
      </c>
      <c r="J602" s="43" t="n">
        <v>5417</v>
      </c>
      <c r="K602" s="42" t="inlineStr">
        <is>
          <t>US House</t>
        </is>
      </c>
      <c r="L602" s="43" t="n">
        <v>1203</v>
      </c>
      <c r="M602" s="43" t="n">
        <v>3503</v>
      </c>
      <c r="N602" s="43" t="n">
        <v>4706</v>
      </c>
      <c r="O602" s="44">
        <f>IFERROR((F602-G602)/(F602+G602),"")</f>
        <v/>
      </c>
      <c r="P602" s="44">
        <f>IFERROR((I602-J602)/(I602+J602),"")</f>
        <v/>
      </c>
      <c r="Q602" s="45">
        <f>IFERROR(O602-P602,"")</f>
        <v/>
      </c>
      <c r="R602" s="44">
        <f>IFERROR((L602-M602)/(L602+M602),"")</f>
        <v/>
      </c>
      <c r="S602" s="46">
        <f>H602/SUMIFS(Counties!$H$2:$H$1583,Counties!$A$2:$A$1583,$A602)</f>
        <v/>
      </c>
      <c r="T602" s="44">
        <f>O602+INDEX(Dashboard!$F$6:$F$22,MATCH($A602,Dashboard!$A$6:$A$22,0))</f>
        <v/>
      </c>
      <c r="U602" s="43">
        <f>AQ602*INDEX(Dashboard!$G$6:$G$22,MATCH($A602,Dashboard!$A$6:$A$22,0))</f>
        <v/>
      </c>
      <c r="V602" s="47" t="n"/>
      <c r="W602" s="47" t="n"/>
      <c r="X602" s="47" t="n"/>
      <c r="Y602" s="48" t="n"/>
      <c r="Z602" s="49" t="n"/>
      <c r="AA602" s="49" t="n"/>
      <c r="AB602" s="49" t="n"/>
      <c r="AC602" s="50" t="n"/>
      <c r="AD602" s="43">
        <f>IF(Z602&lt;&gt;"",Z602,N(V602))</f>
        <v/>
      </c>
      <c r="AE602" s="43">
        <f>IF(AA602&lt;&gt;"",AA602,N(W602))</f>
        <v/>
      </c>
      <c r="AF602" s="43">
        <f>AD602+AE602</f>
        <v/>
      </c>
      <c r="AG602" s="42">
        <f>IF(UPPER(AC602)="Y",1,IF(AF602=0,0,IF(AND(Z602="",Y602&lt;&gt;""),IF(Y602&gt;=0.999,1,0),IF(AF602&gt;=U602,1,0))))</f>
        <v/>
      </c>
      <c r="AH602" s="44">
        <f>IF(AF602&gt;0,(AD602-AE602)/AF602,"")</f>
        <v/>
      </c>
      <c r="AI602" s="45">
        <f>IF(AG602=1,AH602-O602,"")</f>
        <v/>
      </c>
      <c r="AJ602" s="44">
        <f>IF(AG602=1,AH602,MAX(-1,MIN(1,O602+INDEX(Types!$H:$H,MATCH($A602&amp;"|"&amp;$D602,Types!$A:$A,0)))))</f>
        <v/>
      </c>
      <c r="AK602" s="43">
        <f>IF(AG602=1,AF602,MAX(AQ602*AS602,AF602))</f>
        <v/>
      </c>
      <c r="AL602" s="43">
        <f>IF(AG602=1,AD602,AK602*(1+AJ602)/2)</f>
        <v/>
      </c>
      <c r="AM602" s="43">
        <f>IF(AG602=1,AE602,AK602*(1-AJ602)/2)</f>
        <v/>
      </c>
      <c r="AN602" s="45">
        <f>IF(AH602="","",AH602-T602)</f>
        <v/>
      </c>
      <c r="AO602" s="51">
        <f>IF(AG602=1,1,IF(U602&gt;0,MIN(AF602/U602,0.99),0))</f>
        <v/>
      </c>
      <c r="AP602" s="43">
        <f>IF(AG602=1,AI602*AF602,0)</f>
        <v/>
      </c>
      <c r="AQ602" s="43">
        <f>N602*(F602+G602)/H602</f>
        <v/>
      </c>
      <c r="AR602" s="43">
        <f>O602*AQ602</f>
        <v/>
      </c>
      <c r="AS602" s="52">
        <f>IF(AG602=1,IF(AQ602&gt;0,AF602/AQ602,1),IFERROR(INDEX(Types!$K:$K,MATCH($A602&amp;"|"&amp;$D602,Types!$A:$A,0)),INDEX(Dashboard!$X$6:$X$22,MATCH($A602,Dashboard!$A$6:$A$22,0))))</f>
        <v/>
      </c>
      <c r="AT602" s="43">
        <f>AQ602*INDEX(Dashboard!$Y$6:$Y$22,MATCH($A602,Dashboard!$A$6:$A$22,0))</f>
        <v/>
      </c>
      <c r="AU602" s="53">
        <f>IF(AND(AG602=1,AT602&gt;0,AF602&gt;0),100*AF602/AT602,"")</f>
        <v/>
      </c>
      <c r="AV602" s="44">
        <f>IF(AU602="","",T602/(AU602/100))</f>
        <v/>
      </c>
      <c r="AW602" s="53">
        <f>IF(AU602="","",IF(AND(ABS(AH602)&gt;=0.1,ABS(T602)&gt;=0.05,SIGN(AH602)=SIGN(T602)),100*T602/AH602,""))</f>
        <v/>
      </c>
      <c r="AX602" s="45">
        <f>IF(AU602="","",T602-AV602)</f>
        <v/>
      </c>
      <c r="AY602" s="45">
        <f>IF(AU602="","",AH602-AV602)</f>
        <v/>
      </c>
      <c r="AZ602" s="54">
        <f>(AL602-AM602)-T602*AT602</f>
        <v/>
      </c>
      <c r="BA602" s="43">
        <f>IF(AU602="",0,(AH602-T602)*AF602)</f>
        <v/>
      </c>
      <c r="BB602" s="43">
        <f>IF(AU602="",0,T602*(AF602-AT602))</f>
        <v/>
      </c>
      <c r="BC602" s="51" t="n">
        <v>0.3433806146572104</v>
      </c>
      <c r="BD602" s="51" t="n">
        <v>0.01149198844234305</v>
      </c>
      <c r="BE602" s="51" t="n">
        <v>0.1510958395245171</v>
      </c>
      <c r="BF602" s="43" t="n">
        <v>15228</v>
      </c>
    </row>
    <row r="603">
      <c r="A603" s="42" t="inlineStr">
        <is>
          <t>MS</t>
        </is>
      </c>
      <c r="B603" s="42" t="inlineStr">
        <is>
          <t>28025</t>
        </is>
      </c>
      <c r="C603" s="42" t="inlineStr">
        <is>
          <t>Clay</t>
        </is>
      </c>
      <c r="D603" s="42" t="inlineStr">
        <is>
          <t>Black Belt</t>
        </is>
      </c>
      <c r="E603" s="42" t="inlineStr"/>
      <c r="F603" s="43" t="n">
        <v>4960</v>
      </c>
      <c r="G603" s="43" t="n">
        <v>4017</v>
      </c>
      <c r="H603" s="43" t="n">
        <v>9057</v>
      </c>
      <c r="I603" s="43" t="n">
        <v>5844</v>
      </c>
      <c r="J603" s="43" t="n">
        <v>4181</v>
      </c>
      <c r="K603" s="42" t="inlineStr">
        <is>
          <t>US House</t>
        </is>
      </c>
      <c r="L603" s="43" t="n">
        <v>3102</v>
      </c>
      <c r="M603" s="43" t="n">
        <v>3217</v>
      </c>
      <c r="N603" s="43" t="n">
        <v>6319</v>
      </c>
      <c r="O603" s="44">
        <f>IFERROR((F603-G603)/(F603+G603),"")</f>
        <v/>
      </c>
      <c r="P603" s="44">
        <f>IFERROR((I603-J603)/(I603+J603),"")</f>
        <v/>
      </c>
      <c r="Q603" s="45">
        <f>IFERROR(O603-P603,"")</f>
        <v/>
      </c>
      <c r="R603" s="44">
        <f>IFERROR((L603-M603)/(L603+M603),"")</f>
        <v/>
      </c>
      <c r="S603" s="46">
        <f>H603/SUMIFS(Counties!$H$2:$H$1583,Counties!$A$2:$A$1583,$A603)</f>
        <v/>
      </c>
      <c r="T603" s="44">
        <f>O603+INDEX(Dashboard!$F$6:$F$22,MATCH($A603,Dashboard!$A$6:$A$22,0))</f>
        <v/>
      </c>
      <c r="U603" s="43">
        <f>AQ603*INDEX(Dashboard!$G$6:$G$22,MATCH($A603,Dashboard!$A$6:$A$22,0))</f>
        <v/>
      </c>
      <c r="V603" s="47" t="n"/>
      <c r="W603" s="47" t="n"/>
      <c r="X603" s="47" t="n"/>
      <c r="Y603" s="48" t="n"/>
      <c r="Z603" s="49" t="n"/>
      <c r="AA603" s="49" t="n"/>
      <c r="AB603" s="49" t="n"/>
      <c r="AC603" s="50" t="n"/>
      <c r="AD603" s="43">
        <f>IF(Z603&lt;&gt;"",Z603,N(V603))</f>
        <v/>
      </c>
      <c r="AE603" s="43">
        <f>IF(AA603&lt;&gt;"",AA603,N(W603))</f>
        <v/>
      </c>
      <c r="AF603" s="43">
        <f>AD603+AE603</f>
        <v/>
      </c>
      <c r="AG603" s="42">
        <f>IF(UPPER(AC603)="Y",1,IF(AF603=0,0,IF(AND(Z603="",Y603&lt;&gt;""),IF(Y603&gt;=0.999,1,0),IF(AF603&gt;=U603,1,0))))</f>
        <v/>
      </c>
      <c r="AH603" s="44">
        <f>IF(AF603&gt;0,(AD603-AE603)/AF603,"")</f>
        <v/>
      </c>
      <c r="AI603" s="45">
        <f>IF(AG603=1,AH603-O603,"")</f>
        <v/>
      </c>
      <c r="AJ603" s="44">
        <f>IF(AG603=1,AH603,MAX(-1,MIN(1,O603+INDEX(Types!$H:$H,MATCH($A603&amp;"|"&amp;$D603,Types!$A:$A,0)))))</f>
        <v/>
      </c>
      <c r="AK603" s="43">
        <f>IF(AG603=1,AF603,MAX(AQ603*AS603,AF603))</f>
        <v/>
      </c>
      <c r="AL603" s="43">
        <f>IF(AG603=1,AD603,AK603*(1+AJ603)/2)</f>
        <v/>
      </c>
      <c r="AM603" s="43">
        <f>IF(AG603=1,AE603,AK603*(1-AJ603)/2)</f>
        <v/>
      </c>
      <c r="AN603" s="45">
        <f>IF(AH603="","",AH603-T603)</f>
        <v/>
      </c>
      <c r="AO603" s="51">
        <f>IF(AG603=1,1,IF(U603&gt;0,MIN(AF603/U603,0.99),0))</f>
        <v/>
      </c>
      <c r="AP603" s="43">
        <f>IF(AG603=1,AI603*AF603,0)</f>
        <v/>
      </c>
      <c r="AQ603" s="43">
        <f>N603*(F603+G603)/H603</f>
        <v/>
      </c>
      <c r="AR603" s="43">
        <f>O603*AQ603</f>
        <v/>
      </c>
      <c r="AS603" s="52">
        <f>IF(AG603=1,IF(AQ603&gt;0,AF603/AQ603,1),IFERROR(INDEX(Types!$K:$K,MATCH($A603&amp;"|"&amp;$D603,Types!$A:$A,0)),INDEX(Dashboard!$X$6:$X$22,MATCH($A603,Dashboard!$A$6:$A$22,0))))</f>
        <v/>
      </c>
      <c r="AT603" s="43">
        <f>AQ603*INDEX(Dashboard!$Y$6:$Y$22,MATCH($A603,Dashboard!$A$6:$A$22,0))</f>
        <v/>
      </c>
      <c r="AU603" s="53">
        <f>IF(AND(AG603=1,AT603&gt;0,AF603&gt;0),100*AF603/AT603,"")</f>
        <v/>
      </c>
      <c r="AV603" s="44">
        <f>IF(AU603="","",T603/(AU603/100))</f>
        <v/>
      </c>
      <c r="AW603" s="53">
        <f>IF(AU603="","",IF(AND(ABS(AH603)&gt;=0.1,ABS(T603)&gt;=0.05,SIGN(AH603)=SIGN(T603)),100*T603/AH603,""))</f>
        <v/>
      </c>
      <c r="AX603" s="45">
        <f>IF(AU603="","",T603-AV603)</f>
        <v/>
      </c>
      <c r="AY603" s="45">
        <f>IF(AU603="","",AH603-AV603)</f>
        <v/>
      </c>
      <c r="AZ603" s="54">
        <f>(AL603-AM603)-T603*AT603</f>
        <v/>
      </c>
      <c r="BA603" s="43">
        <f>IF(AU603="",0,(AH603-T603)*AF603)</f>
        <v/>
      </c>
      <c r="BB603" s="43">
        <f>IF(AU603="",0,T603*(AF603-AT603))</f>
        <v/>
      </c>
      <c r="BC603" s="51" t="n">
        <v>0.599417774360101</v>
      </c>
      <c r="BD603" s="51" t="n">
        <v>0.01246841700538284</v>
      </c>
      <c r="BE603" s="51" t="n">
        <v>0.1820902575411515</v>
      </c>
      <c r="BF603" s="43" t="n">
        <v>18206</v>
      </c>
    </row>
    <row r="604">
      <c r="A604" s="42" t="inlineStr">
        <is>
          <t>MS</t>
        </is>
      </c>
      <c r="B604" s="42" t="inlineStr">
        <is>
          <t>28027</t>
        </is>
      </c>
      <c r="C604" s="42" t="inlineStr">
        <is>
          <t>Coahoma</t>
        </is>
      </c>
      <c r="D604" s="42" t="inlineStr">
        <is>
          <t>Black Belt</t>
        </is>
      </c>
      <c r="E604" s="42" t="inlineStr"/>
      <c r="F604" s="43" t="n">
        <v>4711</v>
      </c>
      <c r="G604" s="43" t="n">
        <v>2008</v>
      </c>
      <c r="H604" s="43" t="n">
        <v>6790</v>
      </c>
      <c r="I604" s="43" t="n">
        <v>6020</v>
      </c>
      <c r="J604" s="43" t="n">
        <v>2375</v>
      </c>
      <c r="K604" s="42" t="inlineStr">
        <is>
          <t>US House</t>
        </is>
      </c>
      <c r="L604" s="43" t="n">
        <v>2582</v>
      </c>
      <c r="M604" s="43" t="n">
        <v>1103</v>
      </c>
      <c r="N604" s="43" t="n">
        <v>3685</v>
      </c>
      <c r="O604" s="44">
        <f>IFERROR((F604-G604)/(F604+G604),"")</f>
        <v/>
      </c>
      <c r="P604" s="44">
        <f>IFERROR((I604-J604)/(I604+J604),"")</f>
        <v/>
      </c>
      <c r="Q604" s="45">
        <f>IFERROR(O604-P604,"")</f>
        <v/>
      </c>
      <c r="R604" s="44">
        <f>IFERROR((L604-M604)/(L604+M604),"")</f>
        <v/>
      </c>
      <c r="S604" s="46">
        <f>H604/SUMIFS(Counties!$H$2:$H$1583,Counties!$A$2:$A$1583,$A604)</f>
        <v/>
      </c>
      <c r="T604" s="44">
        <f>O604+INDEX(Dashboard!$F$6:$F$22,MATCH($A604,Dashboard!$A$6:$A$22,0))</f>
        <v/>
      </c>
      <c r="U604" s="43">
        <f>AQ604*INDEX(Dashboard!$G$6:$G$22,MATCH($A604,Dashboard!$A$6:$A$22,0))</f>
        <v/>
      </c>
      <c r="V604" s="47" t="n"/>
      <c r="W604" s="47" t="n"/>
      <c r="X604" s="47" t="n"/>
      <c r="Y604" s="48" t="n"/>
      <c r="Z604" s="49" t="n"/>
      <c r="AA604" s="49" t="n"/>
      <c r="AB604" s="49" t="n"/>
      <c r="AC604" s="50" t="n"/>
      <c r="AD604" s="43">
        <f>IF(Z604&lt;&gt;"",Z604,N(V604))</f>
        <v/>
      </c>
      <c r="AE604" s="43">
        <f>IF(AA604&lt;&gt;"",AA604,N(W604))</f>
        <v/>
      </c>
      <c r="AF604" s="43">
        <f>AD604+AE604</f>
        <v/>
      </c>
      <c r="AG604" s="42">
        <f>IF(UPPER(AC604)="Y",1,IF(AF604=0,0,IF(AND(Z604="",Y604&lt;&gt;""),IF(Y604&gt;=0.999,1,0),IF(AF604&gt;=U604,1,0))))</f>
        <v/>
      </c>
      <c r="AH604" s="44">
        <f>IF(AF604&gt;0,(AD604-AE604)/AF604,"")</f>
        <v/>
      </c>
      <c r="AI604" s="45">
        <f>IF(AG604=1,AH604-O604,"")</f>
        <v/>
      </c>
      <c r="AJ604" s="44">
        <f>IF(AG604=1,AH604,MAX(-1,MIN(1,O604+INDEX(Types!$H:$H,MATCH($A604&amp;"|"&amp;$D604,Types!$A:$A,0)))))</f>
        <v/>
      </c>
      <c r="AK604" s="43">
        <f>IF(AG604=1,AF604,MAX(AQ604*AS604,AF604))</f>
        <v/>
      </c>
      <c r="AL604" s="43">
        <f>IF(AG604=1,AD604,AK604*(1+AJ604)/2)</f>
        <v/>
      </c>
      <c r="AM604" s="43">
        <f>IF(AG604=1,AE604,AK604*(1-AJ604)/2)</f>
        <v/>
      </c>
      <c r="AN604" s="45">
        <f>IF(AH604="","",AH604-T604)</f>
        <v/>
      </c>
      <c r="AO604" s="51">
        <f>IF(AG604=1,1,IF(U604&gt;0,MIN(AF604/U604,0.99),0))</f>
        <v/>
      </c>
      <c r="AP604" s="43">
        <f>IF(AG604=1,AI604*AF604,0)</f>
        <v/>
      </c>
      <c r="AQ604" s="43">
        <f>N604*(F604+G604)/H604</f>
        <v/>
      </c>
      <c r="AR604" s="43">
        <f>O604*AQ604</f>
        <v/>
      </c>
      <c r="AS604" s="52">
        <f>IF(AG604=1,IF(AQ604&gt;0,AF604/AQ604,1),IFERROR(INDEX(Types!$K:$K,MATCH($A604&amp;"|"&amp;$D604,Types!$A:$A,0)),INDEX(Dashboard!$X$6:$X$22,MATCH($A604,Dashboard!$A$6:$A$22,0))))</f>
        <v/>
      </c>
      <c r="AT604" s="43">
        <f>AQ604*INDEX(Dashboard!$Y$6:$Y$22,MATCH($A604,Dashboard!$A$6:$A$22,0))</f>
        <v/>
      </c>
      <c r="AU604" s="53">
        <f>IF(AND(AG604=1,AT604&gt;0,AF604&gt;0),100*AF604/AT604,"")</f>
        <v/>
      </c>
      <c r="AV604" s="44">
        <f>IF(AU604="","",T604/(AU604/100))</f>
        <v/>
      </c>
      <c r="AW604" s="53">
        <f>IF(AU604="","",IF(AND(ABS(AH604)&gt;=0.1,ABS(T604)&gt;=0.05,SIGN(AH604)=SIGN(T604)),100*T604/AH604,""))</f>
        <v/>
      </c>
      <c r="AX604" s="45">
        <f>IF(AU604="","",T604-AV604)</f>
        <v/>
      </c>
      <c r="AY604" s="45">
        <f>IF(AU604="","",AH604-AV604)</f>
        <v/>
      </c>
      <c r="AZ604" s="54">
        <f>(AL604-AM604)-T604*AT604</f>
        <v/>
      </c>
      <c r="BA604" s="43">
        <f>IF(AU604="",0,(AH604-T604)*AF604)</f>
        <v/>
      </c>
      <c r="BB604" s="43">
        <f>IF(AU604="",0,T604*(AF604-AT604))</f>
        <v/>
      </c>
      <c r="BC604" s="51" t="n">
        <v>0.7646062658763759</v>
      </c>
      <c r="BD604" s="51" t="n">
        <v>0.03137919011804553</v>
      </c>
      <c r="BE604" s="51" t="n">
        <v>0.1897314617027769</v>
      </c>
      <c r="BF604" s="43" t="n">
        <v>20077</v>
      </c>
    </row>
    <row r="605">
      <c r="A605" s="42" t="inlineStr">
        <is>
          <t>MS</t>
        </is>
      </c>
      <c r="B605" s="42" t="inlineStr">
        <is>
          <t>28029</t>
        </is>
      </c>
      <c r="C605" s="42" t="inlineStr">
        <is>
          <t>Copiah</t>
        </is>
      </c>
      <c r="D605" s="42" t="inlineStr">
        <is>
          <t>Black Belt</t>
        </is>
      </c>
      <c r="E605" s="42" t="inlineStr"/>
      <c r="F605" s="43" t="n">
        <v>5426</v>
      </c>
      <c r="G605" s="43" t="n">
        <v>6134</v>
      </c>
      <c r="H605" s="43" t="n">
        <v>11665</v>
      </c>
      <c r="I605" s="43" t="n">
        <v>6470</v>
      </c>
      <c r="J605" s="43" t="n">
        <v>6250</v>
      </c>
      <c r="K605" s="42" t="inlineStr">
        <is>
          <t>US House</t>
        </is>
      </c>
      <c r="L605" s="43" t="n">
        <v>3195</v>
      </c>
      <c r="M605" s="43" t="n">
        <v>3662</v>
      </c>
      <c r="N605" s="43" t="n">
        <v>6857</v>
      </c>
      <c r="O605" s="44">
        <f>IFERROR((F605-G605)/(F605+G605),"")</f>
        <v/>
      </c>
      <c r="P605" s="44">
        <f>IFERROR((I605-J605)/(I605+J605),"")</f>
        <v/>
      </c>
      <c r="Q605" s="45">
        <f>IFERROR(O605-P605,"")</f>
        <v/>
      </c>
      <c r="R605" s="44">
        <f>IFERROR((L605-M605)/(L605+M605),"")</f>
        <v/>
      </c>
      <c r="S605" s="46">
        <f>H605/SUMIFS(Counties!$H$2:$H$1583,Counties!$A$2:$A$1583,$A605)</f>
        <v/>
      </c>
      <c r="T605" s="44">
        <f>O605+INDEX(Dashboard!$F$6:$F$22,MATCH($A605,Dashboard!$A$6:$A$22,0))</f>
        <v/>
      </c>
      <c r="U605" s="43">
        <f>AQ605*INDEX(Dashboard!$G$6:$G$22,MATCH($A605,Dashboard!$A$6:$A$22,0))</f>
        <v/>
      </c>
      <c r="V605" s="47" t="n"/>
      <c r="W605" s="47" t="n"/>
      <c r="X605" s="47" t="n"/>
      <c r="Y605" s="48" t="n"/>
      <c r="Z605" s="49" t="n"/>
      <c r="AA605" s="49" t="n"/>
      <c r="AB605" s="49" t="n"/>
      <c r="AC605" s="50" t="n"/>
      <c r="AD605" s="43">
        <f>IF(Z605&lt;&gt;"",Z605,N(V605))</f>
        <v/>
      </c>
      <c r="AE605" s="43">
        <f>IF(AA605&lt;&gt;"",AA605,N(W605))</f>
        <v/>
      </c>
      <c r="AF605" s="43">
        <f>AD605+AE605</f>
        <v/>
      </c>
      <c r="AG605" s="42">
        <f>IF(UPPER(AC605)="Y",1,IF(AF605=0,0,IF(AND(Z605="",Y605&lt;&gt;""),IF(Y605&gt;=0.999,1,0),IF(AF605&gt;=U605,1,0))))</f>
        <v/>
      </c>
      <c r="AH605" s="44">
        <f>IF(AF605&gt;0,(AD605-AE605)/AF605,"")</f>
        <v/>
      </c>
      <c r="AI605" s="45">
        <f>IF(AG605=1,AH605-O605,"")</f>
        <v/>
      </c>
      <c r="AJ605" s="44">
        <f>IF(AG605=1,AH605,MAX(-1,MIN(1,O605+INDEX(Types!$H:$H,MATCH($A605&amp;"|"&amp;$D605,Types!$A:$A,0)))))</f>
        <v/>
      </c>
      <c r="AK605" s="43">
        <f>IF(AG605=1,AF605,MAX(AQ605*AS605,AF605))</f>
        <v/>
      </c>
      <c r="AL605" s="43">
        <f>IF(AG605=1,AD605,AK605*(1+AJ605)/2)</f>
        <v/>
      </c>
      <c r="AM605" s="43">
        <f>IF(AG605=1,AE605,AK605*(1-AJ605)/2)</f>
        <v/>
      </c>
      <c r="AN605" s="45">
        <f>IF(AH605="","",AH605-T605)</f>
        <v/>
      </c>
      <c r="AO605" s="51">
        <f>IF(AG605=1,1,IF(U605&gt;0,MIN(AF605/U605,0.99),0))</f>
        <v/>
      </c>
      <c r="AP605" s="43">
        <f>IF(AG605=1,AI605*AF605,0)</f>
        <v/>
      </c>
      <c r="AQ605" s="43">
        <f>N605*(F605+G605)/H605</f>
        <v/>
      </c>
      <c r="AR605" s="43">
        <f>O605*AQ605</f>
        <v/>
      </c>
      <c r="AS605" s="52">
        <f>IF(AG605=1,IF(AQ605&gt;0,AF605/AQ605,1),IFERROR(INDEX(Types!$K:$K,MATCH($A605&amp;"|"&amp;$D605,Types!$A:$A,0)),INDEX(Dashboard!$X$6:$X$22,MATCH($A605,Dashboard!$A$6:$A$22,0))))</f>
        <v/>
      </c>
      <c r="AT605" s="43">
        <f>AQ605*INDEX(Dashboard!$Y$6:$Y$22,MATCH($A605,Dashboard!$A$6:$A$22,0))</f>
        <v/>
      </c>
      <c r="AU605" s="53">
        <f>IF(AND(AG605=1,AT605&gt;0,AF605&gt;0),100*AF605/AT605,"")</f>
        <v/>
      </c>
      <c r="AV605" s="44">
        <f>IF(AU605="","",T605/(AU605/100))</f>
        <v/>
      </c>
      <c r="AW605" s="53">
        <f>IF(AU605="","",IF(AND(ABS(AH605)&gt;=0.1,ABS(T605)&gt;=0.05,SIGN(AH605)=SIGN(T605)),100*T605/AH605,""))</f>
        <v/>
      </c>
      <c r="AX605" s="45">
        <f>IF(AU605="","",T605-AV605)</f>
        <v/>
      </c>
      <c r="AY605" s="45">
        <f>IF(AU605="","",AH605-AV605)</f>
        <v/>
      </c>
      <c r="AZ605" s="54">
        <f>(AL605-AM605)-T605*AT605</f>
        <v/>
      </c>
      <c r="BA605" s="43">
        <f>IF(AU605="",0,(AH605-T605)*AF605)</f>
        <v/>
      </c>
      <c r="BB605" s="43">
        <f>IF(AU605="",0,T605*(AF605-AT605))</f>
        <v/>
      </c>
      <c r="BC605" s="51" t="n">
        <v>0.4969997108155003</v>
      </c>
      <c r="BD605" s="51" t="n">
        <v>0.046631000578369</v>
      </c>
      <c r="BE605" s="51" t="n">
        <v>0.2032665906994411</v>
      </c>
      <c r="BF605" s="43" t="n">
        <v>27664</v>
      </c>
    </row>
    <row r="606">
      <c r="A606" s="42" t="inlineStr">
        <is>
          <t>MS</t>
        </is>
      </c>
      <c r="B606" s="42" t="inlineStr">
        <is>
          <t>28031</t>
        </is>
      </c>
      <c r="C606" s="42" t="inlineStr">
        <is>
          <t>Covington</t>
        </is>
      </c>
      <c r="D606" s="42" t="inlineStr">
        <is>
          <t>Small town &amp; rural</t>
        </is>
      </c>
      <c r="E606" s="42" t="inlineStr"/>
      <c r="F606" s="43" t="n">
        <v>2921</v>
      </c>
      <c r="G606" s="43" t="n">
        <v>5869</v>
      </c>
      <c r="H606" s="43" t="n">
        <v>8861</v>
      </c>
      <c r="I606" s="43" t="n">
        <v>3416</v>
      </c>
      <c r="J606" s="43" t="n">
        <v>5854</v>
      </c>
      <c r="K606" s="42" t="inlineStr">
        <is>
          <t>US House</t>
        </is>
      </c>
      <c r="L606" s="43" t="n">
        <v>1416</v>
      </c>
      <c r="M606" s="43" t="n">
        <v>3750</v>
      </c>
      <c r="N606" s="43" t="n">
        <v>5166</v>
      </c>
      <c r="O606" s="44">
        <f>IFERROR((F606-G606)/(F606+G606),"")</f>
        <v/>
      </c>
      <c r="P606" s="44">
        <f>IFERROR((I606-J606)/(I606+J606),"")</f>
        <v/>
      </c>
      <c r="Q606" s="45">
        <f>IFERROR(O606-P606,"")</f>
        <v/>
      </c>
      <c r="R606" s="44">
        <f>IFERROR((L606-M606)/(L606+M606),"")</f>
        <v/>
      </c>
      <c r="S606" s="46">
        <f>H606/SUMIFS(Counties!$H$2:$H$1583,Counties!$A$2:$A$1583,$A606)</f>
        <v/>
      </c>
      <c r="T606" s="44">
        <f>O606+INDEX(Dashboard!$F$6:$F$22,MATCH($A606,Dashboard!$A$6:$A$22,0))</f>
        <v/>
      </c>
      <c r="U606" s="43">
        <f>AQ606*INDEX(Dashboard!$G$6:$G$22,MATCH($A606,Dashboard!$A$6:$A$22,0))</f>
        <v/>
      </c>
      <c r="V606" s="47" t="n"/>
      <c r="W606" s="47" t="n"/>
      <c r="X606" s="47" t="n"/>
      <c r="Y606" s="48" t="n"/>
      <c r="Z606" s="49" t="n"/>
      <c r="AA606" s="49" t="n"/>
      <c r="AB606" s="49" t="n"/>
      <c r="AC606" s="50" t="n"/>
      <c r="AD606" s="43">
        <f>IF(Z606&lt;&gt;"",Z606,N(V606))</f>
        <v/>
      </c>
      <c r="AE606" s="43">
        <f>IF(AA606&lt;&gt;"",AA606,N(W606))</f>
        <v/>
      </c>
      <c r="AF606" s="43">
        <f>AD606+AE606</f>
        <v/>
      </c>
      <c r="AG606" s="42">
        <f>IF(UPPER(AC606)="Y",1,IF(AF606=0,0,IF(AND(Z606="",Y606&lt;&gt;""),IF(Y606&gt;=0.999,1,0),IF(AF606&gt;=U606,1,0))))</f>
        <v/>
      </c>
      <c r="AH606" s="44">
        <f>IF(AF606&gt;0,(AD606-AE606)/AF606,"")</f>
        <v/>
      </c>
      <c r="AI606" s="45">
        <f>IF(AG606=1,AH606-O606,"")</f>
        <v/>
      </c>
      <c r="AJ606" s="44">
        <f>IF(AG606=1,AH606,MAX(-1,MIN(1,O606+INDEX(Types!$H:$H,MATCH($A606&amp;"|"&amp;$D606,Types!$A:$A,0)))))</f>
        <v/>
      </c>
      <c r="AK606" s="43">
        <f>IF(AG606=1,AF606,MAX(AQ606*AS606,AF606))</f>
        <v/>
      </c>
      <c r="AL606" s="43">
        <f>IF(AG606=1,AD606,AK606*(1+AJ606)/2)</f>
        <v/>
      </c>
      <c r="AM606" s="43">
        <f>IF(AG606=1,AE606,AK606*(1-AJ606)/2)</f>
        <v/>
      </c>
      <c r="AN606" s="45">
        <f>IF(AH606="","",AH606-T606)</f>
        <v/>
      </c>
      <c r="AO606" s="51">
        <f>IF(AG606=1,1,IF(U606&gt;0,MIN(AF606/U606,0.99),0))</f>
        <v/>
      </c>
      <c r="AP606" s="43">
        <f>IF(AG606=1,AI606*AF606,0)</f>
        <v/>
      </c>
      <c r="AQ606" s="43">
        <f>N606*(F606+G606)/H606</f>
        <v/>
      </c>
      <c r="AR606" s="43">
        <f>O606*AQ606</f>
        <v/>
      </c>
      <c r="AS606" s="52">
        <f>IF(AG606=1,IF(AQ606&gt;0,AF606/AQ606,1),IFERROR(INDEX(Types!$K:$K,MATCH($A606&amp;"|"&amp;$D606,Types!$A:$A,0)),INDEX(Dashboard!$X$6:$X$22,MATCH($A606,Dashboard!$A$6:$A$22,0))))</f>
        <v/>
      </c>
      <c r="AT606" s="43">
        <f>AQ606*INDEX(Dashboard!$Y$6:$Y$22,MATCH($A606,Dashboard!$A$6:$A$22,0))</f>
        <v/>
      </c>
      <c r="AU606" s="53">
        <f>IF(AND(AG606=1,AT606&gt;0,AF606&gt;0),100*AF606/AT606,"")</f>
        <v/>
      </c>
      <c r="AV606" s="44">
        <f>IF(AU606="","",T606/(AU606/100))</f>
        <v/>
      </c>
      <c r="AW606" s="53">
        <f>IF(AU606="","",IF(AND(ABS(AH606)&gt;=0.1,ABS(T606)&gt;=0.05,SIGN(AH606)=SIGN(T606)),100*T606/AH606,""))</f>
        <v/>
      </c>
      <c r="AX606" s="45">
        <f>IF(AU606="","",T606-AV606)</f>
        <v/>
      </c>
      <c r="AY606" s="45">
        <f>IF(AU606="","",AH606-AV606)</f>
        <v/>
      </c>
      <c r="AZ606" s="54">
        <f>(AL606-AM606)-T606*AT606</f>
        <v/>
      </c>
      <c r="BA606" s="43">
        <f>IF(AU606="",0,(AH606-T606)*AF606)</f>
        <v/>
      </c>
      <c r="BB606" s="43">
        <f>IF(AU606="",0,T606*(AF606-AT606))</f>
        <v/>
      </c>
      <c r="BC606" s="51" t="n">
        <v>0.3545046791073703</v>
      </c>
      <c r="BD606" s="51" t="n">
        <v>0.0272994074976466</v>
      </c>
      <c r="BE606" s="51" t="n">
        <v>0.1591169255928046</v>
      </c>
      <c r="BF606" s="43" t="n">
        <v>18059</v>
      </c>
    </row>
    <row r="607">
      <c r="A607" s="42" t="inlineStr">
        <is>
          <t>MS</t>
        </is>
      </c>
      <c r="B607" s="42" t="inlineStr">
        <is>
          <t>28033</t>
        </is>
      </c>
      <c r="C607" s="42" t="inlineStr">
        <is>
          <t>DeSoto</t>
        </is>
      </c>
      <c r="D607" s="42" t="inlineStr">
        <is>
          <t>Mid-size/working metro</t>
        </is>
      </c>
      <c r="E607" s="42" t="inlineStr">
        <is>
          <t>★</t>
        </is>
      </c>
      <c r="F607" s="43" t="n">
        <v>29023</v>
      </c>
      <c r="G607" s="43" t="n">
        <v>48064</v>
      </c>
      <c r="H607" s="43" t="n">
        <v>79082</v>
      </c>
      <c r="I607" s="43" t="n">
        <v>28265</v>
      </c>
      <c r="J607" s="43" t="n">
        <v>46462</v>
      </c>
      <c r="K607" s="42" t="inlineStr">
        <is>
          <t>US House</t>
        </is>
      </c>
      <c r="L607" s="43" t="n">
        <v>11151</v>
      </c>
      <c r="M607" s="43" t="n">
        <v>23388</v>
      </c>
      <c r="N607" s="43" t="n">
        <v>34539</v>
      </c>
      <c r="O607" s="44">
        <f>IFERROR((F607-G607)/(F607+G607),"")</f>
        <v/>
      </c>
      <c r="P607" s="44">
        <f>IFERROR((I607-J607)/(I607+J607),"")</f>
        <v/>
      </c>
      <c r="Q607" s="45">
        <f>IFERROR(O607-P607,"")</f>
        <v/>
      </c>
      <c r="R607" s="44">
        <f>IFERROR((L607-M607)/(L607+M607),"")</f>
        <v/>
      </c>
      <c r="S607" s="46">
        <f>H607/SUMIFS(Counties!$H$2:$H$1583,Counties!$A$2:$A$1583,$A607)</f>
        <v/>
      </c>
      <c r="T607" s="44">
        <f>O607+INDEX(Dashboard!$F$6:$F$22,MATCH($A607,Dashboard!$A$6:$A$22,0))</f>
        <v/>
      </c>
      <c r="U607" s="43">
        <f>AQ607*INDEX(Dashboard!$G$6:$G$22,MATCH($A607,Dashboard!$A$6:$A$22,0))</f>
        <v/>
      </c>
      <c r="V607" s="47" t="n"/>
      <c r="W607" s="47" t="n"/>
      <c r="X607" s="47" t="n"/>
      <c r="Y607" s="48" t="n"/>
      <c r="Z607" s="49" t="n"/>
      <c r="AA607" s="49" t="n"/>
      <c r="AB607" s="49" t="n"/>
      <c r="AC607" s="50" t="n"/>
      <c r="AD607" s="43">
        <f>IF(Z607&lt;&gt;"",Z607,N(V607))</f>
        <v/>
      </c>
      <c r="AE607" s="43">
        <f>IF(AA607&lt;&gt;"",AA607,N(W607))</f>
        <v/>
      </c>
      <c r="AF607" s="43">
        <f>AD607+AE607</f>
        <v/>
      </c>
      <c r="AG607" s="42">
        <f>IF(UPPER(AC607)="Y",1,IF(AF607=0,0,IF(AND(Z607="",Y607&lt;&gt;""),IF(Y607&gt;=0.999,1,0),IF(AF607&gt;=U607,1,0))))</f>
        <v/>
      </c>
      <c r="AH607" s="44">
        <f>IF(AF607&gt;0,(AD607-AE607)/AF607,"")</f>
        <v/>
      </c>
      <c r="AI607" s="45">
        <f>IF(AG607=1,AH607-O607,"")</f>
        <v/>
      </c>
      <c r="AJ607" s="44">
        <f>IF(AG607=1,AH607,MAX(-1,MIN(1,O607+INDEX(Types!$H:$H,MATCH($A607&amp;"|"&amp;$D607,Types!$A:$A,0)))))</f>
        <v/>
      </c>
      <c r="AK607" s="43">
        <f>IF(AG607=1,AF607,MAX(AQ607*AS607,AF607))</f>
        <v/>
      </c>
      <c r="AL607" s="43">
        <f>IF(AG607=1,AD607,AK607*(1+AJ607)/2)</f>
        <v/>
      </c>
      <c r="AM607" s="43">
        <f>IF(AG607=1,AE607,AK607*(1-AJ607)/2)</f>
        <v/>
      </c>
      <c r="AN607" s="45">
        <f>IF(AH607="","",AH607-T607)</f>
        <v/>
      </c>
      <c r="AO607" s="51">
        <f>IF(AG607=1,1,IF(U607&gt;0,MIN(AF607/U607,0.99),0))</f>
        <v/>
      </c>
      <c r="AP607" s="43">
        <f>IF(AG607=1,AI607*AF607,0)</f>
        <v/>
      </c>
      <c r="AQ607" s="43">
        <f>N607*(F607+G607)/H607</f>
        <v/>
      </c>
      <c r="AR607" s="43">
        <f>O607*AQ607</f>
        <v/>
      </c>
      <c r="AS607" s="52">
        <f>IF(AG607=1,IF(AQ607&gt;0,AF607/AQ607,1),IFERROR(INDEX(Types!$K:$K,MATCH($A607&amp;"|"&amp;$D607,Types!$A:$A,0)),INDEX(Dashboard!$X$6:$X$22,MATCH($A607,Dashboard!$A$6:$A$22,0))))</f>
        <v/>
      </c>
      <c r="AT607" s="43">
        <f>AQ607*INDEX(Dashboard!$Y$6:$Y$22,MATCH($A607,Dashboard!$A$6:$A$22,0))</f>
        <v/>
      </c>
      <c r="AU607" s="53">
        <f>IF(AND(AG607=1,AT607&gt;0,AF607&gt;0),100*AF607/AT607,"")</f>
        <v/>
      </c>
      <c r="AV607" s="44">
        <f>IF(AU607="","",T607/(AU607/100))</f>
        <v/>
      </c>
      <c r="AW607" s="53">
        <f>IF(AU607="","",IF(AND(ABS(AH607)&gt;=0.1,ABS(T607)&gt;=0.05,SIGN(AH607)=SIGN(T607)),100*T607/AH607,""))</f>
        <v/>
      </c>
      <c r="AX607" s="45">
        <f>IF(AU607="","",T607-AV607)</f>
        <v/>
      </c>
      <c r="AY607" s="45">
        <f>IF(AU607="","",AH607-AV607)</f>
        <v/>
      </c>
      <c r="AZ607" s="54">
        <f>(AL607-AM607)-T607*AT607</f>
        <v/>
      </c>
      <c r="BA607" s="43">
        <f>IF(AU607="",0,(AH607-T607)*AF607)</f>
        <v/>
      </c>
      <c r="BB607" s="43">
        <f>IF(AU607="",0,T607*(AF607-AT607))</f>
        <v/>
      </c>
      <c r="BC607" s="51" t="n">
        <v>0.3484970012471086</v>
      </c>
      <c r="BD607" s="51" t="n">
        <v>0.05889354039131267</v>
      </c>
      <c r="BE607" s="51" t="n">
        <v>0.2831594156365388</v>
      </c>
      <c r="BF607" s="43" t="n">
        <v>193247</v>
      </c>
    </row>
    <row r="608">
      <c r="A608" s="42" t="inlineStr">
        <is>
          <t>MS</t>
        </is>
      </c>
      <c r="B608" s="42" t="inlineStr">
        <is>
          <t>28035</t>
        </is>
      </c>
      <c r="C608" s="42" t="inlineStr">
        <is>
          <t>Forrest</t>
        </is>
      </c>
      <c r="D608" s="42" t="inlineStr">
        <is>
          <t>Small town &amp; rural</t>
        </is>
      </c>
      <c r="E608" s="42" t="inlineStr"/>
      <c r="F608" s="43" t="n">
        <v>11475</v>
      </c>
      <c r="G608" s="43" t="n">
        <v>16579</v>
      </c>
      <c r="H608" s="43" t="n">
        <v>28466</v>
      </c>
      <c r="I608" s="43" t="n">
        <v>13755</v>
      </c>
      <c r="J608" s="43" t="n">
        <v>17290</v>
      </c>
      <c r="K608" s="42" t="inlineStr">
        <is>
          <t>US House</t>
        </is>
      </c>
      <c r="L608" s="43" t="n">
        <v>6543</v>
      </c>
      <c r="M608" s="43" t="n">
        <v>10802</v>
      </c>
      <c r="N608" s="43" t="n">
        <v>17861</v>
      </c>
      <c r="O608" s="44">
        <f>IFERROR((F608-G608)/(F608+G608),"")</f>
        <v/>
      </c>
      <c r="P608" s="44">
        <f>IFERROR((I608-J608)/(I608+J608),"")</f>
        <v/>
      </c>
      <c r="Q608" s="45">
        <f>IFERROR(O608-P608,"")</f>
        <v/>
      </c>
      <c r="R608" s="44">
        <f>IFERROR((L608-M608)/(L608+M608),"")</f>
        <v/>
      </c>
      <c r="S608" s="46">
        <f>H608/SUMIFS(Counties!$H$2:$H$1583,Counties!$A$2:$A$1583,$A608)</f>
        <v/>
      </c>
      <c r="T608" s="44">
        <f>O608+INDEX(Dashboard!$F$6:$F$22,MATCH($A608,Dashboard!$A$6:$A$22,0))</f>
        <v/>
      </c>
      <c r="U608" s="43">
        <f>AQ608*INDEX(Dashboard!$G$6:$G$22,MATCH($A608,Dashboard!$A$6:$A$22,0))</f>
        <v/>
      </c>
      <c r="V608" s="47" t="n"/>
      <c r="W608" s="47" t="n"/>
      <c r="X608" s="47" t="n"/>
      <c r="Y608" s="48" t="n"/>
      <c r="Z608" s="49" t="n"/>
      <c r="AA608" s="49" t="n"/>
      <c r="AB608" s="49" t="n"/>
      <c r="AC608" s="50" t="n"/>
      <c r="AD608" s="43">
        <f>IF(Z608&lt;&gt;"",Z608,N(V608))</f>
        <v/>
      </c>
      <c r="AE608" s="43">
        <f>IF(AA608&lt;&gt;"",AA608,N(W608))</f>
        <v/>
      </c>
      <c r="AF608" s="43">
        <f>AD608+AE608</f>
        <v/>
      </c>
      <c r="AG608" s="42">
        <f>IF(UPPER(AC608)="Y",1,IF(AF608=0,0,IF(AND(Z608="",Y608&lt;&gt;""),IF(Y608&gt;=0.999,1,0),IF(AF608&gt;=U608,1,0))))</f>
        <v/>
      </c>
      <c r="AH608" s="44">
        <f>IF(AF608&gt;0,(AD608-AE608)/AF608,"")</f>
        <v/>
      </c>
      <c r="AI608" s="45">
        <f>IF(AG608=1,AH608-O608,"")</f>
        <v/>
      </c>
      <c r="AJ608" s="44">
        <f>IF(AG608=1,AH608,MAX(-1,MIN(1,O608+INDEX(Types!$H:$H,MATCH($A608&amp;"|"&amp;$D608,Types!$A:$A,0)))))</f>
        <v/>
      </c>
      <c r="AK608" s="43">
        <f>IF(AG608=1,AF608,MAX(AQ608*AS608,AF608))</f>
        <v/>
      </c>
      <c r="AL608" s="43">
        <f>IF(AG608=1,AD608,AK608*(1+AJ608)/2)</f>
        <v/>
      </c>
      <c r="AM608" s="43">
        <f>IF(AG608=1,AE608,AK608*(1-AJ608)/2)</f>
        <v/>
      </c>
      <c r="AN608" s="45">
        <f>IF(AH608="","",AH608-T608)</f>
        <v/>
      </c>
      <c r="AO608" s="51">
        <f>IF(AG608=1,1,IF(U608&gt;0,MIN(AF608/U608,0.99),0))</f>
        <v/>
      </c>
      <c r="AP608" s="43">
        <f>IF(AG608=1,AI608*AF608,0)</f>
        <v/>
      </c>
      <c r="AQ608" s="43">
        <f>N608*(F608+G608)/H608</f>
        <v/>
      </c>
      <c r="AR608" s="43">
        <f>O608*AQ608</f>
        <v/>
      </c>
      <c r="AS608" s="52">
        <f>IF(AG608=1,IF(AQ608&gt;0,AF608/AQ608,1),IFERROR(INDEX(Types!$K:$K,MATCH($A608&amp;"|"&amp;$D608,Types!$A:$A,0)),INDEX(Dashboard!$X$6:$X$22,MATCH($A608,Dashboard!$A$6:$A$22,0))))</f>
        <v/>
      </c>
      <c r="AT608" s="43">
        <f>AQ608*INDEX(Dashboard!$Y$6:$Y$22,MATCH($A608,Dashboard!$A$6:$A$22,0))</f>
        <v/>
      </c>
      <c r="AU608" s="53">
        <f>IF(AND(AG608=1,AT608&gt;0,AF608&gt;0),100*AF608/AT608,"")</f>
        <v/>
      </c>
      <c r="AV608" s="44">
        <f>IF(AU608="","",T608/(AU608/100))</f>
        <v/>
      </c>
      <c r="AW608" s="53">
        <f>IF(AU608="","",IF(AND(ABS(AH608)&gt;=0.1,ABS(T608)&gt;=0.05,SIGN(AH608)=SIGN(T608)),100*T608/AH608,""))</f>
        <v/>
      </c>
      <c r="AX608" s="45">
        <f>IF(AU608="","",T608-AV608)</f>
        <v/>
      </c>
      <c r="AY608" s="45">
        <f>IF(AU608="","",AH608-AV608)</f>
        <v/>
      </c>
      <c r="AZ608" s="54">
        <f>(AL608-AM608)-T608*AT608</f>
        <v/>
      </c>
      <c r="BA608" s="43">
        <f>IF(AU608="",0,(AH608-T608)*AF608)</f>
        <v/>
      </c>
      <c r="BB608" s="43">
        <f>IF(AU608="",0,T608*(AF608-AT608))</f>
        <v/>
      </c>
      <c r="BC608" s="51" t="n">
        <v>0.3657937806873977</v>
      </c>
      <c r="BD608" s="51" t="n">
        <v>0.04442000818330605</v>
      </c>
      <c r="BE608" s="51" t="n">
        <v>0.2946227032044386</v>
      </c>
      <c r="BF608" s="43" t="n">
        <v>78208</v>
      </c>
    </row>
    <row r="609">
      <c r="A609" s="42" t="inlineStr">
        <is>
          <t>MS</t>
        </is>
      </c>
      <c r="B609" s="42" t="inlineStr">
        <is>
          <t>28037</t>
        </is>
      </c>
      <c r="C609" s="42" t="inlineStr">
        <is>
          <t>Franklin</t>
        </is>
      </c>
      <c r="D609" s="42" t="inlineStr">
        <is>
          <t>Small town &amp; rural</t>
        </is>
      </c>
      <c r="E609" s="42" t="inlineStr"/>
      <c r="F609" s="43" t="n">
        <v>1213</v>
      </c>
      <c r="G609" s="43" t="n">
        <v>2831</v>
      </c>
      <c r="H609" s="43" t="n">
        <v>4066</v>
      </c>
      <c r="I609" s="43" t="n">
        <v>1480</v>
      </c>
      <c r="J609" s="43" t="n">
        <v>2923</v>
      </c>
      <c r="K609" s="42" t="inlineStr">
        <is>
          <t>US House</t>
        </is>
      </c>
      <c r="L609" s="43" t="n">
        <v>871</v>
      </c>
      <c r="M609" s="43" t="n">
        <v>1933</v>
      </c>
      <c r="N609" s="43" t="n">
        <v>2804</v>
      </c>
      <c r="O609" s="44">
        <f>IFERROR((F609-G609)/(F609+G609),"")</f>
        <v/>
      </c>
      <c r="P609" s="44">
        <f>IFERROR((I609-J609)/(I609+J609),"")</f>
        <v/>
      </c>
      <c r="Q609" s="45">
        <f>IFERROR(O609-P609,"")</f>
        <v/>
      </c>
      <c r="R609" s="44">
        <f>IFERROR((L609-M609)/(L609+M609),"")</f>
        <v/>
      </c>
      <c r="S609" s="46">
        <f>H609/SUMIFS(Counties!$H$2:$H$1583,Counties!$A$2:$A$1583,$A609)</f>
        <v/>
      </c>
      <c r="T609" s="44">
        <f>O609+INDEX(Dashboard!$F$6:$F$22,MATCH($A609,Dashboard!$A$6:$A$22,0))</f>
        <v/>
      </c>
      <c r="U609" s="43">
        <f>AQ609*INDEX(Dashboard!$G$6:$G$22,MATCH($A609,Dashboard!$A$6:$A$22,0))</f>
        <v/>
      </c>
      <c r="V609" s="47" t="n"/>
      <c r="W609" s="47" t="n"/>
      <c r="X609" s="47" t="n"/>
      <c r="Y609" s="48" t="n"/>
      <c r="Z609" s="49" t="n"/>
      <c r="AA609" s="49" t="n"/>
      <c r="AB609" s="49" t="n"/>
      <c r="AC609" s="50" t="n"/>
      <c r="AD609" s="43">
        <f>IF(Z609&lt;&gt;"",Z609,N(V609))</f>
        <v/>
      </c>
      <c r="AE609" s="43">
        <f>IF(AA609&lt;&gt;"",AA609,N(W609))</f>
        <v/>
      </c>
      <c r="AF609" s="43">
        <f>AD609+AE609</f>
        <v/>
      </c>
      <c r="AG609" s="42">
        <f>IF(UPPER(AC609)="Y",1,IF(AF609=0,0,IF(AND(Z609="",Y609&lt;&gt;""),IF(Y609&gt;=0.999,1,0),IF(AF609&gt;=U609,1,0))))</f>
        <v/>
      </c>
      <c r="AH609" s="44">
        <f>IF(AF609&gt;0,(AD609-AE609)/AF609,"")</f>
        <v/>
      </c>
      <c r="AI609" s="45">
        <f>IF(AG609=1,AH609-O609,"")</f>
        <v/>
      </c>
      <c r="AJ609" s="44">
        <f>IF(AG609=1,AH609,MAX(-1,MIN(1,O609+INDEX(Types!$H:$H,MATCH($A609&amp;"|"&amp;$D609,Types!$A:$A,0)))))</f>
        <v/>
      </c>
      <c r="AK609" s="43">
        <f>IF(AG609=1,AF609,MAX(AQ609*AS609,AF609))</f>
        <v/>
      </c>
      <c r="AL609" s="43">
        <f>IF(AG609=1,AD609,AK609*(1+AJ609)/2)</f>
        <v/>
      </c>
      <c r="AM609" s="43">
        <f>IF(AG609=1,AE609,AK609*(1-AJ609)/2)</f>
        <v/>
      </c>
      <c r="AN609" s="45">
        <f>IF(AH609="","",AH609-T609)</f>
        <v/>
      </c>
      <c r="AO609" s="51">
        <f>IF(AG609=1,1,IF(U609&gt;0,MIN(AF609/U609,0.99),0))</f>
        <v/>
      </c>
      <c r="AP609" s="43">
        <f>IF(AG609=1,AI609*AF609,0)</f>
        <v/>
      </c>
      <c r="AQ609" s="43">
        <f>N609*(F609+G609)/H609</f>
        <v/>
      </c>
      <c r="AR609" s="43">
        <f>O609*AQ609</f>
        <v/>
      </c>
      <c r="AS609" s="52">
        <f>IF(AG609=1,IF(AQ609&gt;0,AF609/AQ609,1),IFERROR(INDEX(Types!$K:$K,MATCH($A609&amp;"|"&amp;$D609,Types!$A:$A,0)),INDEX(Dashboard!$X$6:$X$22,MATCH($A609,Dashboard!$A$6:$A$22,0))))</f>
        <v/>
      </c>
      <c r="AT609" s="43">
        <f>AQ609*INDEX(Dashboard!$Y$6:$Y$22,MATCH($A609,Dashboard!$A$6:$A$22,0))</f>
        <v/>
      </c>
      <c r="AU609" s="53">
        <f>IF(AND(AG609=1,AT609&gt;0,AF609&gt;0),100*AF609/AT609,"")</f>
        <v/>
      </c>
      <c r="AV609" s="44">
        <f>IF(AU609="","",T609/(AU609/100))</f>
        <v/>
      </c>
      <c r="AW609" s="53">
        <f>IF(AU609="","",IF(AND(ABS(AH609)&gt;=0.1,ABS(T609)&gt;=0.05,SIGN(AH609)=SIGN(T609)),100*T609/AH609,""))</f>
        <v/>
      </c>
      <c r="AX609" s="45">
        <f>IF(AU609="","",T609-AV609)</f>
        <v/>
      </c>
      <c r="AY609" s="45">
        <f>IF(AU609="","",AH609-AV609)</f>
        <v/>
      </c>
      <c r="AZ609" s="54">
        <f>(AL609-AM609)-T609*AT609</f>
        <v/>
      </c>
      <c r="BA609" s="43">
        <f>IF(AU609="",0,(AH609-T609)*AF609)</f>
        <v/>
      </c>
      <c r="BB609" s="43">
        <f>IF(AU609="",0,T609*(AF609-AT609))</f>
        <v/>
      </c>
      <c r="BC609" s="51" t="n">
        <v>0.3421813403416557</v>
      </c>
      <c r="BD609" s="51" t="n">
        <v>0.01314060446780552</v>
      </c>
      <c r="BE609" s="51" t="n">
        <v>0.180652460871205</v>
      </c>
      <c r="BF609" s="43" t="n">
        <v>7610</v>
      </c>
    </row>
    <row r="610">
      <c r="A610" s="42" t="inlineStr">
        <is>
          <t>MS</t>
        </is>
      </c>
      <c r="B610" s="42" t="inlineStr">
        <is>
          <t>28039</t>
        </is>
      </c>
      <c r="C610" s="42" t="inlineStr">
        <is>
          <t>George</t>
        </is>
      </c>
      <c r="D610" s="42" t="inlineStr">
        <is>
          <t>Small town &amp; rural</t>
        </is>
      </c>
      <c r="E610" s="42" t="inlineStr"/>
      <c r="F610" s="43" t="n">
        <v>1138</v>
      </c>
      <c r="G610" s="43" t="n">
        <v>9858</v>
      </c>
      <c r="H610" s="43" t="n">
        <v>11069</v>
      </c>
      <c r="I610" s="43" t="n">
        <v>1218</v>
      </c>
      <c r="J610" s="43" t="n">
        <v>9713</v>
      </c>
      <c r="K610" s="42" t="inlineStr">
        <is>
          <t>US House</t>
        </is>
      </c>
      <c r="L610" s="43" t="n">
        <v>575</v>
      </c>
      <c r="M610" s="43" t="n">
        <v>5984</v>
      </c>
      <c r="N610" s="43" t="n">
        <v>6682</v>
      </c>
      <c r="O610" s="44">
        <f>IFERROR((F610-G610)/(F610+G610),"")</f>
        <v/>
      </c>
      <c r="P610" s="44">
        <f>IFERROR((I610-J610)/(I610+J610),"")</f>
        <v/>
      </c>
      <c r="Q610" s="45">
        <f>IFERROR(O610-P610,"")</f>
        <v/>
      </c>
      <c r="R610" s="44">
        <f>IFERROR((L610-M610)/(L610+M610),"")</f>
        <v/>
      </c>
      <c r="S610" s="46">
        <f>H610/SUMIFS(Counties!$H$2:$H$1583,Counties!$A$2:$A$1583,$A610)</f>
        <v/>
      </c>
      <c r="T610" s="44">
        <f>O610+INDEX(Dashboard!$F$6:$F$22,MATCH($A610,Dashboard!$A$6:$A$22,0))</f>
        <v/>
      </c>
      <c r="U610" s="43">
        <f>AQ610*INDEX(Dashboard!$G$6:$G$22,MATCH($A610,Dashboard!$A$6:$A$22,0))</f>
        <v/>
      </c>
      <c r="V610" s="47" t="n"/>
      <c r="W610" s="47" t="n"/>
      <c r="X610" s="47" t="n"/>
      <c r="Y610" s="48" t="n"/>
      <c r="Z610" s="49" t="n"/>
      <c r="AA610" s="49" t="n"/>
      <c r="AB610" s="49" t="n"/>
      <c r="AC610" s="50" t="n"/>
      <c r="AD610" s="43">
        <f>IF(Z610&lt;&gt;"",Z610,N(V610))</f>
        <v/>
      </c>
      <c r="AE610" s="43">
        <f>IF(AA610&lt;&gt;"",AA610,N(W610))</f>
        <v/>
      </c>
      <c r="AF610" s="43">
        <f>AD610+AE610</f>
        <v/>
      </c>
      <c r="AG610" s="42">
        <f>IF(UPPER(AC610)="Y",1,IF(AF610=0,0,IF(AND(Z610="",Y610&lt;&gt;""),IF(Y610&gt;=0.999,1,0),IF(AF610&gt;=U610,1,0))))</f>
        <v/>
      </c>
      <c r="AH610" s="44">
        <f>IF(AF610&gt;0,(AD610-AE610)/AF610,"")</f>
        <v/>
      </c>
      <c r="AI610" s="45">
        <f>IF(AG610=1,AH610-O610,"")</f>
        <v/>
      </c>
      <c r="AJ610" s="44">
        <f>IF(AG610=1,AH610,MAX(-1,MIN(1,O610+INDEX(Types!$H:$H,MATCH($A610&amp;"|"&amp;$D610,Types!$A:$A,0)))))</f>
        <v/>
      </c>
      <c r="AK610" s="43">
        <f>IF(AG610=1,AF610,MAX(AQ610*AS610,AF610))</f>
        <v/>
      </c>
      <c r="AL610" s="43">
        <f>IF(AG610=1,AD610,AK610*(1+AJ610)/2)</f>
        <v/>
      </c>
      <c r="AM610" s="43">
        <f>IF(AG610=1,AE610,AK610*(1-AJ610)/2)</f>
        <v/>
      </c>
      <c r="AN610" s="45">
        <f>IF(AH610="","",AH610-T610)</f>
        <v/>
      </c>
      <c r="AO610" s="51">
        <f>IF(AG610=1,1,IF(U610&gt;0,MIN(AF610/U610,0.99),0))</f>
        <v/>
      </c>
      <c r="AP610" s="43">
        <f>IF(AG610=1,AI610*AF610,0)</f>
        <v/>
      </c>
      <c r="AQ610" s="43">
        <f>N610*(F610+G610)/H610</f>
        <v/>
      </c>
      <c r="AR610" s="43">
        <f>O610*AQ610</f>
        <v/>
      </c>
      <c r="AS610" s="52">
        <f>IF(AG610=1,IF(AQ610&gt;0,AF610/AQ610,1),IFERROR(INDEX(Types!$K:$K,MATCH($A610&amp;"|"&amp;$D610,Types!$A:$A,0)),INDEX(Dashboard!$X$6:$X$22,MATCH($A610,Dashboard!$A$6:$A$22,0))))</f>
        <v/>
      </c>
      <c r="AT610" s="43">
        <f>AQ610*INDEX(Dashboard!$Y$6:$Y$22,MATCH($A610,Dashboard!$A$6:$A$22,0))</f>
        <v/>
      </c>
      <c r="AU610" s="53">
        <f>IF(AND(AG610=1,AT610&gt;0,AF610&gt;0),100*AF610/AT610,"")</f>
        <v/>
      </c>
      <c r="AV610" s="44">
        <f>IF(AU610="","",T610/(AU610/100))</f>
        <v/>
      </c>
      <c r="AW610" s="53">
        <f>IF(AU610="","",IF(AND(ABS(AH610)&gt;=0.1,ABS(T610)&gt;=0.05,SIGN(AH610)=SIGN(T610)),100*T610/AH610,""))</f>
        <v/>
      </c>
      <c r="AX610" s="45">
        <f>IF(AU610="","",T610-AV610)</f>
        <v/>
      </c>
      <c r="AY610" s="45">
        <f>IF(AU610="","",AH610-AV610)</f>
        <v/>
      </c>
      <c r="AZ610" s="54">
        <f>(AL610-AM610)-T610*AT610</f>
        <v/>
      </c>
      <c r="BA610" s="43">
        <f>IF(AU610="",0,(AH610-T610)*AF610)</f>
        <v/>
      </c>
      <c r="BB610" s="43">
        <f>IF(AU610="",0,T610*(AF610-AT610))</f>
        <v/>
      </c>
      <c r="BC610" s="51" t="n">
        <v>0.0771692884187517</v>
      </c>
      <c r="BD610" s="51" t="n">
        <v>0.03259299738475351</v>
      </c>
      <c r="BE610" s="51" t="n">
        <v>0.1714250477893569</v>
      </c>
      <c r="BF610" s="43" t="n">
        <v>25619</v>
      </c>
    </row>
    <row r="611">
      <c r="A611" s="42" t="inlineStr">
        <is>
          <t>MS</t>
        </is>
      </c>
      <c r="B611" s="42" t="inlineStr">
        <is>
          <t>28041</t>
        </is>
      </c>
      <c r="C611" s="42" t="inlineStr">
        <is>
          <t>Greene</t>
        </is>
      </c>
      <c r="D611" s="42" t="inlineStr">
        <is>
          <t>Small town &amp; rural</t>
        </is>
      </c>
      <c r="E611" s="42" t="inlineStr"/>
      <c r="F611" s="43" t="n">
        <v>835</v>
      </c>
      <c r="G611" s="43" t="n">
        <v>4776</v>
      </c>
      <c r="H611" s="43" t="n">
        <v>5649</v>
      </c>
      <c r="I611" s="43" t="n">
        <v>966</v>
      </c>
      <c r="J611" s="43" t="n">
        <v>4794</v>
      </c>
      <c r="K611" s="42" t="inlineStr">
        <is>
          <t>US House</t>
        </is>
      </c>
      <c r="L611" s="43" t="n">
        <v>548</v>
      </c>
      <c r="M611" s="43" t="n">
        <v>2862</v>
      </c>
      <c r="N611" s="43" t="n">
        <v>3449</v>
      </c>
      <c r="O611" s="44">
        <f>IFERROR((F611-G611)/(F611+G611),"")</f>
        <v/>
      </c>
      <c r="P611" s="44">
        <f>IFERROR((I611-J611)/(I611+J611),"")</f>
        <v/>
      </c>
      <c r="Q611" s="45">
        <f>IFERROR(O611-P611,"")</f>
        <v/>
      </c>
      <c r="R611" s="44">
        <f>IFERROR((L611-M611)/(L611+M611),"")</f>
        <v/>
      </c>
      <c r="S611" s="46">
        <f>H611/SUMIFS(Counties!$H$2:$H$1583,Counties!$A$2:$A$1583,$A611)</f>
        <v/>
      </c>
      <c r="T611" s="44">
        <f>O611+INDEX(Dashboard!$F$6:$F$22,MATCH($A611,Dashboard!$A$6:$A$22,0))</f>
        <v/>
      </c>
      <c r="U611" s="43">
        <f>AQ611*INDEX(Dashboard!$G$6:$G$22,MATCH($A611,Dashboard!$A$6:$A$22,0))</f>
        <v/>
      </c>
      <c r="V611" s="47" t="n"/>
      <c r="W611" s="47" t="n"/>
      <c r="X611" s="47" t="n"/>
      <c r="Y611" s="48" t="n"/>
      <c r="Z611" s="49" t="n"/>
      <c r="AA611" s="49" t="n"/>
      <c r="AB611" s="49" t="n"/>
      <c r="AC611" s="50" t="n"/>
      <c r="AD611" s="43">
        <f>IF(Z611&lt;&gt;"",Z611,N(V611))</f>
        <v/>
      </c>
      <c r="AE611" s="43">
        <f>IF(AA611&lt;&gt;"",AA611,N(W611))</f>
        <v/>
      </c>
      <c r="AF611" s="43">
        <f>AD611+AE611</f>
        <v/>
      </c>
      <c r="AG611" s="42">
        <f>IF(UPPER(AC611)="Y",1,IF(AF611=0,0,IF(AND(Z611="",Y611&lt;&gt;""),IF(Y611&gt;=0.999,1,0),IF(AF611&gt;=U611,1,0))))</f>
        <v/>
      </c>
      <c r="AH611" s="44">
        <f>IF(AF611&gt;0,(AD611-AE611)/AF611,"")</f>
        <v/>
      </c>
      <c r="AI611" s="45">
        <f>IF(AG611=1,AH611-O611,"")</f>
        <v/>
      </c>
      <c r="AJ611" s="44">
        <f>IF(AG611=1,AH611,MAX(-1,MIN(1,O611+INDEX(Types!$H:$H,MATCH($A611&amp;"|"&amp;$D611,Types!$A:$A,0)))))</f>
        <v/>
      </c>
      <c r="AK611" s="43">
        <f>IF(AG611=1,AF611,MAX(AQ611*AS611,AF611))</f>
        <v/>
      </c>
      <c r="AL611" s="43">
        <f>IF(AG611=1,AD611,AK611*(1+AJ611)/2)</f>
        <v/>
      </c>
      <c r="AM611" s="43">
        <f>IF(AG611=1,AE611,AK611*(1-AJ611)/2)</f>
        <v/>
      </c>
      <c r="AN611" s="45">
        <f>IF(AH611="","",AH611-T611)</f>
        <v/>
      </c>
      <c r="AO611" s="51">
        <f>IF(AG611=1,1,IF(U611&gt;0,MIN(AF611/U611,0.99),0))</f>
        <v/>
      </c>
      <c r="AP611" s="43">
        <f>IF(AG611=1,AI611*AF611,0)</f>
        <v/>
      </c>
      <c r="AQ611" s="43">
        <f>N611*(F611+G611)/H611</f>
        <v/>
      </c>
      <c r="AR611" s="43">
        <f>O611*AQ611</f>
        <v/>
      </c>
      <c r="AS611" s="52">
        <f>IF(AG611=1,IF(AQ611&gt;0,AF611/AQ611,1),IFERROR(INDEX(Types!$K:$K,MATCH($A611&amp;"|"&amp;$D611,Types!$A:$A,0)),INDEX(Dashboard!$X$6:$X$22,MATCH($A611,Dashboard!$A$6:$A$22,0))))</f>
        <v/>
      </c>
      <c r="AT611" s="43">
        <f>AQ611*INDEX(Dashboard!$Y$6:$Y$22,MATCH($A611,Dashboard!$A$6:$A$22,0))</f>
        <v/>
      </c>
      <c r="AU611" s="53">
        <f>IF(AND(AG611=1,AT611&gt;0,AF611&gt;0),100*AF611/AT611,"")</f>
        <v/>
      </c>
      <c r="AV611" s="44">
        <f>IF(AU611="","",T611/(AU611/100))</f>
        <v/>
      </c>
      <c r="AW611" s="53">
        <f>IF(AU611="","",IF(AND(ABS(AH611)&gt;=0.1,ABS(T611)&gt;=0.05,SIGN(AH611)=SIGN(T611)),100*T611/AH611,""))</f>
        <v/>
      </c>
      <c r="AX611" s="45">
        <f>IF(AU611="","",T611-AV611)</f>
        <v/>
      </c>
      <c r="AY611" s="45">
        <f>IF(AU611="","",AH611-AV611)</f>
        <v/>
      </c>
      <c r="AZ611" s="54">
        <f>(AL611-AM611)-T611*AT611</f>
        <v/>
      </c>
      <c r="BA611" s="43">
        <f>IF(AU611="",0,(AH611-T611)*AF611)</f>
        <v/>
      </c>
      <c r="BB611" s="43">
        <f>IF(AU611="",0,T611*(AF611-AT611))</f>
        <v/>
      </c>
      <c r="BC611" s="51" t="n">
        <v>0.2548342033673995</v>
      </c>
      <c r="BD611" s="51" t="n">
        <v>0.0153665171678553</v>
      </c>
      <c r="BE611" s="51" t="n">
        <v>0.1191627998815283</v>
      </c>
      <c r="BF611" s="43" t="n">
        <v>13601</v>
      </c>
    </row>
    <row r="612">
      <c r="A612" s="42" t="inlineStr">
        <is>
          <t>MS</t>
        </is>
      </c>
      <c r="B612" s="42" t="inlineStr">
        <is>
          <t>28043</t>
        </is>
      </c>
      <c r="C612" s="42" t="inlineStr">
        <is>
          <t>Grenada</t>
        </is>
      </c>
      <c r="D612" s="42" t="inlineStr">
        <is>
          <t>Black Belt</t>
        </is>
      </c>
      <c r="E612" s="42" t="inlineStr"/>
      <c r="F612" s="43" t="n">
        <v>4060</v>
      </c>
      <c r="G612" s="43" t="n">
        <v>5651</v>
      </c>
      <c r="H612" s="43" t="n">
        <v>9766</v>
      </c>
      <c r="I612" s="43" t="n">
        <v>4734</v>
      </c>
      <c r="J612" s="43" t="n">
        <v>6081</v>
      </c>
      <c r="K612" s="42" t="inlineStr">
        <is>
          <t>US House</t>
        </is>
      </c>
      <c r="L612" s="43" t="n">
        <v>2574</v>
      </c>
      <c r="M612" s="43" t="n">
        <v>3541</v>
      </c>
      <c r="N612" s="43" t="n">
        <v>6115</v>
      </c>
      <c r="O612" s="44">
        <f>IFERROR((F612-G612)/(F612+G612),"")</f>
        <v/>
      </c>
      <c r="P612" s="44">
        <f>IFERROR((I612-J612)/(I612+J612),"")</f>
        <v/>
      </c>
      <c r="Q612" s="45">
        <f>IFERROR(O612-P612,"")</f>
        <v/>
      </c>
      <c r="R612" s="44">
        <f>IFERROR((L612-M612)/(L612+M612),"")</f>
        <v/>
      </c>
      <c r="S612" s="46">
        <f>H612/SUMIFS(Counties!$H$2:$H$1583,Counties!$A$2:$A$1583,$A612)</f>
        <v/>
      </c>
      <c r="T612" s="44">
        <f>O612+INDEX(Dashboard!$F$6:$F$22,MATCH($A612,Dashboard!$A$6:$A$22,0))</f>
        <v/>
      </c>
      <c r="U612" s="43">
        <f>AQ612*INDEX(Dashboard!$G$6:$G$22,MATCH($A612,Dashboard!$A$6:$A$22,0))</f>
        <v/>
      </c>
      <c r="V612" s="47" t="n"/>
      <c r="W612" s="47" t="n"/>
      <c r="X612" s="47" t="n"/>
      <c r="Y612" s="48" t="n"/>
      <c r="Z612" s="49" t="n"/>
      <c r="AA612" s="49" t="n"/>
      <c r="AB612" s="49" t="n"/>
      <c r="AC612" s="50" t="n"/>
      <c r="AD612" s="43">
        <f>IF(Z612&lt;&gt;"",Z612,N(V612))</f>
        <v/>
      </c>
      <c r="AE612" s="43">
        <f>IF(AA612&lt;&gt;"",AA612,N(W612))</f>
        <v/>
      </c>
      <c r="AF612" s="43">
        <f>AD612+AE612</f>
        <v/>
      </c>
      <c r="AG612" s="42">
        <f>IF(UPPER(AC612)="Y",1,IF(AF612=0,0,IF(AND(Z612="",Y612&lt;&gt;""),IF(Y612&gt;=0.999,1,0),IF(AF612&gt;=U612,1,0))))</f>
        <v/>
      </c>
      <c r="AH612" s="44">
        <f>IF(AF612&gt;0,(AD612-AE612)/AF612,"")</f>
        <v/>
      </c>
      <c r="AI612" s="45">
        <f>IF(AG612=1,AH612-O612,"")</f>
        <v/>
      </c>
      <c r="AJ612" s="44">
        <f>IF(AG612=1,AH612,MAX(-1,MIN(1,O612+INDEX(Types!$H:$H,MATCH($A612&amp;"|"&amp;$D612,Types!$A:$A,0)))))</f>
        <v/>
      </c>
      <c r="AK612" s="43">
        <f>IF(AG612=1,AF612,MAX(AQ612*AS612,AF612))</f>
        <v/>
      </c>
      <c r="AL612" s="43">
        <f>IF(AG612=1,AD612,AK612*(1+AJ612)/2)</f>
        <v/>
      </c>
      <c r="AM612" s="43">
        <f>IF(AG612=1,AE612,AK612*(1-AJ612)/2)</f>
        <v/>
      </c>
      <c r="AN612" s="45">
        <f>IF(AH612="","",AH612-T612)</f>
        <v/>
      </c>
      <c r="AO612" s="51">
        <f>IF(AG612=1,1,IF(U612&gt;0,MIN(AF612/U612,0.99),0))</f>
        <v/>
      </c>
      <c r="AP612" s="43">
        <f>IF(AG612=1,AI612*AF612,0)</f>
        <v/>
      </c>
      <c r="AQ612" s="43">
        <f>N612*(F612+G612)/H612</f>
        <v/>
      </c>
      <c r="AR612" s="43">
        <f>O612*AQ612</f>
        <v/>
      </c>
      <c r="AS612" s="52">
        <f>IF(AG612=1,IF(AQ612&gt;0,AF612/AQ612,1),IFERROR(INDEX(Types!$K:$K,MATCH($A612&amp;"|"&amp;$D612,Types!$A:$A,0)),INDEX(Dashboard!$X$6:$X$22,MATCH($A612,Dashboard!$A$6:$A$22,0))))</f>
        <v/>
      </c>
      <c r="AT612" s="43">
        <f>AQ612*INDEX(Dashboard!$Y$6:$Y$22,MATCH($A612,Dashboard!$A$6:$A$22,0))</f>
        <v/>
      </c>
      <c r="AU612" s="53">
        <f>IF(AND(AG612=1,AT612&gt;0,AF612&gt;0),100*AF612/AT612,"")</f>
        <v/>
      </c>
      <c r="AV612" s="44">
        <f>IF(AU612="","",T612/(AU612/100))</f>
        <v/>
      </c>
      <c r="AW612" s="53">
        <f>IF(AU612="","",IF(AND(ABS(AH612)&gt;=0.1,ABS(T612)&gt;=0.05,SIGN(AH612)=SIGN(T612)),100*T612/AH612,""))</f>
        <v/>
      </c>
      <c r="AX612" s="45">
        <f>IF(AU612="","",T612-AV612)</f>
        <v/>
      </c>
      <c r="AY612" s="45">
        <f>IF(AU612="","",AH612-AV612)</f>
        <v/>
      </c>
      <c r="AZ612" s="54">
        <f>(AL612-AM612)-T612*AT612</f>
        <v/>
      </c>
      <c r="BA612" s="43">
        <f>IF(AU612="",0,(AH612-T612)*AF612)</f>
        <v/>
      </c>
      <c r="BB612" s="43">
        <f>IF(AU612="",0,T612*(AF612-AT612))</f>
        <v/>
      </c>
      <c r="BC612" s="51" t="n">
        <v>0.4384998813197247</v>
      </c>
      <c r="BD612" s="51" t="n">
        <v>0.01604557322572988</v>
      </c>
      <c r="BE612" s="51" t="n">
        <v>0.2366202974028644</v>
      </c>
      <c r="BF612" s="43" t="n">
        <v>21065</v>
      </c>
    </row>
    <row r="613">
      <c r="A613" s="42" t="inlineStr">
        <is>
          <t>MS</t>
        </is>
      </c>
      <c r="B613" s="42" t="inlineStr">
        <is>
          <t>28045</t>
        </is>
      </c>
      <c r="C613" s="42" t="inlineStr">
        <is>
          <t>Hancock</t>
        </is>
      </c>
      <c r="D613" s="42" t="inlineStr">
        <is>
          <t>Small town &amp; rural</t>
        </is>
      </c>
      <c r="E613" s="42" t="inlineStr"/>
      <c r="F613" s="43" t="n">
        <v>4262</v>
      </c>
      <c r="G613" s="43" t="n">
        <v>16684</v>
      </c>
      <c r="H613" s="43" t="n">
        <v>21175</v>
      </c>
      <c r="I613" s="43" t="n">
        <v>4504</v>
      </c>
      <c r="J613" s="43" t="n">
        <v>16132</v>
      </c>
      <c r="K613" s="42" t="inlineStr">
        <is>
          <t>US House</t>
        </is>
      </c>
      <c r="L613" s="43" t="n">
        <v>2256</v>
      </c>
      <c r="M613" s="43" t="n">
        <v>9767</v>
      </c>
      <c r="N613" s="43" t="n">
        <v>12223</v>
      </c>
      <c r="O613" s="44">
        <f>IFERROR((F613-G613)/(F613+G613),"")</f>
        <v/>
      </c>
      <c r="P613" s="44">
        <f>IFERROR((I613-J613)/(I613+J613),"")</f>
        <v/>
      </c>
      <c r="Q613" s="45">
        <f>IFERROR(O613-P613,"")</f>
        <v/>
      </c>
      <c r="R613" s="44">
        <f>IFERROR((L613-M613)/(L613+M613),"")</f>
        <v/>
      </c>
      <c r="S613" s="46">
        <f>H613/SUMIFS(Counties!$H$2:$H$1583,Counties!$A$2:$A$1583,$A613)</f>
        <v/>
      </c>
      <c r="T613" s="44">
        <f>O613+INDEX(Dashboard!$F$6:$F$22,MATCH($A613,Dashboard!$A$6:$A$22,0))</f>
        <v/>
      </c>
      <c r="U613" s="43">
        <f>AQ613*INDEX(Dashboard!$G$6:$G$22,MATCH($A613,Dashboard!$A$6:$A$22,0))</f>
        <v/>
      </c>
      <c r="V613" s="47" t="n"/>
      <c r="W613" s="47" t="n"/>
      <c r="X613" s="47" t="n"/>
      <c r="Y613" s="48" t="n"/>
      <c r="Z613" s="49" t="n"/>
      <c r="AA613" s="49" t="n"/>
      <c r="AB613" s="49" t="n"/>
      <c r="AC613" s="50" t="n"/>
      <c r="AD613" s="43">
        <f>IF(Z613&lt;&gt;"",Z613,N(V613))</f>
        <v/>
      </c>
      <c r="AE613" s="43">
        <f>IF(AA613&lt;&gt;"",AA613,N(W613))</f>
        <v/>
      </c>
      <c r="AF613" s="43">
        <f>AD613+AE613</f>
        <v/>
      </c>
      <c r="AG613" s="42">
        <f>IF(UPPER(AC613)="Y",1,IF(AF613=0,0,IF(AND(Z613="",Y613&lt;&gt;""),IF(Y613&gt;=0.999,1,0),IF(AF613&gt;=U613,1,0))))</f>
        <v/>
      </c>
      <c r="AH613" s="44">
        <f>IF(AF613&gt;0,(AD613-AE613)/AF613,"")</f>
        <v/>
      </c>
      <c r="AI613" s="45">
        <f>IF(AG613=1,AH613-O613,"")</f>
        <v/>
      </c>
      <c r="AJ613" s="44">
        <f>IF(AG613=1,AH613,MAX(-1,MIN(1,O613+INDEX(Types!$H:$H,MATCH($A613&amp;"|"&amp;$D613,Types!$A:$A,0)))))</f>
        <v/>
      </c>
      <c r="AK613" s="43">
        <f>IF(AG613=1,AF613,MAX(AQ613*AS613,AF613))</f>
        <v/>
      </c>
      <c r="AL613" s="43">
        <f>IF(AG613=1,AD613,AK613*(1+AJ613)/2)</f>
        <v/>
      </c>
      <c r="AM613" s="43">
        <f>IF(AG613=1,AE613,AK613*(1-AJ613)/2)</f>
        <v/>
      </c>
      <c r="AN613" s="45">
        <f>IF(AH613="","",AH613-T613)</f>
        <v/>
      </c>
      <c r="AO613" s="51">
        <f>IF(AG613=1,1,IF(U613&gt;0,MIN(AF613/U613,0.99),0))</f>
        <v/>
      </c>
      <c r="AP613" s="43">
        <f>IF(AG613=1,AI613*AF613,0)</f>
        <v/>
      </c>
      <c r="AQ613" s="43">
        <f>N613*(F613+G613)/H613</f>
        <v/>
      </c>
      <c r="AR613" s="43">
        <f>O613*AQ613</f>
        <v/>
      </c>
      <c r="AS613" s="52">
        <f>IF(AG613=1,IF(AQ613&gt;0,AF613/AQ613,1),IFERROR(INDEX(Types!$K:$K,MATCH($A613&amp;"|"&amp;$D613,Types!$A:$A,0)),INDEX(Dashboard!$X$6:$X$22,MATCH($A613,Dashboard!$A$6:$A$22,0))))</f>
        <v/>
      </c>
      <c r="AT613" s="43">
        <f>AQ613*INDEX(Dashboard!$Y$6:$Y$22,MATCH($A613,Dashboard!$A$6:$A$22,0))</f>
        <v/>
      </c>
      <c r="AU613" s="53">
        <f>IF(AND(AG613=1,AT613&gt;0,AF613&gt;0),100*AF613/AT613,"")</f>
        <v/>
      </c>
      <c r="AV613" s="44">
        <f>IF(AU613="","",T613/(AU613/100))</f>
        <v/>
      </c>
      <c r="AW613" s="53">
        <f>IF(AU613="","",IF(AND(ABS(AH613)&gt;=0.1,ABS(T613)&gt;=0.05,SIGN(AH613)=SIGN(T613)),100*T613/AH613,""))</f>
        <v/>
      </c>
      <c r="AX613" s="45">
        <f>IF(AU613="","",T613-AV613)</f>
        <v/>
      </c>
      <c r="AY613" s="45">
        <f>IF(AU613="","",AH613-AV613)</f>
        <v/>
      </c>
      <c r="AZ613" s="54">
        <f>(AL613-AM613)-T613*AT613</f>
        <v/>
      </c>
      <c r="BA613" s="43">
        <f>IF(AU613="",0,(AH613-T613)*AF613)</f>
        <v/>
      </c>
      <c r="BB613" s="43">
        <f>IF(AU613="",0,T613*(AF613-AT613))</f>
        <v/>
      </c>
      <c r="BC613" s="51" t="n">
        <v>0.08108927836391602</v>
      </c>
      <c r="BD613" s="51" t="n">
        <v>0.04218028986763145</v>
      </c>
      <c r="BE613" s="51" t="n">
        <v>0.2459035788228335</v>
      </c>
      <c r="BF613" s="43" t="n">
        <v>46159</v>
      </c>
    </row>
    <row r="614">
      <c r="A614" s="42" t="inlineStr">
        <is>
          <t>MS</t>
        </is>
      </c>
      <c r="B614" s="42" t="inlineStr">
        <is>
          <t>28047</t>
        </is>
      </c>
      <c r="C614" s="42" t="inlineStr">
        <is>
          <t>Harrison</t>
        </is>
      </c>
      <c r="D614" s="42" t="inlineStr">
        <is>
          <t>Mid-size/working metro</t>
        </is>
      </c>
      <c r="E614" s="42" t="inlineStr">
        <is>
          <t>★</t>
        </is>
      </c>
      <c r="F614" s="43" t="n">
        <v>26555</v>
      </c>
      <c r="G614" s="43" t="n">
        <v>48497</v>
      </c>
      <c r="H614" s="43" t="n">
        <v>75923</v>
      </c>
      <c r="I614" s="43" t="n">
        <v>27728</v>
      </c>
      <c r="J614" s="43" t="n">
        <v>46822</v>
      </c>
      <c r="K614" s="42" t="inlineStr">
        <is>
          <t>US House</t>
        </is>
      </c>
      <c r="L614" s="43" t="n">
        <v>12577</v>
      </c>
      <c r="M614" s="43" t="n">
        <v>28455</v>
      </c>
      <c r="N614" s="43" t="n">
        <v>41876</v>
      </c>
      <c r="O614" s="44">
        <f>IFERROR((F614-G614)/(F614+G614),"")</f>
        <v/>
      </c>
      <c r="P614" s="44">
        <f>IFERROR((I614-J614)/(I614+J614),"")</f>
        <v/>
      </c>
      <c r="Q614" s="45">
        <f>IFERROR(O614-P614,"")</f>
        <v/>
      </c>
      <c r="R614" s="44">
        <f>IFERROR((L614-M614)/(L614+M614),"")</f>
        <v/>
      </c>
      <c r="S614" s="46">
        <f>H614/SUMIFS(Counties!$H$2:$H$1583,Counties!$A$2:$A$1583,$A614)</f>
        <v/>
      </c>
      <c r="T614" s="44">
        <f>O614+INDEX(Dashboard!$F$6:$F$22,MATCH($A614,Dashboard!$A$6:$A$22,0))</f>
        <v/>
      </c>
      <c r="U614" s="43">
        <f>AQ614*INDEX(Dashboard!$G$6:$G$22,MATCH($A614,Dashboard!$A$6:$A$22,0))</f>
        <v/>
      </c>
      <c r="V614" s="47" t="n"/>
      <c r="W614" s="47" t="n"/>
      <c r="X614" s="47" t="n"/>
      <c r="Y614" s="48" t="n"/>
      <c r="Z614" s="49" t="n"/>
      <c r="AA614" s="49" t="n"/>
      <c r="AB614" s="49" t="n"/>
      <c r="AC614" s="50" t="n"/>
      <c r="AD614" s="43">
        <f>IF(Z614&lt;&gt;"",Z614,N(V614))</f>
        <v/>
      </c>
      <c r="AE614" s="43">
        <f>IF(AA614&lt;&gt;"",AA614,N(W614))</f>
        <v/>
      </c>
      <c r="AF614" s="43">
        <f>AD614+AE614</f>
        <v/>
      </c>
      <c r="AG614" s="42">
        <f>IF(UPPER(AC614)="Y",1,IF(AF614=0,0,IF(AND(Z614="",Y614&lt;&gt;""),IF(Y614&gt;=0.999,1,0),IF(AF614&gt;=U614,1,0))))</f>
        <v/>
      </c>
      <c r="AH614" s="44">
        <f>IF(AF614&gt;0,(AD614-AE614)/AF614,"")</f>
        <v/>
      </c>
      <c r="AI614" s="45">
        <f>IF(AG614=1,AH614-O614,"")</f>
        <v/>
      </c>
      <c r="AJ614" s="44">
        <f>IF(AG614=1,AH614,MAX(-1,MIN(1,O614+INDEX(Types!$H:$H,MATCH($A614&amp;"|"&amp;$D614,Types!$A:$A,0)))))</f>
        <v/>
      </c>
      <c r="AK614" s="43">
        <f>IF(AG614=1,AF614,MAX(AQ614*AS614,AF614))</f>
        <v/>
      </c>
      <c r="AL614" s="43">
        <f>IF(AG614=1,AD614,AK614*(1+AJ614)/2)</f>
        <v/>
      </c>
      <c r="AM614" s="43">
        <f>IF(AG614=1,AE614,AK614*(1-AJ614)/2)</f>
        <v/>
      </c>
      <c r="AN614" s="45">
        <f>IF(AH614="","",AH614-T614)</f>
        <v/>
      </c>
      <c r="AO614" s="51">
        <f>IF(AG614=1,1,IF(U614&gt;0,MIN(AF614/U614,0.99),0))</f>
        <v/>
      </c>
      <c r="AP614" s="43">
        <f>IF(AG614=1,AI614*AF614,0)</f>
        <v/>
      </c>
      <c r="AQ614" s="43">
        <f>N614*(F614+G614)/H614</f>
        <v/>
      </c>
      <c r="AR614" s="43">
        <f>O614*AQ614</f>
        <v/>
      </c>
      <c r="AS614" s="52">
        <f>IF(AG614=1,IF(AQ614&gt;0,AF614/AQ614,1),IFERROR(INDEX(Types!$K:$K,MATCH($A614&amp;"|"&amp;$D614,Types!$A:$A,0)),INDEX(Dashboard!$X$6:$X$22,MATCH($A614,Dashboard!$A$6:$A$22,0))))</f>
        <v/>
      </c>
      <c r="AT614" s="43">
        <f>AQ614*INDEX(Dashboard!$Y$6:$Y$22,MATCH($A614,Dashboard!$A$6:$A$22,0))</f>
        <v/>
      </c>
      <c r="AU614" s="53">
        <f>IF(AND(AG614=1,AT614&gt;0,AF614&gt;0),100*AF614/AT614,"")</f>
        <v/>
      </c>
      <c r="AV614" s="44">
        <f>IF(AU614="","",T614/(AU614/100))</f>
        <v/>
      </c>
      <c r="AW614" s="53">
        <f>IF(AU614="","",IF(AND(ABS(AH614)&gt;=0.1,ABS(T614)&gt;=0.05,SIGN(AH614)=SIGN(T614)),100*T614/AH614,""))</f>
        <v/>
      </c>
      <c r="AX614" s="45">
        <f>IF(AU614="","",T614-AV614)</f>
        <v/>
      </c>
      <c r="AY614" s="45">
        <f>IF(AU614="","",AH614-AV614)</f>
        <v/>
      </c>
      <c r="AZ614" s="54">
        <f>(AL614-AM614)-T614*AT614</f>
        <v/>
      </c>
      <c r="BA614" s="43">
        <f>IF(AU614="",0,(AH614-T614)*AF614)</f>
        <v/>
      </c>
      <c r="BB614" s="43">
        <f>IF(AU614="",0,T614*(AF614-AT614))</f>
        <v/>
      </c>
      <c r="BC614" s="51" t="n">
        <v>0.2560395419064441</v>
      </c>
      <c r="BD614" s="51" t="n">
        <v>0.06815376141910243</v>
      </c>
      <c r="BE614" s="51" t="n">
        <v>0.2547183188463338</v>
      </c>
      <c r="BF614" s="43" t="n">
        <v>210612</v>
      </c>
    </row>
    <row r="615">
      <c r="A615" s="42" t="inlineStr">
        <is>
          <t>MS</t>
        </is>
      </c>
      <c r="B615" s="42" t="inlineStr">
        <is>
          <t>28049</t>
        </is>
      </c>
      <c r="C615" s="42" t="inlineStr">
        <is>
          <t>Hinds</t>
        </is>
      </c>
      <c r="D615" s="42" t="inlineStr">
        <is>
          <t>Black Belt</t>
        </is>
      </c>
      <c r="E615" s="42" t="inlineStr">
        <is>
          <t>★</t>
        </is>
      </c>
      <c r="F615" s="43" t="n">
        <v>62840</v>
      </c>
      <c r="G615" s="43" t="n">
        <v>22816</v>
      </c>
      <c r="H615" s="43" t="n">
        <v>86830</v>
      </c>
      <c r="I615" s="43" t="n">
        <v>73550</v>
      </c>
      <c r="J615" s="43" t="n">
        <v>25141</v>
      </c>
      <c r="K615" s="42" t="inlineStr">
        <is>
          <t>US House</t>
        </is>
      </c>
      <c r="L615" s="43" t="n">
        <v>38132</v>
      </c>
      <c r="M615" s="43" t="n">
        <v>14643</v>
      </c>
      <c r="N615" s="43" t="n">
        <v>52915</v>
      </c>
      <c r="O615" s="44">
        <f>IFERROR((F615-G615)/(F615+G615),"")</f>
        <v/>
      </c>
      <c r="P615" s="44">
        <f>IFERROR((I615-J615)/(I615+J615),"")</f>
        <v/>
      </c>
      <c r="Q615" s="45">
        <f>IFERROR(O615-P615,"")</f>
        <v/>
      </c>
      <c r="R615" s="44">
        <f>IFERROR((L615-M615)/(L615+M615),"")</f>
        <v/>
      </c>
      <c r="S615" s="46">
        <f>H615/SUMIFS(Counties!$H$2:$H$1583,Counties!$A$2:$A$1583,$A615)</f>
        <v/>
      </c>
      <c r="T615" s="44">
        <f>O615+INDEX(Dashboard!$F$6:$F$22,MATCH($A615,Dashboard!$A$6:$A$22,0))</f>
        <v/>
      </c>
      <c r="U615" s="43">
        <f>AQ615*INDEX(Dashboard!$G$6:$G$22,MATCH($A615,Dashboard!$A$6:$A$22,0))</f>
        <v/>
      </c>
      <c r="V615" s="47" t="n"/>
      <c r="W615" s="47" t="n"/>
      <c r="X615" s="47" t="n"/>
      <c r="Y615" s="48" t="n"/>
      <c r="Z615" s="49" t="n"/>
      <c r="AA615" s="49" t="n"/>
      <c r="AB615" s="49" t="n"/>
      <c r="AC615" s="50" t="n"/>
      <c r="AD615" s="43">
        <f>IF(Z615&lt;&gt;"",Z615,N(V615))</f>
        <v/>
      </c>
      <c r="AE615" s="43">
        <f>IF(AA615&lt;&gt;"",AA615,N(W615))</f>
        <v/>
      </c>
      <c r="AF615" s="43">
        <f>AD615+AE615</f>
        <v/>
      </c>
      <c r="AG615" s="42">
        <f>IF(UPPER(AC615)="Y",1,IF(AF615=0,0,IF(AND(Z615="",Y615&lt;&gt;""),IF(Y615&gt;=0.999,1,0),IF(AF615&gt;=U615,1,0))))</f>
        <v/>
      </c>
      <c r="AH615" s="44">
        <f>IF(AF615&gt;0,(AD615-AE615)/AF615,"")</f>
        <v/>
      </c>
      <c r="AI615" s="45">
        <f>IF(AG615=1,AH615-O615,"")</f>
        <v/>
      </c>
      <c r="AJ615" s="44">
        <f>IF(AG615=1,AH615,MAX(-1,MIN(1,O615+INDEX(Types!$H:$H,MATCH($A615&amp;"|"&amp;$D615,Types!$A:$A,0)))))</f>
        <v/>
      </c>
      <c r="AK615" s="43">
        <f>IF(AG615=1,AF615,MAX(AQ615*AS615,AF615))</f>
        <v/>
      </c>
      <c r="AL615" s="43">
        <f>IF(AG615=1,AD615,AK615*(1+AJ615)/2)</f>
        <v/>
      </c>
      <c r="AM615" s="43">
        <f>IF(AG615=1,AE615,AK615*(1-AJ615)/2)</f>
        <v/>
      </c>
      <c r="AN615" s="45">
        <f>IF(AH615="","",AH615-T615)</f>
        <v/>
      </c>
      <c r="AO615" s="51">
        <f>IF(AG615=1,1,IF(U615&gt;0,MIN(AF615/U615,0.99),0))</f>
        <v/>
      </c>
      <c r="AP615" s="43">
        <f>IF(AG615=1,AI615*AF615,0)</f>
        <v/>
      </c>
      <c r="AQ615" s="43">
        <f>N615*(F615+G615)/H615</f>
        <v/>
      </c>
      <c r="AR615" s="43">
        <f>O615*AQ615</f>
        <v/>
      </c>
      <c r="AS615" s="52">
        <f>IF(AG615=1,IF(AQ615&gt;0,AF615/AQ615,1),IFERROR(INDEX(Types!$K:$K,MATCH($A615&amp;"|"&amp;$D615,Types!$A:$A,0)),INDEX(Dashboard!$X$6:$X$22,MATCH($A615,Dashboard!$A$6:$A$22,0))))</f>
        <v/>
      </c>
      <c r="AT615" s="43">
        <f>AQ615*INDEX(Dashboard!$Y$6:$Y$22,MATCH($A615,Dashboard!$A$6:$A$22,0))</f>
        <v/>
      </c>
      <c r="AU615" s="53">
        <f>IF(AND(AG615=1,AT615&gt;0,AF615&gt;0),100*AF615/AT615,"")</f>
        <v/>
      </c>
      <c r="AV615" s="44">
        <f>IF(AU615="","",T615/(AU615/100))</f>
        <v/>
      </c>
      <c r="AW615" s="53">
        <f>IF(AU615="","",IF(AND(ABS(AH615)&gt;=0.1,ABS(T615)&gt;=0.05,SIGN(AH615)=SIGN(T615)),100*T615/AH615,""))</f>
        <v/>
      </c>
      <c r="AX615" s="45">
        <f>IF(AU615="","",T615-AV615)</f>
        <v/>
      </c>
      <c r="AY615" s="45">
        <f>IF(AU615="","",AH615-AV615)</f>
        <v/>
      </c>
      <c r="AZ615" s="54">
        <f>(AL615-AM615)-T615*AT615</f>
        <v/>
      </c>
      <c r="BA615" s="43">
        <f>IF(AU615="",0,(AH615-T615)*AF615)</f>
        <v/>
      </c>
      <c r="BB615" s="43">
        <f>IF(AU615="",0,T615*(AF615-AT615))</f>
        <v/>
      </c>
      <c r="BC615" s="51" t="n">
        <v>0.7303346209335877</v>
      </c>
      <c r="BD615" s="51" t="n">
        <v>0.0216503001815051</v>
      </c>
      <c r="BE615" s="51" t="n">
        <v>0.3105897029892999</v>
      </c>
      <c r="BF615" s="43" t="n">
        <v>214870</v>
      </c>
    </row>
    <row r="616">
      <c r="A616" s="42" t="inlineStr">
        <is>
          <t>MS</t>
        </is>
      </c>
      <c r="B616" s="42" t="inlineStr">
        <is>
          <t>28051</t>
        </is>
      </c>
      <c r="C616" s="42" t="inlineStr">
        <is>
          <t>Holmes</t>
        </is>
      </c>
      <c r="D616" s="42" t="inlineStr">
        <is>
          <t>Black Belt</t>
        </is>
      </c>
      <c r="E616" s="42" t="inlineStr"/>
      <c r="F616" s="43" t="n">
        <v>5420</v>
      </c>
      <c r="G616" s="43" t="n">
        <v>1243</v>
      </c>
      <c r="H616" s="43" t="n">
        <v>6730</v>
      </c>
      <c r="I616" s="43" t="n">
        <v>6588</v>
      </c>
      <c r="J616" s="43" t="n">
        <v>1369</v>
      </c>
      <c r="K616" s="42" t="inlineStr">
        <is>
          <t>US House</t>
        </is>
      </c>
      <c r="L616" s="43" t="n">
        <v>3558</v>
      </c>
      <c r="M616" s="43" t="n">
        <v>752</v>
      </c>
      <c r="N616" s="43" t="n">
        <v>4310</v>
      </c>
      <c r="O616" s="44">
        <f>IFERROR((F616-G616)/(F616+G616),"")</f>
        <v/>
      </c>
      <c r="P616" s="44">
        <f>IFERROR((I616-J616)/(I616+J616),"")</f>
        <v/>
      </c>
      <c r="Q616" s="45">
        <f>IFERROR(O616-P616,"")</f>
        <v/>
      </c>
      <c r="R616" s="44">
        <f>IFERROR((L616-M616)/(L616+M616),"")</f>
        <v/>
      </c>
      <c r="S616" s="46">
        <f>H616/SUMIFS(Counties!$H$2:$H$1583,Counties!$A$2:$A$1583,$A616)</f>
        <v/>
      </c>
      <c r="T616" s="44">
        <f>O616+INDEX(Dashboard!$F$6:$F$22,MATCH($A616,Dashboard!$A$6:$A$22,0))</f>
        <v/>
      </c>
      <c r="U616" s="43">
        <f>AQ616*INDEX(Dashboard!$G$6:$G$22,MATCH($A616,Dashboard!$A$6:$A$22,0))</f>
        <v/>
      </c>
      <c r="V616" s="47" t="n"/>
      <c r="W616" s="47" t="n"/>
      <c r="X616" s="47" t="n"/>
      <c r="Y616" s="48" t="n"/>
      <c r="Z616" s="49" t="n"/>
      <c r="AA616" s="49" t="n"/>
      <c r="AB616" s="49" t="n"/>
      <c r="AC616" s="50" t="n"/>
      <c r="AD616" s="43">
        <f>IF(Z616&lt;&gt;"",Z616,N(V616))</f>
        <v/>
      </c>
      <c r="AE616" s="43">
        <f>IF(AA616&lt;&gt;"",AA616,N(W616))</f>
        <v/>
      </c>
      <c r="AF616" s="43">
        <f>AD616+AE616</f>
        <v/>
      </c>
      <c r="AG616" s="42">
        <f>IF(UPPER(AC616)="Y",1,IF(AF616=0,0,IF(AND(Z616="",Y616&lt;&gt;""),IF(Y616&gt;=0.999,1,0),IF(AF616&gt;=U616,1,0))))</f>
        <v/>
      </c>
      <c r="AH616" s="44">
        <f>IF(AF616&gt;0,(AD616-AE616)/AF616,"")</f>
        <v/>
      </c>
      <c r="AI616" s="45">
        <f>IF(AG616=1,AH616-O616,"")</f>
        <v/>
      </c>
      <c r="AJ616" s="44">
        <f>IF(AG616=1,AH616,MAX(-1,MIN(1,O616+INDEX(Types!$H:$H,MATCH($A616&amp;"|"&amp;$D616,Types!$A:$A,0)))))</f>
        <v/>
      </c>
      <c r="AK616" s="43">
        <f>IF(AG616=1,AF616,MAX(AQ616*AS616,AF616))</f>
        <v/>
      </c>
      <c r="AL616" s="43">
        <f>IF(AG616=1,AD616,AK616*(1+AJ616)/2)</f>
        <v/>
      </c>
      <c r="AM616" s="43">
        <f>IF(AG616=1,AE616,AK616*(1-AJ616)/2)</f>
        <v/>
      </c>
      <c r="AN616" s="45">
        <f>IF(AH616="","",AH616-T616)</f>
        <v/>
      </c>
      <c r="AO616" s="51">
        <f>IF(AG616=1,1,IF(U616&gt;0,MIN(AF616/U616,0.99),0))</f>
        <v/>
      </c>
      <c r="AP616" s="43">
        <f>IF(AG616=1,AI616*AF616,0)</f>
        <v/>
      </c>
      <c r="AQ616" s="43">
        <f>N616*(F616+G616)/H616</f>
        <v/>
      </c>
      <c r="AR616" s="43">
        <f>O616*AQ616</f>
        <v/>
      </c>
      <c r="AS616" s="52">
        <f>IF(AG616=1,IF(AQ616&gt;0,AF616/AQ616,1),IFERROR(INDEX(Types!$K:$K,MATCH($A616&amp;"|"&amp;$D616,Types!$A:$A,0)),INDEX(Dashboard!$X$6:$X$22,MATCH($A616,Dashboard!$A$6:$A$22,0))))</f>
        <v/>
      </c>
      <c r="AT616" s="43">
        <f>AQ616*INDEX(Dashboard!$Y$6:$Y$22,MATCH($A616,Dashboard!$A$6:$A$22,0))</f>
        <v/>
      </c>
      <c r="AU616" s="53">
        <f>IF(AND(AG616=1,AT616&gt;0,AF616&gt;0),100*AF616/AT616,"")</f>
        <v/>
      </c>
      <c r="AV616" s="44">
        <f>IF(AU616="","",T616/(AU616/100))</f>
        <v/>
      </c>
      <c r="AW616" s="53">
        <f>IF(AU616="","",IF(AND(ABS(AH616)&gt;=0.1,ABS(T616)&gt;=0.05,SIGN(AH616)=SIGN(T616)),100*T616/AH616,""))</f>
        <v/>
      </c>
      <c r="AX616" s="45">
        <f>IF(AU616="","",T616-AV616)</f>
        <v/>
      </c>
      <c r="AY616" s="45">
        <f>IF(AU616="","",AH616-AV616)</f>
        <v/>
      </c>
      <c r="AZ616" s="54">
        <f>(AL616-AM616)-T616*AT616</f>
        <v/>
      </c>
      <c r="BA616" s="43">
        <f>IF(AU616="",0,(AH616-T616)*AF616)</f>
        <v/>
      </c>
      <c r="BB616" s="43">
        <f>IF(AU616="",0,T616*(AF616-AT616))</f>
        <v/>
      </c>
      <c r="BC616" s="51" t="n">
        <v>0.8246181149774989</v>
      </c>
      <c r="BD616" s="51" t="n">
        <v>0.01140901312036509</v>
      </c>
      <c r="BE616" s="51" t="n">
        <v>0.137230942757778</v>
      </c>
      <c r="BF616" s="43" t="n">
        <v>15777</v>
      </c>
    </row>
    <row r="617">
      <c r="A617" s="42" t="inlineStr">
        <is>
          <t>MS</t>
        </is>
      </c>
      <c r="B617" s="42" t="inlineStr">
        <is>
          <t>28053</t>
        </is>
      </c>
      <c r="C617" s="42" t="inlineStr">
        <is>
          <t>Humphreys</t>
        </is>
      </c>
      <c r="D617" s="42" t="inlineStr">
        <is>
          <t>Black Belt</t>
        </is>
      </c>
      <c r="E617" s="42" t="inlineStr"/>
      <c r="F617" s="43" t="n">
        <v>2443</v>
      </c>
      <c r="G617" s="43" t="n">
        <v>990</v>
      </c>
      <c r="H617" s="43" t="n">
        <v>3468</v>
      </c>
      <c r="I617" s="43" t="n">
        <v>3016</v>
      </c>
      <c r="J617" s="43" t="n">
        <v>1118</v>
      </c>
      <c r="K617" s="42" t="inlineStr">
        <is>
          <t>US House</t>
        </is>
      </c>
      <c r="L617" s="43" t="n">
        <v>2174</v>
      </c>
      <c r="M617" s="43" t="n">
        <v>872</v>
      </c>
      <c r="N617" s="43" t="n">
        <v>3046</v>
      </c>
      <c r="O617" s="44">
        <f>IFERROR((F617-G617)/(F617+G617),"")</f>
        <v/>
      </c>
      <c r="P617" s="44">
        <f>IFERROR((I617-J617)/(I617+J617),"")</f>
        <v/>
      </c>
      <c r="Q617" s="45">
        <f>IFERROR(O617-P617,"")</f>
        <v/>
      </c>
      <c r="R617" s="44">
        <f>IFERROR((L617-M617)/(L617+M617),"")</f>
        <v/>
      </c>
      <c r="S617" s="46">
        <f>H617/SUMIFS(Counties!$H$2:$H$1583,Counties!$A$2:$A$1583,$A617)</f>
        <v/>
      </c>
      <c r="T617" s="44">
        <f>O617+INDEX(Dashboard!$F$6:$F$22,MATCH($A617,Dashboard!$A$6:$A$22,0))</f>
        <v/>
      </c>
      <c r="U617" s="43">
        <f>AQ617*INDEX(Dashboard!$G$6:$G$22,MATCH($A617,Dashboard!$A$6:$A$22,0))</f>
        <v/>
      </c>
      <c r="V617" s="47" t="n"/>
      <c r="W617" s="47" t="n"/>
      <c r="X617" s="47" t="n"/>
      <c r="Y617" s="48" t="n"/>
      <c r="Z617" s="49" t="n"/>
      <c r="AA617" s="49" t="n"/>
      <c r="AB617" s="49" t="n"/>
      <c r="AC617" s="50" t="n"/>
      <c r="AD617" s="43">
        <f>IF(Z617&lt;&gt;"",Z617,N(V617))</f>
        <v/>
      </c>
      <c r="AE617" s="43">
        <f>IF(AA617&lt;&gt;"",AA617,N(W617))</f>
        <v/>
      </c>
      <c r="AF617" s="43">
        <f>AD617+AE617</f>
        <v/>
      </c>
      <c r="AG617" s="42">
        <f>IF(UPPER(AC617)="Y",1,IF(AF617=0,0,IF(AND(Z617="",Y617&lt;&gt;""),IF(Y617&gt;=0.999,1,0),IF(AF617&gt;=U617,1,0))))</f>
        <v/>
      </c>
      <c r="AH617" s="44">
        <f>IF(AF617&gt;0,(AD617-AE617)/AF617,"")</f>
        <v/>
      </c>
      <c r="AI617" s="45">
        <f>IF(AG617=1,AH617-O617,"")</f>
        <v/>
      </c>
      <c r="AJ617" s="44">
        <f>IF(AG617=1,AH617,MAX(-1,MIN(1,O617+INDEX(Types!$H:$H,MATCH($A617&amp;"|"&amp;$D617,Types!$A:$A,0)))))</f>
        <v/>
      </c>
      <c r="AK617" s="43">
        <f>IF(AG617=1,AF617,MAX(AQ617*AS617,AF617))</f>
        <v/>
      </c>
      <c r="AL617" s="43">
        <f>IF(AG617=1,AD617,AK617*(1+AJ617)/2)</f>
        <v/>
      </c>
      <c r="AM617" s="43">
        <f>IF(AG617=1,AE617,AK617*(1-AJ617)/2)</f>
        <v/>
      </c>
      <c r="AN617" s="45">
        <f>IF(AH617="","",AH617-T617)</f>
        <v/>
      </c>
      <c r="AO617" s="51">
        <f>IF(AG617=1,1,IF(U617&gt;0,MIN(AF617/U617,0.99),0))</f>
        <v/>
      </c>
      <c r="AP617" s="43">
        <f>IF(AG617=1,AI617*AF617,0)</f>
        <v/>
      </c>
      <c r="AQ617" s="43">
        <f>N617*(F617+G617)/H617</f>
        <v/>
      </c>
      <c r="AR617" s="43">
        <f>O617*AQ617</f>
        <v/>
      </c>
      <c r="AS617" s="52">
        <f>IF(AG617=1,IF(AQ617&gt;0,AF617/AQ617,1),IFERROR(INDEX(Types!$K:$K,MATCH($A617&amp;"|"&amp;$D617,Types!$A:$A,0)),INDEX(Dashboard!$X$6:$X$22,MATCH($A617,Dashboard!$A$6:$A$22,0))))</f>
        <v/>
      </c>
      <c r="AT617" s="43">
        <f>AQ617*INDEX(Dashboard!$Y$6:$Y$22,MATCH($A617,Dashboard!$A$6:$A$22,0))</f>
        <v/>
      </c>
      <c r="AU617" s="53">
        <f>IF(AND(AG617=1,AT617&gt;0,AF617&gt;0),100*AF617/AT617,"")</f>
        <v/>
      </c>
      <c r="AV617" s="44">
        <f>IF(AU617="","",T617/(AU617/100))</f>
        <v/>
      </c>
      <c r="AW617" s="53">
        <f>IF(AU617="","",IF(AND(ABS(AH617)&gt;=0.1,ABS(T617)&gt;=0.05,SIGN(AH617)=SIGN(T617)),100*T617/AH617,""))</f>
        <v/>
      </c>
      <c r="AX617" s="45">
        <f>IF(AU617="","",T617-AV617)</f>
        <v/>
      </c>
      <c r="AY617" s="45">
        <f>IF(AU617="","",AH617-AV617)</f>
        <v/>
      </c>
      <c r="AZ617" s="54">
        <f>(AL617-AM617)-T617*AT617</f>
        <v/>
      </c>
      <c r="BA617" s="43">
        <f>IF(AU617="",0,(AH617-T617)*AF617)</f>
        <v/>
      </c>
      <c r="BB617" s="43">
        <f>IF(AU617="",0,T617*(AF617-AT617))</f>
        <v/>
      </c>
      <c r="BC617" s="51" t="n">
        <v>0.7662139689578714</v>
      </c>
      <c r="BD617" s="51" t="n">
        <v>0.01261086474501109</v>
      </c>
      <c r="BE617" s="51" t="n">
        <v>0.1941105769230769</v>
      </c>
      <c r="BF617" s="43" t="n">
        <v>7216</v>
      </c>
    </row>
    <row r="618">
      <c r="A618" s="42" t="inlineStr">
        <is>
          <t>MS</t>
        </is>
      </c>
      <c r="B618" s="42" t="inlineStr">
        <is>
          <t>28055</t>
        </is>
      </c>
      <c r="C618" s="42" t="inlineStr">
        <is>
          <t>Issaquena</t>
        </is>
      </c>
      <c r="D618" s="42" t="inlineStr">
        <is>
          <t>Black Belt</t>
        </is>
      </c>
      <c r="E618" s="42" t="inlineStr"/>
      <c r="F618" s="43" t="n">
        <v>287</v>
      </c>
      <c r="G618" s="43" t="n">
        <v>296</v>
      </c>
      <c r="H618" s="43" t="n">
        <v>622</v>
      </c>
      <c r="I618" s="43" t="n">
        <v>355</v>
      </c>
      <c r="J618" s="43" t="n">
        <v>308</v>
      </c>
      <c r="K618" s="42" t="inlineStr">
        <is>
          <t>US House</t>
        </is>
      </c>
      <c r="L618" s="43" t="n">
        <v>285</v>
      </c>
      <c r="M618" s="43" t="n">
        <v>302</v>
      </c>
      <c r="N618" s="43" t="n">
        <v>587</v>
      </c>
      <c r="O618" s="44">
        <f>IFERROR((F618-G618)/(F618+G618),"")</f>
        <v/>
      </c>
      <c r="P618" s="44">
        <f>IFERROR((I618-J618)/(I618+J618),"")</f>
        <v/>
      </c>
      <c r="Q618" s="45">
        <f>IFERROR(O618-P618,"")</f>
        <v/>
      </c>
      <c r="R618" s="44">
        <f>IFERROR((L618-M618)/(L618+M618),"")</f>
        <v/>
      </c>
      <c r="S618" s="46">
        <f>H618/SUMIFS(Counties!$H$2:$H$1583,Counties!$A$2:$A$1583,$A618)</f>
        <v/>
      </c>
      <c r="T618" s="44">
        <f>O618+INDEX(Dashboard!$F$6:$F$22,MATCH($A618,Dashboard!$A$6:$A$22,0))</f>
        <v/>
      </c>
      <c r="U618" s="43">
        <f>AQ618*INDEX(Dashboard!$G$6:$G$22,MATCH($A618,Dashboard!$A$6:$A$22,0))</f>
        <v/>
      </c>
      <c r="V618" s="47" t="n"/>
      <c r="W618" s="47" t="n"/>
      <c r="X618" s="47" t="n"/>
      <c r="Y618" s="48" t="n"/>
      <c r="Z618" s="49" t="n"/>
      <c r="AA618" s="49" t="n"/>
      <c r="AB618" s="49" t="n"/>
      <c r="AC618" s="50" t="n"/>
      <c r="AD618" s="43">
        <f>IF(Z618&lt;&gt;"",Z618,N(V618))</f>
        <v/>
      </c>
      <c r="AE618" s="43">
        <f>IF(AA618&lt;&gt;"",AA618,N(W618))</f>
        <v/>
      </c>
      <c r="AF618" s="43">
        <f>AD618+AE618</f>
        <v/>
      </c>
      <c r="AG618" s="42">
        <f>IF(UPPER(AC618)="Y",1,IF(AF618=0,0,IF(AND(Z618="",Y618&lt;&gt;""),IF(Y618&gt;=0.999,1,0),IF(AF618&gt;=U618,1,0))))</f>
        <v/>
      </c>
      <c r="AH618" s="44">
        <f>IF(AF618&gt;0,(AD618-AE618)/AF618,"")</f>
        <v/>
      </c>
      <c r="AI618" s="45">
        <f>IF(AG618=1,AH618-O618,"")</f>
        <v/>
      </c>
      <c r="AJ618" s="44">
        <f>IF(AG618=1,AH618,MAX(-1,MIN(1,O618+INDEX(Types!$H:$H,MATCH($A618&amp;"|"&amp;$D618,Types!$A:$A,0)))))</f>
        <v/>
      </c>
      <c r="AK618" s="43">
        <f>IF(AG618=1,AF618,MAX(AQ618*AS618,AF618))</f>
        <v/>
      </c>
      <c r="AL618" s="43">
        <f>IF(AG618=1,AD618,AK618*(1+AJ618)/2)</f>
        <v/>
      </c>
      <c r="AM618" s="43">
        <f>IF(AG618=1,AE618,AK618*(1-AJ618)/2)</f>
        <v/>
      </c>
      <c r="AN618" s="45">
        <f>IF(AH618="","",AH618-T618)</f>
        <v/>
      </c>
      <c r="AO618" s="51">
        <f>IF(AG618=1,1,IF(U618&gt;0,MIN(AF618/U618,0.99),0))</f>
        <v/>
      </c>
      <c r="AP618" s="43">
        <f>IF(AG618=1,AI618*AF618,0)</f>
        <v/>
      </c>
      <c r="AQ618" s="43">
        <f>N618*(F618+G618)/H618</f>
        <v/>
      </c>
      <c r="AR618" s="43">
        <f>O618*AQ618</f>
        <v/>
      </c>
      <c r="AS618" s="52">
        <f>IF(AG618=1,IF(AQ618&gt;0,AF618/AQ618,1),IFERROR(INDEX(Types!$K:$K,MATCH($A618&amp;"|"&amp;$D618,Types!$A:$A,0)),INDEX(Dashboard!$X$6:$X$22,MATCH($A618,Dashboard!$A$6:$A$22,0))))</f>
        <v/>
      </c>
      <c r="AT618" s="43">
        <f>AQ618*INDEX(Dashboard!$Y$6:$Y$22,MATCH($A618,Dashboard!$A$6:$A$22,0))</f>
        <v/>
      </c>
      <c r="AU618" s="53">
        <f>IF(AND(AG618=1,AT618&gt;0,AF618&gt;0),100*AF618/AT618,"")</f>
        <v/>
      </c>
      <c r="AV618" s="44">
        <f>IF(AU618="","",T618/(AU618/100))</f>
        <v/>
      </c>
      <c r="AW618" s="53">
        <f>IF(AU618="","",IF(AND(ABS(AH618)&gt;=0.1,ABS(T618)&gt;=0.05,SIGN(AH618)=SIGN(T618)),100*T618/AH618,""))</f>
        <v/>
      </c>
      <c r="AX618" s="45">
        <f>IF(AU618="","",T618-AV618)</f>
        <v/>
      </c>
      <c r="AY618" s="45">
        <f>IF(AU618="","",AH618-AV618)</f>
        <v/>
      </c>
      <c r="AZ618" s="54">
        <f>(AL618-AM618)-T618*AT618</f>
        <v/>
      </c>
      <c r="BA618" s="43">
        <f>IF(AU618="",0,(AH618-T618)*AF618)</f>
        <v/>
      </c>
      <c r="BB618" s="43">
        <f>IF(AU618="",0,T618*(AF618-AT618))</f>
        <v/>
      </c>
      <c r="BC618" s="51" t="n">
        <v>0.6003184713375797</v>
      </c>
      <c r="BD618" s="51" t="n">
        <v>0.09474522292993631</v>
      </c>
      <c r="BE618" s="51" t="n">
        <v>0.0440251572327044</v>
      </c>
      <c r="BF618" s="43" t="n">
        <v>1256</v>
      </c>
    </row>
    <row r="619">
      <c r="A619" s="42" t="inlineStr">
        <is>
          <t>MS</t>
        </is>
      </c>
      <c r="B619" s="42" t="inlineStr">
        <is>
          <t>28057</t>
        </is>
      </c>
      <c r="C619" s="42" t="inlineStr">
        <is>
          <t>Itawamba</t>
        </is>
      </c>
      <c r="D619" s="42" t="inlineStr">
        <is>
          <t>Small town &amp; rural</t>
        </is>
      </c>
      <c r="E619" s="42" t="inlineStr"/>
      <c r="F619" s="43" t="n">
        <v>1027</v>
      </c>
      <c r="G619" s="43" t="n">
        <v>9523</v>
      </c>
      <c r="H619" s="43" t="n">
        <v>10621</v>
      </c>
      <c r="I619" s="43" t="n">
        <v>1249</v>
      </c>
      <c r="J619" s="43" t="n">
        <v>9438</v>
      </c>
      <c r="K619" s="42" t="inlineStr">
        <is>
          <t>US House</t>
        </is>
      </c>
      <c r="L619" s="43" t="n">
        <v>429</v>
      </c>
      <c r="M619" s="43" t="n">
        <v>5402</v>
      </c>
      <c r="N619" s="43" t="n">
        <v>5831</v>
      </c>
      <c r="O619" s="44">
        <f>IFERROR((F619-G619)/(F619+G619),"")</f>
        <v/>
      </c>
      <c r="P619" s="44">
        <f>IFERROR((I619-J619)/(I619+J619),"")</f>
        <v/>
      </c>
      <c r="Q619" s="45">
        <f>IFERROR(O619-P619,"")</f>
        <v/>
      </c>
      <c r="R619" s="44">
        <f>IFERROR((L619-M619)/(L619+M619),"")</f>
        <v/>
      </c>
      <c r="S619" s="46">
        <f>H619/SUMIFS(Counties!$H$2:$H$1583,Counties!$A$2:$A$1583,$A619)</f>
        <v/>
      </c>
      <c r="T619" s="44">
        <f>O619+INDEX(Dashboard!$F$6:$F$22,MATCH($A619,Dashboard!$A$6:$A$22,0))</f>
        <v/>
      </c>
      <c r="U619" s="43">
        <f>AQ619*INDEX(Dashboard!$G$6:$G$22,MATCH($A619,Dashboard!$A$6:$A$22,0))</f>
        <v/>
      </c>
      <c r="V619" s="47" t="n"/>
      <c r="W619" s="47" t="n"/>
      <c r="X619" s="47" t="n"/>
      <c r="Y619" s="48" t="n"/>
      <c r="Z619" s="49" t="n"/>
      <c r="AA619" s="49" t="n"/>
      <c r="AB619" s="49" t="n"/>
      <c r="AC619" s="50" t="n"/>
      <c r="AD619" s="43">
        <f>IF(Z619&lt;&gt;"",Z619,N(V619))</f>
        <v/>
      </c>
      <c r="AE619" s="43">
        <f>IF(AA619&lt;&gt;"",AA619,N(W619))</f>
        <v/>
      </c>
      <c r="AF619" s="43">
        <f>AD619+AE619</f>
        <v/>
      </c>
      <c r="AG619" s="42">
        <f>IF(UPPER(AC619)="Y",1,IF(AF619=0,0,IF(AND(Z619="",Y619&lt;&gt;""),IF(Y619&gt;=0.999,1,0),IF(AF619&gt;=U619,1,0))))</f>
        <v/>
      </c>
      <c r="AH619" s="44">
        <f>IF(AF619&gt;0,(AD619-AE619)/AF619,"")</f>
        <v/>
      </c>
      <c r="AI619" s="45">
        <f>IF(AG619=1,AH619-O619,"")</f>
        <v/>
      </c>
      <c r="AJ619" s="44">
        <f>IF(AG619=1,AH619,MAX(-1,MIN(1,O619+INDEX(Types!$H:$H,MATCH($A619&amp;"|"&amp;$D619,Types!$A:$A,0)))))</f>
        <v/>
      </c>
      <c r="AK619" s="43">
        <f>IF(AG619=1,AF619,MAX(AQ619*AS619,AF619))</f>
        <v/>
      </c>
      <c r="AL619" s="43">
        <f>IF(AG619=1,AD619,AK619*(1+AJ619)/2)</f>
        <v/>
      </c>
      <c r="AM619" s="43">
        <f>IF(AG619=1,AE619,AK619*(1-AJ619)/2)</f>
        <v/>
      </c>
      <c r="AN619" s="45">
        <f>IF(AH619="","",AH619-T619)</f>
        <v/>
      </c>
      <c r="AO619" s="51">
        <f>IF(AG619=1,1,IF(U619&gt;0,MIN(AF619/U619,0.99),0))</f>
        <v/>
      </c>
      <c r="AP619" s="43">
        <f>IF(AG619=1,AI619*AF619,0)</f>
        <v/>
      </c>
      <c r="AQ619" s="43">
        <f>N619*(F619+G619)/H619</f>
        <v/>
      </c>
      <c r="AR619" s="43">
        <f>O619*AQ619</f>
        <v/>
      </c>
      <c r="AS619" s="52">
        <f>IF(AG619=1,IF(AQ619&gt;0,AF619/AQ619,1),IFERROR(INDEX(Types!$K:$K,MATCH($A619&amp;"|"&amp;$D619,Types!$A:$A,0)),INDEX(Dashboard!$X$6:$X$22,MATCH($A619,Dashboard!$A$6:$A$22,0))))</f>
        <v/>
      </c>
      <c r="AT619" s="43">
        <f>AQ619*INDEX(Dashboard!$Y$6:$Y$22,MATCH($A619,Dashboard!$A$6:$A$22,0))</f>
        <v/>
      </c>
      <c r="AU619" s="53">
        <f>IF(AND(AG619=1,AT619&gt;0,AF619&gt;0),100*AF619/AT619,"")</f>
        <v/>
      </c>
      <c r="AV619" s="44">
        <f>IF(AU619="","",T619/(AU619/100))</f>
        <v/>
      </c>
      <c r="AW619" s="53">
        <f>IF(AU619="","",IF(AND(ABS(AH619)&gt;=0.1,ABS(T619)&gt;=0.05,SIGN(AH619)=SIGN(T619)),100*T619/AH619,""))</f>
        <v/>
      </c>
      <c r="AX619" s="45">
        <f>IF(AU619="","",T619-AV619)</f>
        <v/>
      </c>
      <c r="AY619" s="45">
        <f>IF(AU619="","",AH619-AV619)</f>
        <v/>
      </c>
      <c r="AZ619" s="54">
        <f>(AL619-AM619)-T619*AT619</f>
        <v/>
      </c>
      <c r="BA619" s="43">
        <f>IF(AU619="",0,(AH619-T619)*AF619)</f>
        <v/>
      </c>
      <c r="BB619" s="43">
        <f>IF(AU619="",0,T619*(AF619-AT619))</f>
        <v/>
      </c>
      <c r="BC619" s="51" t="n">
        <v>0.0745029676669572</v>
      </c>
      <c r="BD619" s="51" t="n">
        <v>0.01954924666915702</v>
      </c>
      <c r="BE619" s="51" t="n">
        <v>0.147674634055957</v>
      </c>
      <c r="BF619" s="43" t="n">
        <v>24093</v>
      </c>
    </row>
    <row r="620">
      <c r="A620" s="42" t="inlineStr">
        <is>
          <t>MS</t>
        </is>
      </c>
      <c r="B620" s="42" t="inlineStr">
        <is>
          <t>28059</t>
        </is>
      </c>
      <c r="C620" s="42" t="inlineStr">
        <is>
          <t>Jackson</t>
        </is>
      </c>
      <c r="D620" s="42" t="inlineStr">
        <is>
          <t>Mid-size/working metro</t>
        </is>
      </c>
      <c r="E620" s="42" t="inlineStr"/>
      <c r="F620" s="43" t="n">
        <v>15469</v>
      </c>
      <c r="G620" s="43" t="n">
        <v>36376</v>
      </c>
      <c r="H620" s="43" t="n">
        <v>52410</v>
      </c>
      <c r="I620" s="43" t="n">
        <v>17375</v>
      </c>
      <c r="J620" s="43" t="n">
        <v>36295</v>
      </c>
      <c r="K620" s="42" t="inlineStr">
        <is>
          <t>US House</t>
        </is>
      </c>
      <c r="L620" s="43" t="n">
        <v>8184</v>
      </c>
      <c r="M620" s="43" t="n">
        <v>24036</v>
      </c>
      <c r="N620" s="43" t="n">
        <v>32814</v>
      </c>
      <c r="O620" s="44">
        <f>IFERROR((F620-G620)/(F620+G620),"")</f>
        <v/>
      </c>
      <c r="P620" s="44">
        <f>IFERROR((I620-J620)/(I620+J620),"")</f>
        <v/>
      </c>
      <c r="Q620" s="45">
        <f>IFERROR(O620-P620,"")</f>
        <v/>
      </c>
      <c r="R620" s="44">
        <f>IFERROR((L620-M620)/(L620+M620),"")</f>
        <v/>
      </c>
      <c r="S620" s="46">
        <f>H620/SUMIFS(Counties!$H$2:$H$1583,Counties!$A$2:$A$1583,$A620)</f>
        <v/>
      </c>
      <c r="T620" s="44">
        <f>O620+INDEX(Dashboard!$F$6:$F$22,MATCH($A620,Dashboard!$A$6:$A$22,0))</f>
        <v/>
      </c>
      <c r="U620" s="43">
        <f>AQ620*INDEX(Dashboard!$G$6:$G$22,MATCH($A620,Dashboard!$A$6:$A$22,0))</f>
        <v/>
      </c>
      <c r="V620" s="47" t="n"/>
      <c r="W620" s="47" t="n"/>
      <c r="X620" s="47" t="n"/>
      <c r="Y620" s="48" t="n"/>
      <c r="Z620" s="49" t="n"/>
      <c r="AA620" s="49" t="n"/>
      <c r="AB620" s="49" t="n"/>
      <c r="AC620" s="50" t="n"/>
      <c r="AD620" s="43">
        <f>IF(Z620&lt;&gt;"",Z620,N(V620))</f>
        <v/>
      </c>
      <c r="AE620" s="43">
        <f>IF(AA620&lt;&gt;"",AA620,N(W620))</f>
        <v/>
      </c>
      <c r="AF620" s="43">
        <f>AD620+AE620</f>
        <v/>
      </c>
      <c r="AG620" s="42">
        <f>IF(UPPER(AC620)="Y",1,IF(AF620=0,0,IF(AND(Z620="",Y620&lt;&gt;""),IF(Y620&gt;=0.999,1,0),IF(AF620&gt;=U620,1,0))))</f>
        <v/>
      </c>
      <c r="AH620" s="44">
        <f>IF(AF620&gt;0,(AD620-AE620)/AF620,"")</f>
        <v/>
      </c>
      <c r="AI620" s="45">
        <f>IF(AG620=1,AH620-O620,"")</f>
        <v/>
      </c>
      <c r="AJ620" s="44">
        <f>IF(AG620=1,AH620,MAX(-1,MIN(1,O620+INDEX(Types!$H:$H,MATCH($A620&amp;"|"&amp;$D620,Types!$A:$A,0)))))</f>
        <v/>
      </c>
      <c r="AK620" s="43">
        <f>IF(AG620=1,AF620,MAX(AQ620*AS620,AF620))</f>
        <v/>
      </c>
      <c r="AL620" s="43">
        <f>IF(AG620=1,AD620,AK620*(1+AJ620)/2)</f>
        <v/>
      </c>
      <c r="AM620" s="43">
        <f>IF(AG620=1,AE620,AK620*(1-AJ620)/2)</f>
        <v/>
      </c>
      <c r="AN620" s="45">
        <f>IF(AH620="","",AH620-T620)</f>
        <v/>
      </c>
      <c r="AO620" s="51">
        <f>IF(AG620=1,1,IF(U620&gt;0,MIN(AF620/U620,0.99),0))</f>
        <v/>
      </c>
      <c r="AP620" s="43">
        <f>IF(AG620=1,AI620*AF620,0)</f>
        <v/>
      </c>
      <c r="AQ620" s="43">
        <f>N620*(F620+G620)/H620</f>
        <v/>
      </c>
      <c r="AR620" s="43">
        <f>O620*AQ620</f>
        <v/>
      </c>
      <c r="AS620" s="52">
        <f>IF(AG620=1,IF(AQ620&gt;0,AF620/AQ620,1),IFERROR(INDEX(Types!$K:$K,MATCH($A620&amp;"|"&amp;$D620,Types!$A:$A,0)),INDEX(Dashboard!$X$6:$X$22,MATCH($A620,Dashboard!$A$6:$A$22,0))))</f>
        <v/>
      </c>
      <c r="AT620" s="43">
        <f>AQ620*INDEX(Dashboard!$Y$6:$Y$22,MATCH($A620,Dashboard!$A$6:$A$22,0))</f>
        <v/>
      </c>
      <c r="AU620" s="53">
        <f>IF(AND(AG620=1,AT620&gt;0,AF620&gt;0),100*AF620/AT620,"")</f>
        <v/>
      </c>
      <c r="AV620" s="44">
        <f>IF(AU620="","",T620/(AU620/100))</f>
        <v/>
      </c>
      <c r="AW620" s="53">
        <f>IF(AU620="","",IF(AND(ABS(AH620)&gt;=0.1,ABS(T620)&gt;=0.05,SIGN(AH620)=SIGN(T620)),100*T620/AH620,""))</f>
        <v/>
      </c>
      <c r="AX620" s="45">
        <f>IF(AU620="","",T620-AV620)</f>
        <v/>
      </c>
      <c r="AY620" s="45">
        <f>IF(AU620="","",AH620-AV620)</f>
        <v/>
      </c>
      <c r="AZ620" s="54">
        <f>(AL620-AM620)-T620*AT620</f>
        <v/>
      </c>
      <c r="BA620" s="43">
        <f>IF(AU620="",0,(AH620-T620)*AF620)</f>
        <v/>
      </c>
      <c r="BB620" s="43">
        <f>IF(AU620="",0,T620*(AF620-AT620))</f>
        <v/>
      </c>
      <c r="BC620" s="51" t="n">
        <v>0.2089091393479018</v>
      </c>
      <c r="BD620" s="51" t="n">
        <v>0.07772441918450157</v>
      </c>
      <c r="BE620" s="51" t="n">
        <v>0.2489885840176247</v>
      </c>
      <c r="BF620" s="43" t="n">
        <v>146389</v>
      </c>
    </row>
    <row r="621">
      <c r="A621" s="42" t="inlineStr">
        <is>
          <t>MS</t>
        </is>
      </c>
      <c r="B621" s="42" t="inlineStr">
        <is>
          <t>28061</t>
        </is>
      </c>
      <c r="C621" s="42" t="inlineStr">
        <is>
          <t>Jasper</t>
        </is>
      </c>
      <c r="D621" s="42" t="inlineStr">
        <is>
          <t>Black Belt</t>
        </is>
      </c>
      <c r="E621" s="42" t="inlineStr"/>
      <c r="F621" s="43" t="n">
        <v>3722</v>
      </c>
      <c r="G621" s="43" t="n">
        <v>4118</v>
      </c>
      <c r="H621" s="43" t="n">
        <v>7890</v>
      </c>
      <c r="I621" s="43" t="n">
        <v>4341</v>
      </c>
      <c r="J621" s="43" t="n">
        <v>4302</v>
      </c>
      <c r="K621" s="42" t="inlineStr">
        <is>
          <t>US House</t>
        </is>
      </c>
      <c r="L621" s="43" t="n">
        <v>1820</v>
      </c>
      <c r="M621" s="43" t="n">
        <v>2629</v>
      </c>
      <c r="N621" s="43" t="n">
        <v>4449</v>
      </c>
      <c r="O621" s="44">
        <f>IFERROR((F621-G621)/(F621+G621),"")</f>
        <v/>
      </c>
      <c r="P621" s="44">
        <f>IFERROR((I621-J621)/(I621+J621),"")</f>
        <v/>
      </c>
      <c r="Q621" s="45">
        <f>IFERROR(O621-P621,"")</f>
        <v/>
      </c>
      <c r="R621" s="44">
        <f>IFERROR((L621-M621)/(L621+M621),"")</f>
        <v/>
      </c>
      <c r="S621" s="46">
        <f>H621/SUMIFS(Counties!$H$2:$H$1583,Counties!$A$2:$A$1583,$A621)</f>
        <v/>
      </c>
      <c r="T621" s="44">
        <f>O621+INDEX(Dashboard!$F$6:$F$22,MATCH($A621,Dashboard!$A$6:$A$22,0))</f>
        <v/>
      </c>
      <c r="U621" s="43">
        <f>AQ621*INDEX(Dashboard!$G$6:$G$22,MATCH($A621,Dashboard!$A$6:$A$22,0))</f>
        <v/>
      </c>
      <c r="V621" s="47" t="n"/>
      <c r="W621" s="47" t="n"/>
      <c r="X621" s="47" t="n"/>
      <c r="Y621" s="48" t="n"/>
      <c r="Z621" s="49" t="n"/>
      <c r="AA621" s="49" t="n"/>
      <c r="AB621" s="49" t="n"/>
      <c r="AC621" s="50" t="n"/>
      <c r="AD621" s="43">
        <f>IF(Z621&lt;&gt;"",Z621,N(V621))</f>
        <v/>
      </c>
      <c r="AE621" s="43">
        <f>IF(AA621&lt;&gt;"",AA621,N(W621))</f>
        <v/>
      </c>
      <c r="AF621" s="43">
        <f>AD621+AE621</f>
        <v/>
      </c>
      <c r="AG621" s="42">
        <f>IF(UPPER(AC621)="Y",1,IF(AF621=0,0,IF(AND(Z621="",Y621&lt;&gt;""),IF(Y621&gt;=0.999,1,0),IF(AF621&gt;=U621,1,0))))</f>
        <v/>
      </c>
      <c r="AH621" s="44">
        <f>IF(AF621&gt;0,(AD621-AE621)/AF621,"")</f>
        <v/>
      </c>
      <c r="AI621" s="45">
        <f>IF(AG621=1,AH621-O621,"")</f>
        <v/>
      </c>
      <c r="AJ621" s="44">
        <f>IF(AG621=1,AH621,MAX(-1,MIN(1,O621+INDEX(Types!$H:$H,MATCH($A621&amp;"|"&amp;$D621,Types!$A:$A,0)))))</f>
        <v/>
      </c>
      <c r="AK621" s="43">
        <f>IF(AG621=1,AF621,MAX(AQ621*AS621,AF621))</f>
        <v/>
      </c>
      <c r="AL621" s="43">
        <f>IF(AG621=1,AD621,AK621*(1+AJ621)/2)</f>
        <v/>
      </c>
      <c r="AM621" s="43">
        <f>IF(AG621=1,AE621,AK621*(1-AJ621)/2)</f>
        <v/>
      </c>
      <c r="AN621" s="45">
        <f>IF(AH621="","",AH621-T621)</f>
        <v/>
      </c>
      <c r="AO621" s="51">
        <f>IF(AG621=1,1,IF(U621&gt;0,MIN(AF621/U621,0.99),0))</f>
        <v/>
      </c>
      <c r="AP621" s="43">
        <f>IF(AG621=1,AI621*AF621,0)</f>
        <v/>
      </c>
      <c r="AQ621" s="43">
        <f>N621*(F621+G621)/H621</f>
        <v/>
      </c>
      <c r="AR621" s="43">
        <f>O621*AQ621</f>
        <v/>
      </c>
      <c r="AS621" s="52">
        <f>IF(AG621=1,IF(AQ621&gt;0,AF621/AQ621,1),IFERROR(INDEX(Types!$K:$K,MATCH($A621&amp;"|"&amp;$D621,Types!$A:$A,0)),INDEX(Dashboard!$X$6:$X$22,MATCH($A621,Dashboard!$A$6:$A$22,0))))</f>
        <v/>
      </c>
      <c r="AT621" s="43">
        <f>AQ621*INDEX(Dashboard!$Y$6:$Y$22,MATCH($A621,Dashboard!$A$6:$A$22,0))</f>
        <v/>
      </c>
      <c r="AU621" s="53">
        <f>IF(AND(AG621=1,AT621&gt;0,AF621&gt;0),100*AF621/AT621,"")</f>
        <v/>
      </c>
      <c r="AV621" s="44">
        <f>IF(AU621="","",T621/(AU621/100))</f>
        <v/>
      </c>
      <c r="AW621" s="53">
        <f>IF(AU621="","",IF(AND(ABS(AH621)&gt;=0.1,ABS(T621)&gt;=0.05,SIGN(AH621)=SIGN(T621)),100*T621/AH621,""))</f>
        <v/>
      </c>
      <c r="AX621" s="45">
        <f>IF(AU621="","",T621-AV621)</f>
        <v/>
      </c>
      <c r="AY621" s="45">
        <f>IF(AU621="","",AH621-AV621)</f>
        <v/>
      </c>
      <c r="AZ621" s="54">
        <f>(AL621-AM621)-T621*AT621</f>
        <v/>
      </c>
      <c r="BA621" s="43">
        <f>IF(AU621="",0,(AH621-T621)*AF621)</f>
        <v/>
      </c>
      <c r="BB621" s="43">
        <f>IF(AU621="",0,T621*(AF621-AT621))</f>
        <v/>
      </c>
      <c r="BC621" s="51" t="n">
        <v>0.5198900893024417</v>
      </c>
      <c r="BD621" s="51" t="n">
        <v>0.01617435833385374</v>
      </c>
      <c r="BE621" s="51" t="n">
        <v>0.1299651878960993</v>
      </c>
      <c r="BF621" s="43" t="n">
        <v>16013</v>
      </c>
    </row>
    <row r="622">
      <c r="A622" s="42" t="inlineStr">
        <is>
          <t>MS</t>
        </is>
      </c>
      <c r="B622" s="42" t="inlineStr">
        <is>
          <t>28063</t>
        </is>
      </c>
      <c r="C622" s="42" t="inlineStr">
        <is>
          <t>Jefferson</t>
        </is>
      </c>
      <c r="D622" s="42" t="inlineStr">
        <is>
          <t>Black Belt</t>
        </is>
      </c>
      <c r="E622" s="42" t="inlineStr"/>
      <c r="F622" s="43" t="n">
        <v>2727</v>
      </c>
      <c r="G622" s="43" t="n">
        <v>541</v>
      </c>
      <c r="H622" s="43" t="n">
        <v>3299</v>
      </c>
      <c r="I622" s="43" t="n">
        <v>3327</v>
      </c>
      <c r="J622" s="43" t="n">
        <v>531</v>
      </c>
      <c r="K622" s="42" t="inlineStr">
        <is>
          <t>US House</t>
        </is>
      </c>
      <c r="L622" s="43" t="n">
        <v>1712</v>
      </c>
      <c r="M622" s="43" t="n">
        <v>319</v>
      </c>
      <c r="N622" s="43" t="n">
        <v>2031</v>
      </c>
      <c r="O622" s="44">
        <f>IFERROR((F622-G622)/(F622+G622),"")</f>
        <v/>
      </c>
      <c r="P622" s="44">
        <f>IFERROR((I622-J622)/(I622+J622),"")</f>
        <v/>
      </c>
      <c r="Q622" s="45">
        <f>IFERROR(O622-P622,"")</f>
        <v/>
      </c>
      <c r="R622" s="44">
        <f>IFERROR((L622-M622)/(L622+M622),"")</f>
        <v/>
      </c>
      <c r="S622" s="46">
        <f>H622/SUMIFS(Counties!$H$2:$H$1583,Counties!$A$2:$A$1583,$A622)</f>
        <v/>
      </c>
      <c r="T622" s="44">
        <f>O622+INDEX(Dashboard!$F$6:$F$22,MATCH($A622,Dashboard!$A$6:$A$22,0))</f>
        <v/>
      </c>
      <c r="U622" s="43">
        <f>AQ622*INDEX(Dashboard!$G$6:$G$22,MATCH($A622,Dashboard!$A$6:$A$22,0))</f>
        <v/>
      </c>
      <c r="V622" s="47" t="n"/>
      <c r="W622" s="47" t="n"/>
      <c r="X622" s="47" t="n"/>
      <c r="Y622" s="48" t="n"/>
      <c r="Z622" s="49" t="n"/>
      <c r="AA622" s="49" t="n"/>
      <c r="AB622" s="49" t="n"/>
      <c r="AC622" s="50" t="n"/>
      <c r="AD622" s="43">
        <f>IF(Z622&lt;&gt;"",Z622,N(V622))</f>
        <v/>
      </c>
      <c r="AE622" s="43">
        <f>IF(AA622&lt;&gt;"",AA622,N(W622))</f>
        <v/>
      </c>
      <c r="AF622" s="43">
        <f>AD622+AE622</f>
        <v/>
      </c>
      <c r="AG622" s="42">
        <f>IF(UPPER(AC622)="Y",1,IF(AF622=0,0,IF(AND(Z622="",Y622&lt;&gt;""),IF(Y622&gt;=0.999,1,0),IF(AF622&gt;=U622,1,0))))</f>
        <v/>
      </c>
      <c r="AH622" s="44">
        <f>IF(AF622&gt;0,(AD622-AE622)/AF622,"")</f>
        <v/>
      </c>
      <c r="AI622" s="45">
        <f>IF(AG622=1,AH622-O622,"")</f>
        <v/>
      </c>
      <c r="AJ622" s="44">
        <f>IF(AG622=1,AH622,MAX(-1,MIN(1,O622+INDEX(Types!$H:$H,MATCH($A622&amp;"|"&amp;$D622,Types!$A:$A,0)))))</f>
        <v/>
      </c>
      <c r="AK622" s="43">
        <f>IF(AG622=1,AF622,MAX(AQ622*AS622,AF622))</f>
        <v/>
      </c>
      <c r="AL622" s="43">
        <f>IF(AG622=1,AD622,AK622*(1+AJ622)/2)</f>
        <v/>
      </c>
      <c r="AM622" s="43">
        <f>IF(AG622=1,AE622,AK622*(1-AJ622)/2)</f>
        <v/>
      </c>
      <c r="AN622" s="45">
        <f>IF(AH622="","",AH622-T622)</f>
        <v/>
      </c>
      <c r="AO622" s="51">
        <f>IF(AG622=1,1,IF(U622&gt;0,MIN(AF622/U622,0.99),0))</f>
        <v/>
      </c>
      <c r="AP622" s="43">
        <f>IF(AG622=1,AI622*AF622,0)</f>
        <v/>
      </c>
      <c r="AQ622" s="43">
        <f>N622*(F622+G622)/H622</f>
        <v/>
      </c>
      <c r="AR622" s="43">
        <f>O622*AQ622</f>
        <v/>
      </c>
      <c r="AS622" s="52">
        <f>IF(AG622=1,IF(AQ622&gt;0,AF622/AQ622,1),IFERROR(INDEX(Types!$K:$K,MATCH($A622&amp;"|"&amp;$D622,Types!$A:$A,0)),INDEX(Dashboard!$X$6:$X$22,MATCH($A622,Dashboard!$A$6:$A$22,0))))</f>
        <v/>
      </c>
      <c r="AT622" s="43">
        <f>AQ622*INDEX(Dashboard!$Y$6:$Y$22,MATCH($A622,Dashboard!$A$6:$A$22,0))</f>
        <v/>
      </c>
      <c r="AU622" s="53">
        <f>IF(AND(AG622=1,AT622&gt;0,AF622&gt;0),100*AF622/AT622,"")</f>
        <v/>
      </c>
      <c r="AV622" s="44">
        <f>IF(AU622="","",T622/(AU622/100))</f>
        <v/>
      </c>
      <c r="AW622" s="53">
        <f>IF(AU622="","",IF(AND(ABS(AH622)&gt;=0.1,ABS(T622)&gt;=0.05,SIGN(AH622)=SIGN(T622)),100*T622/AH622,""))</f>
        <v/>
      </c>
      <c r="AX622" s="45">
        <f>IF(AU622="","",T622-AV622)</f>
        <v/>
      </c>
      <c r="AY622" s="45">
        <f>IF(AU622="","",AH622-AV622)</f>
        <v/>
      </c>
      <c r="AZ622" s="54">
        <f>(AL622-AM622)-T622*AT622</f>
        <v/>
      </c>
      <c r="BA622" s="43">
        <f>IF(AU622="",0,(AH622-T622)*AF622)</f>
        <v/>
      </c>
      <c r="BB622" s="43">
        <f>IF(AU622="",0,T622*(AF622-AT622))</f>
        <v/>
      </c>
      <c r="BC622" s="51" t="n">
        <v>0.8377755366661864</v>
      </c>
      <c r="BD622" s="51" t="n">
        <v>0.01066128799884743</v>
      </c>
      <c r="BE622" s="51" t="n">
        <v>0.1993334721932931</v>
      </c>
      <c r="BF622" s="43" t="n">
        <v>6941</v>
      </c>
    </row>
    <row r="623">
      <c r="A623" s="42" t="inlineStr">
        <is>
          <t>MS</t>
        </is>
      </c>
      <c r="B623" s="42" t="inlineStr">
        <is>
          <t>28065</t>
        </is>
      </c>
      <c r="C623" s="42" t="inlineStr">
        <is>
          <t>Jefferson Davis</t>
        </is>
      </c>
      <c r="D623" s="42" t="inlineStr">
        <is>
          <t>Black Belt</t>
        </is>
      </c>
      <c r="E623" s="42" t="inlineStr"/>
      <c r="F623" s="43" t="n">
        <v>3041</v>
      </c>
      <c r="G623" s="43" t="n">
        <v>2302</v>
      </c>
      <c r="H623" s="43" t="n">
        <v>5378</v>
      </c>
      <c r="I623" s="43" t="n">
        <v>3599</v>
      </c>
      <c r="J623" s="43" t="n">
        <v>2534</v>
      </c>
      <c r="K623" s="42" t="inlineStr">
        <is>
          <t>US House</t>
        </is>
      </c>
      <c r="L623" s="43" t="n">
        <v>1653</v>
      </c>
      <c r="M623" s="43" t="n">
        <v>1555</v>
      </c>
      <c r="N623" s="43" t="n">
        <v>3208</v>
      </c>
      <c r="O623" s="44">
        <f>IFERROR((F623-G623)/(F623+G623),"")</f>
        <v/>
      </c>
      <c r="P623" s="44">
        <f>IFERROR((I623-J623)/(I623+J623),"")</f>
        <v/>
      </c>
      <c r="Q623" s="45">
        <f>IFERROR(O623-P623,"")</f>
        <v/>
      </c>
      <c r="R623" s="44">
        <f>IFERROR((L623-M623)/(L623+M623),"")</f>
        <v/>
      </c>
      <c r="S623" s="46">
        <f>H623/SUMIFS(Counties!$H$2:$H$1583,Counties!$A$2:$A$1583,$A623)</f>
        <v/>
      </c>
      <c r="T623" s="44">
        <f>O623+INDEX(Dashboard!$F$6:$F$22,MATCH($A623,Dashboard!$A$6:$A$22,0))</f>
        <v/>
      </c>
      <c r="U623" s="43">
        <f>AQ623*INDEX(Dashboard!$G$6:$G$22,MATCH($A623,Dashboard!$A$6:$A$22,0))</f>
        <v/>
      </c>
      <c r="V623" s="47" t="n"/>
      <c r="W623" s="47" t="n"/>
      <c r="X623" s="47" t="n"/>
      <c r="Y623" s="48" t="n"/>
      <c r="Z623" s="49" t="n"/>
      <c r="AA623" s="49" t="n"/>
      <c r="AB623" s="49" t="n"/>
      <c r="AC623" s="50" t="n"/>
      <c r="AD623" s="43">
        <f>IF(Z623&lt;&gt;"",Z623,N(V623))</f>
        <v/>
      </c>
      <c r="AE623" s="43">
        <f>IF(AA623&lt;&gt;"",AA623,N(W623))</f>
        <v/>
      </c>
      <c r="AF623" s="43">
        <f>AD623+AE623</f>
        <v/>
      </c>
      <c r="AG623" s="42">
        <f>IF(UPPER(AC623)="Y",1,IF(AF623=0,0,IF(AND(Z623="",Y623&lt;&gt;""),IF(Y623&gt;=0.999,1,0),IF(AF623&gt;=U623,1,0))))</f>
        <v/>
      </c>
      <c r="AH623" s="44">
        <f>IF(AF623&gt;0,(AD623-AE623)/AF623,"")</f>
        <v/>
      </c>
      <c r="AI623" s="45">
        <f>IF(AG623=1,AH623-O623,"")</f>
        <v/>
      </c>
      <c r="AJ623" s="44">
        <f>IF(AG623=1,AH623,MAX(-1,MIN(1,O623+INDEX(Types!$H:$H,MATCH($A623&amp;"|"&amp;$D623,Types!$A:$A,0)))))</f>
        <v/>
      </c>
      <c r="AK623" s="43">
        <f>IF(AG623=1,AF623,MAX(AQ623*AS623,AF623))</f>
        <v/>
      </c>
      <c r="AL623" s="43">
        <f>IF(AG623=1,AD623,AK623*(1+AJ623)/2)</f>
        <v/>
      </c>
      <c r="AM623" s="43">
        <f>IF(AG623=1,AE623,AK623*(1-AJ623)/2)</f>
        <v/>
      </c>
      <c r="AN623" s="45">
        <f>IF(AH623="","",AH623-T623)</f>
        <v/>
      </c>
      <c r="AO623" s="51">
        <f>IF(AG623=1,1,IF(U623&gt;0,MIN(AF623/U623,0.99),0))</f>
        <v/>
      </c>
      <c r="AP623" s="43">
        <f>IF(AG623=1,AI623*AF623,0)</f>
        <v/>
      </c>
      <c r="AQ623" s="43">
        <f>N623*(F623+G623)/H623</f>
        <v/>
      </c>
      <c r="AR623" s="43">
        <f>O623*AQ623</f>
        <v/>
      </c>
      <c r="AS623" s="52">
        <f>IF(AG623=1,IF(AQ623&gt;0,AF623/AQ623,1),IFERROR(INDEX(Types!$K:$K,MATCH($A623&amp;"|"&amp;$D623,Types!$A:$A,0)),INDEX(Dashboard!$X$6:$X$22,MATCH($A623,Dashboard!$A$6:$A$22,0))))</f>
        <v/>
      </c>
      <c r="AT623" s="43">
        <f>AQ623*INDEX(Dashboard!$Y$6:$Y$22,MATCH($A623,Dashboard!$A$6:$A$22,0))</f>
        <v/>
      </c>
      <c r="AU623" s="53">
        <f>IF(AND(AG623=1,AT623&gt;0,AF623&gt;0),100*AF623/AT623,"")</f>
        <v/>
      </c>
      <c r="AV623" s="44">
        <f>IF(AU623="","",T623/(AU623/100))</f>
        <v/>
      </c>
      <c r="AW623" s="53">
        <f>IF(AU623="","",IF(AND(ABS(AH623)&gt;=0.1,ABS(T623)&gt;=0.05,SIGN(AH623)=SIGN(T623)),100*T623/AH623,""))</f>
        <v/>
      </c>
      <c r="AX623" s="45">
        <f>IF(AU623="","",T623-AV623)</f>
        <v/>
      </c>
      <c r="AY623" s="45">
        <f>IF(AU623="","",AH623-AV623)</f>
        <v/>
      </c>
      <c r="AZ623" s="54">
        <f>(AL623-AM623)-T623*AT623</f>
        <v/>
      </c>
      <c r="BA623" s="43">
        <f>IF(AU623="",0,(AH623-T623)*AF623)</f>
        <v/>
      </c>
      <c r="BB623" s="43">
        <f>IF(AU623="",0,T623*(AF623-AT623))</f>
        <v/>
      </c>
      <c r="BC623" s="51" t="n">
        <v>0.5870179597046221</v>
      </c>
      <c r="BD623" s="51" t="n">
        <v>0.01221624578357189</v>
      </c>
      <c r="BE623" s="51" t="n">
        <v>0.1354401805869075</v>
      </c>
      <c r="BF623" s="43" t="n">
        <v>10969</v>
      </c>
    </row>
    <row r="624">
      <c r="A624" s="42" t="inlineStr">
        <is>
          <t>MS</t>
        </is>
      </c>
      <c r="B624" s="42" t="inlineStr">
        <is>
          <t>28067</t>
        </is>
      </c>
      <c r="C624" s="42" t="inlineStr">
        <is>
          <t>Jones</t>
        </is>
      </c>
      <c r="D624" s="42" t="inlineStr">
        <is>
          <t>Small town &amp; rural</t>
        </is>
      </c>
      <c r="E624" s="42" t="inlineStr"/>
      <c r="F624" s="43" t="n">
        <v>7272</v>
      </c>
      <c r="G624" s="43" t="n">
        <v>20265</v>
      </c>
      <c r="H624" s="43" t="n">
        <v>27755</v>
      </c>
      <c r="I624" s="43" t="n">
        <v>8517</v>
      </c>
      <c r="J624" s="43" t="n">
        <v>21226</v>
      </c>
      <c r="K624" s="42" t="inlineStr">
        <is>
          <t>US House</t>
        </is>
      </c>
      <c r="L624" s="43" t="n">
        <v>3983</v>
      </c>
      <c r="M624" s="43" t="n">
        <v>12724</v>
      </c>
      <c r="N624" s="43" t="n">
        <v>16922</v>
      </c>
      <c r="O624" s="44">
        <f>IFERROR((F624-G624)/(F624+G624),"")</f>
        <v/>
      </c>
      <c r="P624" s="44">
        <f>IFERROR((I624-J624)/(I624+J624),"")</f>
        <v/>
      </c>
      <c r="Q624" s="45">
        <f>IFERROR(O624-P624,"")</f>
        <v/>
      </c>
      <c r="R624" s="44">
        <f>IFERROR((L624-M624)/(L624+M624),"")</f>
        <v/>
      </c>
      <c r="S624" s="46">
        <f>H624/SUMIFS(Counties!$H$2:$H$1583,Counties!$A$2:$A$1583,$A624)</f>
        <v/>
      </c>
      <c r="T624" s="44">
        <f>O624+INDEX(Dashboard!$F$6:$F$22,MATCH($A624,Dashboard!$A$6:$A$22,0))</f>
        <v/>
      </c>
      <c r="U624" s="43">
        <f>AQ624*INDEX(Dashboard!$G$6:$G$22,MATCH($A624,Dashboard!$A$6:$A$22,0))</f>
        <v/>
      </c>
      <c r="V624" s="47" t="n"/>
      <c r="W624" s="47" t="n"/>
      <c r="X624" s="47" t="n"/>
      <c r="Y624" s="48" t="n"/>
      <c r="Z624" s="49" t="n"/>
      <c r="AA624" s="49" t="n"/>
      <c r="AB624" s="49" t="n"/>
      <c r="AC624" s="50" t="n"/>
      <c r="AD624" s="43">
        <f>IF(Z624&lt;&gt;"",Z624,N(V624))</f>
        <v/>
      </c>
      <c r="AE624" s="43">
        <f>IF(AA624&lt;&gt;"",AA624,N(W624))</f>
        <v/>
      </c>
      <c r="AF624" s="43">
        <f>AD624+AE624</f>
        <v/>
      </c>
      <c r="AG624" s="42">
        <f>IF(UPPER(AC624)="Y",1,IF(AF624=0,0,IF(AND(Z624="",Y624&lt;&gt;""),IF(Y624&gt;=0.999,1,0),IF(AF624&gt;=U624,1,0))))</f>
        <v/>
      </c>
      <c r="AH624" s="44">
        <f>IF(AF624&gt;0,(AD624-AE624)/AF624,"")</f>
        <v/>
      </c>
      <c r="AI624" s="45">
        <f>IF(AG624=1,AH624-O624,"")</f>
        <v/>
      </c>
      <c r="AJ624" s="44">
        <f>IF(AG624=1,AH624,MAX(-1,MIN(1,O624+INDEX(Types!$H:$H,MATCH($A624&amp;"|"&amp;$D624,Types!$A:$A,0)))))</f>
        <v/>
      </c>
      <c r="AK624" s="43">
        <f>IF(AG624=1,AF624,MAX(AQ624*AS624,AF624))</f>
        <v/>
      </c>
      <c r="AL624" s="43">
        <f>IF(AG624=1,AD624,AK624*(1+AJ624)/2)</f>
        <v/>
      </c>
      <c r="AM624" s="43">
        <f>IF(AG624=1,AE624,AK624*(1-AJ624)/2)</f>
        <v/>
      </c>
      <c r="AN624" s="45">
        <f>IF(AH624="","",AH624-T624)</f>
        <v/>
      </c>
      <c r="AO624" s="51">
        <f>IF(AG624=1,1,IF(U624&gt;0,MIN(AF624/U624,0.99),0))</f>
        <v/>
      </c>
      <c r="AP624" s="43">
        <f>IF(AG624=1,AI624*AF624,0)</f>
        <v/>
      </c>
      <c r="AQ624" s="43">
        <f>N624*(F624+G624)/H624</f>
        <v/>
      </c>
      <c r="AR624" s="43">
        <f>O624*AQ624</f>
        <v/>
      </c>
      <c r="AS624" s="52">
        <f>IF(AG624=1,IF(AQ624&gt;0,AF624/AQ624,1),IFERROR(INDEX(Types!$K:$K,MATCH($A624&amp;"|"&amp;$D624,Types!$A:$A,0)),INDEX(Dashboard!$X$6:$X$22,MATCH($A624,Dashboard!$A$6:$A$22,0))))</f>
        <v/>
      </c>
      <c r="AT624" s="43">
        <f>AQ624*INDEX(Dashboard!$Y$6:$Y$22,MATCH($A624,Dashboard!$A$6:$A$22,0))</f>
        <v/>
      </c>
      <c r="AU624" s="53">
        <f>IF(AND(AG624=1,AT624&gt;0,AF624&gt;0),100*AF624/AT624,"")</f>
        <v/>
      </c>
      <c r="AV624" s="44">
        <f>IF(AU624="","",T624/(AU624/100))</f>
        <v/>
      </c>
      <c r="AW624" s="53">
        <f>IF(AU624="","",IF(AND(ABS(AH624)&gt;=0.1,ABS(T624)&gt;=0.05,SIGN(AH624)=SIGN(T624)),100*T624/AH624,""))</f>
        <v/>
      </c>
      <c r="AX624" s="45">
        <f>IF(AU624="","",T624-AV624)</f>
        <v/>
      </c>
      <c r="AY624" s="45">
        <f>IF(AU624="","",AH624-AV624)</f>
        <v/>
      </c>
      <c r="AZ624" s="54">
        <f>(AL624-AM624)-T624*AT624</f>
        <v/>
      </c>
      <c r="BA624" s="43">
        <f>IF(AU624="",0,(AH624-T624)*AF624)</f>
        <v/>
      </c>
      <c r="BB624" s="43">
        <f>IF(AU624="",0,T624*(AF624-AT624))</f>
        <v/>
      </c>
      <c r="BC624" s="51" t="n">
        <v>0.2868377358490566</v>
      </c>
      <c r="BD624" s="51" t="n">
        <v>0.06227924528301887</v>
      </c>
      <c r="BE624" s="51" t="n">
        <v>0.2002514573094068</v>
      </c>
      <c r="BF624" s="43" t="n">
        <v>66250</v>
      </c>
    </row>
    <row r="625">
      <c r="A625" s="42" t="inlineStr">
        <is>
          <t>MS</t>
        </is>
      </c>
      <c r="B625" s="42" t="inlineStr">
        <is>
          <t>28069</t>
        </is>
      </c>
      <c r="C625" s="42" t="inlineStr">
        <is>
          <t>Kemper</t>
        </is>
      </c>
      <c r="D625" s="42" t="inlineStr">
        <is>
          <t>Black Belt</t>
        </is>
      </c>
      <c r="E625" s="42" t="inlineStr"/>
      <c r="F625" s="43" t="n">
        <v>2381</v>
      </c>
      <c r="G625" s="43" t="n">
        <v>1691</v>
      </c>
      <c r="H625" s="43" t="n">
        <v>4086</v>
      </c>
      <c r="I625" s="43" t="n">
        <v>2887</v>
      </c>
      <c r="J625" s="43" t="n">
        <v>1787</v>
      </c>
      <c r="K625" s="42" t="inlineStr">
        <is>
          <t>US House</t>
        </is>
      </c>
      <c r="L625" s="43" t="n">
        <v>1183</v>
      </c>
      <c r="M625" s="43" t="n">
        <v>1204</v>
      </c>
      <c r="N625" s="43" t="n">
        <v>2387</v>
      </c>
      <c r="O625" s="44">
        <f>IFERROR((F625-G625)/(F625+G625),"")</f>
        <v/>
      </c>
      <c r="P625" s="44">
        <f>IFERROR((I625-J625)/(I625+J625),"")</f>
        <v/>
      </c>
      <c r="Q625" s="45">
        <f>IFERROR(O625-P625,"")</f>
        <v/>
      </c>
      <c r="R625" s="44">
        <f>IFERROR((L625-M625)/(L625+M625),"")</f>
        <v/>
      </c>
      <c r="S625" s="46">
        <f>H625/SUMIFS(Counties!$H$2:$H$1583,Counties!$A$2:$A$1583,$A625)</f>
        <v/>
      </c>
      <c r="T625" s="44">
        <f>O625+INDEX(Dashboard!$F$6:$F$22,MATCH($A625,Dashboard!$A$6:$A$22,0))</f>
        <v/>
      </c>
      <c r="U625" s="43">
        <f>AQ625*INDEX(Dashboard!$G$6:$G$22,MATCH($A625,Dashboard!$A$6:$A$22,0))</f>
        <v/>
      </c>
      <c r="V625" s="47" t="n"/>
      <c r="W625" s="47" t="n"/>
      <c r="X625" s="47" t="n"/>
      <c r="Y625" s="48" t="n"/>
      <c r="Z625" s="49" t="n"/>
      <c r="AA625" s="49" t="n"/>
      <c r="AB625" s="49" t="n"/>
      <c r="AC625" s="50" t="n"/>
      <c r="AD625" s="43">
        <f>IF(Z625&lt;&gt;"",Z625,N(V625))</f>
        <v/>
      </c>
      <c r="AE625" s="43">
        <f>IF(AA625&lt;&gt;"",AA625,N(W625))</f>
        <v/>
      </c>
      <c r="AF625" s="43">
        <f>AD625+AE625</f>
        <v/>
      </c>
      <c r="AG625" s="42">
        <f>IF(UPPER(AC625)="Y",1,IF(AF625=0,0,IF(AND(Z625="",Y625&lt;&gt;""),IF(Y625&gt;=0.999,1,0),IF(AF625&gt;=U625,1,0))))</f>
        <v/>
      </c>
      <c r="AH625" s="44">
        <f>IF(AF625&gt;0,(AD625-AE625)/AF625,"")</f>
        <v/>
      </c>
      <c r="AI625" s="45">
        <f>IF(AG625=1,AH625-O625,"")</f>
        <v/>
      </c>
      <c r="AJ625" s="44">
        <f>IF(AG625=1,AH625,MAX(-1,MIN(1,O625+INDEX(Types!$H:$H,MATCH($A625&amp;"|"&amp;$D625,Types!$A:$A,0)))))</f>
        <v/>
      </c>
      <c r="AK625" s="43">
        <f>IF(AG625=1,AF625,MAX(AQ625*AS625,AF625))</f>
        <v/>
      </c>
      <c r="AL625" s="43">
        <f>IF(AG625=1,AD625,AK625*(1+AJ625)/2)</f>
        <v/>
      </c>
      <c r="AM625" s="43">
        <f>IF(AG625=1,AE625,AK625*(1-AJ625)/2)</f>
        <v/>
      </c>
      <c r="AN625" s="45">
        <f>IF(AH625="","",AH625-T625)</f>
        <v/>
      </c>
      <c r="AO625" s="51">
        <f>IF(AG625=1,1,IF(U625&gt;0,MIN(AF625/U625,0.99),0))</f>
        <v/>
      </c>
      <c r="AP625" s="43">
        <f>IF(AG625=1,AI625*AF625,0)</f>
        <v/>
      </c>
      <c r="AQ625" s="43">
        <f>N625*(F625+G625)/H625</f>
        <v/>
      </c>
      <c r="AR625" s="43">
        <f>O625*AQ625</f>
        <v/>
      </c>
      <c r="AS625" s="52">
        <f>IF(AG625=1,IF(AQ625&gt;0,AF625/AQ625,1),IFERROR(INDEX(Types!$K:$K,MATCH($A625&amp;"|"&amp;$D625,Types!$A:$A,0)),INDEX(Dashboard!$X$6:$X$22,MATCH($A625,Dashboard!$A$6:$A$22,0))))</f>
        <v/>
      </c>
      <c r="AT625" s="43">
        <f>AQ625*INDEX(Dashboard!$Y$6:$Y$22,MATCH($A625,Dashboard!$A$6:$A$22,0))</f>
        <v/>
      </c>
      <c r="AU625" s="53">
        <f>IF(AND(AG625=1,AT625&gt;0,AF625&gt;0),100*AF625/AT625,"")</f>
        <v/>
      </c>
      <c r="AV625" s="44">
        <f>IF(AU625="","",T625/(AU625/100))</f>
        <v/>
      </c>
      <c r="AW625" s="53">
        <f>IF(AU625="","",IF(AND(ABS(AH625)&gt;=0.1,ABS(T625)&gt;=0.05,SIGN(AH625)=SIGN(T625)),100*T625/AH625,""))</f>
        <v/>
      </c>
      <c r="AX625" s="45">
        <f>IF(AU625="","",T625-AV625)</f>
        <v/>
      </c>
      <c r="AY625" s="45">
        <f>IF(AU625="","",AH625-AV625)</f>
        <v/>
      </c>
      <c r="AZ625" s="54">
        <f>(AL625-AM625)-T625*AT625</f>
        <v/>
      </c>
      <c r="BA625" s="43">
        <f>IF(AU625="",0,(AH625-T625)*AF625)</f>
        <v/>
      </c>
      <c r="BB625" s="43">
        <f>IF(AU625="",0,T625*(AF625-AT625))</f>
        <v/>
      </c>
      <c r="BC625" s="51" t="n">
        <v>0.6003028890959925</v>
      </c>
      <c r="BD625" s="51" t="n">
        <v>0.01013513513513514</v>
      </c>
      <c r="BE625" s="51" t="n">
        <v>0.1775997329327324</v>
      </c>
      <c r="BF625" s="43" t="n">
        <v>8584</v>
      </c>
    </row>
    <row r="626">
      <c r="A626" s="42" t="inlineStr">
        <is>
          <t>MS</t>
        </is>
      </c>
      <c r="B626" s="42" t="inlineStr">
        <is>
          <t>28071</t>
        </is>
      </c>
      <c r="C626" s="42" t="inlineStr">
        <is>
          <t>Lafayette</t>
        </is>
      </c>
      <c r="D626" s="42" t="inlineStr">
        <is>
          <t>Small town &amp; rural</t>
        </is>
      </c>
      <c r="E626" s="42" t="inlineStr"/>
      <c r="F626" s="43" t="n">
        <v>8956</v>
      </c>
      <c r="G626" s="43" t="n">
        <v>14050</v>
      </c>
      <c r="H626" s="43" t="n">
        <v>23409</v>
      </c>
      <c r="I626" s="43" t="n">
        <v>10070</v>
      </c>
      <c r="J626" s="43" t="n">
        <v>12949</v>
      </c>
      <c r="K626" s="42" t="inlineStr">
        <is>
          <t>US House</t>
        </is>
      </c>
      <c r="L626" s="43" t="n">
        <v>4709</v>
      </c>
      <c r="M626" s="43" t="n">
        <v>7999</v>
      </c>
      <c r="N626" s="43" t="n">
        <v>12708</v>
      </c>
      <c r="O626" s="44">
        <f>IFERROR((F626-G626)/(F626+G626),"")</f>
        <v/>
      </c>
      <c r="P626" s="44">
        <f>IFERROR((I626-J626)/(I626+J626),"")</f>
        <v/>
      </c>
      <c r="Q626" s="45">
        <f>IFERROR(O626-P626,"")</f>
        <v/>
      </c>
      <c r="R626" s="44">
        <f>IFERROR((L626-M626)/(L626+M626),"")</f>
        <v/>
      </c>
      <c r="S626" s="46">
        <f>H626/SUMIFS(Counties!$H$2:$H$1583,Counties!$A$2:$A$1583,$A626)</f>
        <v/>
      </c>
      <c r="T626" s="44">
        <f>O626+INDEX(Dashboard!$F$6:$F$22,MATCH($A626,Dashboard!$A$6:$A$22,0))</f>
        <v/>
      </c>
      <c r="U626" s="43">
        <f>AQ626*INDEX(Dashboard!$G$6:$G$22,MATCH($A626,Dashboard!$A$6:$A$22,0))</f>
        <v/>
      </c>
      <c r="V626" s="47" t="n"/>
      <c r="W626" s="47" t="n"/>
      <c r="X626" s="47" t="n"/>
      <c r="Y626" s="48" t="n"/>
      <c r="Z626" s="49" t="n"/>
      <c r="AA626" s="49" t="n"/>
      <c r="AB626" s="49" t="n"/>
      <c r="AC626" s="50" t="n"/>
      <c r="AD626" s="43">
        <f>IF(Z626&lt;&gt;"",Z626,N(V626))</f>
        <v/>
      </c>
      <c r="AE626" s="43">
        <f>IF(AA626&lt;&gt;"",AA626,N(W626))</f>
        <v/>
      </c>
      <c r="AF626" s="43">
        <f>AD626+AE626</f>
        <v/>
      </c>
      <c r="AG626" s="42">
        <f>IF(UPPER(AC626)="Y",1,IF(AF626=0,0,IF(AND(Z626="",Y626&lt;&gt;""),IF(Y626&gt;=0.999,1,0),IF(AF626&gt;=U626,1,0))))</f>
        <v/>
      </c>
      <c r="AH626" s="44">
        <f>IF(AF626&gt;0,(AD626-AE626)/AF626,"")</f>
        <v/>
      </c>
      <c r="AI626" s="45">
        <f>IF(AG626=1,AH626-O626,"")</f>
        <v/>
      </c>
      <c r="AJ626" s="44">
        <f>IF(AG626=1,AH626,MAX(-1,MIN(1,O626+INDEX(Types!$H:$H,MATCH($A626&amp;"|"&amp;$D626,Types!$A:$A,0)))))</f>
        <v/>
      </c>
      <c r="AK626" s="43">
        <f>IF(AG626=1,AF626,MAX(AQ626*AS626,AF626))</f>
        <v/>
      </c>
      <c r="AL626" s="43">
        <f>IF(AG626=1,AD626,AK626*(1+AJ626)/2)</f>
        <v/>
      </c>
      <c r="AM626" s="43">
        <f>IF(AG626=1,AE626,AK626*(1-AJ626)/2)</f>
        <v/>
      </c>
      <c r="AN626" s="45">
        <f>IF(AH626="","",AH626-T626)</f>
        <v/>
      </c>
      <c r="AO626" s="51">
        <f>IF(AG626=1,1,IF(U626&gt;0,MIN(AF626/U626,0.99),0))</f>
        <v/>
      </c>
      <c r="AP626" s="43">
        <f>IF(AG626=1,AI626*AF626,0)</f>
        <v/>
      </c>
      <c r="AQ626" s="43">
        <f>N626*(F626+G626)/H626</f>
        <v/>
      </c>
      <c r="AR626" s="43">
        <f>O626*AQ626</f>
        <v/>
      </c>
      <c r="AS626" s="52">
        <f>IF(AG626=1,IF(AQ626&gt;0,AF626/AQ626,1),IFERROR(INDEX(Types!$K:$K,MATCH($A626&amp;"|"&amp;$D626,Types!$A:$A,0)),INDEX(Dashboard!$X$6:$X$22,MATCH($A626,Dashboard!$A$6:$A$22,0))))</f>
        <v/>
      </c>
      <c r="AT626" s="43">
        <f>AQ626*INDEX(Dashboard!$Y$6:$Y$22,MATCH($A626,Dashboard!$A$6:$A$22,0))</f>
        <v/>
      </c>
      <c r="AU626" s="53">
        <f>IF(AND(AG626=1,AT626&gt;0,AF626&gt;0),100*AF626/AT626,"")</f>
        <v/>
      </c>
      <c r="AV626" s="44">
        <f>IF(AU626="","",T626/(AU626/100))</f>
        <v/>
      </c>
      <c r="AW626" s="53">
        <f>IF(AU626="","",IF(AND(ABS(AH626)&gt;=0.1,ABS(T626)&gt;=0.05,SIGN(AH626)=SIGN(T626)),100*T626/AH626,""))</f>
        <v/>
      </c>
      <c r="AX626" s="45">
        <f>IF(AU626="","",T626-AV626)</f>
        <v/>
      </c>
      <c r="AY626" s="45">
        <f>IF(AU626="","",AH626-AV626)</f>
        <v/>
      </c>
      <c r="AZ626" s="54">
        <f>(AL626-AM626)-T626*AT626</f>
        <v/>
      </c>
      <c r="BA626" s="43">
        <f>IF(AU626="",0,(AH626-T626)*AF626)</f>
        <v/>
      </c>
      <c r="BB626" s="43">
        <f>IF(AU626="",0,T626*(AF626-AT626))</f>
        <v/>
      </c>
      <c r="BC626" s="51" t="n">
        <v>0.2344741478098757</v>
      </c>
      <c r="BD626" s="51" t="n">
        <v>0.03572955684403167</v>
      </c>
      <c r="BE626" s="51" t="n">
        <v>0.4427905851031645</v>
      </c>
      <c r="BF626" s="43" t="n">
        <v>58467</v>
      </c>
    </row>
    <row r="627">
      <c r="A627" s="42" t="inlineStr">
        <is>
          <t>MS</t>
        </is>
      </c>
      <c r="B627" s="42" t="inlineStr">
        <is>
          <t>28073</t>
        </is>
      </c>
      <c r="C627" s="42" t="inlineStr">
        <is>
          <t>Lamar</t>
        </is>
      </c>
      <c r="D627" s="42" t="inlineStr">
        <is>
          <t>Small town &amp; rural</t>
        </is>
      </c>
      <c r="E627" s="42" t="inlineStr"/>
      <c r="F627" s="43" t="n">
        <v>7038</v>
      </c>
      <c r="G627" s="43" t="n">
        <v>20775</v>
      </c>
      <c r="H627" s="43" t="n">
        <v>28171</v>
      </c>
      <c r="I627" s="43" t="n">
        <v>7340</v>
      </c>
      <c r="J627" s="43" t="n">
        <v>20704</v>
      </c>
      <c r="K627" s="42" t="inlineStr">
        <is>
          <t>US House</t>
        </is>
      </c>
      <c r="L627" s="43" t="n">
        <v>3352</v>
      </c>
      <c r="M627" s="43" t="n">
        <v>13496</v>
      </c>
      <c r="N627" s="43" t="n">
        <v>17428</v>
      </c>
      <c r="O627" s="44">
        <f>IFERROR((F627-G627)/(F627+G627),"")</f>
        <v/>
      </c>
      <c r="P627" s="44">
        <f>IFERROR((I627-J627)/(I627+J627),"")</f>
        <v/>
      </c>
      <c r="Q627" s="45">
        <f>IFERROR(O627-P627,"")</f>
        <v/>
      </c>
      <c r="R627" s="44">
        <f>IFERROR((L627-M627)/(L627+M627),"")</f>
        <v/>
      </c>
      <c r="S627" s="46">
        <f>H627/SUMIFS(Counties!$H$2:$H$1583,Counties!$A$2:$A$1583,$A627)</f>
        <v/>
      </c>
      <c r="T627" s="44">
        <f>O627+INDEX(Dashboard!$F$6:$F$22,MATCH($A627,Dashboard!$A$6:$A$22,0))</f>
        <v/>
      </c>
      <c r="U627" s="43">
        <f>AQ627*INDEX(Dashboard!$G$6:$G$22,MATCH($A627,Dashboard!$A$6:$A$22,0))</f>
        <v/>
      </c>
      <c r="V627" s="47" t="n"/>
      <c r="W627" s="47" t="n"/>
      <c r="X627" s="47" t="n"/>
      <c r="Y627" s="48" t="n"/>
      <c r="Z627" s="49" t="n"/>
      <c r="AA627" s="49" t="n"/>
      <c r="AB627" s="49" t="n"/>
      <c r="AC627" s="50" t="n"/>
      <c r="AD627" s="43">
        <f>IF(Z627&lt;&gt;"",Z627,N(V627))</f>
        <v/>
      </c>
      <c r="AE627" s="43">
        <f>IF(AA627&lt;&gt;"",AA627,N(W627))</f>
        <v/>
      </c>
      <c r="AF627" s="43">
        <f>AD627+AE627</f>
        <v/>
      </c>
      <c r="AG627" s="42">
        <f>IF(UPPER(AC627)="Y",1,IF(AF627=0,0,IF(AND(Z627="",Y627&lt;&gt;""),IF(Y627&gt;=0.999,1,0),IF(AF627&gt;=U627,1,0))))</f>
        <v/>
      </c>
      <c r="AH627" s="44">
        <f>IF(AF627&gt;0,(AD627-AE627)/AF627,"")</f>
        <v/>
      </c>
      <c r="AI627" s="45">
        <f>IF(AG627=1,AH627-O627,"")</f>
        <v/>
      </c>
      <c r="AJ627" s="44">
        <f>IF(AG627=1,AH627,MAX(-1,MIN(1,O627+INDEX(Types!$H:$H,MATCH($A627&amp;"|"&amp;$D627,Types!$A:$A,0)))))</f>
        <v/>
      </c>
      <c r="AK627" s="43">
        <f>IF(AG627=1,AF627,MAX(AQ627*AS627,AF627))</f>
        <v/>
      </c>
      <c r="AL627" s="43">
        <f>IF(AG627=1,AD627,AK627*(1+AJ627)/2)</f>
        <v/>
      </c>
      <c r="AM627" s="43">
        <f>IF(AG627=1,AE627,AK627*(1-AJ627)/2)</f>
        <v/>
      </c>
      <c r="AN627" s="45">
        <f>IF(AH627="","",AH627-T627)</f>
        <v/>
      </c>
      <c r="AO627" s="51">
        <f>IF(AG627=1,1,IF(U627&gt;0,MIN(AF627/U627,0.99),0))</f>
        <v/>
      </c>
      <c r="AP627" s="43">
        <f>IF(AG627=1,AI627*AF627,0)</f>
        <v/>
      </c>
      <c r="AQ627" s="43">
        <f>N627*(F627+G627)/H627</f>
        <v/>
      </c>
      <c r="AR627" s="43">
        <f>O627*AQ627</f>
        <v/>
      </c>
      <c r="AS627" s="52">
        <f>IF(AG627=1,IF(AQ627&gt;0,AF627/AQ627,1),IFERROR(INDEX(Types!$K:$K,MATCH($A627&amp;"|"&amp;$D627,Types!$A:$A,0)),INDEX(Dashboard!$X$6:$X$22,MATCH($A627,Dashboard!$A$6:$A$22,0))))</f>
        <v/>
      </c>
      <c r="AT627" s="43">
        <f>AQ627*INDEX(Dashboard!$Y$6:$Y$22,MATCH($A627,Dashboard!$A$6:$A$22,0))</f>
        <v/>
      </c>
      <c r="AU627" s="53">
        <f>IF(AND(AG627=1,AT627&gt;0,AF627&gt;0),100*AF627/AT627,"")</f>
        <v/>
      </c>
      <c r="AV627" s="44">
        <f>IF(AU627="","",T627/(AU627/100))</f>
        <v/>
      </c>
      <c r="AW627" s="53">
        <f>IF(AU627="","",IF(AND(ABS(AH627)&gt;=0.1,ABS(T627)&gt;=0.05,SIGN(AH627)=SIGN(T627)),100*T627/AH627,""))</f>
        <v/>
      </c>
      <c r="AX627" s="45">
        <f>IF(AU627="","",T627-AV627)</f>
        <v/>
      </c>
      <c r="AY627" s="45">
        <f>IF(AU627="","",AH627-AV627)</f>
        <v/>
      </c>
      <c r="AZ627" s="54">
        <f>(AL627-AM627)-T627*AT627</f>
        <v/>
      </c>
      <c r="BA627" s="43">
        <f>IF(AU627="",0,(AH627-T627)*AF627)</f>
        <v/>
      </c>
      <c r="BB627" s="43">
        <f>IF(AU627="",0,T627*(AF627-AT627))</f>
        <v/>
      </c>
      <c r="BC627" s="51" t="n">
        <v>0.223205521240769</v>
      </c>
      <c r="BD627" s="51" t="n">
        <v>0.03755833094220518</v>
      </c>
      <c r="BE627" s="51" t="n">
        <v>0.3323823435431597</v>
      </c>
      <c r="BF627" s="43" t="n">
        <v>66217</v>
      </c>
    </row>
    <row r="628">
      <c r="A628" s="42" t="inlineStr">
        <is>
          <t>MS</t>
        </is>
      </c>
      <c r="B628" s="42" t="inlineStr">
        <is>
          <t>28075</t>
        </is>
      </c>
      <c r="C628" s="42" t="inlineStr">
        <is>
          <t>Lauderdale</t>
        </is>
      </c>
      <c r="D628" s="42" t="inlineStr">
        <is>
          <t>Black Belt</t>
        </is>
      </c>
      <c r="E628" s="42" t="inlineStr"/>
      <c r="F628" s="43" t="n">
        <v>10677</v>
      </c>
      <c r="G628" s="43" t="n">
        <v>16487</v>
      </c>
      <c r="H628" s="43" t="n">
        <v>27407</v>
      </c>
      <c r="I628" s="43" t="n">
        <v>12960</v>
      </c>
      <c r="J628" s="43" t="n">
        <v>17967</v>
      </c>
      <c r="K628" s="42" t="inlineStr">
        <is>
          <t>US House</t>
        </is>
      </c>
      <c r="L628" s="43" t="n">
        <v>5145</v>
      </c>
      <c r="M628" s="43" t="n">
        <v>10895</v>
      </c>
      <c r="N628" s="43" t="n">
        <v>16040</v>
      </c>
      <c r="O628" s="44">
        <f>IFERROR((F628-G628)/(F628+G628),"")</f>
        <v/>
      </c>
      <c r="P628" s="44">
        <f>IFERROR((I628-J628)/(I628+J628),"")</f>
        <v/>
      </c>
      <c r="Q628" s="45">
        <f>IFERROR(O628-P628,"")</f>
        <v/>
      </c>
      <c r="R628" s="44">
        <f>IFERROR((L628-M628)/(L628+M628),"")</f>
        <v/>
      </c>
      <c r="S628" s="46">
        <f>H628/SUMIFS(Counties!$H$2:$H$1583,Counties!$A$2:$A$1583,$A628)</f>
        <v/>
      </c>
      <c r="T628" s="44">
        <f>O628+INDEX(Dashboard!$F$6:$F$22,MATCH($A628,Dashboard!$A$6:$A$22,0))</f>
        <v/>
      </c>
      <c r="U628" s="43">
        <f>AQ628*INDEX(Dashboard!$G$6:$G$22,MATCH($A628,Dashboard!$A$6:$A$22,0))</f>
        <v/>
      </c>
      <c r="V628" s="47" t="n"/>
      <c r="W628" s="47" t="n"/>
      <c r="X628" s="47" t="n"/>
      <c r="Y628" s="48" t="n"/>
      <c r="Z628" s="49" t="n"/>
      <c r="AA628" s="49" t="n"/>
      <c r="AB628" s="49" t="n"/>
      <c r="AC628" s="50" t="n"/>
      <c r="AD628" s="43">
        <f>IF(Z628&lt;&gt;"",Z628,N(V628))</f>
        <v/>
      </c>
      <c r="AE628" s="43">
        <f>IF(AA628&lt;&gt;"",AA628,N(W628))</f>
        <v/>
      </c>
      <c r="AF628" s="43">
        <f>AD628+AE628</f>
        <v/>
      </c>
      <c r="AG628" s="42">
        <f>IF(UPPER(AC628)="Y",1,IF(AF628=0,0,IF(AND(Z628="",Y628&lt;&gt;""),IF(Y628&gt;=0.999,1,0),IF(AF628&gt;=U628,1,0))))</f>
        <v/>
      </c>
      <c r="AH628" s="44">
        <f>IF(AF628&gt;0,(AD628-AE628)/AF628,"")</f>
        <v/>
      </c>
      <c r="AI628" s="45">
        <f>IF(AG628=1,AH628-O628,"")</f>
        <v/>
      </c>
      <c r="AJ628" s="44">
        <f>IF(AG628=1,AH628,MAX(-1,MIN(1,O628+INDEX(Types!$H:$H,MATCH($A628&amp;"|"&amp;$D628,Types!$A:$A,0)))))</f>
        <v/>
      </c>
      <c r="AK628" s="43">
        <f>IF(AG628=1,AF628,MAX(AQ628*AS628,AF628))</f>
        <v/>
      </c>
      <c r="AL628" s="43">
        <f>IF(AG628=1,AD628,AK628*(1+AJ628)/2)</f>
        <v/>
      </c>
      <c r="AM628" s="43">
        <f>IF(AG628=1,AE628,AK628*(1-AJ628)/2)</f>
        <v/>
      </c>
      <c r="AN628" s="45">
        <f>IF(AH628="","",AH628-T628)</f>
        <v/>
      </c>
      <c r="AO628" s="51">
        <f>IF(AG628=1,1,IF(U628&gt;0,MIN(AF628/U628,0.99),0))</f>
        <v/>
      </c>
      <c r="AP628" s="43">
        <f>IF(AG628=1,AI628*AF628,0)</f>
        <v/>
      </c>
      <c r="AQ628" s="43">
        <f>N628*(F628+G628)/H628</f>
        <v/>
      </c>
      <c r="AR628" s="43">
        <f>O628*AQ628</f>
        <v/>
      </c>
      <c r="AS628" s="52">
        <f>IF(AG628=1,IF(AQ628&gt;0,AF628/AQ628,1),IFERROR(INDEX(Types!$K:$K,MATCH($A628&amp;"|"&amp;$D628,Types!$A:$A,0)),INDEX(Dashboard!$X$6:$X$22,MATCH($A628,Dashboard!$A$6:$A$22,0))))</f>
        <v/>
      </c>
      <c r="AT628" s="43">
        <f>AQ628*INDEX(Dashboard!$Y$6:$Y$22,MATCH($A628,Dashboard!$A$6:$A$22,0))</f>
        <v/>
      </c>
      <c r="AU628" s="53">
        <f>IF(AND(AG628=1,AT628&gt;0,AF628&gt;0),100*AF628/AT628,"")</f>
        <v/>
      </c>
      <c r="AV628" s="44">
        <f>IF(AU628="","",T628/(AU628/100))</f>
        <v/>
      </c>
      <c r="AW628" s="53">
        <f>IF(AU628="","",IF(AND(ABS(AH628)&gt;=0.1,ABS(T628)&gt;=0.05,SIGN(AH628)=SIGN(T628)),100*T628/AH628,""))</f>
        <v/>
      </c>
      <c r="AX628" s="45">
        <f>IF(AU628="","",T628-AV628)</f>
        <v/>
      </c>
      <c r="AY628" s="45">
        <f>IF(AU628="","",AH628-AV628)</f>
        <v/>
      </c>
      <c r="AZ628" s="54">
        <f>(AL628-AM628)-T628*AT628</f>
        <v/>
      </c>
      <c r="BA628" s="43">
        <f>IF(AU628="",0,(AH628-T628)*AF628)</f>
        <v/>
      </c>
      <c r="BB628" s="43">
        <f>IF(AU628="",0,T628*(AF628-AT628))</f>
        <v/>
      </c>
      <c r="BC628" s="51" t="n">
        <v>0.4470770059693451</v>
      </c>
      <c r="BD628" s="51" t="n">
        <v>0.02543706665532349</v>
      </c>
      <c r="BE628" s="51" t="n">
        <v>0.2169817079374123</v>
      </c>
      <c r="BF628" s="43" t="n">
        <v>70527</v>
      </c>
    </row>
    <row r="629">
      <c r="A629" s="42" t="inlineStr">
        <is>
          <t>MS</t>
        </is>
      </c>
      <c r="B629" s="42" t="inlineStr">
        <is>
          <t>28077</t>
        </is>
      </c>
      <c r="C629" s="42" t="inlineStr">
        <is>
          <t>Lawrence</t>
        </is>
      </c>
      <c r="D629" s="42" t="inlineStr">
        <is>
          <t>Small town &amp; rural</t>
        </is>
      </c>
      <c r="E629" s="42" t="inlineStr"/>
      <c r="F629" s="43" t="n">
        <v>1899</v>
      </c>
      <c r="G629" s="43" t="n">
        <v>4113</v>
      </c>
      <c r="H629" s="43" t="n">
        <v>6053</v>
      </c>
      <c r="I629" s="43" t="n">
        <v>2260</v>
      </c>
      <c r="J629" s="43" t="n">
        <v>4285</v>
      </c>
      <c r="K629" s="42" t="inlineStr">
        <is>
          <t>US House</t>
        </is>
      </c>
      <c r="L629" s="43" t="n">
        <v>1127</v>
      </c>
      <c r="M629" s="43" t="n">
        <v>2758</v>
      </c>
      <c r="N629" s="43" t="n">
        <v>3885</v>
      </c>
      <c r="O629" s="44">
        <f>IFERROR((F629-G629)/(F629+G629),"")</f>
        <v/>
      </c>
      <c r="P629" s="44">
        <f>IFERROR((I629-J629)/(I629+J629),"")</f>
        <v/>
      </c>
      <c r="Q629" s="45">
        <f>IFERROR(O629-P629,"")</f>
        <v/>
      </c>
      <c r="R629" s="44">
        <f>IFERROR((L629-M629)/(L629+M629),"")</f>
        <v/>
      </c>
      <c r="S629" s="46">
        <f>H629/SUMIFS(Counties!$H$2:$H$1583,Counties!$A$2:$A$1583,$A629)</f>
        <v/>
      </c>
      <c r="T629" s="44">
        <f>O629+INDEX(Dashboard!$F$6:$F$22,MATCH($A629,Dashboard!$A$6:$A$22,0))</f>
        <v/>
      </c>
      <c r="U629" s="43">
        <f>AQ629*INDEX(Dashboard!$G$6:$G$22,MATCH($A629,Dashboard!$A$6:$A$22,0))</f>
        <v/>
      </c>
      <c r="V629" s="47" t="n"/>
      <c r="W629" s="47" t="n"/>
      <c r="X629" s="47" t="n"/>
      <c r="Y629" s="48" t="n"/>
      <c r="Z629" s="49" t="n"/>
      <c r="AA629" s="49" t="n"/>
      <c r="AB629" s="49" t="n"/>
      <c r="AC629" s="50" t="n"/>
      <c r="AD629" s="43">
        <f>IF(Z629&lt;&gt;"",Z629,N(V629))</f>
        <v/>
      </c>
      <c r="AE629" s="43">
        <f>IF(AA629&lt;&gt;"",AA629,N(W629))</f>
        <v/>
      </c>
      <c r="AF629" s="43">
        <f>AD629+AE629</f>
        <v/>
      </c>
      <c r="AG629" s="42">
        <f>IF(UPPER(AC629)="Y",1,IF(AF629=0,0,IF(AND(Z629="",Y629&lt;&gt;""),IF(Y629&gt;=0.999,1,0),IF(AF629&gt;=U629,1,0))))</f>
        <v/>
      </c>
      <c r="AH629" s="44">
        <f>IF(AF629&gt;0,(AD629-AE629)/AF629,"")</f>
        <v/>
      </c>
      <c r="AI629" s="45">
        <f>IF(AG629=1,AH629-O629,"")</f>
        <v/>
      </c>
      <c r="AJ629" s="44">
        <f>IF(AG629=1,AH629,MAX(-1,MIN(1,O629+INDEX(Types!$H:$H,MATCH($A629&amp;"|"&amp;$D629,Types!$A:$A,0)))))</f>
        <v/>
      </c>
      <c r="AK629" s="43">
        <f>IF(AG629=1,AF629,MAX(AQ629*AS629,AF629))</f>
        <v/>
      </c>
      <c r="AL629" s="43">
        <f>IF(AG629=1,AD629,AK629*(1+AJ629)/2)</f>
        <v/>
      </c>
      <c r="AM629" s="43">
        <f>IF(AG629=1,AE629,AK629*(1-AJ629)/2)</f>
        <v/>
      </c>
      <c r="AN629" s="45">
        <f>IF(AH629="","",AH629-T629)</f>
        <v/>
      </c>
      <c r="AO629" s="51">
        <f>IF(AG629=1,1,IF(U629&gt;0,MIN(AF629/U629,0.99),0))</f>
        <v/>
      </c>
      <c r="AP629" s="43">
        <f>IF(AG629=1,AI629*AF629,0)</f>
        <v/>
      </c>
      <c r="AQ629" s="43">
        <f>N629*(F629+G629)/H629</f>
        <v/>
      </c>
      <c r="AR629" s="43">
        <f>O629*AQ629</f>
        <v/>
      </c>
      <c r="AS629" s="52">
        <f>IF(AG629=1,IF(AQ629&gt;0,AF629/AQ629,1),IFERROR(INDEX(Types!$K:$K,MATCH($A629&amp;"|"&amp;$D629,Types!$A:$A,0)),INDEX(Dashboard!$X$6:$X$22,MATCH($A629,Dashboard!$A$6:$A$22,0))))</f>
        <v/>
      </c>
      <c r="AT629" s="43">
        <f>AQ629*INDEX(Dashboard!$Y$6:$Y$22,MATCH($A629,Dashboard!$A$6:$A$22,0))</f>
        <v/>
      </c>
      <c r="AU629" s="53">
        <f>IF(AND(AG629=1,AT629&gt;0,AF629&gt;0),100*AF629/AT629,"")</f>
        <v/>
      </c>
      <c r="AV629" s="44">
        <f>IF(AU629="","",T629/(AU629/100))</f>
        <v/>
      </c>
      <c r="AW629" s="53">
        <f>IF(AU629="","",IF(AND(ABS(AH629)&gt;=0.1,ABS(T629)&gt;=0.05,SIGN(AH629)=SIGN(T629)),100*T629/AH629,""))</f>
        <v/>
      </c>
      <c r="AX629" s="45">
        <f>IF(AU629="","",T629-AV629)</f>
        <v/>
      </c>
      <c r="AY629" s="45">
        <f>IF(AU629="","",AH629-AV629)</f>
        <v/>
      </c>
      <c r="AZ629" s="54">
        <f>(AL629-AM629)-T629*AT629</f>
        <v/>
      </c>
      <c r="BA629" s="43">
        <f>IF(AU629="",0,(AH629-T629)*AF629)</f>
        <v/>
      </c>
      <c r="BB629" s="43">
        <f>IF(AU629="",0,T629*(AF629-AT629))</f>
        <v/>
      </c>
      <c r="BC629" s="51" t="n">
        <v>0.3226300996507964</v>
      </c>
      <c r="BD629" s="51" t="n">
        <v>0.02325185248275275</v>
      </c>
      <c r="BE629" s="51" t="n">
        <v>0.1269416857652152</v>
      </c>
      <c r="BF629" s="43" t="n">
        <v>11741</v>
      </c>
    </row>
    <row r="630">
      <c r="A630" s="42" t="inlineStr">
        <is>
          <t>MS</t>
        </is>
      </c>
      <c r="B630" s="42" t="inlineStr">
        <is>
          <t>28079</t>
        </is>
      </c>
      <c r="C630" s="42" t="inlineStr">
        <is>
          <t>Leake</t>
        </is>
      </c>
      <c r="D630" s="42" t="inlineStr">
        <is>
          <t>Small town &amp; rural</t>
        </is>
      </c>
      <c r="E630" s="42" t="inlineStr"/>
      <c r="F630" s="43" t="n">
        <v>3182</v>
      </c>
      <c r="G630" s="43" t="n">
        <v>5143</v>
      </c>
      <c r="H630" s="43" t="n">
        <v>8380</v>
      </c>
      <c r="I630" s="43" t="n">
        <v>3897</v>
      </c>
      <c r="J630" s="43" t="n">
        <v>5228</v>
      </c>
      <c r="K630" s="42" t="inlineStr">
        <is>
          <t>US House</t>
        </is>
      </c>
      <c r="L630" s="43" t="n">
        <v>2069</v>
      </c>
      <c r="M630" s="43" t="n">
        <v>3204</v>
      </c>
      <c r="N630" s="43" t="n">
        <v>5273</v>
      </c>
      <c r="O630" s="44">
        <f>IFERROR((F630-G630)/(F630+G630),"")</f>
        <v/>
      </c>
      <c r="P630" s="44">
        <f>IFERROR((I630-J630)/(I630+J630),"")</f>
        <v/>
      </c>
      <c r="Q630" s="45">
        <f>IFERROR(O630-P630,"")</f>
        <v/>
      </c>
      <c r="R630" s="44">
        <f>IFERROR((L630-M630)/(L630+M630),"")</f>
        <v/>
      </c>
      <c r="S630" s="46">
        <f>H630/SUMIFS(Counties!$H$2:$H$1583,Counties!$A$2:$A$1583,$A630)</f>
        <v/>
      </c>
      <c r="T630" s="44">
        <f>O630+INDEX(Dashboard!$F$6:$F$22,MATCH($A630,Dashboard!$A$6:$A$22,0))</f>
        <v/>
      </c>
      <c r="U630" s="43">
        <f>AQ630*INDEX(Dashboard!$G$6:$G$22,MATCH($A630,Dashboard!$A$6:$A$22,0))</f>
        <v/>
      </c>
      <c r="V630" s="47" t="n"/>
      <c r="W630" s="47" t="n"/>
      <c r="X630" s="47" t="n"/>
      <c r="Y630" s="48" t="n"/>
      <c r="Z630" s="49" t="n"/>
      <c r="AA630" s="49" t="n"/>
      <c r="AB630" s="49" t="n"/>
      <c r="AC630" s="50" t="n"/>
      <c r="AD630" s="43">
        <f>IF(Z630&lt;&gt;"",Z630,N(V630))</f>
        <v/>
      </c>
      <c r="AE630" s="43">
        <f>IF(AA630&lt;&gt;"",AA630,N(W630))</f>
        <v/>
      </c>
      <c r="AF630" s="43">
        <f>AD630+AE630</f>
        <v/>
      </c>
      <c r="AG630" s="42">
        <f>IF(UPPER(AC630)="Y",1,IF(AF630=0,0,IF(AND(Z630="",Y630&lt;&gt;""),IF(Y630&gt;=0.999,1,0),IF(AF630&gt;=U630,1,0))))</f>
        <v/>
      </c>
      <c r="AH630" s="44">
        <f>IF(AF630&gt;0,(AD630-AE630)/AF630,"")</f>
        <v/>
      </c>
      <c r="AI630" s="45">
        <f>IF(AG630=1,AH630-O630,"")</f>
        <v/>
      </c>
      <c r="AJ630" s="44">
        <f>IF(AG630=1,AH630,MAX(-1,MIN(1,O630+INDEX(Types!$H:$H,MATCH($A630&amp;"|"&amp;$D630,Types!$A:$A,0)))))</f>
        <v/>
      </c>
      <c r="AK630" s="43">
        <f>IF(AG630=1,AF630,MAX(AQ630*AS630,AF630))</f>
        <v/>
      </c>
      <c r="AL630" s="43">
        <f>IF(AG630=1,AD630,AK630*(1+AJ630)/2)</f>
        <v/>
      </c>
      <c r="AM630" s="43">
        <f>IF(AG630=1,AE630,AK630*(1-AJ630)/2)</f>
        <v/>
      </c>
      <c r="AN630" s="45">
        <f>IF(AH630="","",AH630-T630)</f>
        <v/>
      </c>
      <c r="AO630" s="51">
        <f>IF(AG630=1,1,IF(U630&gt;0,MIN(AF630/U630,0.99),0))</f>
        <v/>
      </c>
      <c r="AP630" s="43">
        <f>IF(AG630=1,AI630*AF630,0)</f>
        <v/>
      </c>
      <c r="AQ630" s="43">
        <f>N630*(F630+G630)/H630</f>
        <v/>
      </c>
      <c r="AR630" s="43">
        <f>O630*AQ630</f>
        <v/>
      </c>
      <c r="AS630" s="52">
        <f>IF(AG630=1,IF(AQ630&gt;0,AF630/AQ630,1),IFERROR(INDEX(Types!$K:$K,MATCH($A630&amp;"|"&amp;$D630,Types!$A:$A,0)),INDEX(Dashboard!$X$6:$X$22,MATCH($A630,Dashboard!$A$6:$A$22,0))))</f>
        <v/>
      </c>
      <c r="AT630" s="43">
        <f>AQ630*INDEX(Dashboard!$Y$6:$Y$22,MATCH($A630,Dashboard!$A$6:$A$22,0))</f>
        <v/>
      </c>
      <c r="AU630" s="53">
        <f>IF(AND(AG630=1,AT630&gt;0,AF630&gt;0),100*AF630/AT630,"")</f>
        <v/>
      </c>
      <c r="AV630" s="44">
        <f>IF(AU630="","",T630/(AU630/100))</f>
        <v/>
      </c>
      <c r="AW630" s="53">
        <f>IF(AU630="","",IF(AND(ABS(AH630)&gt;=0.1,ABS(T630)&gt;=0.05,SIGN(AH630)=SIGN(T630)),100*T630/AH630,""))</f>
        <v/>
      </c>
      <c r="AX630" s="45">
        <f>IF(AU630="","",T630-AV630)</f>
        <v/>
      </c>
      <c r="AY630" s="45">
        <f>IF(AU630="","",AH630-AV630)</f>
        <v/>
      </c>
      <c r="AZ630" s="54">
        <f>(AL630-AM630)-T630*AT630</f>
        <v/>
      </c>
      <c r="BA630" s="43">
        <f>IF(AU630="",0,(AH630-T630)*AF630)</f>
        <v/>
      </c>
      <c r="BB630" s="43">
        <f>IF(AU630="",0,T630*(AF630-AT630))</f>
        <v/>
      </c>
      <c r="BC630" s="51" t="n">
        <v>0.3898297111675604</v>
      </c>
      <c r="BD630" s="51" t="n">
        <v>0.06646909398814564</v>
      </c>
      <c r="BE630" s="51" t="n">
        <v>0.1774669665448411</v>
      </c>
      <c r="BF630" s="43" t="n">
        <v>21258</v>
      </c>
    </row>
    <row r="631">
      <c r="A631" s="42" t="inlineStr">
        <is>
          <t>MS</t>
        </is>
      </c>
      <c r="B631" s="42" t="inlineStr">
        <is>
          <t>28081</t>
        </is>
      </c>
      <c r="C631" s="42" t="inlineStr">
        <is>
          <t>Lee</t>
        </is>
      </c>
      <c r="D631" s="42" t="inlineStr">
        <is>
          <t>Small town &amp; rural</t>
        </is>
      </c>
      <c r="E631" s="42" t="inlineStr">
        <is>
          <t>★</t>
        </is>
      </c>
      <c r="F631" s="43" t="n">
        <v>10616</v>
      </c>
      <c r="G631" s="43" t="n">
        <v>24339</v>
      </c>
      <c r="H631" s="43" t="n">
        <v>35338</v>
      </c>
      <c r="I631" s="43" t="n">
        <v>12189</v>
      </c>
      <c r="J631" s="43" t="n">
        <v>24207</v>
      </c>
      <c r="K631" s="42" t="inlineStr">
        <is>
          <t>US House</t>
        </is>
      </c>
      <c r="L631" s="43" t="n">
        <v>4140</v>
      </c>
      <c r="M631" s="43" t="n">
        <v>13283</v>
      </c>
      <c r="N631" s="43" t="n">
        <v>17423</v>
      </c>
      <c r="O631" s="44">
        <f>IFERROR((F631-G631)/(F631+G631),"")</f>
        <v/>
      </c>
      <c r="P631" s="44">
        <f>IFERROR((I631-J631)/(I631+J631),"")</f>
        <v/>
      </c>
      <c r="Q631" s="45">
        <f>IFERROR(O631-P631,"")</f>
        <v/>
      </c>
      <c r="R631" s="44">
        <f>IFERROR((L631-M631)/(L631+M631),"")</f>
        <v/>
      </c>
      <c r="S631" s="46">
        <f>H631/SUMIFS(Counties!$H$2:$H$1583,Counties!$A$2:$A$1583,$A631)</f>
        <v/>
      </c>
      <c r="T631" s="44">
        <f>O631+INDEX(Dashboard!$F$6:$F$22,MATCH($A631,Dashboard!$A$6:$A$22,0))</f>
        <v/>
      </c>
      <c r="U631" s="43">
        <f>AQ631*INDEX(Dashboard!$G$6:$G$22,MATCH($A631,Dashboard!$A$6:$A$22,0))</f>
        <v/>
      </c>
      <c r="V631" s="47" t="n"/>
      <c r="W631" s="47" t="n"/>
      <c r="X631" s="47" t="n"/>
      <c r="Y631" s="48" t="n"/>
      <c r="Z631" s="49" t="n"/>
      <c r="AA631" s="49" t="n"/>
      <c r="AB631" s="49" t="n"/>
      <c r="AC631" s="50" t="n"/>
      <c r="AD631" s="43">
        <f>IF(Z631&lt;&gt;"",Z631,N(V631))</f>
        <v/>
      </c>
      <c r="AE631" s="43">
        <f>IF(AA631&lt;&gt;"",AA631,N(W631))</f>
        <v/>
      </c>
      <c r="AF631" s="43">
        <f>AD631+AE631</f>
        <v/>
      </c>
      <c r="AG631" s="42">
        <f>IF(UPPER(AC631)="Y",1,IF(AF631=0,0,IF(AND(Z631="",Y631&lt;&gt;""),IF(Y631&gt;=0.999,1,0),IF(AF631&gt;=U631,1,0))))</f>
        <v/>
      </c>
      <c r="AH631" s="44">
        <f>IF(AF631&gt;0,(AD631-AE631)/AF631,"")</f>
        <v/>
      </c>
      <c r="AI631" s="45">
        <f>IF(AG631=1,AH631-O631,"")</f>
        <v/>
      </c>
      <c r="AJ631" s="44">
        <f>IF(AG631=1,AH631,MAX(-1,MIN(1,O631+INDEX(Types!$H:$H,MATCH($A631&amp;"|"&amp;$D631,Types!$A:$A,0)))))</f>
        <v/>
      </c>
      <c r="AK631" s="43">
        <f>IF(AG631=1,AF631,MAX(AQ631*AS631,AF631))</f>
        <v/>
      </c>
      <c r="AL631" s="43">
        <f>IF(AG631=1,AD631,AK631*(1+AJ631)/2)</f>
        <v/>
      </c>
      <c r="AM631" s="43">
        <f>IF(AG631=1,AE631,AK631*(1-AJ631)/2)</f>
        <v/>
      </c>
      <c r="AN631" s="45">
        <f>IF(AH631="","",AH631-T631)</f>
        <v/>
      </c>
      <c r="AO631" s="51">
        <f>IF(AG631=1,1,IF(U631&gt;0,MIN(AF631/U631,0.99),0))</f>
        <v/>
      </c>
      <c r="AP631" s="43">
        <f>IF(AG631=1,AI631*AF631,0)</f>
        <v/>
      </c>
      <c r="AQ631" s="43">
        <f>N631*(F631+G631)/H631</f>
        <v/>
      </c>
      <c r="AR631" s="43">
        <f>O631*AQ631</f>
        <v/>
      </c>
      <c r="AS631" s="52">
        <f>IF(AG631=1,IF(AQ631&gt;0,AF631/AQ631,1),IFERROR(INDEX(Types!$K:$K,MATCH($A631&amp;"|"&amp;$D631,Types!$A:$A,0)),INDEX(Dashboard!$X$6:$X$22,MATCH($A631,Dashboard!$A$6:$A$22,0))))</f>
        <v/>
      </c>
      <c r="AT631" s="43">
        <f>AQ631*INDEX(Dashboard!$Y$6:$Y$22,MATCH($A631,Dashboard!$A$6:$A$22,0))</f>
        <v/>
      </c>
      <c r="AU631" s="53">
        <f>IF(AND(AG631=1,AT631&gt;0,AF631&gt;0),100*AF631/AT631,"")</f>
        <v/>
      </c>
      <c r="AV631" s="44">
        <f>IF(AU631="","",T631/(AU631/100))</f>
        <v/>
      </c>
      <c r="AW631" s="53">
        <f>IF(AU631="","",IF(AND(ABS(AH631)&gt;=0.1,ABS(T631)&gt;=0.05,SIGN(AH631)=SIGN(T631)),100*T631/AH631,""))</f>
        <v/>
      </c>
      <c r="AX631" s="45">
        <f>IF(AU631="","",T631-AV631)</f>
        <v/>
      </c>
      <c r="AY631" s="45">
        <f>IF(AU631="","",AH631-AV631)</f>
        <v/>
      </c>
      <c r="AZ631" s="54">
        <f>(AL631-AM631)-T631*AT631</f>
        <v/>
      </c>
      <c r="BA631" s="43">
        <f>IF(AU631="",0,(AH631-T631)*AF631)</f>
        <v/>
      </c>
      <c r="BB631" s="43">
        <f>IF(AU631="",0,T631*(AF631-AT631))</f>
        <v/>
      </c>
      <c r="BC631" s="51" t="n">
        <v>0.3102211379364485</v>
      </c>
      <c r="BD631" s="51" t="n">
        <v>0.03558013985676155</v>
      </c>
      <c r="BE631" s="51" t="n">
        <v>0.2874909616775126</v>
      </c>
      <c r="BF631" s="43" t="n">
        <v>82799</v>
      </c>
    </row>
    <row r="632">
      <c r="A632" s="42" t="inlineStr">
        <is>
          <t>MS</t>
        </is>
      </c>
      <c r="B632" s="42" t="inlineStr">
        <is>
          <t>28083</t>
        </is>
      </c>
      <c r="C632" s="42" t="inlineStr">
        <is>
          <t>Leflore</t>
        </is>
      </c>
      <c r="D632" s="42" t="inlineStr">
        <is>
          <t>Black Belt</t>
        </is>
      </c>
      <c r="E632" s="42" t="inlineStr"/>
      <c r="F632" s="43" t="n">
        <v>6476</v>
      </c>
      <c r="G632" s="43" t="n">
        <v>2854</v>
      </c>
      <c r="H632" s="43" t="n">
        <v>9421</v>
      </c>
      <c r="I632" s="43" t="n">
        <v>7648</v>
      </c>
      <c r="J632" s="43" t="n">
        <v>3129</v>
      </c>
      <c r="K632" s="42" t="inlineStr">
        <is>
          <t>US House</t>
        </is>
      </c>
      <c r="L632" s="43" t="n">
        <v>4244</v>
      </c>
      <c r="M632" s="43" t="n">
        <v>1900</v>
      </c>
      <c r="N632" s="43" t="n">
        <v>6144</v>
      </c>
      <c r="O632" s="44">
        <f>IFERROR((F632-G632)/(F632+G632),"")</f>
        <v/>
      </c>
      <c r="P632" s="44">
        <f>IFERROR((I632-J632)/(I632+J632),"")</f>
        <v/>
      </c>
      <c r="Q632" s="45">
        <f>IFERROR(O632-P632,"")</f>
        <v/>
      </c>
      <c r="R632" s="44">
        <f>IFERROR((L632-M632)/(L632+M632),"")</f>
        <v/>
      </c>
      <c r="S632" s="46">
        <f>H632/SUMIFS(Counties!$H$2:$H$1583,Counties!$A$2:$A$1583,$A632)</f>
        <v/>
      </c>
      <c r="T632" s="44">
        <f>O632+INDEX(Dashboard!$F$6:$F$22,MATCH($A632,Dashboard!$A$6:$A$22,0))</f>
        <v/>
      </c>
      <c r="U632" s="43">
        <f>AQ632*INDEX(Dashboard!$G$6:$G$22,MATCH($A632,Dashboard!$A$6:$A$22,0))</f>
        <v/>
      </c>
      <c r="V632" s="47" t="n"/>
      <c r="W632" s="47" t="n"/>
      <c r="X632" s="47" t="n"/>
      <c r="Y632" s="48" t="n"/>
      <c r="Z632" s="49" t="n"/>
      <c r="AA632" s="49" t="n"/>
      <c r="AB632" s="49" t="n"/>
      <c r="AC632" s="50" t="n"/>
      <c r="AD632" s="43">
        <f>IF(Z632&lt;&gt;"",Z632,N(V632))</f>
        <v/>
      </c>
      <c r="AE632" s="43">
        <f>IF(AA632&lt;&gt;"",AA632,N(W632))</f>
        <v/>
      </c>
      <c r="AF632" s="43">
        <f>AD632+AE632</f>
        <v/>
      </c>
      <c r="AG632" s="42">
        <f>IF(UPPER(AC632)="Y",1,IF(AF632=0,0,IF(AND(Z632="",Y632&lt;&gt;""),IF(Y632&gt;=0.999,1,0),IF(AF632&gt;=U632,1,0))))</f>
        <v/>
      </c>
      <c r="AH632" s="44">
        <f>IF(AF632&gt;0,(AD632-AE632)/AF632,"")</f>
        <v/>
      </c>
      <c r="AI632" s="45">
        <f>IF(AG632=1,AH632-O632,"")</f>
        <v/>
      </c>
      <c r="AJ632" s="44">
        <f>IF(AG632=1,AH632,MAX(-1,MIN(1,O632+INDEX(Types!$H:$H,MATCH($A632&amp;"|"&amp;$D632,Types!$A:$A,0)))))</f>
        <v/>
      </c>
      <c r="AK632" s="43">
        <f>IF(AG632=1,AF632,MAX(AQ632*AS632,AF632))</f>
        <v/>
      </c>
      <c r="AL632" s="43">
        <f>IF(AG632=1,AD632,AK632*(1+AJ632)/2)</f>
        <v/>
      </c>
      <c r="AM632" s="43">
        <f>IF(AG632=1,AE632,AK632*(1-AJ632)/2)</f>
        <v/>
      </c>
      <c r="AN632" s="45">
        <f>IF(AH632="","",AH632-T632)</f>
        <v/>
      </c>
      <c r="AO632" s="51">
        <f>IF(AG632=1,1,IF(U632&gt;0,MIN(AF632/U632,0.99),0))</f>
        <v/>
      </c>
      <c r="AP632" s="43">
        <f>IF(AG632=1,AI632*AF632,0)</f>
        <v/>
      </c>
      <c r="AQ632" s="43">
        <f>N632*(F632+G632)/H632</f>
        <v/>
      </c>
      <c r="AR632" s="43">
        <f>O632*AQ632</f>
        <v/>
      </c>
      <c r="AS632" s="52">
        <f>IF(AG632=1,IF(AQ632&gt;0,AF632/AQ632,1),IFERROR(INDEX(Types!$K:$K,MATCH($A632&amp;"|"&amp;$D632,Types!$A:$A,0)),INDEX(Dashboard!$X$6:$X$22,MATCH($A632,Dashboard!$A$6:$A$22,0))))</f>
        <v/>
      </c>
      <c r="AT632" s="43">
        <f>AQ632*INDEX(Dashboard!$Y$6:$Y$22,MATCH($A632,Dashboard!$A$6:$A$22,0))</f>
        <v/>
      </c>
      <c r="AU632" s="53">
        <f>IF(AND(AG632=1,AT632&gt;0,AF632&gt;0),100*AF632/AT632,"")</f>
        <v/>
      </c>
      <c r="AV632" s="44">
        <f>IF(AU632="","",T632/(AU632/100))</f>
        <v/>
      </c>
      <c r="AW632" s="53">
        <f>IF(AU632="","",IF(AND(ABS(AH632)&gt;=0.1,ABS(T632)&gt;=0.05,SIGN(AH632)=SIGN(T632)),100*T632/AH632,""))</f>
        <v/>
      </c>
      <c r="AX632" s="45">
        <f>IF(AU632="","",T632-AV632)</f>
        <v/>
      </c>
      <c r="AY632" s="45">
        <f>IF(AU632="","",AH632-AV632)</f>
        <v/>
      </c>
      <c r="AZ632" s="54">
        <f>(AL632-AM632)-T632*AT632</f>
        <v/>
      </c>
      <c r="BA632" s="43">
        <f>IF(AU632="",0,(AH632-T632)*AF632)</f>
        <v/>
      </c>
      <c r="BB632" s="43">
        <f>IF(AU632="",0,T632*(AF632-AT632))</f>
        <v/>
      </c>
      <c r="BC632" s="51" t="n">
        <v>0.7423989688376678</v>
      </c>
      <c r="BD632" s="51" t="n">
        <v>0.03358859655773751</v>
      </c>
      <c r="BE632" s="51" t="n">
        <v>0.199883517763541</v>
      </c>
      <c r="BF632" s="43" t="n">
        <v>26378</v>
      </c>
    </row>
    <row r="633">
      <c r="A633" s="42" t="inlineStr">
        <is>
          <t>MS</t>
        </is>
      </c>
      <c r="B633" s="42" t="inlineStr">
        <is>
          <t>28085</t>
        </is>
      </c>
      <c r="C633" s="42" t="inlineStr">
        <is>
          <t>Lincoln</t>
        </is>
      </c>
      <c r="D633" s="42" t="inlineStr">
        <is>
          <t>Small town &amp; rural</t>
        </is>
      </c>
      <c r="E633" s="42" t="inlineStr"/>
      <c r="F633" s="43" t="n">
        <v>4262</v>
      </c>
      <c r="G633" s="43" t="n">
        <v>11432</v>
      </c>
      <c r="H633" s="43" t="n">
        <v>15802</v>
      </c>
      <c r="I633" s="43" t="n">
        <v>5040</v>
      </c>
      <c r="J633" s="43" t="n">
        <v>11596</v>
      </c>
      <c r="K633" s="42" t="inlineStr">
        <is>
          <t>US House</t>
        </is>
      </c>
      <c r="L633" s="43" t="n">
        <v>2001</v>
      </c>
      <c r="M633" s="43" t="n">
        <v>6921</v>
      </c>
      <c r="N633" s="43" t="n">
        <v>8922</v>
      </c>
      <c r="O633" s="44">
        <f>IFERROR((F633-G633)/(F633+G633),"")</f>
        <v/>
      </c>
      <c r="P633" s="44">
        <f>IFERROR((I633-J633)/(I633+J633),"")</f>
        <v/>
      </c>
      <c r="Q633" s="45">
        <f>IFERROR(O633-P633,"")</f>
        <v/>
      </c>
      <c r="R633" s="44">
        <f>IFERROR((L633-M633)/(L633+M633),"")</f>
        <v/>
      </c>
      <c r="S633" s="46">
        <f>H633/SUMIFS(Counties!$H$2:$H$1583,Counties!$A$2:$A$1583,$A633)</f>
        <v/>
      </c>
      <c r="T633" s="44">
        <f>O633+INDEX(Dashboard!$F$6:$F$22,MATCH($A633,Dashboard!$A$6:$A$22,0))</f>
        <v/>
      </c>
      <c r="U633" s="43">
        <f>AQ633*INDEX(Dashboard!$G$6:$G$22,MATCH($A633,Dashboard!$A$6:$A$22,0))</f>
        <v/>
      </c>
      <c r="V633" s="47" t="n"/>
      <c r="W633" s="47" t="n"/>
      <c r="X633" s="47" t="n"/>
      <c r="Y633" s="48" t="n"/>
      <c r="Z633" s="49" t="n"/>
      <c r="AA633" s="49" t="n"/>
      <c r="AB633" s="49" t="n"/>
      <c r="AC633" s="50" t="n"/>
      <c r="AD633" s="43">
        <f>IF(Z633&lt;&gt;"",Z633,N(V633))</f>
        <v/>
      </c>
      <c r="AE633" s="43">
        <f>IF(AA633&lt;&gt;"",AA633,N(W633))</f>
        <v/>
      </c>
      <c r="AF633" s="43">
        <f>AD633+AE633</f>
        <v/>
      </c>
      <c r="AG633" s="42">
        <f>IF(UPPER(AC633)="Y",1,IF(AF633=0,0,IF(AND(Z633="",Y633&lt;&gt;""),IF(Y633&gt;=0.999,1,0),IF(AF633&gt;=U633,1,0))))</f>
        <v/>
      </c>
      <c r="AH633" s="44">
        <f>IF(AF633&gt;0,(AD633-AE633)/AF633,"")</f>
        <v/>
      </c>
      <c r="AI633" s="45">
        <f>IF(AG633=1,AH633-O633,"")</f>
        <v/>
      </c>
      <c r="AJ633" s="44">
        <f>IF(AG633=1,AH633,MAX(-1,MIN(1,O633+INDEX(Types!$H:$H,MATCH($A633&amp;"|"&amp;$D633,Types!$A:$A,0)))))</f>
        <v/>
      </c>
      <c r="AK633" s="43">
        <f>IF(AG633=1,AF633,MAX(AQ633*AS633,AF633))</f>
        <v/>
      </c>
      <c r="AL633" s="43">
        <f>IF(AG633=1,AD633,AK633*(1+AJ633)/2)</f>
        <v/>
      </c>
      <c r="AM633" s="43">
        <f>IF(AG633=1,AE633,AK633*(1-AJ633)/2)</f>
        <v/>
      </c>
      <c r="AN633" s="45">
        <f>IF(AH633="","",AH633-T633)</f>
        <v/>
      </c>
      <c r="AO633" s="51">
        <f>IF(AG633=1,1,IF(U633&gt;0,MIN(AF633/U633,0.99),0))</f>
        <v/>
      </c>
      <c r="AP633" s="43">
        <f>IF(AG633=1,AI633*AF633,0)</f>
        <v/>
      </c>
      <c r="AQ633" s="43">
        <f>N633*(F633+G633)/H633</f>
        <v/>
      </c>
      <c r="AR633" s="43">
        <f>O633*AQ633</f>
        <v/>
      </c>
      <c r="AS633" s="52">
        <f>IF(AG633=1,IF(AQ633&gt;0,AF633/AQ633,1),IFERROR(INDEX(Types!$K:$K,MATCH($A633&amp;"|"&amp;$D633,Types!$A:$A,0)),INDEX(Dashboard!$X$6:$X$22,MATCH($A633,Dashboard!$A$6:$A$22,0))))</f>
        <v/>
      </c>
      <c r="AT633" s="43">
        <f>AQ633*INDEX(Dashboard!$Y$6:$Y$22,MATCH($A633,Dashboard!$A$6:$A$22,0))</f>
        <v/>
      </c>
      <c r="AU633" s="53">
        <f>IF(AND(AG633=1,AT633&gt;0,AF633&gt;0),100*AF633/AT633,"")</f>
        <v/>
      </c>
      <c r="AV633" s="44">
        <f>IF(AU633="","",T633/(AU633/100))</f>
        <v/>
      </c>
      <c r="AW633" s="53">
        <f>IF(AU633="","",IF(AND(ABS(AH633)&gt;=0.1,ABS(T633)&gt;=0.05,SIGN(AH633)=SIGN(T633)),100*T633/AH633,""))</f>
        <v/>
      </c>
      <c r="AX633" s="45">
        <f>IF(AU633="","",T633-AV633)</f>
        <v/>
      </c>
      <c r="AY633" s="45">
        <f>IF(AU633="","",AH633-AV633)</f>
        <v/>
      </c>
      <c r="AZ633" s="54">
        <f>(AL633-AM633)-T633*AT633</f>
        <v/>
      </c>
      <c r="BA633" s="43">
        <f>IF(AU633="",0,(AH633-T633)*AF633)</f>
        <v/>
      </c>
      <c r="BB633" s="43">
        <f>IF(AU633="",0,T633*(AF633-AT633))</f>
        <v/>
      </c>
      <c r="BC633" s="51" t="n">
        <v>0.2946516050948072</v>
      </c>
      <c r="BD633" s="51" t="n">
        <v>0.01360152152613682</v>
      </c>
      <c r="BE633" s="51" t="n">
        <v>0.1840723453908985</v>
      </c>
      <c r="BF633" s="43" t="n">
        <v>34702</v>
      </c>
    </row>
    <row r="634">
      <c r="A634" s="42" t="inlineStr">
        <is>
          <t>MS</t>
        </is>
      </c>
      <c r="B634" s="42" t="inlineStr">
        <is>
          <t>28087</t>
        </is>
      </c>
      <c r="C634" s="42" t="inlineStr">
        <is>
          <t>Lowndes</t>
        </is>
      </c>
      <c r="D634" s="42" t="inlineStr">
        <is>
          <t>Black Belt</t>
        </is>
      </c>
      <c r="E634" s="42" t="inlineStr"/>
      <c r="F634" s="43" t="n">
        <v>11096</v>
      </c>
      <c r="G634" s="43" t="n">
        <v>13087</v>
      </c>
      <c r="H634" s="43" t="n">
        <v>24426</v>
      </c>
      <c r="I634" s="43" t="n">
        <v>13087</v>
      </c>
      <c r="J634" s="43" t="n">
        <v>13800</v>
      </c>
      <c r="K634" s="42" t="inlineStr">
        <is>
          <t>US House</t>
        </is>
      </c>
      <c r="L634" s="43" t="n">
        <v>5694</v>
      </c>
      <c r="M634" s="43" t="n">
        <v>9146</v>
      </c>
      <c r="N634" s="43" t="n">
        <v>14840</v>
      </c>
      <c r="O634" s="44">
        <f>IFERROR((F634-G634)/(F634+G634),"")</f>
        <v/>
      </c>
      <c r="P634" s="44">
        <f>IFERROR((I634-J634)/(I634+J634),"")</f>
        <v/>
      </c>
      <c r="Q634" s="45">
        <f>IFERROR(O634-P634,"")</f>
        <v/>
      </c>
      <c r="R634" s="44">
        <f>IFERROR((L634-M634)/(L634+M634),"")</f>
        <v/>
      </c>
      <c r="S634" s="46">
        <f>H634/SUMIFS(Counties!$H$2:$H$1583,Counties!$A$2:$A$1583,$A634)</f>
        <v/>
      </c>
      <c r="T634" s="44">
        <f>O634+INDEX(Dashboard!$F$6:$F$22,MATCH($A634,Dashboard!$A$6:$A$22,0))</f>
        <v/>
      </c>
      <c r="U634" s="43">
        <f>AQ634*INDEX(Dashboard!$G$6:$G$22,MATCH($A634,Dashboard!$A$6:$A$22,0))</f>
        <v/>
      </c>
      <c r="V634" s="47" t="n"/>
      <c r="W634" s="47" t="n"/>
      <c r="X634" s="47" t="n"/>
      <c r="Y634" s="48" t="n"/>
      <c r="Z634" s="49" t="n"/>
      <c r="AA634" s="49" t="n"/>
      <c r="AB634" s="49" t="n"/>
      <c r="AC634" s="50" t="n"/>
      <c r="AD634" s="43">
        <f>IF(Z634&lt;&gt;"",Z634,N(V634))</f>
        <v/>
      </c>
      <c r="AE634" s="43">
        <f>IF(AA634&lt;&gt;"",AA634,N(W634))</f>
        <v/>
      </c>
      <c r="AF634" s="43">
        <f>AD634+AE634</f>
        <v/>
      </c>
      <c r="AG634" s="42">
        <f>IF(UPPER(AC634)="Y",1,IF(AF634=0,0,IF(AND(Z634="",Y634&lt;&gt;""),IF(Y634&gt;=0.999,1,0),IF(AF634&gt;=U634,1,0))))</f>
        <v/>
      </c>
      <c r="AH634" s="44">
        <f>IF(AF634&gt;0,(AD634-AE634)/AF634,"")</f>
        <v/>
      </c>
      <c r="AI634" s="45">
        <f>IF(AG634=1,AH634-O634,"")</f>
        <v/>
      </c>
      <c r="AJ634" s="44">
        <f>IF(AG634=1,AH634,MAX(-1,MIN(1,O634+INDEX(Types!$H:$H,MATCH($A634&amp;"|"&amp;$D634,Types!$A:$A,0)))))</f>
        <v/>
      </c>
      <c r="AK634" s="43">
        <f>IF(AG634=1,AF634,MAX(AQ634*AS634,AF634))</f>
        <v/>
      </c>
      <c r="AL634" s="43">
        <f>IF(AG634=1,AD634,AK634*(1+AJ634)/2)</f>
        <v/>
      </c>
      <c r="AM634" s="43">
        <f>IF(AG634=1,AE634,AK634*(1-AJ634)/2)</f>
        <v/>
      </c>
      <c r="AN634" s="45">
        <f>IF(AH634="","",AH634-T634)</f>
        <v/>
      </c>
      <c r="AO634" s="51">
        <f>IF(AG634=1,1,IF(U634&gt;0,MIN(AF634/U634,0.99),0))</f>
        <v/>
      </c>
      <c r="AP634" s="43">
        <f>IF(AG634=1,AI634*AF634,0)</f>
        <v/>
      </c>
      <c r="AQ634" s="43">
        <f>N634*(F634+G634)/H634</f>
        <v/>
      </c>
      <c r="AR634" s="43">
        <f>O634*AQ634</f>
        <v/>
      </c>
      <c r="AS634" s="52">
        <f>IF(AG634=1,IF(AQ634&gt;0,AF634/AQ634,1),IFERROR(INDEX(Types!$K:$K,MATCH($A634&amp;"|"&amp;$D634,Types!$A:$A,0)),INDEX(Dashboard!$X$6:$X$22,MATCH($A634,Dashboard!$A$6:$A$22,0))))</f>
        <v/>
      </c>
      <c r="AT634" s="43">
        <f>AQ634*INDEX(Dashboard!$Y$6:$Y$22,MATCH($A634,Dashboard!$A$6:$A$22,0))</f>
        <v/>
      </c>
      <c r="AU634" s="53">
        <f>IF(AND(AG634=1,AT634&gt;0,AF634&gt;0),100*AF634/AT634,"")</f>
        <v/>
      </c>
      <c r="AV634" s="44">
        <f>IF(AU634="","",T634/(AU634/100))</f>
        <v/>
      </c>
      <c r="AW634" s="53">
        <f>IF(AU634="","",IF(AND(ABS(AH634)&gt;=0.1,ABS(T634)&gt;=0.05,SIGN(AH634)=SIGN(T634)),100*T634/AH634,""))</f>
        <v/>
      </c>
      <c r="AX634" s="45">
        <f>IF(AU634="","",T634-AV634)</f>
        <v/>
      </c>
      <c r="AY634" s="45">
        <f>IF(AU634="","",AH634-AV634)</f>
        <v/>
      </c>
      <c r="AZ634" s="54">
        <f>(AL634-AM634)-T634*AT634</f>
        <v/>
      </c>
      <c r="BA634" s="43">
        <f>IF(AU634="",0,(AH634-T634)*AF634)</f>
        <v/>
      </c>
      <c r="BB634" s="43">
        <f>IF(AU634="",0,T634*(AF634-AT634))</f>
        <v/>
      </c>
      <c r="BC634" s="51" t="n">
        <v>0.45406141438123</v>
      </c>
      <c r="BD634" s="51" t="n">
        <v>0.0229212855471955</v>
      </c>
      <c r="BE634" s="51" t="n">
        <v>0.2655555555555555</v>
      </c>
      <c r="BF634" s="43" t="n">
        <v>57283</v>
      </c>
    </row>
    <row r="635">
      <c r="A635" s="42" t="inlineStr">
        <is>
          <t>MS</t>
        </is>
      </c>
      <c r="B635" s="42" t="inlineStr">
        <is>
          <t>28089</t>
        </is>
      </c>
      <c r="C635" s="42" t="inlineStr">
        <is>
          <t>Madison</t>
        </is>
      </c>
      <c r="D635" s="42" t="inlineStr">
        <is>
          <t>College suburb/metro</t>
        </is>
      </c>
      <c r="E635" s="42" t="inlineStr">
        <is>
          <t>★</t>
        </is>
      </c>
      <c r="F635" s="43" t="n">
        <v>22700</v>
      </c>
      <c r="G635" s="43" t="n">
        <v>32333</v>
      </c>
      <c r="H635" s="43" t="n">
        <v>55710</v>
      </c>
      <c r="I635" s="43" t="n">
        <v>24440</v>
      </c>
      <c r="J635" s="43" t="n">
        <v>31091</v>
      </c>
      <c r="K635" s="42" t="inlineStr">
        <is>
          <t>US House</t>
        </is>
      </c>
      <c r="L635" s="43" t="n">
        <v>11185</v>
      </c>
      <c r="M635" s="43" t="n">
        <v>19961</v>
      </c>
      <c r="N635" s="43" t="n">
        <v>31146</v>
      </c>
      <c r="O635" s="44">
        <f>IFERROR((F635-G635)/(F635+G635),"")</f>
        <v/>
      </c>
      <c r="P635" s="44">
        <f>IFERROR((I635-J635)/(I635+J635),"")</f>
        <v/>
      </c>
      <c r="Q635" s="45">
        <f>IFERROR(O635-P635,"")</f>
        <v/>
      </c>
      <c r="R635" s="44">
        <f>IFERROR((L635-M635)/(L635+M635),"")</f>
        <v/>
      </c>
      <c r="S635" s="46">
        <f>H635/SUMIFS(Counties!$H$2:$H$1583,Counties!$A$2:$A$1583,$A635)</f>
        <v/>
      </c>
      <c r="T635" s="44">
        <f>O635+INDEX(Dashboard!$F$6:$F$22,MATCH($A635,Dashboard!$A$6:$A$22,0))</f>
        <v/>
      </c>
      <c r="U635" s="43">
        <f>AQ635*INDEX(Dashboard!$G$6:$G$22,MATCH($A635,Dashboard!$A$6:$A$22,0))</f>
        <v/>
      </c>
      <c r="V635" s="47" t="n"/>
      <c r="W635" s="47" t="n"/>
      <c r="X635" s="47" t="n"/>
      <c r="Y635" s="48" t="n"/>
      <c r="Z635" s="49" t="n"/>
      <c r="AA635" s="49" t="n"/>
      <c r="AB635" s="49" t="n"/>
      <c r="AC635" s="50" t="n"/>
      <c r="AD635" s="43">
        <f>IF(Z635&lt;&gt;"",Z635,N(V635))</f>
        <v/>
      </c>
      <c r="AE635" s="43">
        <f>IF(AA635&lt;&gt;"",AA635,N(W635))</f>
        <v/>
      </c>
      <c r="AF635" s="43">
        <f>AD635+AE635</f>
        <v/>
      </c>
      <c r="AG635" s="42">
        <f>IF(UPPER(AC635)="Y",1,IF(AF635=0,0,IF(AND(Z635="",Y635&lt;&gt;""),IF(Y635&gt;=0.999,1,0),IF(AF635&gt;=U635,1,0))))</f>
        <v/>
      </c>
      <c r="AH635" s="44">
        <f>IF(AF635&gt;0,(AD635-AE635)/AF635,"")</f>
        <v/>
      </c>
      <c r="AI635" s="45">
        <f>IF(AG635=1,AH635-O635,"")</f>
        <v/>
      </c>
      <c r="AJ635" s="44">
        <f>IF(AG635=1,AH635,MAX(-1,MIN(1,O635+INDEX(Types!$H:$H,MATCH($A635&amp;"|"&amp;$D635,Types!$A:$A,0)))))</f>
        <v/>
      </c>
      <c r="AK635" s="43">
        <f>IF(AG635=1,AF635,MAX(AQ635*AS635,AF635))</f>
        <v/>
      </c>
      <c r="AL635" s="43">
        <f>IF(AG635=1,AD635,AK635*(1+AJ635)/2)</f>
        <v/>
      </c>
      <c r="AM635" s="43">
        <f>IF(AG635=1,AE635,AK635*(1-AJ635)/2)</f>
        <v/>
      </c>
      <c r="AN635" s="45">
        <f>IF(AH635="","",AH635-T635)</f>
        <v/>
      </c>
      <c r="AO635" s="51">
        <f>IF(AG635=1,1,IF(U635&gt;0,MIN(AF635/U635,0.99),0))</f>
        <v/>
      </c>
      <c r="AP635" s="43">
        <f>IF(AG635=1,AI635*AF635,0)</f>
        <v/>
      </c>
      <c r="AQ635" s="43">
        <f>N635*(F635+G635)/H635</f>
        <v/>
      </c>
      <c r="AR635" s="43">
        <f>O635*AQ635</f>
        <v/>
      </c>
      <c r="AS635" s="52">
        <f>IF(AG635=1,IF(AQ635&gt;0,AF635/AQ635,1),IFERROR(INDEX(Types!$K:$K,MATCH($A635&amp;"|"&amp;$D635,Types!$A:$A,0)),INDEX(Dashboard!$X$6:$X$22,MATCH($A635,Dashboard!$A$6:$A$22,0))))</f>
        <v/>
      </c>
      <c r="AT635" s="43">
        <f>AQ635*INDEX(Dashboard!$Y$6:$Y$22,MATCH($A635,Dashboard!$A$6:$A$22,0))</f>
        <v/>
      </c>
      <c r="AU635" s="53">
        <f>IF(AND(AG635=1,AT635&gt;0,AF635&gt;0),100*AF635/AT635,"")</f>
        <v/>
      </c>
      <c r="AV635" s="44">
        <f>IF(AU635="","",T635/(AU635/100))</f>
        <v/>
      </c>
      <c r="AW635" s="53">
        <f>IF(AU635="","",IF(AND(ABS(AH635)&gt;=0.1,ABS(T635)&gt;=0.05,SIGN(AH635)=SIGN(T635)),100*T635/AH635,""))</f>
        <v/>
      </c>
      <c r="AX635" s="45">
        <f>IF(AU635="","",T635-AV635)</f>
        <v/>
      </c>
      <c r="AY635" s="45">
        <f>IF(AU635="","",AH635-AV635)</f>
        <v/>
      </c>
      <c r="AZ635" s="54">
        <f>(AL635-AM635)-T635*AT635</f>
        <v/>
      </c>
      <c r="BA635" s="43">
        <f>IF(AU635="",0,(AH635-T635)*AF635)</f>
        <v/>
      </c>
      <c r="BB635" s="43">
        <f>IF(AU635="",0,T635*(AF635-AT635))</f>
        <v/>
      </c>
      <c r="BC635" s="51" t="n">
        <v>0.3783452284665499</v>
      </c>
      <c r="BD635" s="51" t="n">
        <v>0.03815626916479278</v>
      </c>
      <c r="BE635" s="51" t="n">
        <v>0.4885064452993184</v>
      </c>
      <c r="BF635" s="43" t="n">
        <v>112511</v>
      </c>
    </row>
    <row r="636">
      <c r="A636" s="42" t="inlineStr">
        <is>
          <t>MS</t>
        </is>
      </c>
      <c r="B636" s="42" t="inlineStr">
        <is>
          <t>28091</t>
        </is>
      </c>
      <c r="C636" s="42" t="inlineStr">
        <is>
          <t>Marion</t>
        </is>
      </c>
      <c r="D636" s="42" t="inlineStr">
        <is>
          <t>Small town &amp; rural</t>
        </is>
      </c>
      <c r="E636" s="42" t="inlineStr"/>
      <c r="F636" s="43" t="n">
        <v>3215</v>
      </c>
      <c r="G636" s="43" t="n">
        <v>7874</v>
      </c>
      <c r="H636" s="43" t="n">
        <v>11188</v>
      </c>
      <c r="I636" s="43" t="n">
        <v>3787</v>
      </c>
      <c r="J636" s="43" t="n">
        <v>8273</v>
      </c>
      <c r="K636" s="42" t="inlineStr">
        <is>
          <t>US House</t>
        </is>
      </c>
      <c r="L636" s="43" t="n">
        <v>1583</v>
      </c>
      <c r="M636" s="43" t="n">
        <v>4842</v>
      </c>
      <c r="N636" s="43" t="n">
        <v>6425</v>
      </c>
      <c r="O636" s="44">
        <f>IFERROR((F636-G636)/(F636+G636),"")</f>
        <v/>
      </c>
      <c r="P636" s="44">
        <f>IFERROR((I636-J636)/(I636+J636),"")</f>
        <v/>
      </c>
      <c r="Q636" s="45">
        <f>IFERROR(O636-P636,"")</f>
        <v/>
      </c>
      <c r="R636" s="44">
        <f>IFERROR((L636-M636)/(L636+M636),"")</f>
        <v/>
      </c>
      <c r="S636" s="46">
        <f>H636/SUMIFS(Counties!$H$2:$H$1583,Counties!$A$2:$A$1583,$A636)</f>
        <v/>
      </c>
      <c r="T636" s="44">
        <f>O636+INDEX(Dashboard!$F$6:$F$22,MATCH($A636,Dashboard!$A$6:$A$22,0))</f>
        <v/>
      </c>
      <c r="U636" s="43">
        <f>AQ636*INDEX(Dashboard!$G$6:$G$22,MATCH($A636,Dashboard!$A$6:$A$22,0))</f>
        <v/>
      </c>
      <c r="V636" s="47" t="n"/>
      <c r="W636" s="47" t="n"/>
      <c r="X636" s="47" t="n"/>
      <c r="Y636" s="48" t="n"/>
      <c r="Z636" s="49" t="n"/>
      <c r="AA636" s="49" t="n"/>
      <c r="AB636" s="49" t="n"/>
      <c r="AC636" s="50" t="n"/>
      <c r="AD636" s="43">
        <f>IF(Z636&lt;&gt;"",Z636,N(V636))</f>
        <v/>
      </c>
      <c r="AE636" s="43">
        <f>IF(AA636&lt;&gt;"",AA636,N(W636))</f>
        <v/>
      </c>
      <c r="AF636" s="43">
        <f>AD636+AE636</f>
        <v/>
      </c>
      <c r="AG636" s="42">
        <f>IF(UPPER(AC636)="Y",1,IF(AF636=0,0,IF(AND(Z636="",Y636&lt;&gt;""),IF(Y636&gt;=0.999,1,0),IF(AF636&gt;=U636,1,0))))</f>
        <v/>
      </c>
      <c r="AH636" s="44">
        <f>IF(AF636&gt;0,(AD636-AE636)/AF636,"")</f>
        <v/>
      </c>
      <c r="AI636" s="45">
        <f>IF(AG636=1,AH636-O636,"")</f>
        <v/>
      </c>
      <c r="AJ636" s="44">
        <f>IF(AG636=1,AH636,MAX(-1,MIN(1,O636+INDEX(Types!$H:$H,MATCH($A636&amp;"|"&amp;$D636,Types!$A:$A,0)))))</f>
        <v/>
      </c>
      <c r="AK636" s="43">
        <f>IF(AG636=1,AF636,MAX(AQ636*AS636,AF636))</f>
        <v/>
      </c>
      <c r="AL636" s="43">
        <f>IF(AG636=1,AD636,AK636*(1+AJ636)/2)</f>
        <v/>
      </c>
      <c r="AM636" s="43">
        <f>IF(AG636=1,AE636,AK636*(1-AJ636)/2)</f>
        <v/>
      </c>
      <c r="AN636" s="45">
        <f>IF(AH636="","",AH636-T636)</f>
        <v/>
      </c>
      <c r="AO636" s="51">
        <f>IF(AG636=1,1,IF(U636&gt;0,MIN(AF636/U636,0.99),0))</f>
        <v/>
      </c>
      <c r="AP636" s="43">
        <f>IF(AG636=1,AI636*AF636,0)</f>
        <v/>
      </c>
      <c r="AQ636" s="43">
        <f>N636*(F636+G636)/H636</f>
        <v/>
      </c>
      <c r="AR636" s="43">
        <f>O636*AQ636</f>
        <v/>
      </c>
      <c r="AS636" s="52">
        <f>IF(AG636=1,IF(AQ636&gt;0,AF636/AQ636,1),IFERROR(INDEX(Types!$K:$K,MATCH($A636&amp;"|"&amp;$D636,Types!$A:$A,0)),INDEX(Dashboard!$X$6:$X$22,MATCH($A636,Dashboard!$A$6:$A$22,0))))</f>
        <v/>
      </c>
      <c r="AT636" s="43">
        <f>AQ636*INDEX(Dashboard!$Y$6:$Y$22,MATCH($A636,Dashboard!$A$6:$A$22,0))</f>
        <v/>
      </c>
      <c r="AU636" s="53">
        <f>IF(AND(AG636=1,AT636&gt;0,AF636&gt;0),100*AF636/AT636,"")</f>
        <v/>
      </c>
      <c r="AV636" s="44">
        <f>IF(AU636="","",T636/(AU636/100))</f>
        <v/>
      </c>
      <c r="AW636" s="53">
        <f>IF(AU636="","",IF(AND(ABS(AH636)&gt;=0.1,ABS(T636)&gt;=0.05,SIGN(AH636)=SIGN(T636)),100*T636/AH636,""))</f>
        <v/>
      </c>
      <c r="AX636" s="45">
        <f>IF(AU636="","",T636-AV636)</f>
        <v/>
      </c>
      <c r="AY636" s="45">
        <f>IF(AU636="","",AH636-AV636)</f>
        <v/>
      </c>
      <c r="AZ636" s="54">
        <f>(AL636-AM636)-T636*AT636</f>
        <v/>
      </c>
      <c r="BA636" s="43">
        <f>IF(AU636="",0,(AH636-T636)*AF636)</f>
        <v/>
      </c>
      <c r="BB636" s="43">
        <f>IF(AU636="",0,T636*(AF636-AT636))</f>
        <v/>
      </c>
      <c r="BC636" s="51" t="n">
        <v>0.3102708058124174</v>
      </c>
      <c r="BD636" s="51" t="n">
        <v>0.01931968295904888</v>
      </c>
      <c r="BE636" s="51" t="n">
        <v>0.1247838788529184</v>
      </c>
      <c r="BF636" s="43" t="n">
        <v>24224</v>
      </c>
    </row>
    <row r="637">
      <c r="A637" s="42" t="inlineStr">
        <is>
          <t>MS</t>
        </is>
      </c>
      <c r="B637" s="42" t="inlineStr">
        <is>
          <t>28093</t>
        </is>
      </c>
      <c r="C637" s="42" t="inlineStr">
        <is>
          <t>Marshall</t>
        </is>
      </c>
      <c r="D637" s="42" t="inlineStr">
        <is>
          <t>Black Belt</t>
        </is>
      </c>
      <c r="E637" s="42" t="inlineStr"/>
      <c r="F637" s="43" t="n">
        <v>6888</v>
      </c>
      <c r="G637" s="43" t="n">
        <v>7977</v>
      </c>
      <c r="H637" s="43" t="n">
        <v>14983</v>
      </c>
      <c r="I637" s="43" t="n">
        <v>8057</v>
      </c>
      <c r="J637" s="43" t="n">
        <v>7566</v>
      </c>
      <c r="K637" s="42" t="inlineStr">
        <is>
          <t>US House</t>
        </is>
      </c>
      <c r="L637" s="43" t="n">
        <v>3429</v>
      </c>
      <c r="M637" s="43" t="n">
        <v>4393</v>
      </c>
      <c r="N637" s="43" t="n">
        <v>7822</v>
      </c>
      <c r="O637" s="44">
        <f>IFERROR((F637-G637)/(F637+G637),"")</f>
        <v/>
      </c>
      <c r="P637" s="44">
        <f>IFERROR((I637-J637)/(I637+J637),"")</f>
        <v/>
      </c>
      <c r="Q637" s="45">
        <f>IFERROR(O637-P637,"")</f>
        <v/>
      </c>
      <c r="R637" s="44">
        <f>IFERROR((L637-M637)/(L637+M637),"")</f>
        <v/>
      </c>
      <c r="S637" s="46">
        <f>H637/SUMIFS(Counties!$H$2:$H$1583,Counties!$A$2:$A$1583,$A637)</f>
        <v/>
      </c>
      <c r="T637" s="44">
        <f>O637+INDEX(Dashboard!$F$6:$F$22,MATCH($A637,Dashboard!$A$6:$A$22,0))</f>
        <v/>
      </c>
      <c r="U637" s="43">
        <f>AQ637*INDEX(Dashboard!$G$6:$G$22,MATCH($A637,Dashboard!$A$6:$A$22,0))</f>
        <v/>
      </c>
      <c r="V637" s="47" t="n"/>
      <c r="W637" s="47" t="n"/>
      <c r="X637" s="47" t="n"/>
      <c r="Y637" s="48" t="n"/>
      <c r="Z637" s="49" t="n"/>
      <c r="AA637" s="49" t="n"/>
      <c r="AB637" s="49" t="n"/>
      <c r="AC637" s="50" t="n"/>
      <c r="AD637" s="43">
        <f>IF(Z637&lt;&gt;"",Z637,N(V637))</f>
        <v/>
      </c>
      <c r="AE637" s="43">
        <f>IF(AA637&lt;&gt;"",AA637,N(W637))</f>
        <v/>
      </c>
      <c r="AF637" s="43">
        <f>AD637+AE637</f>
        <v/>
      </c>
      <c r="AG637" s="42">
        <f>IF(UPPER(AC637)="Y",1,IF(AF637=0,0,IF(AND(Z637="",Y637&lt;&gt;""),IF(Y637&gt;=0.999,1,0),IF(AF637&gt;=U637,1,0))))</f>
        <v/>
      </c>
      <c r="AH637" s="44">
        <f>IF(AF637&gt;0,(AD637-AE637)/AF637,"")</f>
        <v/>
      </c>
      <c r="AI637" s="45">
        <f>IF(AG637=1,AH637-O637,"")</f>
        <v/>
      </c>
      <c r="AJ637" s="44">
        <f>IF(AG637=1,AH637,MAX(-1,MIN(1,O637+INDEX(Types!$H:$H,MATCH($A637&amp;"|"&amp;$D637,Types!$A:$A,0)))))</f>
        <v/>
      </c>
      <c r="AK637" s="43">
        <f>IF(AG637=1,AF637,MAX(AQ637*AS637,AF637))</f>
        <v/>
      </c>
      <c r="AL637" s="43">
        <f>IF(AG637=1,AD637,AK637*(1+AJ637)/2)</f>
        <v/>
      </c>
      <c r="AM637" s="43">
        <f>IF(AG637=1,AE637,AK637*(1-AJ637)/2)</f>
        <v/>
      </c>
      <c r="AN637" s="45">
        <f>IF(AH637="","",AH637-T637)</f>
        <v/>
      </c>
      <c r="AO637" s="51">
        <f>IF(AG637=1,1,IF(U637&gt;0,MIN(AF637/U637,0.99),0))</f>
        <v/>
      </c>
      <c r="AP637" s="43">
        <f>IF(AG637=1,AI637*AF637,0)</f>
        <v/>
      </c>
      <c r="AQ637" s="43">
        <f>N637*(F637+G637)/H637</f>
        <v/>
      </c>
      <c r="AR637" s="43">
        <f>O637*AQ637</f>
        <v/>
      </c>
      <c r="AS637" s="52">
        <f>IF(AG637=1,IF(AQ637&gt;0,AF637/AQ637,1),IFERROR(INDEX(Types!$K:$K,MATCH($A637&amp;"|"&amp;$D637,Types!$A:$A,0)),INDEX(Dashboard!$X$6:$X$22,MATCH($A637,Dashboard!$A$6:$A$22,0))))</f>
        <v/>
      </c>
      <c r="AT637" s="43">
        <f>AQ637*INDEX(Dashboard!$Y$6:$Y$22,MATCH($A637,Dashboard!$A$6:$A$22,0))</f>
        <v/>
      </c>
      <c r="AU637" s="53">
        <f>IF(AND(AG637=1,AT637&gt;0,AF637&gt;0),100*AF637/AT637,"")</f>
        <v/>
      </c>
      <c r="AV637" s="44">
        <f>IF(AU637="","",T637/(AU637/100))</f>
        <v/>
      </c>
      <c r="AW637" s="53">
        <f>IF(AU637="","",IF(AND(ABS(AH637)&gt;=0.1,ABS(T637)&gt;=0.05,SIGN(AH637)=SIGN(T637)),100*T637/AH637,""))</f>
        <v/>
      </c>
      <c r="AX637" s="45">
        <f>IF(AU637="","",T637-AV637)</f>
        <v/>
      </c>
      <c r="AY637" s="45">
        <f>IF(AU637="","",AH637-AV637)</f>
        <v/>
      </c>
      <c r="AZ637" s="54">
        <f>(AL637-AM637)-T637*AT637</f>
        <v/>
      </c>
      <c r="BA637" s="43">
        <f>IF(AU637="",0,(AH637-T637)*AF637)</f>
        <v/>
      </c>
      <c r="BB637" s="43">
        <f>IF(AU637="",0,T637*(AF637-AT637))</f>
        <v/>
      </c>
      <c r="BC637" s="51" t="n">
        <v>0.4464144418720511</v>
      </c>
      <c r="BD637" s="51" t="n">
        <v>0.05406910295108871</v>
      </c>
      <c r="BE637" s="51" t="n">
        <v>0.1453281329489571</v>
      </c>
      <c r="BF637" s="43" t="n">
        <v>34123</v>
      </c>
    </row>
    <row r="638">
      <c r="A638" s="42" t="inlineStr">
        <is>
          <t>MS</t>
        </is>
      </c>
      <c r="B638" s="42" t="inlineStr">
        <is>
          <t>28095</t>
        </is>
      </c>
      <c r="C638" s="42" t="inlineStr">
        <is>
          <t>Monroe</t>
        </is>
      </c>
      <c r="D638" s="42" t="inlineStr">
        <is>
          <t>Small town &amp; rural</t>
        </is>
      </c>
      <c r="E638" s="42" t="inlineStr"/>
      <c r="F638" s="43" t="n">
        <v>5090</v>
      </c>
      <c r="G638" s="43" t="n">
        <v>10861</v>
      </c>
      <c r="H638" s="43" t="n">
        <v>16069</v>
      </c>
      <c r="I638" s="43" t="n">
        <v>5874</v>
      </c>
      <c r="J638" s="43" t="n">
        <v>11177</v>
      </c>
      <c r="K638" s="42" t="inlineStr">
        <is>
          <t>US House</t>
        </is>
      </c>
      <c r="L638" s="43" t="n">
        <v>2105</v>
      </c>
      <c r="M638" s="43" t="n">
        <v>6124</v>
      </c>
      <c r="N638" s="43" t="n">
        <v>8229</v>
      </c>
      <c r="O638" s="44">
        <f>IFERROR((F638-G638)/(F638+G638),"")</f>
        <v/>
      </c>
      <c r="P638" s="44">
        <f>IFERROR((I638-J638)/(I638+J638),"")</f>
        <v/>
      </c>
      <c r="Q638" s="45">
        <f>IFERROR(O638-P638,"")</f>
        <v/>
      </c>
      <c r="R638" s="44">
        <f>IFERROR((L638-M638)/(L638+M638),"")</f>
        <v/>
      </c>
      <c r="S638" s="46">
        <f>H638/SUMIFS(Counties!$H$2:$H$1583,Counties!$A$2:$A$1583,$A638)</f>
        <v/>
      </c>
      <c r="T638" s="44">
        <f>O638+INDEX(Dashboard!$F$6:$F$22,MATCH($A638,Dashboard!$A$6:$A$22,0))</f>
        <v/>
      </c>
      <c r="U638" s="43">
        <f>AQ638*INDEX(Dashboard!$G$6:$G$22,MATCH($A638,Dashboard!$A$6:$A$22,0))</f>
        <v/>
      </c>
      <c r="V638" s="47" t="n"/>
      <c r="W638" s="47" t="n"/>
      <c r="X638" s="47" t="n"/>
      <c r="Y638" s="48" t="n"/>
      <c r="Z638" s="49" t="n"/>
      <c r="AA638" s="49" t="n"/>
      <c r="AB638" s="49" t="n"/>
      <c r="AC638" s="50" t="n"/>
      <c r="AD638" s="43">
        <f>IF(Z638&lt;&gt;"",Z638,N(V638))</f>
        <v/>
      </c>
      <c r="AE638" s="43">
        <f>IF(AA638&lt;&gt;"",AA638,N(W638))</f>
        <v/>
      </c>
      <c r="AF638" s="43">
        <f>AD638+AE638</f>
        <v/>
      </c>
      <c r="AG638" s="42">
        <f>IF(UPPER(AC638)="Y",1,IF(AF638=0,0,IF(AND(Z638="",Y638&lt;&gt;""),IF(Y638&gt;=0.999,1,0),IF(AF638&gt;=U638,1,0))))</f>
        <v/>
      </c>
      <c r="AH638" s="44">
        <f>IF(AF638&gt;0,(AD638-AE638)/AF638,"")</f>
        <v/>
      </c>
      <c r="AI638" s="45">
        <f>IF(AG638=1,AH638-O638,"")</f>
        <v/>
      </c>
      <c r="AJ638" s="44">
        <f>IF(AG638=1,AH638,MAX(-1,MIN(1,O638+INDEX(Types!$H:$H,MATCH($A638&amp;"|"&amp;$D638,Types!$A:$A,0)))))</f>
        <v/>
      </c>
      <c r="AK638" s="43">
        <f>IF(AG638=1,AF638,MAX(AQ638*AS638,AF638))</f>
        <v/>
      </c>
      <c r="AL638" s="43">
        <f>IF(AG638=1,AD638,AK638*(1+AJ638)/2)</f>
        <v/>
      </c>
      <c r="AM638" s="43">
        <f>IF(AG638=1,AE638,AK638*(1-AJ638)/2)</f>
        <v/>
      </c>
      <c r="AN638" s="45">
        <f>IF(AH638="","",AH638-T638)</f>
        <v/>
      </c>
      <c r="AO638" s="51">
        <f>IF(AG638=1,1,IF(U638&gt;0,MIN(AF638/U638,0.99),0))</f>
        <v/>
      </c>
      <c r="AP638" s="43">
        <f>IF(AG638=1,AI638*AF638,0)</f>
        <v/>
      </c>
      <c r="AQ638" s="43">
        <f>N638*(F638+G638)/H638</f>
        <v/>
      </c>
      <c r="AR638" s="43">
        <f>O638*AQ638</f>
        <v/>
      </c>
      <c r="AS638" s="52">
        <f>IF(AG638=1,IF(AQ638&gt;0,AF638/AQ638,1),IFERROR(INDEX(Types!$K:$K,MATCH($A638&amp;"|"&amp;$D638,Types!$A:$A,0)),INDEX(Dashboard!$X$6:$X$22,MATCH($A638,Dashboard!$A$6:$A$22,0))))</f>
        <v/>
      </c>
      <c r="AT638" s="43">
        <f>AQ638*INDEX(Dashboard!$Y$6:$Y$22,MATCH($A638,Dashboard!$A$6:$A$22,0))</f>
        <v/>
      </c>
      <c r="AU638" s="53">
        <f>IF(AND(AG638=1,AT638&gt;0,AF638&gt;0),100*AF638/AT638,"")</f>
        <v/>
      </c>
      <c r="AV638" s="44">
        <f>IF(AU638="","",T638/(AU638/100))</f>
        <v/>
      </c>
      <c r="AW638" s="53">
        <f>IF(AU638="","",IF(AND(ABS(AH638)&gt;=0.1,ABS(T638)&gt;=0.05,SIGN(AH638)=SIGN(T638)),100*T638/AH638,""))</f>
        <v/>
      </c>
      <c r="AX638" s="45">
        <f>IF(AU638="","",T638-AV638)</f>
        <v/>
      </c>
      <c r="AY638" s="45">
        <f>IF(AU638="","",AH638-AV638)</f>
        <v/>
      </c>
      <c r="AZ638" s="54">
        <f>(AL638-AM638)-T638*AT638</f>
        <v/>
      </c>
      <c r="BA638" s="43">
        <f>IF(AU638="",0,(AH638-T638)*AF638)</f>
        <v/>
      </c>
      <c r="BB638" s="43">
        <f>IF(AU638="",0,T638*(AF638-AT638))</f>
        <v/>
      </c>
      <c r="BC638" s="51" t="n">
        <v>0.3043827546192984</v>
      </c>
      <c r="BD638" s="51" t="n">
        <v>0.0163944181618019</v>
      </c>
      <c r="BE638" s="51" t="n">
        <v>0.1639655609014941</v>
      </c>
      <c r="BF638" s="43" t="n">
        <v>33609</v>
      </c>
    </row>
    <row r="639">
      <c r="A639" s="42" t="inlineStr">
        <is>
          <t>MS</t>
        </is>
      </c>
      <c r="B639" s="42" t="inlineStr">
        <is>
          <t>28097</t>
        </is>
      </c>
      <c r="C639" s="42" t="inlineStr">
        <is>
          <t>Montgomery</t>
        </is>
      </c>
      <c r="D639" s="42" t="inlineStr">
        <is>
          <t>Black Belt</t>
        </is>
      </c>
      <c r="E639" s="42" t="inlineStr"/>
      <c r="F639" s="43" t="n">
        <v>1737</v>
      </c>
      <c r="G639" s="43" t="n">
        <v>2658</v>
      </c>
      <c r="H639" s="43" t="n">
        <v>4424</v>
      </c>
      <c r="I639" s="43" t="n">
        <v>2121</v>
      </c>
      <c r="J639" s="43" t="n">
        <v>2917</v>
      </c>
      <c r="K639" s="42" t="inlineStr">
        <is>
          <t>US House</t>
        </is>
      </c>
      <c r="L639" s="43" t="n">
        <v>1225</v>
      </c>
      <c r="M639" s="43" t="n">
        <v>1772</v>
      </c>
      <c r="N639" s="43" t="n">
        <v>2997</v>
      </c>
      <c r="O639" s="44">
        <f>IFERROR((F639-G639)/(F639+G639),"")</f>
        <v/>
      </c>
      <c r="P639" s="44">
        <f>IFERROR((I639-J639)/(I639+J639),"")</f>
        <v/>
      </c>
      <c r="Q639" s="45">
        <f>IFERROR(O639-P639,"")</f>
        <v/>
      </c>
      <c r="R639" s="44">
        <f>IFERROR((L639-M639)/(L639+M639),"")</f>
        <v/>
      </c>
      <c r="S639" s="46">
        <f>H639/SUMIFS(Counties!$H$2:$H$1583,Counties!$A$2:$A$1583,$A639)</f>
        <v/>
      </c>
      <c r="T639" s="44">
        <f>O639+INDEX(Dashboard!$F$6:$F$22,MATCH($A639,Dashboard!$A$6:$A$22,0))</f>
        <v/>
      </c>
      <c r="U639" s="43">
        <f>AQ639*INDEX(Dashboard!$G$6:$G$22,MATCH($A639,Dashboard!$A$6:$A$22,0))</f>
        <v/>
      </c>
      <c r="V639" s="47" t="n"/>
      <c r="W639" s="47" t="n"/>
      <c r="X639" s="47" t="n"/>
      <c r="Y639" s="48" t="n"/>
      <c r="Z639" s="49" t="n"/>
      <c r="AA639" s="49" t="n"/>
      <c r="AB639" s="49" t="n"/>
      <c r="AC639" s="50" t="n"/>
      <c r="AD639" s="43">
        <f>IF(Z639&lt;&gt;"",Z639,N(V639))</f>
        <v/>
      </c>
      <c r="AE639" s="43">
        <f>IF(AA639&lt;&gt;"",AA639,N(W639))</f>
        <v/>
      </c>
      <c r="AF639" s="43">
        <f>AD639+AE639</f>
        <v/>
      </c>
      <c r="AG639" s="42">
        <f>IF(UPPER(AC639)="Y",1,IF(AF639=0,0,IF(AND(Z639="",Y639&lt;&gt;""),IF(Y639&gt;=0.999,1,0),IF(AF639&gt;=U639,1,0))))</f>
        <v/>
      </c>
      <c r="AH639" s="44">
        <f>IF(AF639&gt;0,(AD639-AE639)/AF639,"")</f>
        <v/>
      </c>
      <c r="AI639" s="45">
        <f>IF(AG639=1,AH639-O639,"")</f>
        <v/>
      </c>
      <c r="AJ639" s="44">
        <f>IF(AG639=1,AH639,MAX(-1,MIN(1,O639+INDEX(Types!$H:$H,MATCH($A639&amp;"|"&amp;$D639,Types!$A:$A,0)))))</f>
        <v/>
      </c>
      <c r="AK639" s="43">
        <f>IF(AG639=1,AF639,MAX(AQ639*AS639,AF639))</f>
        <v/>
      </c>
      <c r="AL639" s="43">
        <f>IF(AG639=1,AD639,AK639*(1+AJ639)/2)</f>
        <v/>
      </c>
      <c r="AM639" s="43">
        <f>IF(AG639=1,AE639,AK639*(1-AJ639)/2)</f>
        <v/>
      </c>
      <c r="AN639" s="45">
        <f>IF(AH639="","",AH639-T639)</f>
        <v/>
      </c>
      <c r="AO639" s="51">
        <f>IF(AG639=1,1,IF(U639&gt;0,MIN(AF639/U639,0.99),0))</f>
        <v/>
      </c>
      <c r="AP639" s="43">
        <f>IF(AG639=1,AI639*AF639,0)</f>
        <v/>
      </c>
      <c r="AQ639" s="43">
        <f>N639*(F639+G639)/H639</f>
        <v/>
      </c>
      <c r="AR639" s="43">
        <f>O639*AQ639</f>
        <v/>
      </c>
      <c r="AS639" s="52">
        <f>IF(AG639=1,IF(AQ639&gt;0,AF639/AQ639,1),IFERROR(INDEX(Types!$K:$K,MATCH($A639&amp;"|"&amp;$D639,Types!$A:$A,0)),INDEX(Dashboard!$X$6:$X$22,MATCH($A639,Dashboard!$A$6:$A$22,0))))</f>
        <v/>
      </c>
      <c r="AT639" s="43">
        <f>AQ639*INDEX(Dashboard!$Y$6:$Y$22,MATCH($A639,Dashboard!$A$6:$A$22,0))</f>
        <v/>
      </c>
      <c r="AU639" s="53">
        <f>IF(AND(AG639=1,AT639&gt;0,AF639&gt;0),100*AF639/AT639,"")</f>
        <v/>
      </c>
      <c r="AV639" s="44">
        <f>IF(AU639="","",T639/(AU639/100))</f>
        <v/>
      </c>
      <c r="AW639" s="53">
        <f>IF(AU639="","",IF(AND(ABS(AH639)&gt;=0.1,ABS(T639)&gt;=0.05,SIGN(AH639)=SIGN(T639)),100*T639/AH639,""))</f>
        <v/>
      </c>
      <c r="AX639" s="45">
        <f>IF(AU639="","",T639-AV639)</f>
        <v/>
      </c>
      <c r="AY639" s="45">
        <f>IF(AU639="","",AH639-AV639)</f>
        <v/>
      </c>
      <c r="AZ639" s="54">
        <f>(AL639-AM639)-T639*AT639</f>
        <v/>
      </c>
      <c r="BA639" s="43">
        <f>IF(AU639="",0,(AH639-T639)*AF639)</f>
        <v/>
      </c>
      <c r="BB639" s="43">
        <f>IF(AU639="",0,T639*(AF639-AT639))</f>
        <v/>
      </c>
      <c r="BC639" s="51" t="n">
        <v>0.4364583333333333</v>
      </c>
      <c r="BD639" s="51" t="n">
        <v>0.0159375</v>
      </c>
      <c r="BE639" s="51" t="n">
        <v>0.2059919511104487</v>
      </c>
      <c r="BF639" s="43" t="n">
        <v>9600</v>
      </c>
    </row>
    <row r="640">
      <c r="A640" s="42" t="inlineStr">
        <is>
          <t>MS</t>
        </is>
      </c>
      <c r="B640" s="42" t="inlineStr">
        <is>
          <t>28099</t>
        </is>
      </c>
      <c r="C640" s="42" t="inlineStr">
        <is>
          <t>Neshoba</t>
        </is>
      </c>
      <c r="D640" s="42" t="inlineStr">
        <is>
          <t>Small town &amp; rural</t>
        </is>
      </c>
      <c r="E640" s="42" t="inlineStr"/>
      <c r="F640" s="43" t="n">
        <v>2622</v>
      </c>
      <c r="G640" s="43" t="n">
        <v>8154</v>
      </c>
      <c r="H640" s="43" t="n">
        <v>10861</v>
      </c>
      <c r="I640" s="43" t="n">
        <v>3260</v>
      </c>
      <c r="J640" s="43" t="n">
        <v>8320</v>
      </c>
      <c r="K640" s="42" t="inlineStr">
        <is>
          <t>US House</t>
        </is>
      </c>
      <c r="L640" s="43" t="n">
        <v>1191</v>
      </c>
      <c r="M640" s="43" t="n">
        <v>4832</v>
      </c>
      <c r="N640" s="43" t="n">
        <v>6023</v>
      </c>
      <c r="O640" s="44">
        <f>IFERROR((F640-G640)/(F640+G640),"")</f>
        <v/>
      </c>
      <c r="P640" s="44">
        <f>IFERROR((I640-J640)/(I640+J640),"")</f>
        <v/>
      </c>
      <c r="Q640" s="45">
        <f>IFERROR(O640-P640,"")</f>
        <v/>
      </c>
      <c r="R640" s="44">
        <f>IFERROR((L640-M640)/(L640+M640),"")</f>
        <v/>
      </c>
      <c r="S640" s="46">
        <f>H640/SUMIFS(Counties!$H$2:$H$1583,Counties!$A$2:$A$1583,$A640)</f>
        <v/>
      </c>
      <c r="T640" s="44">
        <f>O640+INDEX(Dashboard!$F$6:$F$22,MATCH($A640,Dashboard!$A$6:$A$22,0))</f>
        <v/>
      </c>
      <c r="U640" s="43">
        <f>AQ640*INDEX(Dashboard!$G$6:$G$22,MATCH($A640,Dashboard!$A$6:$A$22,0))</f>
        <v/>
      </c>
      <c r="V640" s="47" t="n"/>
      <c r="W640" s="47" t="n"/>
      <c r="X640" s="47" t="n"/>
      <c r="Y640" s="48" t="n"/>
      <c r="Z640" s="49" t="n"/>
      <c r="AA640" s="49" t="n"/>
      <c r="AB640" s="49" t="n"/>
      <c r="AC640" s="50" t="n"/>
      <c r="AD640" s="43">
        <f>IF(Z640&lt;&gt;"",Z640,N(V640))</f>
        <v/>
      </c>
      <c r="AE640" s="43">
        <f>IF(AA640&lt;&gt;"",AA640,N(W640))</f>
        <v/>
      </c>
      <c r="AF640" s="43">
        <f>AD640+AE640</f>
        <v/>
      </c>
      <c r="AG640" s="42">
        <f>IF(UPPER(AC640)="Y",1,IF(AF640=0,0,IF(AND(Z640="",Y640&lt;&gt;""),IF(Y640&gt;=0.999,1,0),IF(AF640&gt;=U640,1,0))))</f>
        <v/>
      </c>
      <c r="AH640" s="44">
        <f>IF(AF640&gt;0,(AD640-AE640)/AF640,"")</f>
        <v/>
      </c>
      <c r="AI640" s="45">
        <f>IF(AG640=1,AH640-O640,"")</f>
        <v/>
      </c>
      <c r="AJ640" s="44">
        <f>IF(AG640=1,AH640,MAX(-1,MIN(1,O640+INDEX(Types!$H:$H,MATCH($A640&amp;"|"&amp;$D640,Types!$A:$A,0)))))</f>
        <v/>
      </c>
      <c r="AK640" s="43">
        <f>IF(AG640=1,AF640,MAX(AQ640*AS640,AF640))</f>
        <v/>
      </c>
      <c r="AL640" s="43">
        <f>IF(AG640=1,AD640,AK640*(1+AJ640)/2)</f>
        <v/>
      </c>
      <c r="AM640" s="43">
        <f>IF(AG640=1,AE640,AK640*(1-AJ640)/2)</f>
        <v/>
      </c>
      <c r="AN640" s="45">
        <f>IF(AH640="","",AH640-T640)</f>
        <v/>
      </c>
      <c r="AO640" s="51">
        <f>IF(AG640=1,1,IF(U640&gt;0,MIN(AF640/U640,0.99),0))</f>
        <v/>
      </c>
      <c r="AP640" s="43">
        <f>IF(AG640=1,AI640*AF640,0)</f>
        <v/>
      </c>
      <c r="AQ640" s="43">
        <f>N640*(F640+G640)/H640</f>
        <v/>
      </c>
      <c r="AR640" s="43">
        <f>O640*AQ640</f>
        <v/>
      </c>
      <c r="AS640" s="52">
        <f>IF(AG640=1,IF(AQ640&gt;0,AF640/AQ640,1),IFERROR(INDEX(Types!$K:$K,MATCH($A640&amp;"|"&amp;$D640,Types!$A:$A,0)),INDEX(Dashboard!$X$6:$X$22,MATCH($A640,Dashboard!$A$6:$A$22,0))))</f>
        <v/>
      </c>
      <c r="AT640" s="43">
        <f>AQ640*INDEX(Dashboard!$Y$6:$Y$22,MATCH($A640,Dashboard!$A$6:$A$22,0))</f>
        <v/>
      </c>
      <c r="AU640" s="53">
        <f>IF(AND(AG640=1,AT640&gt;0,AF640&gt;0),100*AF640/AT640,"")</f>
        <v/>
      </c>
      <c r="AV640" s="44">
        <f>IF(AU640="","",T640/(AU640/100))</f>
        <v/>
      </c>
      <c r="AW640" s="53">
        <f>IF(AU640="","",IF(AND(ABS(AH640)&gt;=0.1,ABS(T640)&gt;=0.05,SIGN(AH640)=SIGN(T640)),100*T640/AH640,""))</f>
        <v/>
      </c>
      <c r="AX640" s="45">
        <f>IF(AU640="","",T640-AV640)</f>
        <v/>
      </c>
      <c r="AY640" s="45">
        <f>IF(AU640="","",AH640-AV640)</f>
        <v/>
      </c>
      <c r="AZ640" s="54">
        <f>(AL640-AM640)-T640*AT640</f>
        <v/>
      </c>
      <c r="BA640" s="43">
        <f>IF(AU640="",0,(AH640-T640)*AF640)</f>
        <v/>
      </c>
      <c r="BB640" s="43">
        <f>IF(AU640="",0,T640*(AF640-AT640))</f>
        <v/>
      </c>
      <c r="BC640" s="51" t="n">
        <v>0.2169231303622912</v>
      </c>
      <c r="BD640" s="51" t="n">
        <v>0.01979922887213867</v>
      </c>
      <c r="BE640" s="51" t="n">
        <v>0.1634484634212673</v>
      </c>
      <c r="BF640" s="43" t="n">
        <v>28789</v>
      </c>
    </row>
    <row r="641">
      <c r="A641" s="42" t="inlineStr">
        <is>
          <t>MS</t>
        </is>
      </c>
      <c r="B641" s="42" t="inlineStr">
        <is>
          <t>28101</t>
        </is>
      </c>
      <c r="C641" s="42" t="inlineStr">
        <is>
          <t>Newton</t>
        </is>
      </c>
      <c r="D641" s="42" t="inlineStr">
        <is>
          <t>Small town &amp; rural</t>
        </is>
      </c>
      <c r="E641" s="42" t="inlineStr"/>
      <c r="F641" s="43" t="n">
        <v>2603</v>
      </c>
      <c r="G641" s="43" t="n">
        <v>6641</v>
      </c>
      <c r="H641" s="43" t="n">
        <v>9323</v>
      </c>
      <c r="I641" s="43" t="n">
        <v>3075</v>
      </c>
      <c r="J641" s="43" t="n">
        <v>6997</v>
      </c>
      <c r="K641" s="42" t="inlineStr">
        <is>
          <t>US House</t>
        </is>
      </c>
      <c r="L641" s="43" t="n">
        <v>1211</v>
      </c>
      <c r="M641" s="43" t="n">
        <v>4501</v>
      </c>
      <c r="N641" s="43" t="n">
        <v>5712</v>
      </c>
      <c r="O641" s="44">
        <f>IFERROR((F641-G641)/(F641+G641),"")</f>
        <v/>
      </c>
      <c r="P641" s="44">
        <f>IFERROR((I641-J641)/(I641+J641),"")</f>
        <v/>
      </c>
      <c r="Q641" s="45">
        <f>IFERROR(O641-P641,"")</f>
        <v/>
      </c>
      <c r="R641" s="44">
        <f>IFERROR((L641-M641)/(L641+M641),"")</f>
        <v/>
      </c>
      <c r="S641" s="46">
        <f>H641/SUMIFS(Counties!$H$2:$H$1583,Counties!$A$2:$A$1583,$A641)</f>
        <v/>
      </c>
      <c r="T641" s="44">
        <f>O641+INDEX(Dashboard!$F$6:$F$22,MATCH($A641,Dashboard!$A$6:$A$22,0))</f>
        <v/>
      </c>
      <c r="U641" s="43">
        <f>AQ641*INDEX(Dashboard!$G$6:$G$22,MATCH($A641,Dashboard!$A$6:$A$22,0))</f>
        <v/>
      </c>
      <c r="V641" s="47" t="n"/>
      <c r="W641" s="47" t="n"/>
      <c r="X641" s="47" t="n"/>
      <c r="Y641" s="48" t="n"/>
      <c r="Z641" s="49" t="n"/>
      <c r="AA641" s="49" t="n"/>
      <c r="AB641" s="49" t="n"/>
      <c r="AC641" s="50" t="n"/>
      <c r="AD641" s="43">
        <f>IF(Z641&lt;&gt;"",Z641,N(V641))</f>
        <v/>
      </c>
      <c r="AE641" s="43">
        <f>IF(AA641&lt;&gt;"",AA641,N(W641))</f>
        <v/>
      </c>
      <c r="AF641" s="43">
        <f>AD641+AE641</f>
        <v/>
      </c>
      <c r="AG641" s="42">
        <f>IF(UPPER(AC641)="Y",1,IF(AF641=0,0,IF(AND(Z641="",Y641&lt;&gt;""),IF(Y641&gt;=0.999,1,0),IF(AF641&gt;=U641,1,0))))</f>
        <v/>
      </c>
      <c r="AH641" s="44">
        <f>IF(AF641&gt;0,(AD641-AE641)/AF641,"")</f>
        <v/>
      </c>
      <c r="AI641" s="45">
        <f>IF(AG641=1,AH641-O641,"")</f>
        <v/>
      </c>
      <c r="AJ641" s="44">
        <f>IF(AG641=1,AH641,MAX(-1,MIN(1,O641+INDEX(Types!$H:$H,MATCH($A641&amp;"|"&amp;$D641,Types!$A:$A,0)))))</f>
        <v/>
      </c>
      <c r="AK641" s="43">
        <f>IF(AG641=1,AF641,MAX(AQ641*AS641,AF641))</f>
        <v/>
      </c>
      <c r="AL641" s="43">
        <f>IF(AG641=1,AD641,AK641*(1+AJ641)/2)</f>
        <v/>
      </c>
      <c r="AM641" s="43">
        <f>IF(AG641=1,AE641,AK641*(1-AJ641)/2)</f>
        <v/>
      </c>
      <c r="AN641" s="45">
        <f>IF(AH641="","",AH641-T641)</f>
        <v/>
      </c>
      <c r="AO641" s="51">
        <f>IF(AG641=1,1,IF(U641&gt;0,MIN(AF641/U641,0.99),0))</f>
        <v/>
      </c>
      <c r="AP641" s="43">
        <f>IF(AG641=1,AI641*AF641,0)</f>
        <v/>
      </c>
      <c r="AQ641" s="43">
        <f>N641*(F641+G641)/H641</f>
        <v/>
      </c>
      <c r="AR641" s="43">
        <f>O641*AQ641</f>
        <v/>
      </c>
      <c r="AS641" s="52">
        <f>IF(AG641=1,IF(AQ641&gt;0,AF641/AQ641,1),IFERROR(INDEX(Types!$K:$K,MATCH($A641&amp;"|"&amp;$D641,Types!$A:$A,0)),INDEX(Dashboard!$X$6:$X$22,MATCH($A641,Dashboard!$A$6:$A$22,0))))</f>
        <v/>
      </c>
      <c r="AT641" s="43">
        <f>AQ641*INDEX(Dashboard!$Y$6:$Y$22,MATCH($A641,Dashboard!$A$6:$A$22,0))</f>
        <v/>
      </c>
      <c r="AU641" s="53">
        <f>IF(AND(AG641=1,AT641&gt;0,AF641&gt;0),100*AF641/AT641,"")</f>
        <v/>
      </c>
      <c r="AV641" s="44">
        <f>IF(AU641="","",T641/(AU641/100))</f>
        <v/>
      </c>
      <c r="AW641" s="53">
        <f>IF(AU641="","",IF(AND(ABS(AH641)&gt;=0.1,ABS(T641)&gt;=0.05,SIGN(AH641)=SIGN(T641)),100*T641/AH641,""))</f>
        <v/>
      </c>
      <c r="AX641" s="45">
        <f>IF(AU641="","",T641-AV641)</f>
        <v/>
      </c>
      <c r="AY641" s="45">
        <f>IF(AU641="","",AH641-AV641)</f>
        <v/>
      </c>
      <c r="AZ641" s="54">
        <f>(AL641-AM641)-T641*AT641</f>
        <v/>
      </c>
      <c r="BA641" s="43">
        <f>IF(AU641="",0,(AH641-T641)*AF641)</f>
        <v/>
      </c>
      <c r="BB641" s="43">
        <f>IF(AU641="",0,T641*(AF641-AT641))</f>
        <v/>
      </c>
      <c r="BC641" s="51" t="n">
        <v>0.3128597935201484</v>
      </c>
      <c r="BD641" s="51" t="n">
        <v>0.01960131309767353</v>
      </c>
      <c r="BE641" s="51" t="n">
        <v>0.1753061074858861</v>
      </c>
      <c r="BF641" s="43" t="n">
        <v>21019</v>
      </c>
    </row>
    <row r="642">
      <c r="A642" s="42" t="inlineStr">
        <is>
          <t>MS</t>
        </is>
      </c>
      <c r="B642" s="42" t="inlineStr">
        <is>
          <t>28103</t>
        </is>
      </c>
      <c r="C642" s="42" t="inlineStr">
        <is>
          <t>Noxubee</t>
        </is>
      </c>
      <c r="D642" s="42" t="inlineStr">
        <is>
          <t>Black Belt</t>
        </is>
      </c>
      <c r="E642" s="42" t="inlineStr"/>
      <c r="F642" s="43" t="n">
        <v>3269</v>
      </c>
      <c r="G642" s="43" t="n">
        <v>1151</v>
      </c>
      <c r="H642" s="43" t="n">
        <v>4449</v>
      </c>
      <c r="I642" s="43" t="n">
        <v>4040</v>
      </c>
      <c r="J642" s="43" t="n">
        <v>1240</v>
      </c>
      <c r="K642" s="42" t="inlineStr">
        <is>
          <t>US House</t>
        </is>
      </c>
      <c r="L642" s="43" t="n">
        <v>2006</v>
      </c>
      <c r="M642" s="43" t="n">
        <v>1039</v>
      </c>
      <c r="N642" s="43" t="n">
        <v>3045</v>
      </c>
      <c r="O642" s="44">
        <f>IFERROR((F642-G642)/(F642+G642),"")</f>
        <v/>
      </c>
      <c r="P642" s="44">
        <f>IFERROR((I642-J642)/(I642+J642),"")</f>
        <v/>
      </c>
      <c r="Q642" s="45">
        <f>IFERROR(O642-P642,"")</f>
        <v/>
      </c>
      <c r="R642" s="44">
        <f>IFERROR((L642-M642)/(L642+M642),"")</f>
        <v/>
      </c>
      <c r="S642" s="46">
        <f>H642/SUMIFS(Counties!$H$2:$H$1583,Counties!$A$2:$A$1583,$A642)</f>
        <v/>
      </c>
      <c r="T642" s="44">
        <f>O642+INDEX(Dashboard!$F$6:$F$22,MATCH($A642,Dashboard!$A$6:$A$22,0))</f>
        <v/>
      </c>
      <c r="U642" s="43">
        <f>AQ642*INDEX(Dashboard!$G$6:$G$22,MATCH($A642,Dashboard!$A$6:$A$22,0))</f>
        <v/>
      </c>
      <c r="V642" s="47" t="n"/>
      <c r="W642" s="47" t="n"/>
      <c r="X642" s="47" t="n"/>
      <c r="Y642" s="48" t="n"/>
      <c r="Z642" s="49" t="n"/>
      <c r="AA642" s="49" t="n"/>
      <c r="AB642" s="49" t="n"/>
      <c r="AC642" s="50" t="n"/>
      <c r="AD642" s="43">
        <f>IF(Z642&lt;&gt;"",Z642,N(V642))</f>
        <v/>
      </c>
      <c r="AE642" s="43">
        <f>IF(AA642&lt;&gt;"",AA642,N(W642))</f>
        <v/>
      </c>
      <c r="AF642" s="43">
        <f>AD642+AE642</f>
        <v/>
      </c>
      <c r="AG642" s="42">
        <f>IF(UPPER(AC642)="Y",1,IF(AF642=0,0,IF(AND(Z642="",Y642&lt;&gt;""),IF(Y642&gt;=0.999,1,0),IF(AF642&gt;=U642,1,0))))</f>
        <v/>
      </c>
      <c r="AH642" s="44">
        <f>IF(AF642&gt;0,(AD642-AE642)/AF642,"")</f>
        <v/>
      </c>
      <c r="AI642" s="45">
        <f>IF(AG642=1,AH642-O642,"")</f>
        <v/>
      </c>
      <c r="AJ642" s="44">
        <f>IF(AG642=1,AH642,MAX(-1,MIN(1,O642+INDEX(Types!$H:$H,MATCH($A642&amp;"|"&amp;$D642,Types!$A:$A,0)))))</f>
        <v/>
      </c>
      <c r="AK642" s="43">
        <f>IF(AG642=1,AF642,MAX(AQ642*AS642,AF642))</f>
        <v/>
      </c>
      <c r="AL642" s="43">
        <f>IF(AG642=1,AD642,AK642*(1+AJ642)/2)</f>
        <v/>
      </c>
      <c r="AM642" s="43">
        <f>IF(AG642=1,AE642,AK642*(1-AJ642)/2)</f>
        <v/>
      </c>
      <c r="AN642" s="45">
        <f>IF(AH642="","",AH642-T642)</f>
        <v/>
      </c>
      <c r="AO642" s="51">
        <f>IF(AG642=1,1,IF(U642&gt;0,MIN(AF642/U642,0.99),0))</f>
        <v/>
      </c>
      <c r="AP642" s="43">
        <f>IF(AG642=1,AI642*AF642,0)</f>
        <v/>
      </c>
      <c r="AQ642" s="43">
        <f>N642*(F642+G642)/H642</f>
        <v/>
      </c>
      <c r="AR642" s="43">
        <f>O642*AQ642</f>
        <v/>
      </c>
      <c r="AS642" s="52">
        <f>IF(AG642=1,IF(AQ642&gt;0,AF642/AQ642,1),IFERROR(INDEX(Types!$K:$K,MATCH($A642&amp;"|"&amp;$D642,Types!$A:$A,0)),INDEX(Dashboard!$X$6:$X$22,MATCH($A642,Dashboard!$A$6:$A$22,0))))</f>
        <v/>
      </c>
      <c r="AT642" s="43">
        <f>AQ642*INDEX(Dashboard!$Y$6:$Y$22,MATCH($A642,Dashboard!$A$6:$A$22,0))</f>
        <v/>
      </c>
      <c r="AU642" s="53">
        <f>IF(AND(AG642=1,AT642&gt;0,AF642&gt;0),100*AF642/AT642,"")</f>
        <v/>
      </c>
      <c r="AV642" s="44">
        <f>IF(AU642="","",T642/(AU642/100))</f>
        <v/>
      </c>
      <c r="AW642" s="53">
        <f>IF(AU642="","",IF(AND(ABS(AH642)&gt;=0.1,ABS(T642)&gt;=0.05,SIGN(AH642)=SIGN(T642)),100*T642/AH642,""))</f>
        <v/>
      </c>
      <c r="AX642" s="45">
        <f>IF(AU642="","",T642-AV642)</f>
        <v/>
      </c>
      <c r="AY642" s="45">
        <f>IF(AU642="","",AH642-AV642)</f>
        <v/>
      </c>
      <c r="AZ642" s="54">
        <f>(AL642-AM642)-T642*AT642</f>
        <v/>
      </c>
      <c r="BA642" s="43">
        <f>IF(AU642="",0,(AH642-T642)*AF642)</f>
        <v/>
      </c>
      <c r="BB642" s="43">
        <f>IF(AU642="",0,T642*(AF642-AT642))</f>
        <v/>
      </c>
      <c r="BC642" s="51" t="n">
        <v>0.7146459552148476</v>
      </c>
      <c r="BD642" s="51" t="n">
        <v>0.01936655235021182</v>
      </c>
      <c r="BE642" s="51" t="n">
        <v>0.111456943826886</v>
      </c>
      <c r="BF642" s="43" t="n">
        <v>9914</v>
      </c>
    </row>
    <row r="643">
      <c r="A643" s="42" t="inlineStr">
        <is>
          <t>MS</t>
        </is>
      </c>
      <c r="B643" s="42" t="inlineStr">
        <is>
          <t>28105</t>
        </is>
      </c>
      <c r="C643" s="42" t="inlineStr">
        <is>
          <t>Oktibbeha</t>
        </is>
      </c>
      <c r="D643" s="42" t="inlineStr">
        <is>
          <t>Small town &amp; rural</t>
        </is>
      </c>
      <c r="E643" s="42" t="inlineStr"/>
      <c r="F643" s="43" t="n">
        <v>8851</v>
      </c>
      <c r="G643" s="43" t="n">
        <v>8901</v>
      </c>
      <c r="H643" s="43" t="n">
        <v>18051</v>
      </c>
      <c r="I643" s="43" t="n">
        <v>10299</v>
      </c>
      <c r="J643" s="43" t="n">
        <v>9004</v>
      </c>
      <c r="K643" s="42" t="inlineStr">
        <is>
          <t>US House</t>
        </is>
      </c>
      <c r="L643" s="43" t="n">
        <v>4383</v>
      </c>
      <c r="M643" s="43" t="n">
        <v>5862</v>
      </c>
      <c r="N643" s="43" t="n">
        <v>10245</v>
      </c>
      <c r="O643" s="44">
        <f>IFERROR((F643-G643)/(F643+G643),"")</f>
        <v/>
      </c>
      <c r="P643" s="44">
        <f>IFERROR((I643-J643)/(I643+J643),"")</f>
        <v/>
      </c>
      <c r="Q643" s="45">
        <f>IFERROR(O643-P643,"")</f>
        <v/>
      </c>
      <c r="R643" s="44">
        <f>IFERROR((L643-M643)/(L643+M643),"")</f>
        <v/>
      </c>
      <c r="S643" s="46">
        <f>H643/SUMIFS(Counties!$H$2:$H$1583,Counties!$A$2:$A$1583,$A643)</f>
        <v/>
      </c>
      <c r="T643" s="44">
        <f>O643+INDEX(Dashboard!$F$6:$F$22,MATCH($A643,Dashboard!$A$6:$A$22,0))</f>
        <v/>
      </c>
      <c r="U643" s="43">
        <f>AQ643*INDEX(Dashboard!$G$6:$G$22,MATCH($A643,Dashboard!$A$6:$A$22,0))</f>
        <v/>
      </c>
      <c r="V643" s="47" t="n"/>
      <c r="W643" s="47" t="n"/>
      <c r="X643" s="47" t="n"/>
      <c r="Y643" s="48" t="n"/>
      <c r="Z643" s="49" t="n"/>
      <c r="AA643" s="49" t="n"/>
      <c r="AB643" s="49" t="n"/>
      <c r="AC643" s="50" t="n"/>
      <c r="AD643" s="43">
        <f>IF(Z643&lt;&gt;"",Z643,N(V643))</f>
        <v/>
      </c>
      <c r="AE643" s="43">
        <f>IF(AA643&lt;&gt;"",AA643,N(W643))</f>
        <v/>
      </c>
      <c r="AF643" s="43">
        <f>AD643+AE643</f>
        <v/>
      </c>
      <c r="AG643" s="42">
        <f>IF(UPPER(AC643)="Y",1,IF(AF643=0,0,IF(AND(Z643="",Y643&lt;&gt;""),IF(Y643&gt;=0.999,1,0),IF(AF643&gt;=U643,1,0))))</f>
        <v/>
      </c>
      <c r="AH643" s="44">
        <f>IF(AF643&gt;0,(AD643-AE643)/AF643,"")</f>
        <v/>
      </c>
      <c r="AI643" s="45">
        <f>IF(AG643=1,AH643-O643,"")</f>
        <v/>
      </c>
      <c r="AJ643" s="44">
        <f>IF(AG643=1,AH643,MAX(-1,MIN(1,O643+INDEX(Types!$H:$H,MATCH($A643&amp;"|"&amp;$D643,Types!$A:$A,0)))))</f>
        <v/>
      </c>
      <c r="AK643" s="43">
        <f>IF(AG643=1,AF643,MAX(AQ643*AS643,AF643))</f>
        <v/>
      </c>
      <c r="AL643" s="43">
        <f>IF(AG643=1,AD643,AK643*(1+AJ643)/2)</f>
        <v/>
      </c>
      <c r="AM643" s="43">
        <f>IF(AG643=1,AE643,AK643*(1-AJ643)/2)</f>
        <v/>
      </c>
      <c r="AN643" s="45">
        <f>IF(AH643="","",AH643-T643)</f>
        <v/>
      </c>
      <c r="AO643" s="51">
        <f>IF(AG643=1,1,IF(U643&gt;0,MIN(AF643/U643,0.99),0))</f>
        <v/>
      </c>
      <c r="AP643" s="43">
        <f>IF(AG643=1,AI643*AF643,0)</f>
        <v/>
      </c>
      <c r="AQ643" s="43">
        <f>N643*(F643+G643)/H643</f>
        <v/>
      </c>
      <c r="AR643" s="43">
        <f>O643*AQ643</f>
        <v/>
      </c>
      <c r="AS643" s="52">
        <f>IF(AG643=1,IF(AQ643&gt;0,AF643/AQ643,1),IFERROR(INDEX(Types!$K:$K,MATCH($A643&amp;"|"&amp;$D643,Types!$A:$A,0)),INDEX(Dashboard!$X$6:$X$22,MATCH($A643,Dashboard!$A$6:$A$22,0))))</f>
        <v/>
      </c>
      <c r="AT643" s="43">
        <f>AQ643*INDEX(Dashboard!$Y$6:$Y$22,MATCH($A643,Dashboard!$A$6:$A$22,0))</f>
        <v/>
      </c>
      <c r="AU643" s="53">
        <f>IF(AND(AG643=1,AT643&gt;0,AF643&gt;0),100*AF643/AT643,"")</f>
        <v/>
      </c>
      <c r="AV643" s="44">
        <f>IF(AU643="","",T643/(AU643/100))</f>
        <v/>
      </c>
      <c r="AW643" s="53">
        <f>IF(AU643="","",IF(AND(ABS(AH643)&gt;=0.1,ABS(T643)&gt;=0.05,SIGN(AH643)=SIGN(T643)),100*T643/AH643,""))</f>
        <v/>
      </c>
      <c r="AX643" s="45">
        <f>IF(AU643="","",T643-AV643)</f>
        <v/>
      </c>
      <c r="AY643" s="45">
        <f>IF(AU643="","",AH643-AV643)</f>
        <v/>
      </c>
      <c r="AZ643" s="54">
        <f>(AL643-AM643)-T643*AT643</f>
        <v/>
      </c>
      <c r="BA643" s="43">
        <f>IF(AU643="",0,(AH643-T643)*AF643)</f>
        <v/>
      </c>
      <c r="BB643" s="43">
        <f>IF(AU643="",0,T643*(AF643-AT643))</f>
        <v/>
      </c>
      <c r="BC643" s="51" t="n">
        <v>0.373435150284163</v>
      </c>
      <c r="BD643" s="51" t="n">
        <v>0.02361189774036677</v>
      </c>
      <c r="BE643" s="51" t="n">
        <v>0.4575930144267274</v>
      </c>
      <c r="BF643" s="43" t="n">
        <v>51203</v>
      </c>
    </row>
    <row r="644">
      <c r="A644" s="42" t="inlineStr">
        <is>
          <t>MS</t>
        </is>
      </c>
      <c r="B644" s="42" t="inlineStr">
        <is>
          <t>28107</t>
        </is>
      </c>
      <c r="C644" s="42" t="inlineStr">
        <is>
          <t>Panola</t>
        </is>
      </c>
      <c r="D644" s="42" t="inlineStr">
        <is>
          <t>Black Belt</t>
        </is>
      </c>
      <c r="E644" s="42" t="inlineStr"/>
      <c r="F644" s="43" t="n">
        <v>6061</v>
      </c>
      <c r="G644" s="43" t="n">
        <v>8202</v>
      </c>
      <c r="H644" s="43" t="n">
        <v>14422</v>
      </c>
      <c r="I644" s="43" t="n">
        <v>7403</v>
      </c>
      <c r="J644" s="43" t="n">
        <v>8060</v>
      </c>
      <c r="K644" s="42" t="inlineStr">
        <is>
          <t>US House</t>
        </is>
      </c>
      <c r="L644" s="43" t="n">
        <v>3330</v>
      </c>
      <c r="M644" s="43" t="n">
        <v>4470</v>
      </c>
      <c r="N644" s="43" t="n">
        <v>7800</v>
      </c>
      <c r="O644" s="44">
        <f>IFERROR((F644-G644)/(F644+G644),"")</f>
        <v/>
      </c>
      <c r="P644" s="44">
        <f>IFERROR((I644-J644)/(I644+J644),"")</f>
        <v/>
      </c>
      <c r="Q644" s="45">
        <f>IFERROR(O644-P644,"")</f>
        <v/>
      </c>
      <c r="R644" s="44">
        <f>IFERROR((L644-M644)/(L644+M644),"")</f>
        <v/>
      </c>
      <c r="S644" s="46">
        <f>H644/SUMIFS(Counties!$H$2:$H$1583,Counties!$A$2:$A$1583,$A644)</f>
        <v/>
      </c>
      <c r="T644" s="44">
        <f>O644+INDEX(Dashboard!$F$6:$F$22,MATCH($A644,Dashboard!$A$6:$A$22,0))</f>
        <v/>
      </c>
      <c r="U644" s="43">
        <f>AQ644*INDEX(Dashboard!$G$6:$G$22,MATCH($A644,Dashboard!$A$6:$A$22,0))</f>
        <v/>
      </c>
      <c r="V644" s="47" t="n"/>
      <c r="W644" s="47" t="n"/>
      <c r="X644" s="47" t="n"/>
      <c r="Y644" s="48" t="n"/>
      <c r="Z644" s="49" t="n"/>
      <c r="AA644" s="49" t="n"/>
      <c r="AB644" s="49" t="n"/>
      <c r="AC644" s="50" t="n"/>
      <c r="AD644" s="43">
        <f>IF(Z644&lt;&gt;"",Z644,N(V644))</f>
        <v/>
      </c>
      <c r="AE644" s="43">
        <f>IF(AA644&lt;&gt;"",AA644,N(W644))</f>
        <v/>
      </c>
      <c r="AF644" s="43">
        <f>AD644+AE644</f>
        <v/>
      </c>
      <c r="AG644" s="42">
        <f>IF(UPPER(AC644)="Y",1,IF(AF644=0,0,IF(AND(Z644="",Y644&lt;&gt;""),IF(Y644&gt;=0.999,1,0),IF(AF644&gt;=U644,1,0))))</f>
        <v/>
      </c>
      <c r="AH644" s="44">
        <f>IF(AF644&gt;0,(AD644-AE644)/AF644,"")</f>
        <v/>
      </c>
      <c r="AI644" s="45">
        <f>IF(AG644=1,AH644-O644,"")</f>
        <v/>
      </c>
      <c r="AJ644" s="44">
        <f>IF(AG644=1,AH644,MAX(-1,MIN(1,O644+INDEX(Types!$H:$H,MATCH($A644&amp;"|"&amp;$D644,Types!$A:$A,0)))))</f>
        <v/>
      </c>
      <c r="AK644" s="43">
        <f>IF(AG644=1,AF644,MAX(AQ644*AS644,AF644))</f>
        <v/>
      </c>
      <c r="AL644" s="43">
        <f>IF(AG644=1,AD644,AK644*(1+AJ644)/2)</f>
        <v/>
      </c>
      <c r="AM644" s="43">
        <f>IF(AG644=1,AE644,AK644*(1-AJ644)/2)</f>
        <v/>
      </c>
      <c r="AN644" s="45">
        <f>IF(AH644="","",AH644-T644)</f>
        <v/>
      </c>
      <c r="AO644" s="51">
        <f>IF(AG644=1,1,IF(U644&gt;0,MIN(AF644/U644,0.99),0))</f>
        <v/>
      </c>
      <c r="AP644" s="43">
        <f>IF(AG644=1,AI644*AF644,0)</f>
        <v/>
      </c>
      <c r="AQ644" s="43">
        <f>N644*(F644+G644)/H644</f>
        <v/>
      </c>
      <c r="AR644" s="43">
        <f>O644*AQ644</f>
        <v/>
      </c>
      <c r="AS644" s="52">
        <f>IF(AG644=1,IF(AQ644&gt;0,AF644/AQ644,1),IFERROR(INDEX(Types!$K:$K,MATCH($A644&amp;"|"&amp;$D644,Types!$A:$A,0)),INDEX(Dashboard!$X$6:$X$22,MATCH($A644,Dashboard!$A$6:$A$22,0))))</f>
        <v/>
      </c>
      <c r="AT644" s="43">
        <f>AQ644*INDEX(Dashboard!$Y$6:$Y$22,MATCH($A644,Dashboard!$A$6:$A$22,0))</f>
        <v/>
      </c>
      <c r="AU644" s="53">
        <f>IF(AND(AG644=1,AT644&gt;0,AF644&gt;0),100*AF644/AT644,"")</f>
        <v/>
      </c>
      <c r="AV644" s="44">
        <f>IF(AU644="","",T644/(AU644/100))</f>
        <v/>
      </c>
      <c r="AW644" s="53">
        <f>IF(AU644="","",IF(AND(ABS(AH644)&gt;=0.1,ABS(T644)&gt;=0.05,SIGN(AH644)=SIGN(T644)),100*T644/AH644,""))</f>
        <v/>
      </c>
      <c r="AX644" s="45">
        <f>IF(AU644="","",T644-AV644)</f>
        <v/>
      </c>
      <c r="AY644" s="45">
        <f>IF(AU644="","",AH644-AV644)</f>
        <v/>
      </c>
      <c r="AZ644" s="54">
        <f>(AL644-AM644)-T644*AT644</f>
        <v/>
      </c>
      <c r="BA644" s="43">
        <f>IF(AU644="",0,(AH644-T644)*AF644)</f>
        <v/>
      </c>
      <c r="BB644" s="43">
        <f>IF(AU644="",0,T644*(AF644-AT644))</f>
        <v/>
      </c>
      <c r="BC644" s="51" t="n">
        <v>0.4941687838623772</v>
      </c>
      <c r="BD644" s="51" t="n">
        <v>0.02133521075025253</v>
      </c>
      <c r="BE644" s="51" t="n">
        <v>0.1549462561486609</v>
      </c>
      <c r="BF644" s="43" t="n">
        <v>32669</v>
      </c>
    </row>
    <row r="645">
      <c r="A645" s="42" t="inlineStr">
        <is>
          <t>MS</t>
        </is>
      </c>
      <c r="B645" s="42" t="inlineStr">
        <is>
          <t>28109</t>
        </is>
      </c>
      <c r="C645" s="42" t="inlineStr">
        <is>
          <t>Pearl River</t>
        </is>
      </c>
      <c r="D645" s="42" t="inlineStr">
        <is>
          <t>Small town &amp; rural</t>
        </is>
      </c>
      <c r="E645" s="42" t="inlineStr"/>
      <c r="F645" s="43" t="n">
        <v>3982</v>
      </c>
      <c r="G645" s="43" t="n">
        <v>20438</v>
      </c>
      <c r="H645" s="43" t="n">
        <v>24671</v>
      </c>
      <c r="I645" s="43" t="n">
        <v>4148</v>
      </c>
      <c r="J645" s="43" t="n">
        <v>19595</v>
      </c>
      <c r="K645" s="42" t="inlineStr">
        <is>
          <t>US House</t>
        </is>
      </c>
      <c r="L645" s="43" t="n">
        <v>1822</v>
      </c>
      <c r="M645" s="43" t="n">
        <v>11163</v>
      </c>
      <c r="N645" s="43" t="n">
        <v>13207</v>
      </c>
      <c r="O645" s="44">
        <f>IFERROR((F645-G645)/(F645+G645),"")</f>
        <v/>
      </c>
      <c r="P645" s="44">
        <f>IFERROR((I645-J645)/(I645+J645),"")</f>
        <v/>
      </c>
      <c r="Q645" s="45">
        <f>IFERROR(O645-P645,"")</f>
        <v/>
      </c>
      <c r="R645" s="44">
        <f>IFERROR((L645-M645)/(L645+M645),"")</f>
        <v/>
      </c>
      <c r="S645" s="46">
        <f>H645/SUMIFS(Counties!$H$2:$H$1583,Counties!$A$2:$A$1583,$A645)</f>
        <v/>
      </c>
      <c r="T645" s="44">
        <f>O645+INDEX(Dashboard!$F$6:$F$22,MATCH($A645,Dashboard!$A$6:$A$22,0))</f>
        <v/>
      </c>
      <c r="U645" s="43">
        <f>AQ645*INDEX(Dashboard!$G$6:$G$22,MATCH($A645,Dashboard!$A$6:$A$22,0))</f>
        <v/>
      </c>
      <c r="V645" s="47" t="n"/>
      <c r="W645" s="47" t="n"/>
      <c r="X645" s="47" t="n"/>
      <c r="Y645" s="48" t="n"/>
      <c r="Z645" s="49" t="n"/>
      <c r="AA645" s="49" t="n"/>
      <c r="AB645" s="49" t="n"/>
      <c r="AC645" s="50" t="n"/>
      <c r="AD645" s="43">
        <f>IF(Z645&lt;&gt;"",Z645,N(V645))</f>
        <v/>
      </c>
      <c r="AE645" s="43">
        <f>IF(AA645&lt;&gt;"",AA645,N(W645))</f>
        <v/>
      </c>
      <c r="AF645" s="43">
        <f>AD645+AE645</f>
        <v/>
      </c>
      <c r="AG645" s="42">
        <f>IF(UPPER(AC645)="Y",1,IF(AF645=0,0,IF(AND(Z645="",Y645&lt;&gt;""),IF(Y645&gt;=0.999,1,0),IF(AF645&gt;=U645,1,0))))</f>
        <v/>
      </c>
      <c r="AH645" s="44">
        <f>IF(AF645&gt;0,(AD645-AE645)/AF645,"")</f>
        <v/>
      </c>
      <c r="AI645" s="45">
        <f>IF(AG645=1,AH645-O645,"")</f>
        <v/>
      </c>
      <c r="AJ645" s="44">
        <f>IF(AG645=1,AH645,MAX(-1,MIN(1,O645+INDEX(Types!$H:$H,MATCH($A645&amp;"|"&amp;$D645,Types!$A:$A,0)))))</f>
        <v/>
      </c>
      <c r="AK645" s="43">
        <f>IF(AG645=1,AF645,MAX(AQ645*AS645,AF645))</f>
        <v/>
      </c>
      <c r="AL645" s="43">
        <f>IF(AG645=1,AD645,AK645*(1+AJ645)/2)</f>
        <v/>
      </c>
      <c r="AM645" s="43">
        <f>IF(AG645=1,AE645,AK645*(1-AJ645)/2)</f>
        <v/>
      </c>
      <c r="AN645" s="45">
        <f>IF(AH645="","",AH645-T645)</f>
        <v/>
      </c>
      <c r="AO645" s="51">
        <f>IF(AG645=1,1,IF(U645&gt;0,MIN(AF645/U645,0.99),0))</f>
        <v/>
      </c>
      <c r="AP645" s="43">
        <f>IF(AG645=1,AI645*AF645,0)</f>
        <v/>
      </c>
      <c r="AQ645" s="43">
        <f>N645*(F645+G645)/H645</f>
        <v/>
      </c>
      <c r="AR645" s="43">
        <f>O645*AQ645</f>
        <v/>
      </c>
      <c r="AS645" s="52">
        <f>IF(AG645=1,IF(AQ645&gt;0,AF645/AQ645,1),IFERROR(INDEX(Types!$K:$K,MATCH($A645&amp;"|"&amp;$D645,Types!$A:$A,0)),INDEX(Dashboard!$X$6:$X$22,MATCH($A645,Dashboard!$A$6:$A$22,0))))</f>
        <v/>
      </c>
      <c r="AT645" s="43">
        <f>AQ645*INDEX(Dashboard!$Y$6:$Y$22,MATCH($A645,Dashboard!$A$6:$A$22,0))</f>
        <v/>
      </c>
      <c r="AU645" s="53">
        <f>IF(AND(AG645=1,AT645&gt;0,AF645&gt;0),100*AF645/AT645,"")</f>
        <v/>
      </c>
      <c r="AV645" s="44">
        <f>IF(AU645="","",T645/(AU645/100))</f>
        <v/>
      </c>
      <c r="AW645" s="53">
        <f>IF(AU645="","",IF(AND(ABS(AH645)&gt;=0.1,ABS(T645)&gt;=0.05,SIGN(AH645)=SIGN(T645)),100*T645/AH645,""))</f>
        <v/>
      </c>
      <c r="AX645" s="45">
        <f>IF(AU645="","",T645-AV645)</f>
        <v/>
      </c>
      <c r="AY645" s="45">
        <f>IF(AU645="","",AH645-AV645)</f>
        <v/>
      </c>
      <c r="AZ645" s="54">
        <f>(AL645-AM645)-T645*AT645</f>
        <v/>
      </c>
      <c r="BA645" s="43">
        <f>IF(AU645="",0,(AH645-T645)*AF645)</f>
        <v/>
      </c>
      <c r="BB645" s="43">
        <f>IF(AU645="",0,T645*(AF645-AT645))</f>
        <v/>
      </c>
      <c r="BC645" s="51" t="n">
        <v>0.1187001966263065</v>
      </c>
      <c r="BD645" s="51" t="n">
        <v>0.04368898547724999</v>
      </c>
      <c r="BE645" s="51" t="n">
        <v>0.1595862104371487</v>
      </c>
      <c r="BF645" s="43" t="n">
        <v>57978</v>
      </c>
    </row>
    <row r="646">
      <c r="A646" s="42" t="inlineStr">
        <is>
          <t>MS</t>
        </is>
      </c>
      <c r="B646" s="42" t="inlineStr">
        <is>
          <t>28111</t>
        </is>
      </c>
      <c r="C646" s="42" t="inlineStr">
        <is>
          <t>Perry</t>
        </is>
      </c>
      <c r="D646" s="42" t="inlineStr">
        <is>
          <t>Small town &amp; rural</t>
        </is>
      </c>
      <c r="E646" s="42" t="inlineStr"/>
      <c r="F646" s="43" t="n">
        <v>1078</v>
      </c>
      <c r="G646" s="43" t="n">
        <v>4425</v>
      </c>
      <c r="H646" s="43" t="n">
        <v>5539</v>
      </c>
      <c r="I646" s="43" t="n">
        <v>1362</v>
      </c>
      <c r="J646" s="43" t="n">
        <v>4500</v>
      </c>
      <c r="K646" s="42" t="inlineStr">
        <is>
          <t>US House</t>
        </is>
      </c>
      <c r="L646" s="43" t="n">
        <v>715</v>
      </c>
      <c r="M646" s="43" t="n">
        <v>2689</v>
      </c>
      <c r="N646" s="43" t="n">
        <v>3481</v>
      </c>
      <c r="O646" s="44">
        <f>IFERROR((F646-G646)/(F646+G646),"")</f>
        <v/>
      </c>
      <c r="P646" s="44">
        <f>IFERROR((I646-J646)/(I646+J646),"")</f>
        <v/>
      </c>
      <c r="Q646" s="45">
        <f>IFERROR(O646-P646,"")</f>
        <v/>
      </c>
      <c r="R646" s="44">
        <f>IFERROR((L646-M646)/(L646+M646),"")</f>
        <v/>
      </c>
      <c r="S646" s="46">
        <f>H646/SUMIFS(Counties!$H$2:$H$1583,Counties!$A$2:$A$1583,$A646)</f>
        <v/>
      </c>
      <c r="T646" s="44">
        <f>O646+INDEX(Dashboard!$F$6:$F$22,MATCH($A646,Dashboard!$A$6:$A$22,0))</f>
        <v/>
      </c>
      <c r="U646" s="43">
        <f>AQ646*INDEX(Dashboard!$G$6:$G$22,MATCH($A646,Dashboard!$A$6:$A$22,0))</f>
        <v/>
      </c>
      <c r="V646" s="47" t="n"/>
      <c r="W646" s="47" t="n"/>
      <c r="X646" s="47" t="n"/>
      <c r="Y646" s="48" t="n"/>
      <c r="Z646" s="49" t="n"/>
      <c r="AA646" s="49" t="n"/>
      <c r="AB646" s="49" t="n"/>
      <c r="AC646" s="50" t="n"/>
      <c r="AD646" s="43">
        <f>IF(Z646&lt;&gt;"",Z646,N(V646))</f>
        <v/>
      </c>
      <c r="AE646" s="43">
        <f>IF(AA646&lt;&gt;"",AA646,N(W646))</f>
        <v/>
      </c>
      <c r="AF646" s="43">
        <f>AD646+AE646</f>
        <v/>
      </c>
      <c r="AG646" s="42">
        <f>IF(UPPER(AC646)="Y",1,IF(AF646=0,0,IF(AND(Z646="",Y646&lt;&gt;""),IF(Y646&gt;=0.999,1,0),IF(AF646&gt;=U646,1,0))))</f>
        <v/>
      </c>
      <c r="AH646" s="44">
        <f>IF(AF646&gt;0,(AD646-AE646)/AF646,"")</f>
        <v/>
      </c>
      <c r="AI646" s="45">
        <f>IF(AG646=1,AH646-O646,"")</f>
        <v/>
      </c>
      <c r="AJ646" s="44">
        <f>IF(AG646=1,AH646,MAX(-1,MIN(1,O646+INDEX(Types!$H:$H,MATCH($A646&amp;"|"&amp;$D646,Types!$A:$A,0)))))</f>
        <v/>
      </c>
      <c r="AK646" s="43">
        <f>IF(AG646=1,AF646,MAX(AQ646*AS646,AF646))</f>
        <v/>
      </c>
      <c r="AL646" s="43">
        <f>IF(AG646=1,AD646,AK646*(1+AJ646)/2)</f>
        <v/>
      </c>
      <c r="AM646" s="43">
        <f>IF(AG646=1,AE646,AK646*(1-AJ646)/2)</f>
        <v/>
      </c>
      <c r="AN646" s="45">
        <f>IF(AH646="","",AH646-T646)</f>
        <v/>
      </c>
      <c r="AO646" s="51">
        <f>IF(AG646=1,1,IF(U646&gt;0,MIN(AF646/U646,0.99),0))</f>
        <v/>
      </c>
      <c r="AP646" s="43">
        <f>IF(AG646=1,AI646*AF646,0)</f>
        <v/>
      </c>
      <c r="AQ646" s="43">
        <f>N646*(F646+G646)/H646</f>
        <v/>
      </c>
      <c r="AR646" s="43">
        <f>O646*AQ646</f>
        <v/>
      </c>
      <c r="AS646" s="52">
        <f>IF(AG646=1,IF(AQ646&gt;0,AF646/AQ646,1),IFERROR(INDEX(Types!$K:$K,MATCH($A646&amp;"|"&amp;$D646,Types!$A:$A,0)),INDEX(Dashboard!$X$6:$X$22,MATCH($A646,Dashboard!$A$6:$A$22,0))))</f>
        <v/>
      </c>
      <c r="AT646" s="43">
        <f>AQ646*INDEX(Dashboard!$Y$6:$Y$22,MATCH($A646,Dashboard!$A$6:$A$22,0))</f>
        <v/>
      </c>
      <c r="AU646" s="53">
        <f>IF(AND(AG646=1,AT646&gt;0,AF646&gt;0),100*AF646/AT646,"")</f>
        <v/>
      </c>
      <c r="AV646" s="44">
        <f>IF(AU646="","",T646/(AU646/100))</f>
        <v/>
      </c>
      <c r="AW646" s="53">
        <f>IF(AU646="","",IF(AND(ABS(AH646)&gt;=0.1,ABS(T646)&gt;=0.05,SIGN(AH646)=SIGN(T646)),100*T646/AH646,""))</f>
        <v/>
      </c>
      <c r="AX646" s="45">
        <f>IF(AU646="","",T646-AV646)</f>
        <v/>
      </c>
      <c r="AY646" s="45">
        <f>IF(AU646="","",AH646-AV646)</f>
        <v/>
      </c>
      <c r="AZ646" s="54">
        <f>(AL646-AM646)-T646*AT646</f>
        <v/>
      </c>
      <c r="BA646" s="43">
        <f>IF(AU646="",0,(AH646-T646)*AF646)</f>
        <v/>
      </c>
      <c r="BB646" s="43">
        <f>IF(AU646="",0,T646*(AF646-AT646))</f>
        <v/>
      </c>
      <c r="BC646" s="51" t="n">
        <v>0.1873619089703933</v>
      </c>
      <c r="BD646" s="51" t="n">
        <v>0.0205037560760053</v>
      </c>
      <c r="BE646" s="51" t="n">
        <v>0.1138821733044917</v>
      </c>
      <c r="BF646" s="43" t="n">
        <v>11315</v>
      </c>
    </row>
    <row r="647">
      <c r="A647" s="42" t="inlineStr">
        <is>
          <t>MS</t>
        </is>
      </c>
      <c r="B647" s="42" t="inlineStr">
        <is>
          <t>28113</t>
        </is>
      </c>
      <c r="C647" s="42" t="inlineStr">
        <is>
          <t>Pike</t>
        </is>
      </c>
      <c r="D647" s="42" t="inlineStr">
        <is>
          <t>Black Belt</t>
        </is>
      </c>
      <c r="E647" s="42" t="inlineStr"/>
      <c r="F647" s="43" t="n">
        <v>7402</v>
      </c>
      <c r="G647" s="43" t="n">
        <v>7943</v>
      </c>
      <c r="H647" s="43" t="n">
        <v>15485</v>
      </c>
      <c r="I647" s="43" t="n">
        <v>8646</v>
      </c>
      <c r="J647" s="43" t="n">
        <v>8479</v>
      </c>
      <c r="K647" s="42" t="inlineStr">
        <is>
          <t>US House</t>
        </is>
      </c>
      <c r="L647" s="43" t="n">
        <v>3779</v>
      </c>
      <c r="M647" s="43" t="n">
        <v>5607</v>
      </c>
      <c r="N647" s="43" t="n">
        <v>9386</v>
      </c>
      <c r="O647" s="44">
        <f>IFERROR((F647-G647)/(F647+G647),"")</f>
        <v/>
      </c>
      <c r="P647" s="44">
        <f>IFERROR((I647-J647)/(I647+J647),"")</f>
        <v/>
      </c>
      <c r="Q647" s="45">
        <f>IFERROR(O647-P647,"")</f>
        <v/>
      </c>
      <c r="R647" s="44">
        <f>IFERROR((L647-M647)/(L647+M647),"")</f>
        <v/>
      </c>
      <c r="S647" s="46">
        <f>H647/SUMIFS(Counties!$H$2:$H$1583,Counties!$A$2:$A$1583,$A647)</f>
        <v/>
      </c>
      <c r="T647" s="44">
        <f>O647+INDEX(Dashboard!$F$6:$F$22,MATCH($A647,Dashboard!$A$6:$A$22,0))</f>
        <v/>
      </c>
      <c r="U647" s="43">
        <f>AQ647*INDEX(Dashboard!$G$6:$G$22,MATCH($A647,Dashboard!$A$6:$A$22,0))</f>
        <v/>
      </c>
      <c r="V647" s="47" t="n"/>
      <c r="W647" s="47" t="n"/>
      <c r="X647" s="47" t="n"/>
      <c r="Y647" s="48" t="n"/>
      <c r="Z647" s="49" t="n"/>
      <c r="AA647" s="49" t="n"/>
      <c r="AB647" s="49" t="n"/>
      <c r="AC647" s="50" t="n"/>
      <c r="AD647" s="43">
        <f>IF(Z647&lt;&gt;"",Z647,N(V647))</f>
        <v/>
      </c>
      <c r="AE647" s="43">
        <f>IF(AA647&lt;&gt;"",AA647,N(W647))</f>
        <v/>
      </c>
      <c r="AF647" s="43">
        <f>AD647+AE647</f>
        <v/>
      </c>
      <c r="AG647" s="42">
        <f>IF(UPPER(AC647)="Y",1,IF(AF647=0,0,IF(AND(Z647="",Y647&lt;&gt;""),IF(Y647&gt;=0.999,1,0),IF(AF647&gt;=U647,1,0))))</f>
        <v/>
      </c>
      <c r="AH647" s="44">
        <f>IF(AF647&gt;0,(AD647-AE647)/AF647,"")</f>
        <v/>
      </c>
      <c r="AI647" s="45">
        <f>IF(AG647=1,AH647-O647,"")</f>
        <v/>
      </c>
      <c r="AJ647" s="44">
        <f>IF(AG647=1,AH647,MAX(-1,MIN(1,O647+INDEX(Types!$H:$H,MATCH($A647&amp;"|"&amp;$D647,Types!$A:$A,0)))))</f>
        <v/>
      </c>
      <c r="AK647" s="43">
        <f>IF(AG647=1,AF647,MAX(AQ647*AS647,AF647))</f>
        <v/>
      </c>
      <c r="AL647" s="43">
        <f>IF(AG647=1,AD647,AK647*(1+AJ647)/2)</f>
        <v/>
      </c>
      <c r="AM647" s="43">
        <f>IF(AG647=1,AE647,AK647*(1-AJ647)/2)</f>
        <v/>
      </c>
      <c r="AN647" s="45">
        <f>IF(AH647="","",AH647-T647)</f>
        <v/>
      </c>
      <c r="AO647" s="51">
        <f>IF(AG647=1,1,IF(U647&gt;0,MIN(AF647/U647,0.99),0))</f>
        <v/>
      </c>
      <c r="AP647" s="43">
        <f>IF(AG647=1,AI647*AF647,0)</f>
        <v/>
      </c>
      <c r="AQ647" s="43">
        <f>N647*(F647+G647)/H647</f>
        <v/>
      </c>
      <c r="AR647" s="43">
        <f>O647*AQ647</f>
        <v/>
      </c>
      <c r="AS647" s="52">
        <f>IF(AG647=1,IF(AQ647&gt;0,AF647/AQ647,1),IFERROR(INDEX(Types!$K:$K,MATCH($A647&amp;"|"&amp;$D647,Types!$A:$A,0)),INDEX(Dashboard!$X$6:$X$22,MATCH($A647,Dashboard!$A$6:$A$22,0))))</f>
        <v/>
      </c>
      <c r="AT647" s="43">
        <f>AQ647*INDEX(Dashboard!$Y$6:$Y$22,MATCH($A647,Dashboard!$A$6:$A$22,0))</f>
        <v/>
      </c>
      <c r="AU647" s="53">
        <f>IF(AND(AG647=1,AT647&gt;0,AF647&gt;0),100*AF647/AT647,"")</f>
        <v/>
      </c>
      <c r="AV647" s="44">
        <f>IF(AU647="","",T647/(AU647/100))</f>
        <v/>
      </c>
      <c r="AW647" s="53">
        <f>IF(AU647="","",IF(AND(ABS(AH647)&gt;=0.1,ABS(T647)&gt;=0.05,SIGN(AH647)=SIGN(T647)),100*T647/AH647,""))</f>
        <v/>
      </c>
      <c r="AX647" s="45">
        <f>IF(AU647="","",T647-AV647)</f>
        <v/>
      </c>
      <c r="AY647" s="45">
        <f>IF(AU647="","",AH647-AV647)</f>
        <v/>
      </c>
      <c r="AZ647" s="54">
        <f>(AL647-AM647)-T647*AT647</f>
        <v/>
      </c>
      <c r="BA647" s="43">
        <f>IF(AU647="",0,(AH647-T647)*AF647)</f>
        <v/>
      </c>
      <c r="BB647" s="43">
        <f>IF(AU647="",0,T647*(AF647-AT647))</f>
        <v/>
      </c>
      <c r="BC647" s="51" t="n">
        <v>0.5500329999492308</v>
      </c>
      <c r="BD647" s="51" t="n">
        <v>0.01769304970300046</v>
      </c>
      <c r="BE647" s="51" t="n">
        <v>0.1587689680599216</v>
      </c>
      <c r="BF647" s="43" t="n">
        <v>39394</v>
      </c>
    </row>
    <row r="648">
      <c r="A648" s="42" t="inlineStr">
        <is>
          <t>MS</t>
        </is>
      </c>
      <c r="B648" s="42" t="inlineStr">
        <is>
          <t>28115</t>
        </is>
      </c>
      <c r="C648" s="42" t="inlineStr">
        <is>
          <t>Pontotoc</t>
        </is>
      </c>
      <c r="D648" s="42" t="inlineStr">
        <is>
          <t>Small town &amp; rural</t>
        </is>
      </c>
      <c r="E648" s="42" t="inlineStr"/>
      <c r="F648" s="43" t="n">
        <v>2214</v>
      </c>
      <c r="G648" s="43" t="n">
        <v>11740</v>
      </c>
      <c r="H648" s="43" t="n">
        <v>14068</v>
      </c>
      <c r="I648" s="43" t="n">
        <v>2614</v>
      </c>
      <c r="J648" s="43" t="n">
        <v>11550</v>
      </c>
      <c r="K648" s="42" t="inlineStr">
        <is>
          <t>US House</t>
        </is>
      </c>
      <c r="L648" s="43" t="n">
        <v>882</v>
      </c>
      <c r="M648" s="43" t="n">
        <v>6356</v>
      </c>
      <c r="N648" s="43" t="n">
        <v>7238</v>
      </c>
      <c r="O648" s="44">
        <f>IFERROR((F648-G648)/(F648+G648),"")</f>
        <v/>
      </c>
      <c r="P648" s="44">
        <f>IFERROR((I648-J648)/(I648+J648),"")</f>
        <v/>
      </c>
      <c r="Q648" s="45">
        <f>IFERROR(O648-P648,"")</f>
        <v/>
      </c>
      <c r="R648" s="44">
        <f>IFERROR((L648-M648)/(L648+M648),"")</f>
        <v/>
      </c>
      <c r="S648" s="46">
        <f>H648/SUMIFS(Counties!$H$2:$H$1583,Counties!$A$2:$A$1583,$A648)</f>
        <v/>
      </c>
      <c r="T648" s="44">
        <f>O648+INDEX(Dashboard!$F$6:$F$22,MATCH($A648,Dashboard!$A$6:$A$22,0))</f>
        <v/>
      </c>
      <c r="U648" s="43">
        <f>AQ648*INDEX(Dashboard!$G$6:$G$22,MATCH($A648,Dashboard!$A$6:$A$22,0))</f>
        <v/>
      </c>
      <c r="V648" s="47" t="n"/>
      <c r="W648" s="47" t="n"/>
      <c r="X648" s="47" t="n"/>
      <c r="Y648" s="48" t="n"/>
      <c r="Z648" s="49" t="n"/>
      <c r="AA648" s="49" t="n"/>
      <c r="AB648" s="49" t="n"/>
      <c r="AC648" s="50" t="n"/>
      <c r="AD648" s="43">
        <f>IF(Z648&lt;&gt;"",Z648,N(V648))</f>
        <v/>
      </c>
      <c r="AE648" s="43">
        <f>IF(AA648&lt;&gt;"",AA648,N(W648))</f>
        <v/>
      </c>
      <c r="AF648" s="43">
        <f>AD648+AE648</f>
        <v/>
      </c>
      <c r="AG648" s="42">
        <f>IF(UPPER(AC648)="Y",1,IF(AF648=0,0,IF(AND(Z648="",Y648&lt;&gt;""),IF(Y648&gt;=0.999,1,0),IF(AF648&gt;=U648,1,0))))</f>
        <v/>
      </c>
      <c r="AH648" s="44">
        <f>IF(AF648&gt;0,(AD648-AE648)/AF648,"")</f>
        <v/>
      </c>
      <c r="AI648" s="45">
        <f>IF(AG648=1,AH648-O648,"")</f>
        <v/>
      </c>
      <c r="AJ648" s="44">
        <f>IF(AG648=1,AH648,MAX(-1,MIN(1,O648+INDEX(Types!$H:$H,MATCH($A648&amp;"|"&amp;$D648,Types!$A:$A,0)))))</f>
        <v/>
      </c>
      <c r="AK648" s="43">
        <f>IF(AG648=1,AF648,MAX(AQ648*AS648,AF648))</f>
        <v/>
      </c>
      <c r="AL648" s="43">
        <f>IF(AG648=1,AD648,AK648*(1+AJ648)/2)</f>
        <v/>
      </c>
      <c r="AM648" s="43">
        <f>IF(AG648=1,AE648,AK648*(1-AJ648)/2)</f>
        <v/>
      </c>
      <c r="AN648" s="45">
        <f>IF(AH648="","",AH648-T648)</f>
        <v/>
      </c>
      <c r="AO648" s="51">
        <f>IF(AG648=1,1,IF(U648&gt;0,MIN(AF648/U648,0.99),0))</f>
        <v/>
      </c>
      <c r="AP648" s="43">
        <f>IF(AG648=1,AI648*AF648,0)</f>
        <v/>
      </c>
      <c r="AQ648" s="43">
        <f>N648*(F648+G648)/H648</f>
        <v/>
      </c>
      <c r="AR648" s="43">
        <f>O648*AQ648</f>
        <v/>
      </c>
      <c r="AS648" s="52">
        <f>IF(AG648=1,IF(AQ648&gt;0,AF648/AQ648,1),IFERROR(INDEX(Types!$K:$K,MATCH($A648&amp;"|"&amp;$D648,Types!$A:$A,0)),INDEX(Dashboard!$X$6:$X$22,MATCH($A648,Dashboard!$A$6:$A$22,0))))</f>
        <v/>
      </c>
      <c r="AT648" s="43">
        <f>AQ648*INDEX(Dashboard!$Y$6:$Y$22,MATCH($A648,Dashboard!$A$6:$A$22,0))</f>
        <v/>
      </c>
      <c r="AU648" s="53">
        <f>IF(AND(AG648=1,AT648&gt;0,AF648&gt;0),100*AF648/AT648,"")</f>
        <v/>
      </c>
      <c r="AV648" s="44">
        <f>IF(AU648="","",T648/(AU648/100))</f>
        <v/>
      </c>
      <c r="AW648" s="53">
        <f>IF(AU648="","",IF(AND(ABS(AH648)&gt;=0.1,ABS(T648)&gt;=0.05,SIGN(AH648)=SIGN(T648)),100*T648/AH648,""))</f>
        <v/>
      </c>
      <c r="AX648" s="45">
        <f>IF(AU648="","",T648-AV648)</f>
        <v/>
      </c>
      <c r="AY648" s="45">
        <f>IF(AU648="","",AH648-AV648)</f>
        <v/>
      </c>
      <c r="AZ648" s="54">
        <f>(AL648-AM648)-T648*AT648</f>
        <v/>
      </c>
      <c r="BA648" s="43">
        <f>IF(AU648="",0,(AH648-T648)*AF648)</f>
        <v/>
      </c>
      <c r="BB648" s="43">
        <f>IF(AU648="",0,T648*(AF648-AT648))</f>
        <v/>
      </c>
      <c r="BC648" s="51" t="n">
        <v>0.1560488346281909</v>
      </c>
      <c r="BD648" s="51" t="n">
        <v>0.07179324560012684</v>
      </c>
      <c r="BE648" s="51" t="n">
        <v>0.1771309165127807</v>
      </c>
      <c r="BF648" s="43" t="n">
        <v>31535</v>
      </c>
    </row>
    <row r="649">
      <c r="A649" s="42" t="inlineStr">
        <is>
          <t>MS</t>
        </is>
      </c>
      <c r="B649" s="42" t="inlineStr">
        <is>
          <t>28117</t>
        </is>
      </c>
      <c r="C649" s="42" t="inlineStr">
        <is>
          <t>Prentiss</t>
        </is>
      </c>
      <c r="D649" s="42" t="inlineStr">
        <is>
          <t>Small town &amp; rural</t>
        </is>
      </c>
      <c r="E649" s="42" t="inlineStr"/>
      <c r="F649" s="43" t="n">
        <v>1727</v>
      </c>
      <c r="G649" s="43" t="n">
        <v>8581</v>
      </c>
      <c r="H649" s="43" t="n">
        <v>10381</v>
      </c>
      <c r="I649" s="43" t="n">
        <v>2153</v>
      </c>
      <c r="J649" s="43" t="n">
        <v>8370</v>
      </c>
      <c r="K649" s="42" t="inlineStr">
        <is>
          <t>US House</t>
        </is>
      </c>
      <c r="L649" s="43" t="n">
        <v>625</v>
      </c>
      <c r="M649" s="43" t="n">
        <v>4177</v>
      </c>
      <c r="N649" s="43" t="n">
        <v>4802</v>
      </c>
      <c r="O649" s="44">
        <f>IFERROR((F649-G649)/(F649+G649),"")</f>
        <v/>
      </c>
      <c r="P649" s="44">
        <f>IFERROR((I649-J649)/(I649+J649),"")</f>
        <v/>
      </c>
      <c r="Q649" s="45">
        <f>IFERROR(O649-P649,"")</f>
        <v/>
      </c>
      <c r="R649" s="44">
        <f>IFERROR((L649-M649)/(L649+M649),"")</f>
        <v/>
      </c>
      <c r="S649" s="46">
        <f>H649/SUMIFS(Counties!$H$2:$H$1583,Counties!$A$2:$A$1583,$A649)</f>
        <v/>
      </c>
      <c r="T649" s="44">
        <f>O649+INDEX(Dashboard!$F$6:$F$22,MATCH($A649,Dashboard!$A$6:$A$22,0))</f>
        <v/>
      </c>
      <c r="U649" s="43">
        <f>AQ649*INDEX(Dashboard!$G$6:$G$22,MATCH($A649,Dashboard!$A$6:$A$22,0))</f>
        <v/>
      </c>
      <c r="V649" s="47" t="n"/>
      <c r="W649" s="47" t="n"/>
      <c r="X649" s="47" t="n"/>
      <c r="Y649" s="48" t="n"/>
      <c r="Z649" s="49" t="n"/>
      <c r="AA649" s="49" t="n"/>
      <c r="AB649" s="49" t="n"/>
      <c r="AC649" s="50" t="n"/>
      <c r="AD649" s="43">
        <f>IF(Z649&lt;&gt;"",Z649,N(V649))</f>
        <v/>
      </c>
      <c r="AE649" s="43">
        <f>IF(AA649&lt;&gt;"",AA649,N(W649))</f>
        <v/>
      </c>
      <c r="AF649" s="43">
        <f>AD649+AE649</f>
        <v/>
      </c>
      <c r="AG649" s="42">
        <f>IF(UPPER(AC649)="Y",1,IF(AF649=0,0,IF(AND(Z649="",Y649&lt;&gt;""),IF(Y649&gt;=0.999,1,0),IF(AF649&gt;=U649,1,0))))</f>
        <v/>
      </c>
      <c r="AH649" s="44">
        <f>IF(AF649&gt;0,(AD649-AE649)/AF649,"")</f>
        <v/>
      </c>
      <c r="AI649" s="45">
        <f>IF(AG649=1,AH649-O649,"")</f>
        <v/>
      </c>
      <c r="AJ649" s="44">
        <f>IF(AG649=1,AH649,MAX(-1,MIN(1,O649+INDEX(Types!$H:$H,MATCH($A649&amp;"|"&amp;$D649,Types!$A:$A,0)))))</f>
        <v/>
      </c>
      <c r="AK649" s="43">
        <f>IF(AG649=1,AF649,MAX(AQ649*AS649,AF649))</f>
        <v/>
      </c>
      <c r="AL649" s="43">
        <f>IF(AG649=1,AD649,AK649*(1+AJ649)/2)</f>
        <v/>
      </c>
      <c r="AM649" s="43">
        <f>IF(AG649=1,AE649,AK649*(1-AJ649)/2)</f>
        <v/>
      </c>
      <c r="AN649" s="45">
        <f>IF(AH649="","",AH649-T649)</f>
        <v/>
      </c>
      <c r="AO649" s="51">
        <f>IF(AG649=1,1,IF(U649&gt;0,MIN(AF649/U649,0.99),0))</f>
        <v/>
      </c>
      <c r="AP649" s="43">
        <f>IF(AG649=1,AI649*AF649,0)</f>
        <v/>
      </c>
      <c r="AQ649" s="43">
        <f>N649*(F649+G649)/H649</f>
        <v/>
      </c>
      <c r="AR649" s="43">
        <f>O649*AQ649</f>
        <v/>
      </c>
      <c r="AS649" s="52">
        <f>IF(AG649=1,IF(AQ649&gt;0,AF649/AQ649,1),IFERROR(INDEX(Types!$K:$K,MATCH($A649&amp;"|"&amp;$D649,Types!$A:$A,0)),INDEX(Dashboard!$X$6:$X$22,MATCH($A649,Dashboard!$A$6:$A$22,0))))</f>
        <v/>
      </c>
      <c r="AT649" s="43">
        <f>AQ649*INDEX(Dashboard!$Y$6:$Y$22,MATCH($A649,Dashboard!$A$6:$A$22,0))</f>
        <v/>
      </c>
      <c r="AU649" s="53">
        <f>IF(AND(AG649=1,AT649&gt;0,AF649&gt;0),100*AF649/AT649,"")</f>
        <v/>
      </c>
      <c r="AV649" s="44">
        <f>IF(AU649="","",T649/(AU649/100))</f>
        <v/>
      </c>
      <c r="AW649" s="53">
        <f>IF(AU649="","",IF(AND(ABS(AH649)&gt;=0.1,ABS(T649)&gt;=0.05,SIGN(AH649)=SIGN(T649)),100*T649/AH649,""))</f>
        <v/>
      </c>
      <c r="AX649" s="45">
        <f>IF(AU649="","",T649-AV649)</f>
        <v/>
      </c>
      <c r="AY649" s="45">
        <f>IF(AU649="","",AH649-AV649)</f>
        <v/>
      </c>
      <c r="AZ649" s="54">
        <f>(AL649-AM649)-T649*AT649</f>
        <v/>
      </c>
      <c r="BA649" s="43">
        <f>IF(AU649="",0,(AH649-T649)*AF649)</f>
        <v/>
      </c>
      <c r="BB649" s="43">
        <f>IF(AU649="",0,T649*(AF649-AT649))</f>
        <v/>
      </c>
      <c r="BC649" s="51" t="n">
        <v>0.1518201710761886</v>
      </c>
      <c r="BD649" s="51" t="n">
        <v>0.01547642729261985</v>
      </c>
      <c r="BE649" s="51" t="n">
        <v>0.1855750721847931</v>
      </c>
      <c r="BF649" s="43" t="n">
        <v>25135</v>
      </c>
    </row>
    <row r="650">
      <c r="A650" s="42" t="inlineStr">
        <is>
          <t>MS</t>
        </is>
      </c>
      <c r="B650" s="42" t="inlineStr">
        <is>
          <t>28119</t>
        </is>
      </c>
      <c r="C650" s="42" t="inlineStr">
        <is>
          <t>Quitman</t>
        </is>
      </c>
      <c r="D650" s="42" t="inlineStr">
        <is>
          <t>Black Belt</t>
        </is>
      </c>
      <c r="E650" s="42" t="inlineStr"/>
      <c r="F650" s="43" t="n">
        <v>1725</v>
      </c>
      <c r="G650" s="43" t="n">
        <v>902</v>
      </c>
      <c r="H650" s="43" t="n">
        <v>2677</v>
      </c>
      <c r="I650" s="43" t="n">
        <v>2150</v>
      </c>
      <c r="J650" s="43" t="n">
        <v>1026</v>
      </c>
      <c r="K650" s="42" t="inlineStr">
        <is>
          <t>US House</t>
        </is>
      </c>
      <c r="L650" s="43" t="n">
        <v>1009</v>
      </c>
      <c r="M650" s="43" t="n">
        <v>460</v>
      </c>
      <c r="N650" s="43" t="n">
        <v>1469</v>
      </c>
      <c r="O650" s="44">
        <f>IFERROR((F650-G650)/(F650+G650),"")</f>
        <v/>
      </c>
      <c r="P650" s="44">
        <f>IFERROR((I650-J650)/(I650+J650),"")</f>
        <v/>
      </c>
      <c r="Q650" s="45">
        <f>IFERROR(O650-P650,"")</f>
        <v/>
      </c>
      <c r="R650" s="44">
        <f>IFERROR((L650-M650)/(L650+M650),"")</f>
        <v/>
      </c>
      <c r="S650" s="46">
        <f>H650/SUMIFS(Counties!$H$2:$H$1583,Counties!$A$2:$A$1583,$A650)</f>
        <v/>
      </c>
      <c r="T650" s="44">
        <f>O650+INDEX(Dashboard!$F$6:$F$22,MATCH($A650,Dashboard!$A$6:$A$22,0))</f>
        <v/>
      </c>
      <c r="U650" s="43">
        <f>AQ650*INDEX(Dashboard!$G$6:$G$22,MATCH($A650,Dashboard!$A$6:$A$22,0))</f>
        <v/>
      </c>
      <c r="V650" s="47" t="n"/>
      <c r="W650" s="47" t="n"/>
      <c r="X650" s="47" t="n"/>
      <c r="Y650" s="48" t="n"/>
      <c r="Z650" s="49" t="n"/>
      <c r="AA650" s="49" t="n"/>
      <c r="AB650" s="49" t="n"/>
      <c r="AC650" s="50" t="n"/>
      <c r="AD650" s="43">
        <f>IF(Z650&lt;&gt;"",Z650,N(V650))</f>
        <v/>
      </c>
      <c r="AE650" s="43">
        <f>IF(AA650&lt;&gt;"",AA650,N(W650))</f>
        <v/>
      </c>
      <c r="AF650" s="43">
        <f>AD650+AE650</f>
        <v/>
      </c>
      <c r="AG650" s="42">
        <f>IF(UPPER(AC650)="Y",1,IF(AF650=0,0,IF(AND(Z650="",Y650&lt;&gt;""),IF(Y650&gt;=0.999,1,0),IF(AF650&gt;=U650,1,0))))</f>
        <v/>
      </c>
      <c r="AH650" s="44">
        <f>IF(AF650&gt;0,(AD650-AE650)/AF650,"")</f>
        <v/>
      </c>
      <c r="AI650" s="45">
        <f>IF(AG650=1,AH650-O650,"")</f>
        <v/>
      </c>
      <c r="AJ650" s="44">
        <f>IF(AG650=1,AH650,MAX(-1,MIN(1,O650+INDEX(Types!$H:$H,MATCH($A650&amp;"|"&amp;$D650,Types!$A:$A,0)))))</f>
        <v/>
      </c>
      <c r="AK650" s="43">
        <f>IF(AG650=1,AF650,MAX(AQ650*AS650,AF650))</f>
        <v/>
      </c>
      <c r="AL650" s="43">
        <f>IF(AG650=1,AD650,AK650*(1+AJ650)/2)</f>
        <v/>
      </c>
      <c r="AM650" s="43">
        <f>IF(AG650=1,AE650,AK650*(1-AJ650)/2)</f>
        <v/>
      </c>
      <c r="AN650" s="45">
        <f>IF(AH650="","",AH650-T650)</f>
        <v/>
      </c>
      <c r="AO650" s="51">
        <f>IF(AG650=1,1,IF(U650&gt;0,MIN(AF650/U650,0.99),0))</f>
        <v/>
      </c>
      <c r="AP650" s="43">
        <f>IF(AG650=1,AI650*AF650,0)</f>
        <v/>
      </c>
      <c r="AQ650" s="43">
        <f>N650*(F650+G650)/H650</f>
        <v/>
      </c>
      <c r="AR650" s="43">
        <f>O650*AQ650</f>
        <v/>
      </c>
      <c r="AS650" s="52">
        <f>IF(AG650=1,IF(AQ650&gt;0,AF650/AQ650,1),IFERROR(INDEX(Types!$K:$K,MATCH($A650&amp;"|"&amp;$D650,Types!$A:$A,0)),INDEX(Dashboard!$X$6:$X$22,MATCH($A650,Dashboard!$A$6:$A$22,0))))</f>
        <v/>
      </c>
      <c r="AT650" s="43">
        <f>AQ650*INDEX(Dashboard!$Y$6:$Y$22,MATCH($A650,Dashboard!$A$6:$A$22,0))</f>
        <v/>
      </c>
      <c r="AU650" s="53">
        <f>IF(AND(AG650=1,AT650&gt;0,AF650&gt;0),100*AF650/AT650,"")</f>
        <v/>
      </c>
      <c r="AV650" s="44">
        <f>IF(AU650="","",T650/(AU650/100))</f>
        <v/>
      </c>
      <c r="AW650" s="53">
        <f>IF(AU650="","",IF(AND(ABS(AH650)&gt;=0.1,ABS(T650)&gt;=0.05,SIGN(AH650)=SIGN(T650)),100*T650/AH650,""))</f>
        <v/>
      </c>
      <c r="AX650" s="45">
        <f>IF(AU650="","",T650-AV650)</f>
        <v/>
      </c>
      <c r="AY650" s="45">
        <f>IF(AU650="","",AH650-AV650)</f>
        <v/>
      </c>
      <c r="AZ650" s="54">
        <f>(AL650-AM650)-T650*AT650</f>
        <v/>
      </c>
      <c r="BA650" s="43">
        <f>IF(AU650="",0,(AH650-T650)*AF650)</f>
        <v/>
      </c>
      <c r="BB650" s="43">
        <f>IF(AU650="",0,T650*(AF650-AT650))</f>
        <v/>
      </c>
      <c r="BC650" s="51" t="n">
        <v>0.7304363505228993</v>
      </c>
      <c r="BD650" s="51" t="n">
        <v>0.005589614136314461</v>
      </c>
      <c r="BE650" s="51" t="n">
        <v>0.1524090462143559</v>
      </c>
      <c r="BF650" s="43" t="n">
        <v>5546</v>
      </c>
    </row>
    <row r="651">
      <c r="A651" s="42" t="inlineStr">
        <is>
          <t>MS</t>
        </is>
      </c>
      <c r="B651" s="42" t="inlineStr">
        <is>
          <t>28121</t>
        </is>
      </c>
      <c r="C651" s="42" t="inlineStr">
        <is>
          <t>Rankin</t>
        </is>
      </c>
      <c r="D651" s="42" t="inlineStr">
        <is>
          <t>Mid-size/working metro</t>
        </is>
      </c>
      <c r="E651" s="42" t="inlineStr">
        <is>
          <t>★</t>
        </is>
      </c>
      <c r="F651" s="43" t="n">
        <v>18060</v>
      </c>
      <c r="G651" s="43" t="n">
        <v>50896</v>
      </c>
      <c r="H651" s="43" t="n">
        <v>69678</v>
      </c>
      <c r="I651" s="43" t="n">
        <v>18847</v>
      </c>
      <c r="J651" s="43" t="n">
        <v>50895</v>
      </c>
      <c r="K651" s="42" t="inlineStr">
        <is>
          <t>US House</t>
        </is>
      </c>
      <c r="L651" s="43" t="n">
        <v>7904</v>
      </c>
      <c r="M651" s="43" t="n">
        <v>30740</v>
      </c>
      <c r="N651" s="43" t="n">
        <v>38644</v>
      </c>
      <c r="O651" s="44">
        <f>IFERROR((F651-G651)/(F651+G651),"")</f>
        <v/>
      </c>
      <c r="P651" s="44">
        <f>IFERROR((I651-J651)/(I651+J651),"")</f>
        <v/>
      </c>
      <c r="Q651" s="45">
        <f>IFERROR(O651-P651,"")</f>
        <v/>
      </c>
      <c r="R651" s="44">
        <f>IFERROR((L651-M651)/(L651+M651),"")</f>
        <v/>
      </c>
      <c r="S651" s="46">
        <f>H651/SUMIFS(Counties!$H$2:$H$1583,Counties!$A$2:$A$1583,$A651)</f>
        <v/>
      </c>
      <c r="T651" s="44">
        <f>O651+INDEX(Dashboard!$F$6:$F$22,MATCH($A651,Dashboard!$A$6:$A$22,0))</f>
        <v/>
      </c>
      <c r="U651" s="43">
        <f>AQ651*INDEX(Dashboard!$G$6:$G$22,MATCH($A651,Dashboard!$A$6:$A$22,0))</f>
        <v/>
      </c>
      <c r="V651" s="47" t="n"/>
      <c r="W651" s="47" t="n"/>
      <c r="X651" s="47" t="n"/>
      <c r="Y651" s="48" t="n"/>
      <c r="Z651" s="49" t="n"/>
      <c r="AA651" s="49" t="n"/>
      <c r="AB651" s="49" t="n"/>
      <c r="AC651" s="50" t="n"/>
      <c r="AD651" s="43">
        <f>IF(Z651&lt;&gt;"",Z651,N(V651))</f>
        <v/>
      </c>
      <c r="AE651" s="43">
        <f>IF(AA651&lt;&gt;"",AA651,N(W651))</f>
        <v/>
      </c>
      <c r="AF651" s="43">
        <f>AD651+AE651</f>
        <v/>
      </c>
      <c r="AG651" s="42">
        <f>IF(UPPER(AC651)="Y",1,IF(AF651=0,0,IF(AND(Z651="",Y651&lt;&gt;""),IF(Y651&gt;=0.999,1,0),IF(AF651&gt;=U651,1,0))))</f>
        <v/>
      </c>
      <c r="AH651" s="44">
        <f>IF(AF651&gt;0,(AD651-AE651)/AF651,"")</f>
        <v/>
      </c>
      <c r="AI651" s="45">
        <f>IF(AG651=1,AH651-O651,"")</f>
        <v/>
      </c>
      <c r="AJ651" s="44">
        <f>IF(AG651=1,AH651,MAX(-1,MIN(1,O651+INDEX(Types!$H:$H,MATCH($A651&amp;"|"&amp;$D651,Types!$A:$A,0)))))</f>
        <v/>
      </c>
      <c r="AK651" s="43">
        <f>IF(AG651=1,AF651,MAX(AQ651*AS651,AF651))</f>
        <v/>
      </c>
      <c r="AL651" s="43">
        <f>IF(AG651=1,AD651,AK651*(1+AJ651)/2)</f>
        <v/>
      </c>
      <c r="AM651" s="43">
        <f>IF(AG651=1,AE651,AK651*(1-AJ651)/2)</f>
        <v/>
      </c>
      <c r="AN651" s="45">
        <f>IF(AH651="","",AH651-T651)</f>
        <v/>
      </c>
      <c r="AO651" s="51">
        <f>IF(AG651=1,1,IF(U651&gt;0,MIN(AF651/U651,0.99),0))</f>
        <v/>
      </c>
      <c r="AP651" s="43">
        <f>IF(AG651=1,AI651*AF651,0)</f>
        <v/>
      </c>
      <c r="AQ651" s="43">
        <f>N651*(F651+G651)/H651</f>
        <v/>
      </c>
      <c r="AR651" s="43">
        <f>O651*AQ651</f>
        <v/>
      </c>
      <c r="AS651" s="52">
        <f>IF(AG651=1,IF(AQ651&gt;0,AF651/AQ651,1),IFERROR(INDEX(Types!$K:$K,MATCH($A651&amp;"|"&amp;$D651,Types!$A:$A,0)),INDEX(Dashboard!$X$6:$X$22,MATCH($A651,Dashboard!$A$6:$A$22,0))))</f>
        <v/>
      </c>
      <c r="AT651" s="43">
        <f>AQ651*INDEX(Dashboard!$Y$6:$Y$22,MATCH($A651,Dashboard!$A$6:$A$22,0))</f>
        <v/>
      </c>
      <c r="AU651" s="53">
        <f>IF(AND(AG651=1,AT651&gt;0,AF651&gt;0),100*AF651/AT651,"")</f>
        <v/>
      </c>
      <c r="AV651" s="44">
        <f>IF(AU651="","",T651/(AU651/100))</f>
        <v/>
      </c>
      <c r="AW651" s="53">
        <f>IF(AU651="","",IF(AND(ABS(AH651)&gt;=0.1,ABS(T651)&gt;=0.05,SIGN(AH651)=SIGN(T651)),100*T651/AH651,""))</f>
        <v/>
      </c>
      <c r="AX651" s="45">
        <f>IF(AU651="","",T651-AV651)</f>
        <v/>
      </c>
      <c r="AY651" s="45">
        <f>IF(AU651="","",AH651-AV651)</f>
        <v/>
      </c>
      <c r="AZ651" s="54">
        <f>(AL651-AM651)-T651*AT651</f>
        <v/>
      </c>
      <c r="BA651" s="43">
        <f>IF(AU651="",0,(AH651-T651)*AF651)</f>
        <v/>
      </c>
      <c r="BB651" s="43">
        <f>IF(AU651="",0,T651*(AF651-AT651))</f>
        <v/>
      </c>
      <c r="BC651" s="51" t="n">
        <v>0.2299943272845147</v>
      </c>
      <c r="BD651" s="51" t="n">
        <v>0.03292668482766789</v>
      </c>
      <c r="BE651" s="51" t="n">
        <v>0.3278667672151404</v>
      </c>
      <c r="BF651" s="43" t="n">
        <v>160417</v>
      </c>
    </row>
    <row r="652">
      <c r="A652" s="42" t="inlineStr">
        <is>
          <t>MS</t>
        </is>
      </c>
      <c r="B652" s="42" t="inlineStr">
        <is>
          <t>28123</t>
        </is>
      </c>
      <c r="C652" s="42" t="inlineStr">
        <is>
          <t>Scott</t>
        </is>
      </c>
      <c r="D652" s="42" t="inlineStr">
        <is>
          <t>Small town &amp; rural</t>
        </is>
      </c>
      <c r="E652" s="42" t="inlineStr"/>
      <c r="F652" s="43" t="n">
        <v>3729</v>
      </c>
      <c r="G652" s="43" t="n">
        <v>6098</v>
      </c>
      <c r="H652" s="43" t="n">
        <v>9891</v>
      </c>
      <c r="I652" s="43" t="n">
        <v>4330</v>
      </c>
      <c r="J652" s="43" t="n">
        <v>6285</v>
      </c>
      <c r="K652" s="42" t="inlineStr">
        <is>
          <t>US House</t>
        </is>
      </c>
      <c r="L652" s="43" t="n">
        <v>1807</v>
      </c>
      <c r="M652" s="43" t="n">
        <v>3749</v>
      </c>
      <c r="N652" s="43" t="n">
        <v>5556</v>
      </c>
      <c r="O652" s="44">
        <f>IFERROR((F652-G652)/(F652+G652),"")</f>
        <v/>
      </c>
      <c r="P652" s="44">
        <f>IFERROR((I652-J652)/(I652+J652),"")</f>
        <v/>
      </c>
      <c r="Q652" s="45">
        <f>IFERROR(O652-P652,"")</f>
        <v/>
      </c>
      <c r="R652" s="44">
        <f>IFERROR((L652-M652)/(L652+M652),"")</f>
        <v/>
      </c>
      <c r="S652" s="46">
        <f>H652/SUMIFS(Counties!$H$2:$H$1583,Counties!$A$2:$A$1583,$A652)</f>
        <v/>
      </c>
      <c r="T652" s="44">
        <f>O652+INDEX(Dashboard!$F$6:$F$22,MATCH($A652,Dashboard!$A$6:$A$22,0))</f>
        <v/>
      </c>
      <c r="U652" s="43">
        <f>AQ652*INDEX(Dashboard!$G$6:$G$22,MATCH($A652,Dashboard!$A$6:$A$22,0))</f>
        <v/>
      </c>
      <c r="V652" s="47" t="n"/>
      <c r="W652" s="47" t="n"/>
      <c r="X652" s="47" t="n"/>
      <c r="Y652" s="48" t="n"/>
      <c r="Z652" s="49" t="n"/>
      <c r="AA652" s="49" t="n"/>
      <c r="AB652" s="49" t="n"/>
      <c r="AC652" s="50" t="n"/>
      <c r="AD652" s="43">
        <f>IF(Z652&lt;&gt;"",Z652,N(V652))</f>
        <v/>
      </c>
      <c r="AE652" s="43">
        <f>IF(AA652&lt;&gt;"",AA652,N(W652))</f>
        <v/>
      </c>
      <c r="AF652" s="43">
        <f>AD652+AE652</f>
        <v/>
      </c>
      <c r="AG652" s="42">
        <f>IF(UPPER(AC652)="Y",1,IF(AF652=0,0,IF(AND(Z652="",Y652&lt;&gt;""),IF(Y652&gt;=0.999,1,0),IF(AF652&gt;=U652,1,0))))</f>
        <v/>
      </c>
      <c r="AH652" s="44">
        <f>IF(AF652&gt;0,(AD652-AE652)/AF652,"")</f>
        <v/>
      </c>
      <c r="AI652" s="45">
        <f>IF(AG652=1,AH652-O652,"")</f>
        <v/>
      </c>
      <c r="AJ652" s="44">
        <f>IF(AG652=1,AH652,MAX(-1,MIN(1,O652+INDEX(Types!$H:$H,MATCH($A652&amp;"|"&amp;$D652,Types!$A:$A,0)))))</f>
        <v/>
      </c>
      <c r="AK652" s="43">
        <f>IF(AG652=1,AF652,MAX(AQ652*AS652,AF652))</f>
        <v/>
      </c>
      <c r="AL652" s="43">
        <f>IF(AG652=1,AD652,AK652*(1+AJ652)/2)</f>
        <v/>
      </c>
      <c r="AM652" s="43">
        <f>IF(AG652=1,AE652,AK652*(1-AJ652)/2)</f>
        <v/>
      </c>
      <c r="AN652" s="45">
        <f>IF(AH652="","",AH652-T652)</f>
        <v/>
      </c>
      <c r="AO652" s="51">
        <f>IF(AG652=1,1,IF(U652&gt;0,MIN(AF652/U652,0.99),0))</f>
        <v/>
      </c>
      <c r="AP652" s="43">
        <f>IF(AG652=1,AI652*AF652,0)</f>
        <v/>
      </c>
      <c r="AQ652" s="43">
        <f>N652*(F652+G652)/H652</f>
        <v/>
      </c>
      <c r="AR652" s="43">
        <f>O652*AQ652</f>
        <v/>
      </c>
      <c r="AS652" s="52">
        <f>IF(AG652=1,IF(AQ652&gt;0,AF652/AQ652,1),IFERROR(INDEX(Types!$K:$K,MATCH($A652&amp;"|"&amp;$D652,Types!$A:$A,0)),INDEX(Dashboard!$X$6:$X$22,MATCH($A652,Dashboard!$A$6:$A$22,0))))</f>
        <v/>
      </c>
      <c r="AT652" s="43">
        <f>AQ652*INDEX(Dashboard!$Y$6:$Y$22,MATCH($A652,Dashboard!$A$6:$A$22,0))</f>
        <v/>
      </c>
      <c r="AU652" s="53">
        <f>IF(AND(AG652=1,AT652&gt;0,AF652&gt;0),100*AF652/AT652,"")</f>
        <v/>
      </c>
      <c r="AV652" s="44">
        <f>IF(AU652="","",T652/(AU652/100))</f>
        <v/>
      </c>
      <c r="AW652" s="53">
        <f>IF(AU652="","",IF(AND(ABS(AH652)&gt;=0.1,ABS(T652)&gt;=0.05,SIGN(AH652)=SIGN(T652)),100*T652/AH652,""))</f>
        <v/>
      </c>
      <c r="AX652" s="45">
        <f>IF(AU652="","",T652-AV652)</f>
        <v/>
      </c>
      <c r="AY652" s="45">
        <f>IF(AU652="","",AH652-AV652)</f>
        <v/>
      </c>
      <c r="AZ652" s="54">
        <f>(AL652-AM652)-T652*AT652</f>
        <v/>
      </c>
      <c r="BA652" s="43">
        <f>IF(AU652="",0,(AH652-T652)*AF652)</f>
        <v/>
      </c>
      <c r="BB652" s="43">
        <f>IF(AU652="",0,T652*(AF652-AT652))</f>
        <v/>
      </c>
      <c r="BC652" s="51" t="n">
        <v>0.3577634783873196</v>
      </c>
      <c r="BD652" s="51" t="n">
        <v>0.1560330097793289</v>
      </c>
      <c r="BE652" s="51" t="n">
        <v>0.120824085140288</v>
      </c>
      <c r="BF652" s="43" t="n">
        <v>27507</v>
      </c>
    </row>
    <row r="653">
      <c r="A653" s="42" t="inlineStr">
        <is>
          <t>MS</t>
        </is>
      </c>
      <c r="B653" s="42" t="inlineStr">
        <is>
          <t>28125</t>
        </is>
      </c>
      <c r="C653" s="42" t="inlineStr">
        <is>
          <t>Sharkey</t>
        </is>
      </c>
      <c r="D653" s="42" t="inlineStr">
        <is>
          <t>Black Belt</t>
        </is>
      </c>
      <c r="E653" s="42" t="inlineStr"/>
      <c r="F653" s="43" t="n">
        <v>1201</v>
      </c>
      <c r="G653" s="43" t="n">
        <v>551</v>
      </c>
      <c r="H653" s="43" t="n">
        <v>1766</v>
      </c>
      <c r="I653" s="43" t="n">
        <v>1465</v>
      </c>
      <c r="J653" s="43" t="n">
        <v>688</v>
      </c>
      <c r="K653" s="42" t="inlineStr">
        <is>
          <t>US House</t>
        </is>
      </c>
      <c r="L653" s="43" t="n">
        <v>720</v>
      </c>
      <c r="M653" s="43" t="n">
        <v>384</v>
      </c>
      <c r="N653" s="43" t="n">
        <v>1104</v>
      </c>
      <c r="O653" s="44">
        <f>IFERROR((F653-G653)/(F653+G653),"")</f>
        <v/>
      </c>
      <c r="P653" s="44">
        <f>IFERROR((I653-J653)/(I653+J653),"")</f>
        <v/>
      </c>
      <c r="Q653" s="45">
        <f>IFERROR(O653-P653,"")</f>
        <v/>
      </c>
      <c r="R653" s="44">
        <f>IFERROR((L653-M653)/(L653+M653),"")</f>
        <v/>
      </c>
      <c r="S653" s="46">
        <f>H653/SUMIFS(Counties!$H$2:$H$1583,Counties!$A$2:$A$1583,$A653)</f>
        <v/>
      </c>
      <c r="T653" s="44">
        <f>O653+INDEX(Dashboard!$F$6:$F$22,MATCH($A653,Dashboard!$A$6:$A$22,0))</f>
        <v/>
      </c>
      <c r="U653" s="43">
        <f>AQ653*INDEX(Dashboard!$G$6:$G$22,MATCH($A653,Dashboard!$A$6:$A$22,0))</f>
        <v/>
      </c>
      <c r="V653" s="47" t="n"/>
      <c r="W653" s="47" t="n"/>
      <c r="X653" s="47" t="n"/>
      <c r="Y653" s="48" t="n"/>
      <c r="Z653" s="49" t="n"/>
      <c r="AA653" s="49" t="n"/>
      <c r="AB653" s="49" t="n"/>
      <c r="AC653" s="50" t="n"/>
      <c r="AD653" s="43">
        <f>IF(Z653&lt;&gt;"",Z653,N(V653))</f>
        <v/>
      </c>
      <c r="AE653" s="43">
        <f>IF(AA653&lt;&gt;"",AA653,N(W653))</f>
        <v/>
      </c>
      <c r="AF653" s="43">
        <f>AD653+AE653</f>
        <v/>
      </c>
      <c r="AG653" s="42">
        <f>IF(UPPER(AC653)="Y",1,IF(AF653=0,0,IF(AND(Z653="",Y653&lt;&gt;""),IF(Y653&gt;=0.999,1,0),IF(AF653&gt;=U653,1,0))))</f>
        <v/>
      </c>
      <c r="AH653" s="44">
        <f>IF(AF653&gt;0,(AD653-AE653)/AF653,"")</f>
        <v/>
      </c>
      <c r="AI653" s="45">
        <f>IF(AG653=1,AH653-O653,"")</f>
        <v/>
      </c>
      <c r="AJ653" s="44">
        <f>IF(AG653=1,AH653,MAX(-1,MIN(1,O653+INDEX(Types!$H:$H,MATCH($A653&amp;"|"&amp;$D653,Types!$A:$A,0)))))</f>
        <v/>
      </c>
      <c r="AK653" s="43">
        <f>IF(AG653=1,AF653,MAX(AQ653*AS653,AF653))</f>
        <v/>
      </c>
      <c r="AL653" s="43">
        <f>IF(AG653=1,AD653,AK653*(1+AJ653)/2)</f>
        <v/>
      </c>
      <c r="AM653" s="43">
        <f>IF(AG653=1,AE653,AK653*(1-AJ653)/2)</f>
        <v/>
      </c>
      <c r="AN653" s="45">
        <f>IF(AH653="","",AH653-T653)</f>
        <v/>
      </c>
      <c r="AO653" s="51">
        <f>IF(AG653=1,1,IF(U653&gt;0,MIN(AF653/U653,0.99),0))</f>
        <v/>
      </c>
      <c r="AP653" s="43">
        <f>IF(AG653=1,AI653*AF653,0)</f>
        <v/>
      </c>
      <c r="AQ653" s="43">
        <f>N653*(F653+G653)/H653</f>
        <v/>
      </c>
      <c r="AR653" s="43">
        <f>O653*AQ653</f>
        <v/>
      </c>
      <c r="AS653" s="52">
        <f>IF(AG653=1,IF(AQ653&gt;0,AF653/AQ653,1),IFERROR(INDEX(Types!$K:$K,MATCH($A653&amp;"|"&amp;$D653,Types!$A:$A,0)),INDEX(Dashboard!$X$6:$X$22,MATCH($A653,Dashboard!$A$6:$A$22,0))))</f>
        <v/>
      </c>
      <c r="AT653" s="43">
        <f>AQ653*INDEX(Dashboard!$Y$6:$Y$22,MATCH($A653,Dashboard!$A$6:$A$22,0))</f>
        <v/>
      </c>
      <c r="AU653" s="53">
        <f>IF(AND(AG653=1,AT653&gt;0,AF653&gt;0),100*AF653/AT653,"")</f>
        <v/>
      </c>
      <c r="AV653" s="44">
        <f>IF(AU653="","",T653/(AU653/100))</f>
        <v/>
      </c>
      <c r="AW653" s="53">
        <f>IF(AU653="","",IF(AND(ABS(AH653)&gt;=0.1,ABS(T653)&gt;=0.05,SIGN(AH653)=SIGN(T653)),100*T653/AH653,""))</f>
        <v/>
      </c>
      <c r="AX653" s="45">
        <f>IF(AU653="","",T653-AV653)</f>
        <v/>
      </c>
      <c r="AY653" s="45">
        <f>IF(AU653="","",AH653-AV653)</f>
        <v/>
      </c>
      <c r="AZ653" s="54">
        <f>(AL653-AM653)-T653*AT653</f>
        <v/>
      </c>
      <c r="BA653" s="43">
        <f>IF(AU653="",0,(AH653-T653)*AF653)</f>
        <v/>
      </c>
      <c r="BB653" s="43">
        <f>IF(AU653="",0,T653*(AF653-AT653))</f>
        <v/>
      </c>
      <c r="BC653" s="51" t="n">
        <v>0.7203237410071942</v>
      </c>
      <c r="BD653" s="51" t="n">
        <v>0.02727817745803357</v>
      </c>
      <c r="BE653" s="51" t="n">
        <v>0.1544448996312986</v>
      </c>
      <c r="BF653" s="43" t="n">
        <v>3336</v>
      </c>
    </row>
    <row r="654">
      <c r="A654" s="42" t="inlineStr">
        <is>
          <t>MS</t>
        </is>
      </c>
      <c r="B654" s="42" t="inlineStr">
        <is>
          <t>28127</t>
        </is>
      </c>
      <c r="C654" s="42" t="inlineStr">
        <is>
          <t>Simpson</t>
        </is>
      </c>
      <c r="D654" s="42" t="inlineStr">
        <is>
          <t>Small town &amp; rural</t>
        </is>
      </c>
      <c r="E654" s="42" t="inlineStr"/>
      <c r="F654" s="43" t="n">
        <v>3479</v>
      </c>
      <c r="G654" s="43" t="n">
        <v>7552</v>
      </c>
      <c r="H654" s="43" t="n">
        <v>11094</v>
      </c>
      <c r="I654" s="43" t="n">
        <v>4037</v>
      </c>
      <c r="J654" s="43" t="n">
        <v>7635</v>
      </c>
      <c r="K654" s="42" t="inlineStr">
        <is>
          <t>US House</t>
        </is>
      </c>
      <c r="L654" s="43" t="n">
        <v>1897</v>
      </c>
      <c r="M654" s="43" t="n">
        <v>5217</v>
      </c>
      <c r="N654" s="43" t="n">
        <v>7114</v>
      </c>
      <c r="O654" s="44">
        <f>IFERROR((F654-G654)/(F654+G654),"")</f>
        <v/>
      </c>
      <c r="P654" s="44">
        <f>IFERROR((I654-J654)/(I654+J654),"")</f>
        <v/>
      </c>
      <c r="Q654" s="45">
        <f>IFERROR(O654-P654,"")</f>
        <v/>
      </c>
      <c r="R654" s="44">
        <f>IFERROR((L654-M654)/(L654+M654),"")</f>
        <v/>
      </c>
      <c r="S654" s="46">
        <f>H654/SUMIFS(Counties!$H$2:$H$1583,Counties!$A$2:$A$1583,$A654)</f>
        <v/>
      </c>
      <c r="T654" s="44">
        <f>O654+INDEX(Dashboard!$F$6:$F$22,MATCH($A654,Dashboard!$A$6:$A$22,0))</f>
        <v/>
      </c>
      <c r="U654" s="43">
        <f>AQ654*INDEX(Dashboard!$G$6:$G$22,MATCH($A654,Dashboard!$A$6:$A$22,0))</f>
        <v/>
      </c>
      <c r="V654" s="47" t="n"/>
      <c r="W654" s="47" t="n"/>
      <c r="X654" s="47" t="n"/>
      <c r="Y654" s="48" t="n"/>
      <c r="Z654" s="49" t="n"/>
      <c r="AA654" s="49" t="n"/>
      <c r="AB654" s="49" t="n"/>
      <c r="AC654" s="50" t="n"/>
      <c r="AD654" s="43">
        <f>IF(Z654&lt;&gt;"",Z654,N(V654))</f>
        <v/>
      </c>
      <c r="AE654" s="43">
        <f>IF(AA654&lt;&gt;"",AA654,N(W654))</f>
        <v/>
      </c>
      <c r="AF654" s="43">
        <f>AD654+AE654</f>
        <v/>
      </c>
      <c r="AG654" s="42">
        <f>IF(UPPER(AC654)="Y",1,IF(AF654=0,0,IF(AND(Z654="",Y654&lt;&gt;""),IF(Y654&gt;=0.999,1,0),IF(AF654&gt;=U654,1,0))))</f>
        <v/>
      </c>
      <c r="AH654" s="44">
        <f>IF(AF654&gt;0,(AD654-AE654)/AF654,"")</f>
        <v/>
      </c>
      <c r="AI654" s="45">
        <f>IF(AG654=1,AH654-O654,"")</f>
        <v/>
      </c>
      <c r="AJ654" s="44">
        <f>IF(AG654=1,AH654,MAX(-1,MIN(1,O654+INDEX(Types!$H:$H,MATCH($A654&amp;"|"&amp;$D654,Types!$A:$A,0)))))</f>
        <v/>
      </c>
      <c r="AK654" s="43">
        <f>IF(AG654=1,AF654,MAX(AQ654*AS654,AF654))</f>
        <v/>
      </c>
      <c r="AL654" s="43">
        <f>IF(AG654=1,AD654,AK654*(1+AJ654)/2)</f>
        <v/>
      </c>
      <c r="AM654" s="43">
        <f>IF(AG654=1,AE654,AK654*(1-AJ654)/2)</f>
        <v/>
      </c>
      <c r="AN654" s="45">
        <f>IF(AH654="","",AH654-T654)</f>
        <v/>
      </c>
      <c r="AO654" s="51">
        <f>IF(AG654=1,1,IF(U654&gt;0,MIN(AF654/U654,0.99),0))</f>
        <v/>
      </c>
      <c r="AP654" s="43">
        <f>IF(AG654=1,AI654*AF654,0)</f>
        <v/>
      </c>
      <c r="AQ654" s="43">
        <f>N654*(F654+G654)/H654</f>
        <v/>
      </c>
      <c r="AR654" s="43">
        <f>O654*AQ654</f>
        <v/>
      </c>
      <c r="AS654" s="52">
        <f>IF(AG654=1,IF(AQ654&gt;0,AF654/AQ654,1),IFERROR(INDEX(Types!$K:$K,MATCH($A654&amp;"|"&amp;$D654,Types!$A:$A,0)),INDEX(Dashboard!$X$6:$X$22,MATCH($A654,Dashboard!$A$6:$A$22,0))))</f>
        <v/>
      </c>
      <c r="AT654" s="43">
        <f>AQ654*INDEX(Dashboard!$Y$6:$Y$22,MATCH($A654,Dashboard!$A$6:$A$22,0))</f>
        <v/>
      </c>
      <c r="AU654" s="53">
        <f>IF(AND(AG654=1,AT654&gt;0,AF654&gt;0),100*AF654/AT654,"")</f>
        <v/>
      </c>
      <c r="AV654" s="44">
        <f>IF(AU654="","",T654/(AU654/100))</f>
        <v/>
      </c>
      <c r="AW654" s="53">
        <f>IF(AU654="","",IF(AND(ABS(AH654)&gt;=0.1,ABS(T654)&gt;=0.05,SIGN(AH654)=SIGN(T654)),100*T654/AH654,""))</f>
        <v/>
      </c>
      <c r="AX654" s="45">
        <f>IF(AU654="","",T654-AV654)</f>
        <v/>
      </c>
      <c r="AY654" s="45">
        <f>IF(AU654="","",AH654-AV654)</f>
        <v/>
      </c>
      <c r="AZ654" s="54">
        <f>(AL654-AM654)-T654*AT654</f>
        <v/>
      </c>
      <c r="BA654" s="43">
        <f>IF(AU654="",0,(AH654-T654)*AF654)</f>
        <v/>
      </c>
      <c r="BB654" s="43">
        <f>IF(AU654="",0,T654*(AF654-AT654))</f>
        <v/>
      </c>
      <c r="BC654" s="51" t="n">
        <v>0.3466070386933696</v>
      </c>
      <c r="BD654" s="51" t="n">
        <v>0.01862726035387906</v>
      </c>
      <c r="BE654" s="51" t="n">
        <v>0.165016501650165</v>
      </c>
      <c r="BF654" s="43" t="n">
        <v>25715</v>
      </c>
    </row>
    <row r="655">
      <c r="A655" s="42" t="inlineStr">
        <is>
          <t>MS</t>
        </is>
      </c>
      <c r="B655" s="42" t="inlineStr">
        <is>
          <t>28129</t>
        </is>
      </c>
      <c r="C655" s="42" t="inlineStr">
        <is>
          <t>Smith</t>
        </is>
      </c>
      <c r="D655" s="42" t="inlineStr">
        <is>
          <t>Small town &amp; rural</t>
        </is>
      </c>
      <c r="E655" s="42" t="inlineStr"/>
      <c r="F655" s="43" t="n">
        <v>1486</v>
      </c>
      <c r="G655" s="43" t="n">
        <v>6146</v>
      </c>
      <c r="H655" s="43" t="n">
        <v>7676</v>
      </c>
      <c r="I655" s="43" t="n">
        <v>1791</v>
      </c>
      <c r="J655" s="43" t="n">
        <v>6458</v>
      </c>
      <c r="K655" s="42" t="inlineStr">
        <is>
          <t>US House</t>
        </is>
      </c>
      <c r="L655" s="43" t="n">
        <v>694</v>
      </c>
      <c r="M655" s="43" t="n">
        <v>3803</v>
      </c>
      <c r="N655" s="43" t="n">
        <v>4497</v>
      </c>
      <c r="O655" s="44">
        <f>IFERROR((F655-G655)/(F655+G655),"")</f>
        <v/>
      </c>
      <c r="P655" s="44">
        <f>IFERROR((I655-J655)/(I655+J655),"")</f>
        <v/>
      </c>
      <c r="Q655" s="45">
        <f>IFERROR(O655-P655,"")</f>
        <v/>
      </c>
      <c r="R655" s="44">
        <f>IFERROR((L655-M655)/(L655+M655),"")</f>
        <v/>
      </c>
      <c r="S655" s="46">
        <f>H655/SUMIFS(Counties!$H$2:$H$1583,Counties!$A$2:$A$1583,$A655)</f>
        <v/>
      </c>
      <c r="T655" s="44">
        <f>O655+INDEX(Dashboard!$F$6:$F$22,MATCH($A655,Dashboard!$A$6:$A$22,0))</f>
        <v/>
      </c>
      <c r="U655" s="43">
        <f>AQ655*INDEX(Dashboard!$G$6:$G$22,MATCH($A655,Dashboard!$A$6:$A$22,0))</f>
        <v/>
      </c>
      <c r="V655" s="47" t="n"/>
      <c r="W655" s="47" t="n"/>
      <c r="X655" s="47" t="n"/>
      <c r="Y655" s="48" t="n"/>
      <c r="Z655" s="49" t="n"/>
      <c r="AA655" s="49" t="n"/>
      <c r="AB655" s="49" t="n"/>
      <c r="AC655" s="50" t="n"/>
      <c r="AD655" s="43">
        <f>IF(Z655&lt;&gt;"",Z655,N(V655))</f>
        <v/>
      </c>
      <c r="AE655" s="43">
        <f>IF(AA655&lt;&gt;"",AA655,N(W655))</f>
        <v/>
      </c>
      <c r="AF655" s="43">
        <f>AD655+AE655</f>
        <v/>
      </c>
      <c r="AG655" s="42">
        <f>IF(UPPER(AC655)="Y",1,IF(AF655=0,0,IF(AND(Z655="",Y655&lt;&gt;""),IF(Y655&gt;=0.999,1,0),IF(AF655&gt;=U655,1,0))))</f>
        <v/>
      </c>
      <c r="AH655" s="44">
        <f>IF(AF655&gt;0,(AD655-AE655)/AF655,"")</f>
        <v/>
      </c>
      <c r="AI655" s="45">
        <f>IF(AG655=1,AH655-O655,"")</f>
        <v/>
      </c>
      <c r="AJ655" s="44">
        <f>IF(AG655=1,AH655,MAX(-1,MIN(1,O655+INDEX(Types!$H:$H,MATCH($A655&amp;"|"&amp;$D655,Types!$A:$A,0)))))</f>
        <v/>
      </c>
      <c r="AK655" s="43">
        <f>IF(AG655=1,AF655,MAX(AQ655*AS655,AF655))</f>
        <v/>
      </c>
      <c r="AL655" s="43">
        <f>IF(AG655=1,AD655,AK655*(1+AJ655)/2)</f>
        <v/>
      </c>
      <c r="AM655" s="43">
        <f>IF(AG655=1,AE655,AK655*(1-AJ655)/2)</f>
        <v/>
      </c>
      <c r="AN655" s="45">
        <f>IF(AH655="","",AH655-T655)</f>
        <v/>
      </c>
      <c r="AO655" s="51">
        <f>IF(AG655=1,1,IF(U655&gt;0,MIN(AF655/U655,0.99),0))</f>
        <v/>
      </c>
      <c r="AP655" s="43">
        <f>IF(AG655=1,AI655*AF655,0)</f>
        <v/>
      </c>
      <c r="AQ655" s="43">
        <f>N655*(F655+G655)/H655</f>
        <v/>
      </c>
      <c r="AR655" s="43">
        <f>O655*AQ655</f>
        <v/>
      </c>
      <c r="AS655" s="52">
        <f>IF(AG655=1,IF(AQ655&gt;0,AF655/AQ655,1),IFERROR(INDEX(Types!$K:$K,MATCH($A655&amp;"|"&amp;$D655,Types!$A:$A,0)),INDEX(Dashboard!$X$6:$X$22,MATCH($A655,Dashboard!$A$6:$A$22,0))))</f>
        <v/>
      </c>
      <c r="AT655" s="43">
        <f>AQ655*INDEX(Dashboard!$Y$6:$Y$22,MATCH($A655,Dashboard!$A$6:$A$22,0))</f>
        <v/>
      </c>
      <c r="AU655" s="53">
        <f>IF(AND(AG655=1,AT655&gt;0,AF655&gt;0),100*AF655/AT655,"")</f>
        <v/>
      </c>
      <c r="AV655" s="44">
        <f>IF(AU655="","",T655/(AU655/100))</f>
        <v/>
      </c>
      <c r="AW655" s="53">
        <f>IF(AU655="","",IF(AND(ABS(AH655)&gt;=0.1,ABS(T655)&gt;=0.05,SIGN(AH655)=SIGN(T655)),100*T655/AH655,""))</f>
        <v/>
      </c>
      <c r="AX655" s="45">
        <f>IF(AU655="","",T655-AV655)</f>
        <v/>
      </c>
      <c r="AY655" s="45">
        <f>IF(AU655="","",AH655-AV655)</f>
        <v/>
      </c>
      <c r="AZ655" s="54">
        <f>(AL655-AM655)-T655*AT655</f>
        <v/>
      </c>
      <c r="BA655" s="43">
        <f>IF(AU655="",0,(AH655-T655)*AF655)</f>
        <v/>
      </c>
      <c r="BB655" s="43">
        <f>IF(AU655="",0,T655*(AF655-AT655))</f>
        <v/>
      </c>
      <c r="BC655" s="51" t="n">
        <v>0.2382438470813533</v>
      </c>
      <c r="BD655" s="51" t="n">
        <v>0.01773175402510816</v>
      </c>
      <c r="BE655" s="51" t="n">
        <v>0.1404264042640427</v>
      </c>
      <c r="BF655" s="43" t="n">
        <v>14099</v>
      </c>
    </row>
    <row r="656">
      <c r="A656" s="42" t="inlineStr">
        <is>
          <t>MS</t>
        </is>
      </c>
      <c r="B656" s="42" t="inlineStr">
        <is>
          <t>28131</t>
        </is>
      </c>
      <c r="C656" s="42" t="inlineStr">
        <is>
          <t>Stone</t>
        </is>
      </c>
      <c r="D656" s="42" t="inlineStr">
        <is>
          <t>Small town &amp; rural</t>
        </is>
      </c>
      <c r="E656" s="42" t="inlineStr"/>
      <c r="F656" s="43" t="n">
        <v>1620</v>
      </c>
      <c r="G656" s="43" t="n">
        <v>6214</v>
      </c>
      <c r="H656" s="43" t="n">
        <v>7919</v>
      </c>
      <c r="I656" s="43" t="n">
        <v>1802</v>
      </c>
      <c r="J656" s="43" t="n">
        <v>5964</v>
      </c>
      <c r="K656" s="42" t="inlineStr">
        <is>
          <t>US House</t>
        </is>
      </c>
      <c r="L656" s="43" t="n">
        <v>866</v>
      </c>
      <c r="M656" s="43" t="n">
        <v>3819</v>
      </c>
      <c r="N656" s="43" t="n">
        <v>4800</v>
      </c>
      <c r="O656" s="44">
        <f>IFERROR((F656-G656)/(F656+G656),"")</f>
        <v/>
      </c>
      <c r="P656" s="44">
        <f>IFERROR((I656-J656)/(I656+J656),"")</f>
        <v/>
      </c>
      <c r="Q656" s="45">
        <f>IFERROR(O656-P656,"")</f>
        <v/>
      </c>
      <c r="R656" s="44">
        <f>IFERROR((L656-M656)/(L656+M656),"")</f>
        <v/>
      </c>
      <c r="S656" s="46">
        <f>H656/SUMIFS(Counties!$H$2:$H$1583,Counties!$A$2:$A$1583,$A656)</f>
        <v/>
      </c>
      <c r="T656" s="44">
        <f>O656+INDEX(Dashboard!$F$6:$F$22,MATCH($A656,Dashboard!$A$6:$A$22,0))</f>
        <v/>
      </c>
      <c r="U656" s="43">
        <f>AQ656*INDEX(Dashboard!$G$6:$G$22,MATCH($A656,Dashboard!$A$6:$A$22,0))</f>
        <v/>
      </c>
      <c r="V656" s="47" t="n"/>
      <c r="W656" s="47" t="n"/>
      <c r="X656" s="47" t="n"/>
      <c r="Y656" s="48" t="n"/>
      <c r="Z656" s="49" t="n"/>
      <c r="AA656" s="49" t="n"/>
      <c r="AB656" s="49" t="n"/>
      <c r="AC656" s="50" t="n"/>
      <c r="AD656" s="43">
        <f>IF(Z656&lt;&gt;"",Z656,N(V656))</f>
        <v/>
      </c>
      <c r="AE656" s="43">
        <f>IF(AA656&lt;&gt;"",AA656,N(W656))</f>
        <v/>
      </c>
      <c r="AF656" s="43">
        <f>AD656+AE656</f>
        <v/>
      </c>
      <c r="AG656" s="42">
        <f>IF(UPPER(AC656)="Y",1,IF(AF656=0,0,IF(AND(Z656="",Y656&lt;&gt;""),IF(Y656&gt;=0.999,1,0),IF(AF656&gt;=U656,1,0))))</f>
        <v/>
      </c>
      <c r="AH656" s="44">
        <f>IF(AF656&gt;0,(AD656-AE656)/AF656,"")</f>
        <v/>
      </c>
      <c r="AI656" s="45">
        <f>IF(AG656=1,AH656-O656,"")</f>
        <v/>
      </c>
      <c r="AJ656" s="44">
        <f>IF(AG656=1,AH656,MAX(-1,MIN(1,O656+INDEX(Types!$H:$H,MATCH($A656&amp;"|"&amp;$D656,Types!$A:$A,0)))))</f>
        <v/>
      </c>
      <c r="AK656" s="43">
        <f>IF(AG656=1,AF656,MAX(AQ656*AS656,AF656))</f>
        <v/>
      </c>
      <c r="AL656" s="43">
        <f>IF(AG656=1,AD656,AK656*(1+AJ656)/2)</f>
        <v/>
      </c>
      <c r="AM656" s="43">
        <f>IF(AG656=1,AE656,AK656*(1-AJ656)/2)</f>
        <v/>
      </c>
      <c r="AN656" s="45">
        <f>IF(AH656="","",AH656-T656)</f>
        <v/>
      </c>
      <c r="AO656" s="51">
        <f>IF(AG656=1,1,IF(U656&gt;0,MIN(AF656/U656,0.99),0))</f>
        <v/>
      </c>
      <c r="AP656" s="43">
        <f>IF(AG656=1,AI656*AF656,0)</f>
        <v/>
      </c>
      <c r="AQ656" s="43">
        <f>N656*(F656+G656)/H656</f>
        <v/>
      </c>
      <c r="AR656" s="43">
        <f>O656*AQ656</f>
        <v/>
      </c>
      <c r="AS656" s="52">
        <f>IF(AG656=1,IF(AQ656&gt;0,AF656/AQ656,1),IFERROR(INDEX(Types!$K:$K,MATCH($A656&amp;"|"&amp;$D656,Types!$A:$A,0)),INDEX(Dashboard!$X$6:$X$22,MATCH($A656,Dashboard!$A$6:$A$22,0))))</f>
        <v/>
      </c>
      <c r="AT656" s="43">
        <f>AQ656*INDEX(Dashboard!$Y$6:$Y$22,MATCH($A656,Dashboard!$A$6:$A$22,0))</f>
        <v/>
      </c>
      <c r="AU656" s="53">
        <f>IF(AND(AG656=1,AT656&gt;0,AF656&gt;0),100*AF656/AT656,"")</f>
        <v/>
      </c>
      <c r="AV656" s="44">
        <f>IF(AU656="","",T656/(AU656/100))</f>
        <v/>
      </c>
      <c r="AW656" s="53">
        <f>IF(AU656="","",IF(AND(ABS(AH656)&gt;=0.1,ABS(T656)&gt;=0.05,SIGN(AH656)=SIGN(T656)),100*T656/AH656,""))</f>
        <v/>
      </c>
      <c r="AX656" s="45">
        <f>IF(AU656="","",T656-AV656)</f>
        <v/>
      </c>
      <c r="AY656" s="45">
        <f>IF(AU656="","",AH656-AV656)</f>
        <v/>
      </c>
      <c r="AZ656" s="54">
        <f>(AL656-AM656)-T656*AT656</f>
        <v/>
      </c>
      <c r="BA656" s="43">
        <f>IF(AU656="",0,(AH656-T656)*AF656)</f>
        <v/>
      </c>
      <c r="BB656" s="43">
        <f>IF(AU656="",0,T656*(AF656-AT656))</f>
        <v/>
      </c>
      <c r="BC656" s="51" t="n">
        <v>0.1820750693111538</v>
      </c>
      <c r="BD656" s="51" t="n">
        <v>0.02708466624013649</v>
      </c>
      <c r="BE656" s="51" t="n">
        <v>0.145858983829927</v>
      </c>
      <c r="BF656" s="43" t="n">
        <v>18756</v>
      </c>
    </row>
    <row r="657">
      <c r="A657" s="42" t="inlineStr">
        <is>
          <t>MS</t>
        </is>
      </c>
      <c r="B657" s="42" t="inlineStr">
        <is>
          <t>28133</t>
        </is>
      </c>
      <c r="C657" s="42" t="inlineStr">
        <is>
          <t>Sunflower</t>
        </is>
      </c>
      <c r="D657" s="42" t="inlineStr">
        <is>
          <t>Black Belt</t>
        </is>
      </c>
      <c r="E657" s="42" t="inlineStr"/>
      <c r="F657" s="43" t="n">
        <v>5312</v>
      </c>
      <c r="G657" s="43" t="n">
        <v>2515</v>
      </c>
      <c r="H657" s="43" t="n">
        <v>7876</v>
      </c>
      <c r="I657" s="43" t="n">
        <v>6781</v>
      </c>
      <c r="J657" s="43" t="n">
        <v>2799</v>
      </c>
      <c r="K657" s="42" t="inlineStr">
        <is>
          <t>US House</t>
        </is>
      </c>
      <c r="L657" s="43" t="n">
        <v>3192</v>
      </c>
      <c r="M657" s="43" t="n">
        <v>1500</v>
      </c>
      <c r="N657" s="43" t="n">
        <v>4692</v>
      </c>
      <c r="O657" s="44">
        <f>IFERROR((F657-G657)/(F657+G657),"")</f>
        <v/>
      </c>
      <c r="P657" s="44">
        <f>IFERROR((I657-J657)/(I657+J657),"")</f>
        <v/>
      </c>
      <c r="Q657" s="45">
        <f>IFERROR(O657-P657,"")</f>
        <v/>
      </c>
      <c r="R657" s="44">
        <f>IFERROR((L657-M657)/(L657+M657),"")</f>
        <v/>
      </c>
      <c r="S657" s="46">
        <f>H657/SUMIFS(Counties!$H$2:$H$1583,Counties!$A$2:$A$1583,$A657)</f>
        <v/>
      </c>
      <c r="T657" s="44">
        <f>O657+INDEX(Dashboard!$F$6:$F$22,MATCH($A657,Dashboard!$A$6:$A$22,0))</f>
        <v/>
      </c>
      <c r="U657" s="43">
        <f>AQ657*INDEX(Dashboard!$G$6:$G$22,MATCH($A657,Dashboard!$A$6:$A$22,0))</f>
        <v/>
      </c>
      <c r="V657" s="47" t="n"/>
      <c r="W657" s="47" t="n"/>
      <c r="X657" s="47" t="n"/>
      <c r="Y657" s="48" t="n"/>
      <c r="Z657" s="49" t="n"/>
      <c r="AA657" s="49" t="n"/>
      <c r="AB657" s="49" t="n"/>
      <c r="AC657" s="50" t="n"/>
      <c r="AD657" s="43">
        <f>IF(Z657&lt;&gt;"",Z657,N(V657))</f>
        <v/>
      </c>
      <c r="AE657" s="43">
        <f>IF(AA657&lt;&gt;"",AA657,N(W657))</f>
        <v/>
      </c>
      <c r="AF657" s="43">
        <f>AD657+AE657</f>
        <v/>
      </c>
      <c r="AG657" s="42">
        <f>IF(UPPER(AC657)="Y",1,IF(AF657=0,0,IF(AND(Z657="",Y657&lt;&gt;""),IF(Y657&gt;=0.999,1,0),IF(AF657&gt;=U657,1,0))))</f>
        <v/>
      </c>
      <c r="AH657" s="44">
        <f>IF(AF657&gt;0,(AD657-AE657)/AF657,"")</f>
        <v/>
      </c>
      <c r="AI657" s="45">
        <f>IF(AG657=1,AH657-O657,"")</f>
        <v/>
      </c>
      <c r="AJ657" s="44">
        <f>IF(AG657=1,AH657,MAX(-1,MIN(1,O657+INDEX(Types!$H:$H,MATCH($A657&amp;"|"&amp;$D657,Types!$A:$A,0)))))</f>
        <v/>
      </c>
      <c r="AK657" s="43">
        <f>IF(AG657=1,AF657,MAX(AQ657*AS657,AF657))</f>
        <v/>
      </c>
      <c r="AL657" s="43">
        <f>IF(AG657=1,AD657,AK657*(1+AJ657)/2)</f>
        <v/>
      </c>
      <c r="AM657" s="43">
        <f>IF(AG657=1,AE657,AK657*(1-AJ657)/2)</f>
        <v/>
      </c>
      <c r="AN657" s="45">
        <f>IF(AH657="","",AH657-T657)</f>
        <v/>
      </c>
      <c r="AO657" s="51">
        <f>IF(AG657=1,1,IF(U657&gt;0,MIN(AF657/U657,0.99),0))</f>
        <v/>
      </c>
      <c r="AP657" s="43">
        <f>IF(AG657=1,AI657*AF657,0)</f>
        <v/>
      </c>
      <c r="AQ657" s="43">
        <f>N657*(F657+G657)/H657</f>
        <v/>
      </c>
      <c r="AR657" s="43">
        <f>O657*AQ657</f>
        <v/>
      </c>
      <c r="AS657" s="52">
        <f>IF(AG657=1,IF(AQ657&gt;0,AF657/AQ657,1),IFERROR(INDEX(Types!$K:$K,MATCH($A657&amp;"|"&amp;$D657,Types!$A:$A,0)),INDEX(Dashboard!$X$6:$X$22,MATCH($A657,Dashboard!$A$6:$A$22,0))))</f>
        <v/>
      </c>
      <c r="AT657" s="43">
        <f>AQ657*INDEX(Dashboard!$Y$6:$Y$22,MATCH($A657,Dashboard!$A$6:$A$22,0))</f>
        <v/>
      </c>
      <c r="AU657" s="53">
        <f>IF(AND(AG657=1,AT657&gt;0,AF657&gt;0),100*AF657/AT657,"")</f>
        <v/>
      </c>
      <c r="AV657" s="44">
        <f>IF(AU657="","",T657/(AU657/100))</f>
        <v/>
      </c>
      <c r="AW657" s="53">
        <f>IF(AU657="","",IF(AND(ABS(AH657)&gt;=0.1,ABS(T657)&gt;=0.05,SIGN(AH657)=SIGN(T657)),100*T657/AH657,""))</f>
        <v/>
      </c>
      <c r="AX657" s="45">
        <f>IF(AU657="","",T657-AV657)</f>
        <v/>
      </c>
      <c r="AY657" s="45">
        <f>IF(AU657="","",AH657-AV657)</f>
        <v/>
      </c>
      <c r="AZ657" s="54">
        <f>(AL657-AM657)-T657*AT657</f>
        <v/>
      </c>
      <c r="BA657" s="43">
        <f>IF(AU657="",0,(AH657-T657)*AF657)</f>
        <v/>
      </c>
      <c r="BB657" s="43">
        <f>IF(AU657="",0,T657*(AF657-AT657))</f>
        <v/>
      </c>
      <c r="BC657" s="51" t="n">
        <v>0.7276851397743992</v>
      </c>
      <c r="BD657" s="51" t="n">
        <v>0.0273418342324669</v>
      </c>
      <c r="BE657" s="51" t="n">
        <v>0.1690238411360619</v>
      </c>
      <c r="BF657" s="43" t="n">
        <v>24468</v>
      </c>
    </row>
    <row r="658">
      <c r="A658" s="42" t="inlineStr">
        <is>
          <t>MS</t>
        </is>
      </c>
      <c r="B658" s="42" t="inlineStr">
        <is>
          <t>28135</t>
        </is>
      </c>
      <c r="C658" s="42" t="inlineStr">
        <is>
          <t>Tallahatchie</t>
        </is>
      </c>
      <c r="D658" s="42" t="inlineStr">
        <is>
          <t>Black Belt</t>
        </is>
      </c>
      <c r="E658" s="42" t="inlineStr"/>
      <c r="F658" s="43" t="n">
        <v>2630</v>
      </c>
      <c r="G658" s="43" t="n">
        <v>2333</v>
      </c>
      <c r="H658" s="43" t="n">
        <v>5012</v>
      </c>
      <c r="I658" s="43" t="n">
        <v>3105</v>
      </c>
      <c r="J658" s="43" t="n">
        <v>2488</v>
      </c>
      <c r="K658" s="42" t="inlineStr">
        <is>
          <t>US House</t>
        </is>
      </c>
      <c r="L658" s="43" t="n">
        <v>1775</v>
      </c>
      <c r="M658" s="43" t="n">
        <v>1340</v>
      </c>
      <c r="N658" s="43" t="n">
        <v>3115</v>
      </c>
      <c r="O658" s="44">
        <f>IFERROR((F658-G658)/(F658+G658),"")</f>
        <v/>
      </c>
      <c r="P658" s="44">
        <f>IFERROR((I658-J658)/(I658+J658),"")</f>
        <v/>
      </c>
      <c r="Q658" s="45">
        <f>IFERROR(O658-P658,"")</f>
        <v/>
      </c>
      <c r="R658" s="44">
        <f>IFERROR((L658-M658)/(L658+M658),"")</f>
        <v/>
      </c>
      <c r="S658" s="46">
        <f>H658/SUMIFS(Counties!$H$2:$H$1583,Counties!$A$2:$A$1583,$A658)</f>
        <v/>
      </c>
      <c r="T658" s="44">
        <f>O658+INDEX(Dashboard!$F$6:$F$22,MATCH($A658,Dashboard!$A$6:$A$22,0))</f>
        <v/>
      </c>
      <c r="U658" s="43">
        <f>AQ658*INDEX(Dashboard!$G$6:$G$22,MATCH($A658,Dashboard!$A$6:$A$22,0))</f>
        <v/>
      </c>
      <c r="V658" s="47" t="n"/>
      <c r="W658" s="47" t="n"/>
      <c r="X658" s="47" t="n"/>
      <c r="Y658" s="48" t="n"/>
      <c r="Z658" s="49" t="n"/>
      <c r="AA658" s="49" t="n"/>
      <c r="AB658" s="49" t="n"/>
      <c r="AC658" s="50" t="n"/>
      <c r="AD658" s="43">
        <f>IF(Z658&lt;&gt;"",Z658,N(V658))</f>
        <v/>
      </c>
      <c r="AE658" s="43">
        <f>IF(AA658&lt;&gt;"",AA658,N(W658))</f>
        <v/>
      </c>
      <c r="AF658" s="43">
        <f>AD658+AE658</f>
        <v/>
      </c>
      <c r="AG658" s="42">
        <f>IF(UPPER(AC658)="Y",1,IF(AF658=0,0,IF(AND(Z658="",Y658&lt;&gt;""),IF(Y658&gt;=0.999,1,0),IF(AF658&gt;=U658,1,0))))</f>
        <v/>
      </c>
      <c r="AH658" s="44">
        <f>IF(AF658&gt;0,(AD658-AE658)/AF658,"")</f>
        <v/>
      </c>
      <c r="AI658" s="45">
        <f>IF(AG658=1,AH658-O658,"")</f>
        <v/>
      </c>
      <c r="AJ658" s="44">
        <f>IF(AG658=1,AH658,MAX(-1,MIN(1,O658+INDEX(Types!$H:$H,MATCH($A658&amp;"|"&amp;$D658,Types!$A:$A,0)))))</f>
        <v/>
      </c>
      <c r="AK658" s="43">
        <f>IF(AG658=1,AF658,MAX(AQ658*AS658,AF658))</f>
        <v/>
      </c>
      <c r="AL658" s="43">
        <f>IF(AG658=1,AD658,AK658*(1+AJ658)/2)</f>
        <v/>
      </c>
      <c r="AM658" s="43">
        <f>IF(AG658=1,AE658,AK658*(1-AJ658)/2)</f>
        <v/>
      </c>
      <c r="AN658" s="45">
        <f>IF(AH658="","",AH658-T658)</f>
        <v/>
      </c>
      <c r="AO658" s="51">
        <f>IF(AG658=1,1,IF(U658&gt;0,MIN(AF658/U658,0.99),0))</f>
        <v/>
      </c>
      <c r="AP658" s="43">
        <f>IF(AG658=1,AI658*AF658,0)</f>
        <v/>
      </c>
      <c r="AQ658" s="43">
        <f>N658*(F658+G658)/H658</f>
        <v/>
      </c>
      <c r="AR658" s="43">
        <f>O658*AQ658</f>
        <v/>
      </c>
      <c r="AS658" s="52">
        <f>IF(AG658=1,IF(AQ658&gt;0,AF658/AQ658,1),IFERROR(INDEX(Types!$K:$K,MATCH($A658&amp;"|"&amp;$D658,Types!$A:$A,0)),INDEX(Dashboard!$X$6:$X$22,MATCH($A658,Dashboard!$A$6:$A$22,0))))</f>
        <v/>
      </c>
      <c r="AT658" s="43">
        <f>AQ658*INDEX(Dashboard!$Y$6:$Y$22,MATCH($A658,Dashboard!$A$6:$A$22,0))</f>
        <v/>
      </c>
      <c r="AU658" s="53">
        <f>IF(AND(AG658=1,AT658&gt;0,AF658&gt;0),100*AF658/AT658,"")</f>
        <v/>
      </c>
      <c r="AV658" s="44">
        <f>IF(AU658="","",T658/(AU658/100))</f>
        <v/>
      </c>
      <c r="AW658" s="53">
        <f>IF(AU658="","",IF(AND(ABS(AH658)&gt;=0.1,ABS(T658)&gt;=0.05,SIGN(AH658)=SIGN(T658)),100*T658/AH658,""))</f>
        <v/>
      </c>
      <c r="AX658" s="45">
        <f>IF(AU658="","",T658-AV658)</f>
        <v/>
      </c>
      <c r="AY658" s="45">
        <f>IF(AU658="","",AH658-AV658)</f>
        <v/>
      </c>
      <c r="AZ658" s="54">
        <f>(AL658-AM658)-T658*AT658</f>
        <v/>
      </c>
      <c r="BA658" s="43">
        <f>IF(AU658="",0,(AH658-T658)*AF658)</f>
        <v/>
      </c>
      <c r="BB658" s="43">
        <f>IF(AU658="",0,T658*(AF658-AT658))</f>
        <v/>
      </c>
      <c r="BC658" s="51" t="n">
        <v>0.5666976429838642</v>
      </c>
      <c r="BD658" s="51" t="n">
        <v>0.04122666216102053</v>
      </c>
      <c r="BE658" s="51" t="n">
        <v>0.1191907514450867</v>
      </c>
      <c r="BF658" s="43" t="n">
        <v>11837</v>
      </c>
    </row>
    <row r="659">
      <c r="A659" s="42" t="inlineStr">
        <is>
          <t>MS</t>
        </is>
      </c>
      <c r="B659" s="42" t="inlineStr">
        <is>
          <t>28137</t>
        </is>
      </c>
      <c r="C659" s="42" t="inlineStr">
        <is>
          <t>Tate</t>
        </is>
      </c>
      <c r="D659" s="42" t="inlineStr">
        <is>
          <t>Small town &amp; rural</t>
        </is>
      </c>
      <c r="E659" s="42" t="inlineStr"/>
      <c r="F659" s="43" t="n">
        <v>3555</v>
      </c>
      <c r="G659" s="43" t="n">
        <v>9185</v>
      </c>
      <c r="H659" s="43" t="n">
        <v>12861</v>
      </c>
      <c r="I659" s="43" t="n">
        <v>4183</v>
      </c>
      <c r="J659" s="43" t="n">
        <v>8707</v>
      </c>
      <c r="K659" s="42" t="inlineStr">
        <is>
          <t>US House</t>
        </is>
      </c>
      <c r="L659" s="43" t="n">
        <v>1938</v>
      </c>
      <c r="M659" s="43" t="n">
        <v>4990</v>
      </c>
      <c r="N659" s="43" t="n">
        <v>6928</v>
      </c>
      <c r="O659" s="44">
        <f>IFERROR((F659-G659)/(F659+G659),"")</f>
        <v/>
      </c>
      <c r="P659" s="44">
        <f>IFERROR((I659-J659)/(I659+J659),"")</f>
        <v/>
      </c>
      <c r="Q659" s="45">
        <f>IFERROR(O659-P659,"")</f>
        <v/>
      </c>
      <c r="R659" s="44">
        <f>IFERROR((L659-M659)/(L659+M659),"")</f>
        <v/>
      </c>
      <c r="S659" s="46">
        <f>H659/SUMIFS(Counties!$H$2:$H$1583,Counties!$A$2:$A$1583,$A659)</f>
        <v/>
      </c>
      <c r="T659" s="44">
        <f>O659+INDEX(Dashboard!$F$6:$F$22,MATCH($A659,Dashboard!$A$6:$A$22,0))</f>
        <v/>
      </c>
      <c r="U659" s="43">
        <f>AQ659*INDEX(Dashboard!$G$6:$G$22,MATCH($A659,Dashboard!$A$6:$A$22,0))</f>
        <v/>
      </c>
      <c r="V659" s="47" t="n"/>
      <c r="W659" s="47" t="n"/>
      <c r="X659" s="47" t="n"/>
      <c r="Y659" s="48" t="n"/>
      <c r="Z659" s="49" t="n"/>
      <c r="AA659" s="49" t="n"/>
      <c r="AB659" s="49" t="n"/>
      <c r="AC659" s="50" t="n"/>
      <c r="AD659" s="43">
        <f>IF(Z659&lt;&gt;"",Z659,N(V659))</f>
        <v/>
      </c>
      <c r="AE659" s="43">
        <f>IF(AA659&lt;&gt;"",AA659,N(W659))</f>
        <v/>
      </c>
      <c r="AF659" s="43">
        <f>AD659+AE659</f>
        <v/>
      </c>
      <c r="AG659" s="42">
        <f>IF(UPPER(AC659)="Y",1,IF(AF659=0,0,IF(AND(Z659="",Y659&lt;&gt;""),IF(Y659&gt;=0.999,1,0),IF(AF659&gt;=U659,1,0))))</f>
        <v/>
      </c>
      <c r="AH659" s="44">
        <f>IF(AF659&gt;0,(AD659-AE659)/AF659,"")</f>
        <v/>
      </c>
      <c r="AI659" s="45">
        <f>IF(AG659=1,AH659-O659,"")</f>
        <v/>
      </c>
      <c r="AJ659" s="44">
        <f>IF(AG659=1,AH659,MAX(-1,MIN(1,O659+INDEX(Types!$H:$H,MATCH($A659&amp;"|"&amp;$D659,Types!$A:$A,0)))))</f>
        <v/>
      </c>
      <c r="AK659" s="43">
        <f>IF(AG659=1,AF659,MAX(AQ659*AS659,AF659))</f>
        <v/>
      </c>
      <c r="AL659" s="43">
        <f>IF(AG659=1,AD659,AK659*(1+AJ659)/2)</f>
        <v/>
      </c>
      <c r="AM659" s="43">
        <f>IF(AG659=1,AE659,AK659*(1-AJ659)/2)</f>
        <v/>
      </c>
      <c r="AN659" s="45">
        <f>IF(AH659="","",AH659-T659)</f>
        <v/>
      </c>
      <c r="AO659" s="51">
        <f>IF(AG659=1,1,IF(U659&gt;0,MIN(AF659/U659,0.99),0))</f>
        <v/>
      </c>
      <c r="AP659" s="43">
        <f>IF(AG659=1,AI659*AF659,0)</f>
        <v/>
      </c>
      <c r="AQ659" s="43">
        <f>N659*(F659+G659)/H659</f>
        <v/>
      </c>
      <c r="AR659" s="43">
        <f>O659*AQ659</f>
        <v/>
      </c>
      <c r="AS659" s="52">
        <f>IF(AG659=1,IF(AQ659&gt;0,AF659/AQ659,1),IFERROR(INDEX(Types!$K:$K,MATCH($A659&amp;"|"&amp;$D659,Types!$A:$A,0)),INDEX(Dashboard!$X$6:$X$22,MATCH($A659,Dashboard!$A$6:$A$22,0))))</f>
        <v/>
      </c>
      <c r="AT659" s="43">
        <f>AQ659*INDEX(Dashboard!$Y$6:$Y$22,MATCH($A659,Dashboard!$A$6:$A$22,0))</f>
        <v/>
      </c>
      <c r="AU659" s="53">
        <f>IF(AND(AG659=1,AT659&gt;0,AF659&gt;0),100*AF659/AT659,"")</f>
        <v/>
      </c>
      <c r="AV659" s="44">
        <f>IF(AU659="","",T659/(AU659/100))</f>
        <v/>
      </c>
      <c r="AW659" s="53">
        <f>IF(AU659="","",IF(AND(ABS(AH659)&gt;=0.1,ABS(T659)&gt;=0.05,SIGN(AH659)=SIGN(T659)),100*T659/AH659,""))</f>
        <v/>
      </c>
      <c r="AX659" s="45">
        <f>IF(AU659="","",T659-AV659)</f>
        <v/>
      </c>
      <c r="AY659" s="45">
        <f>IF(AU659="","",AH659-AV659)</f>
        <v/>
      </c>
      <c r="AZ659" s="54">
        <f>(AL659-AM659)-T659*AT659</f>
        <v/>
      </c>
      <c r="BA659" s="43">
        <f>IF(AU659="",0,(AH659-T659)*AF659)</f>
        <v/>
      </c>
      <c r="BB659" s="43">
        <f>IF(AU659="",0,T659*(AF659-AT659))</f>
        <v/>
      </c>
      <c r="BC659" s="51" t="n">
        <v>0.3008386115141007</v>
      </c>
      <c r="BD659" s="51" t="n">
        <v>0.03418138070131984</v>
      </c>
      <c r="BE659" s="51" t="n">
        <v>0.2091981647367271</v>
      </c>
      <c r="BF659" s="43" t="n">
        <v>28261</v>
      </c>
    </row>
    <row r="660">
      <c r="A660" s="42" t="inlineStr">
        <is>
          <t>MS</t>
        </is>
      </c>
      <c r="B660" s="42" t="inlineStr">
        <is>
          <t>28139</t>
        </is>
      </c>
      <c r="C660" s="42" t="inlineStr">
        <is>
          <t>Tippah</t>
        </is>
      </c>
      <c r="D660" s="42" t="inlineStr">
        <is>
          <t>Small town &amp; rural</t>
        </is>
      </c>
      <c r="E660" s="42" t="inlineStr"/>
      <c r="F660" s="43" t="n">
        <v>1547</v>
      </c>
      <c r="G660" s="43" t="n">
        <v>7984</v>
      </c>
      <c r="H660" s="43" t="n">
        <v>9591</v>
      </c>
      <c r="I660" s="43" t="n">
        <v>1937</v>
      </c>
      <c r="J660" s="43" t="n">
        <v>8054</v>
      </c>
      <c r="K660" s="42" t="inlineStr">
        <is>
          <t>US House</t>
        </is>
      </c>
      <c r="L660" s="43" t="n">
        <v>683</v>
      </c>
      <c r="M660" s="43" t="n">
        <v>4900</v>
      </c>
      <c r="N660" s="43" t="n">
        <v>5583</v>
      </c>
      <c r="O660" s="44">
        <f>IFERROR((F660-G660)/(F660+G660),"")</f>
        <v/>
      </c>
      <c r="P660" s="44">
        <f>IFERROR((I660-J660)/(I660+J660),"")</f>
        <v/>
      </c>
      <c r="Q660" s="45">
        <f>IFERROR(O660-P660,"")</f>
        <v/>
      </c>
      <c r="R660" s="44">
        <f>IFERROR((L660-M660)/(L660+M660),"")</f>
        <v/>
      </c>
      <c r="S660" s="46">
        <f>H660/SUMIFS(Counties!$H$2:$H$1583,Counties!$A$2:$A$1583,$A660)</f>
        <v/>
      </c>
      <c r="T660" s="44">
        <f>O660+INDEX(Dashboard!$F$6:$F$22,MATCH($A660,Dashboard!$A$6:$A$22,0))</f>
        <v/>
      </c>
      <c r="U660" s="43">
        <f>AQ660*INDEX(Dashboard!$G$6:$G$22,MATCH($A660,Dashboard!$A$6:$A$22,0))</f>
        <v/>
      </c>
      <c r="V660" s="47" t="n"/>
      <c r="W660" s="47" t="n"/>
      <c r="X660" s="47" t="n"/>
      <c r="Y660" s="48" t="n"/>
      <c r="Z660" s="49" t="n"/>
      <c r="AA660" s="49" t="n"/>
      <c r="AB660" s="49" t="n"/>
      <c r="AC660" s="50" t="n"/>
      <c r="AD660" s="43">
        <f>IF(Z660&lt;&gt;"",Z660,N(V660))</f>
        <v/>
      </c>
      <c r="AE660" s="43">
        <f>IF(AA660&lt;&gt;"",AA660,N(W660))</f>
        <v/>
      </c>
      <c r="AF660" s="43">
        <f>AD660+AE660</f>
        <v/>
      </c>
      <c r="AG660" s="42">
        <f>IF(UPPER(AC660)="Y",1,IF(AF660=0,0,IF(AND(Z660="",Y660&lt;&gt;""),IF(Y660&gt;=0.999,1,0),IF(AF660&gt;=U660,1,0))))</f>
        <v/>
      </c>
      <c r="AH660" s="44">
        <f>IF(AF660&gt;0,(AD660-AE660)/AF660,"")</f>
        <v/>
      </c>
      <c r="AI660" s="45">
        <f>IF(AG660=1,AH660-O660,"")</f>
        <v/>
      </c>
      <c r="AJ660" s="44">
        <f>IF(AG660=1,AH660,MAX(-1,MIN(1,O660+INDEX(Types!$H:$H,MATCH($A660&amp;"|"&amp;$D660,Types!$A:$A,0)))))</f>
        <v/>
      </c>
      <c r="AK660" s="43">
        <f>IF(AG660=1,AF660,MAX(AQ660*AS660,AF660))</f>
        <v/>
      </c>
      <c r="AL660" s="43">
        <f>IF(AG660=1,AD660,AK660*(1+AJ660)/2)</f>
        <v/>
      </c>
      <c r="AM660" s="43">
        <f>IF(AG660=1,AE660,AK660*(1-AJ660)/2)</f>
        <v/>
      </c>
      <c r="AN660" s="45">
        <f>IF(AH660="","",AH660-T660)</f>
        <v/>
      </c>
      <c r="AO660" s="51">
        <f>IF(AG660=1,1,IF(U660&gt;0,MIN(AF660/U660,0.99),0))</f>
        <v/>
      </c>
      <c r="AP660" s="43">
        <f>IF(AG660=1,AI660*AF660,0)</f>
        <v/>
      </c>
      <c r="AQ660" s="43">
        <f>N660*(F660+G660)/H660</f>
        <v/>
      </c>
      <c r="AR660" s="43">
        <f>O660*AQ660</f>
        <v/>
      </c>
      <c r="AS660" s="52">
        <f>IF(AG660=1,IF(AQ660&gt;0,AF660/AQ660,1),IFERROR(INDEX(Types!$K:$K,MATCH($A660&amp;"|"&amp;$D660,Types!$A:$A,0)),INDEX(Dashboard!$X$6:$X$22,MATCH($A660,Dashboard!$A$6:$A$22,0))))</f>
        <v/>
      </c>
      <c r="AT660" s="43">
        <f>AQ660*INDEX(Dashboard!$Y$6:$Y$22,MATCH($A660,Dashboard!$A$6:$A$22,0))</f>
        <v/>
      </c>
      <c r="AU660" s="53">
        <f>IF(AND(AG660=1,AT660&gt;0,AF660&gt;0),100*AF660/AT660,"")</f>
        <v/>
      </c>
      <c r="AV660" s="44">
        <f>IF(AU660="","",T660/(AU660/100))</f>
        <v/>
      </c>
      <c r="AW660" s="53">
        <f>IF(AU660="","",IF(AND(ABS(AH660)&gt;=0.1,ABS(T660)&gt;=0.05,SIGN(AH660)=SIGN(T660)),100*T660/AH660,""))</f>
        <v/>
      </c>
      <c r="AX660" s="45">
        <f>IF(AU660="","",T660-AV660)</f>
        <v/>
      </c>
      <c r="AY660" s="45">
        <f>IF(AU660="","",AH660-AV660)</f>
        <v/>
      </c>
      <c r="AZ660" s="54">
        <f>(AL660-AM660)-T660*AT660</f>
        <v/>
      </c>
      <c r="BA660" s="43">
        <f>IF(AU660="",0,(AH660-T660)*AF660)</f>
        <v/>
      </c>
      <c r="BB660" s="43">
        <f>IF(AU660="",0,T660*(AF660-AT660))</f>
        <v/>
      </c>
      <c r="BC660" s="51" t="n">
        <v>0.1610842298116221</v>
      </c>
      <c r="BD660" s="51" t="n">
        <v>0.0537417202987739</v>
      </c>
      <c r="BE660" s="51" t="n">
        <v>0.16363254446156</v>
      </c>
      <c r="BF660" s="43" t="n">
        <v>21287</v>
      </c>
    </row>
    <row r="661">
      <c r="A661" s="42" t="inlineStr">
        <is>
          <t>MS</t>
        </is>
      </c>
      <c r="B661" s="42" t="inlineStr">
        <is>
          <t>28141</t>
        </is>
      </c>
      <c r="C661" s="42" t="inlineStr">
        <is>
          <t>Tishomingo</t>
        </is>
      </c>
      <c r="D661" s="42" t="inlineStr">
        <is>
          <t>Small town &amp; rural</t>
        </is>
      </c>
      <c r="E661" s="42" t="inlineStr"/>
      <c r="F661" s="43" t="n">
        <v>921</v>
      </c>
      <c r="G661" s="43" t="n">
        <v>8064</v>
      </c>
      <c r="H661" s="43" t="n">
        <v>9050</v>
      </c>
      <c r="I661" s="43" t="n">
        <v>1059</v>
      </c>
      <c r="J661" s="43" t="n">
        <v>7933</v>
      </c>
      <c r="K661" s="42" t="inlineStr">
        <is>
          <t>US House</t>
        </is>
      </c>
      <c r="L661" s="43" t="n">
        <v>433</v>
      </c>
      <c r="M661" s="43" t="n">
        <v>4337</v>
      </c>
      <c r="N661" s="43" t="n">
        <v>4770</v>
      </c>
      <c r="O661" s="44">
        <f>IFERROR((F661-G661)/(F661+G661),"")</f>
        <v/>
      </c>
      <c r="P661" s="44">
        <f>IFERROR((I661-J661)/(I661+J661),"")</f>
        <v/>
      </c>
      <c r="Q661" s="45">
        <f>IFERROR(O661-P661,"")</f>
        <v/>
      </c>
      <c r="R661" s="44">
        <f>IFERROR((L661-M661)/(L661+M661),"")</f>
        <v/>
      </c>
      <c r="S661" s="46">
        <f>H661/SUMIFS(Counties!$H$2:$H$1583,Counties!$A$2:$A$1583,$A661)</f>
        <v/>
      </c>
      <c r="T661" s="44">
        <f>O661+INDEX(Dashboard!$F$6:$F$22,MATCH($A661,Dashboard!$A$6:$A$22,0))</f>
        <v/>
      </c>
      <c r="U661" s="43">
        <f>AQ661*INDEX(Dashboard!$G$6:$G$22,MATCH($A661,Dashboard!$A$6:$A$22,0))</f>
        <v/>
      </c>
      <c r="V661" s="47" t="n"/>
      <c r="W661" s="47" t="n"/>
      <c r="X661" s="47" t="n"/>
      <c r="Y661" s="48" t="n"/>
      <c r="Z661" s="49" t="n"/>
      <c r="AA661" s="49" t="n"/>
      <c r="AB661" s="49" t="n"/>
      <c r="AC661" s="50" t="n"/>
      <c r="AD661" s="43">
        <f>IF(Z661&lt;&gt;"",Z661,N(V661))</f>
        <v/>
      </c>
      <c r="AE661" s="43">
        <f>IF(AA661&lt;&gt;"",AA661,N(W661))</f>
        <v/>
      </c>
      <c r="AF661" s="43">
        <f>AD661+AE661</f>
        <v/>
      </c>
      <c r="AG661" s="42">
        <f>IF(UPPER(AC661)="Y",1,IF(AF661=0,0,IF(AND(Z661="",Y661&lt;&gt;""),IF(Y661&gt;=0.999,1,0),IF(AF661&gt;=U661,1,0))))</f>
        <v/>
      </c>
      <c r="AH661" s="44">
        <f>IF(AF661&gt;0,(AD661-AE661)/AF661,"")</f>
        <v/>
      </c>
      <c r="AI661" s="45">
        <f>IF(AG661=1,AH661-O661,"")</f>
        <v/>
      </c>
      <c r="AJ661" s="44">
        <f>IF(AG661=1,AH661,MAX(-1,MIN(1,O661+INDEX(Types!$H:$H,MATCH($A661&amp;"|"&amp;$D661,Types!$A:$A,0)))))</f>
        <v/>
      </c>
      <c r="AK661" s="43">
        <f>IF(AG661=1,AF661,MAX(AQ661*AS661,AF661))</f>
        <v/>
      </c>
      <c r="AL661" s="43">
        <f>IF(AG661=1,AD661,AK661*(1+AJ661)/2)</f>
        <v/>
      </c>
      <c r="AM661" s="43">
        <f>IF(AG661=1,AE661,AK661*(1-AJ661)/2)</f>
        <v/>
      </c>
      <c r="AN661" s="45">
        <f>IF(AH661="","",AH661-T661)</f>
        <v/>
      </c>
      <c r="AO661" s="51">
        <f>IF(AG661=1,1,IF(U661&gt;0,MIN(AF661/U661,0.99),0))</f>
        <v/>
      </c>
      <c r="AP661" s="43">
        <f>IF(AG661=1,AI661*AF661,0)</f>
        <v/>
      </c>
      <c r="AQ661" s="43">
        <f>N661*(F661+G661)/H661</f>
        <v/>
      </c>
      <c r="AR661" s="43">
        <f>O661*AQ661</f>
        <v/>
      </c>
      <c r="AS661" s="52">
        <f>IF(AG661=1,IF(AQ661&gt;0,AF661/AQ661,1),IFERROR(INDEX(Types!$K:$K,MATCH($A661&amp;"|"&amp;$D661,Types!$A:$A,0)),INDEX(Dashboard!$X$6:$X$22,MATCH($A661,Dashboard!$A$6:$A$22,0))))</f>
        <v/>
      </c>
      <c r="AT661" s="43">
        <f>AQ661*INDEX(Dashboard!$Y$6:$Y$22,MATCH($A661,Dashboard!$A$6:$A$22,0))</f>
        <v/>
      </c>
      <c r="AU661" s="53">
        <f>IF(AND(AG661=1,AT661&gt;0,AF661&gt;0),100*AF661/AT661,"")</f>
        <v/>
      </c>
      <c r="AV661" s="44">
        <f>IF(AU661="","",T661/(AU661/100))</f>
        <v/>
      </c>
      <c r="AW661" s="53">
        <f>IF(AU661="","",IF(AND(ABS(AH661)&gt;=0.1,ABS(T661)&gt;=0.05,SIGN(AH661)=SIGN(T661)),100*T661/AH661,""))</f>
        <v/>
      </c>
      <c r="AX661" s="45">
        <f>IF(AU661="","",T661-AV661)</f>
        <v/>
      </c>
      <c r="AY661" s="45">
        <f>IF(AU661="","",AH661-AV661)</f>
        <v/>
      </c>
      <c r="AZ661" s="54">
        <f>(AL661-AM661)-T661*AT661</f>
        <v/>
      </c>
      <c r="BA661" s="43">
        <f>IF(AU661="",0,(AH661-T661)*AF661)</f>
        <v/>
      </c>
      <c r="BB661" s="43">
        <f>IF(AU661="",0,T661*(AF661-AT661))</f>
        <v/>
      </c>
      <c r="BC661" s="51" t="n">
        <v>0.02907008159074945</v>
      </c>
      <c r="BD661" s="51" t="n">
        <v>0.03306856864970011</v>
      </c>
      <c r="BE661" s="51" t="n">
        <v>0.1638156420407858</v>
      </c>
      <c r="BF661" s="43" t="n">
        <v>18507</v>
      </c>
    </row>
    <row r="662">
      <c r="A662" s="42" t="inlineStr">
        <is>
          <t>MS</t>
        </is>
      </c>
      <c r="B662" s="42" t="inlineStr">
        <is>
          <t>28143</t>
        </is>
      </c>
      <c r="C662" s="42" t="inlineStr">
        <is>
          <t>Tunica</t>
        </is>
      </c>
      <c r="D662" s="42" t="inlineStr">
        <is>
          <t>Black Belt</t>
        </is>
      </c>
      <c r="E662" s="42" t="inlineStr"/>
      <c r="F662" s="43" t="n">
        <v>1837</v>
      </c>
      <c r="G662" s="43" t="n">
        <v>799</v>
      </c>
      <c r="H662" s="43" t="n">
        <v>2668</v>
      </c>
      <c r="I662" s="43" t="n">
        <v>2580</v>
      </c>
      <c r="J662" s="43" t="n">
        <v>926</v>
      </c>
      <c r="K662" s="42" t="inlineStr">
        <is>
          <t>US House</t>
        </is>
      </c>
      <c r="L662" s="43" t="n">
        <v>922</v>
      </c>
      <c r="M662" s="43" t="n">
        <v>483</v>
      </c>
      <c r="N662" s="43" t="n">
        <v>1405</v>
      </c>
      <c r="O662" s="44">
        <f>IFERROR((F662-G662)/(F662+G662),"")</f>
        <v/>
      </c>
      <c r="P662" s="44">
        <f>IFERROR((I662-J662)/(I662+J662),"")</f>
        <v/>
      </c>
      <c r="Q662" s="45">
        <f>IFERROR(O662-P662,"")</f>
        <v/>
      </c>
      <c r="R662" s="44">
        <f>IFERROR((L662-M662)/(L662+M662),"")</f>
        <v/>
      </c>
      <c r="S662" s="46">
        <f>H662/SUMIFS(Counties!$H$2:$H$1583,Counties!$A$2:$A$1583,$A662)</f>
        <v/>
      </c>
      <c r="T662" s="44">
        <f>O662+INDEX(Dashboard!$F$6:$F$22,MATCH($A662,Dashboard!$A$6:$A$22,0))</f>
        <v/>
      </c>
      <c r="U662" s="43">
        <f>AQ662*INDEX(Dashboard!$G$6:$G$22,MATCH($A662,Dashboard!$A$6:$A$22,0))</f>
        <v/>
      </c>
      <c r="V662" s="47" t="n"/>
      <c r="W662" s="47" t="n"/>
      <c r="X662" s="47" t="n"/>
      <c r="Y662" s="48" t="n"/>
      <c r="Z662" s="49" t="n"/>
      <c r="AA662" s="49" t="n"/>
      <c r="AB662" s="49" t="n"/>
      <c r="AC662" s="50" t="n"/>
      <c r="AD662" s="43">
        <f>IF(Z662&lt;&gt;"",Z662,N(V662))</f>
        <v/>
      </c>
      <c r="AE662" s="43">
        <f>IF(AA662&lt;&gt;"",AA662,N(W662))</f>
        <v/>
      </c>
      <c r="AF662" s="43">
        <f>AD662+AE662</f>
        <v/>
      </c>
      <c r="AG662" s="42">
        <f>IF(UPPER(AC662)="Y",1,IF(AF662=0,0,IF(AND(Z662="",Y662&lt;&gt;""),IF(Y662&gt;=0.999,1,0),IF(AF662&gt;=U662,1,0))))</f>
        <v/>
      </c>
      <c r="AH662" s="44">
        <f>IF(AF662&gt;0,(AD662-AE662)/AF662,"")</f>
        <v/>
      </c>
      <c r="AI662" s="45">
        <f>IF(AG662=1,AH662-O662,"")</f>
        <v/>
      </c>
      <c r="AJ662" s="44">
        <f>IF(AG662=1,AH662,MAX(-1,MIN(1,O662+INDEX(Types!$H:$H,MATCH($A662&amp;"|"&amp;$D662,Types!$A:$A,0)))))</f>
        <v/>
      </c>
      <c r="AK662" s="43">
        <f>IF(AG662=1,AF662,MAX(AQ662*AS662,AF662))</f>
        <v/>
      </c>
      <c r="AL662" s="43">
        <f>IF(AG662=1,AD662,AK662*(1+AJ662)/2)</f>
        <v/>
      </c>
      <c r="AM662" s="43">
        <f>IF(AG662=1,AE662,AK662*(1-AJ662)/2)</f>
        <v/>
      </c>
      <c r="AN662" s="45">
        <f>IF(AH662="","",AH662-T662)</f>
        <v/>
      </c>
      <c r="AO662" s="51">
        <f>IF(AG662=1,1,IF(U662&gt;0,MIN(AF662/U662,0.99),0))</f>
        <v/>
      </c>
      <c r="AP662" s="43">
        <f>IF(AG662=1,AI662*AF662,0)</f>
        <v/>
      </c>
      <c r="AQ662" s="43">
        <f>N662*(F662+G662)/H662</f>
        <v/>
      </c>
      <c r="AR662" s="43">
        <f>O662*AQ662</f>
        <v/>
      </c>
      <c r="AS662" s="52">
        <f>IF(AG662=1,IF(AQ662&gt;0,AF662/AQ662,1),IFERROR(INDEX(Types!$K:$K,MATCH($A662&amp;"|"&amp;$D662,Types!$A:$A,0)),INDEX(Dashboard!$X$6:$X$22,MATCH($A662,Dashboard!$A$6:$A$22,0))))</f>
        <v/>
      </c>
      <c r="AT662" s="43">
        <f>AQ662*INDEX(Dashboard!$Y$6:$Y$22,MATCH($A662,Dashboard!$A$6:$A$22,0))</f>
        <v/>
      </c>
      <c r="AU662" s="53">
        <f>IF(AND(AG662=1,AT662&gt;0,AF662&gt;0),100*AF662/AT662,"")</f>
        <v/>
      </c>
      <c r="AV662" s="44">
        <f>IF(AU662="","",T662/(AU662/100))</f>
        <v/>
      </c>
      <c r="AW662" s="53">
        <f>IF(AU662="","",IF(AND(ABS(AH662)&gt;=0.1,ABS(T662)&gt;=0.05,SIGN(AH662)=SIGN(T662)),100*T662/AH662,""))</f>
        <v/>
      </c>
      <c r="AX662" s="45">
        <f>IF(AU662="","",T662-AV662)</f>
        <v/>
      </c>
      <c r="AY662" s="45">
        <f>IF(AU662="","",AH662-AV662)</f>
        <v/>
      </c>
      <c r="AZ662" s="54">
        <f>(AL662-AM662)-T662*AT662</f>
        <v/>
      </c>
      <c r="BA662" s="43">
        <f>IF(AU662="",0,(AH662-T662)*AF662)</f>
        <v/>
      </c>
      <c r="BB662" s="43">
        <f>IF(AU662="",0,T662*(AF662-AT662))</f>
        <v/>
      </c>
      <c r="BC662" s="51" t="n">
        <v>0.7731210742906649</v>
      </c>
      <c r="BD662" s="51" t="n">
        <v>0.02555772146415421</v>
      </c>
      <c r="BE662" s="51" t="n">
        <v>0.1605924446663338</v>
      </c>
      <c r="BF662" s="43" t="n">
        <v>9234</v>
      </c>
    </row>
    <row r="663">
      <c r="A663" s="42" t="inlineStr">
        <is>
          <t>MS</t>
        </is>
      </c>
      <c r="B663" s="42" t="inlineStr">
        <is>
          <t>28145</t>
        </is>
      </c>
      <c r="C663" s="42" t="inlineStr">
        <is>
          <t>Union</t>
        </is>
      </c>
      <c r="D663" s="42" t="inlineStr">
        <is>
          <t>Small town &amp; rural</t>
        </is>
      </c>
      <c r="E663" s="42" t="inlineStr"/>
      <c r="F663" s="43" t="n">
        <v>1807</v>
      </c>
      <c r="G663" s="43" t="n">
        <v>10559</v>
      </c>
      <c r="H663" s="43" t="n">
        <v>12478</v>
      </c>
      <c r="I663" s="43" t="n">
        <v>2160</v>
      </c>
      <c r="J663" s="43" t="n">
        <v>10373</v>
      </c>
      <c r="K663" s="42" t="inlineStr">
        <is>
          <t>US House</t>
        </is>
      </c>
      <c r="L663" s="43" t="n">
        <v>769</v>
      </c>
      <c r="M663" s="43" t="n">
        <v>6036</v>
      </c>
      <c r="N663" s="43" t="n">
        <v>6805</v>
      </c>
      <c r="O663" s="44">
        <f>IFERROR((F663-G663)/(F663+G663),"")</f>
        <v/>
      </c>
      <c r="P663" s="44">
        <f>IFERROR((I663-J663)/(I663+J663),"")</f>
        <v/>
      </c>
      <c r="Q663" s="45">
        <f>IFERROR(O663-P663,"")</f>
        <v/>
      </c>
      <c r="R663" s="44">
        <f>IFERROR((L663-M663)/(L663+M663),"")</f>
        <v/>
      </c>
      <c r="S663" s="46">
        <f>H663/SUMIFS(Counties!$H$2:$H$1583,Counties!$A$2:$A$1583,$A663)</f>
        <v/>
      </c>
      <c r="T663" s="44">
        <f>O663+INDEX(Dashboard!$F$6:$F$22,MATCH($A663,Dashboard!$A$6:$A$22,0))</f>
        <v/>
      </c>
      <c r="U663" s="43">
        <f>AQ663*INDEX(Dashboard!$G$6:$G$22,MATCH($A663,Dashboard!$A$6:$A$22,0))</f>
        <v/>
      </c>
      <c r="V663" s="47" t="n"/>
      <c r="W663" s="47" t="n"/>
      <c r="X663" s="47" t="n"/>
      <c r="Y663" s="48" t="n"/>
      <c r="Z663" s="49" t="n"/>
      <c r="AA663" s="49" t="n"/>
      <c r="AB663" s="49" t="n"/>
      <c r="AC663" s="50" t="n"/>
      <c r="AD663" s="43">
        <f>IF(Z663&lt;&gt;"",Z663,N(V663))</f>
        <v/>
      </c>
      <c r="AE663" s="43">
        <f>IF(AA663&lt;&gt;"",AA663,N(W663))</f>
        <v/>
      </c>
      <c r="AF663" s="43">
        <f>AD663+AE663</f>
        <v/>
      </c>
      <c r="AG663" s="42">
        <f>IF(UPPER(AC663)="Y",1,IF(AF663=0,0,IF(AND(Z663="",Y663&lt;&gt;""),IF(Y663&gt;=0.999,1,0),IF(AF663&gt;=U663,1,0))))</f>
        <v/>
      </c>
      <c r="AH663" s="44">
        <f>IF(AF663&gt;0,(AD663-AE663)/AF663,"")</f>
        <v/>
      </c>
      <c r="AI663" s="45">
        <f>IF(AG663=1,AH663-O663,"")</f>
        <v/>
      </c>
      <c r="AJ663" s="44">
        <f>IF(AG663=1,AH663,MAX(-1,MIN(1,O663+INDEX(Types!$H:$H,MATCH($A663&amp;"|"&amp;$D663,Types!$A:$A,0)))))</f>
        <v/>
      </c>
      <c r="AK663" s="43">
        <f>IF(AG663=1,AF663,MAX(AQ663*AS663,AF663))</f>
        <v/>
      </c>
      <c r="AL663" s="43">
        <f>IF(AG663=1,AD663,AK663*(1+AJ663)/2)</f>
        <v/>
      </c>
      <c r="AM663" s="43">
        <f>IF(AG663=1,AE663,AK663*(1-AJ663)/2)</f>
        <v/>
      </c>
      <c r="AN663" s="45">
        <f>IF(AH663="","",AH663-T663)</f>
        <v/>
      </c>
      <c r="AO663" s="51">
        <f>IF(AG663=1,1,IF(U663&gt;0,MIN(AF663/U663,0.99),0))</f>
        <v/>
      </c>
      <c r="AP663" s="43">
        <f>IF(AG663=1,AI663*AF663,0)</f>
        <v/>
      </c>
      <c r="AQ663" s="43">
        <f>N663*(F663+G663)/H663</f>
        <v/>
      </c>
      <c r="AR663" s="43">
        <f>O663*AQ663</f>
        <v/>
      </c>
      <c r="AS663" s="52">
        <f>IF(AG663=1,IF(AQ663&gt;0,AF663/AQ663,1),IFERROR(INDEX(Types!$K:$K,MATCH($A663&amp;"|"&amp;$D663,Types!$A:$A,0)),INDEX(Dashboard!$X$6:$X$22,MATCH($A663,Dashboard!$A$6:$A$22,0))))</f>
        <v/>
      </c>
      <c r="AT663" s="43">
        <f>AQ663*INDEX(Dashboard!$Y$6:$Y$22,MATCH($A663,Dashboard!$A$6:$A$22,0))</f>
        <v/>
      </c>
      <c r="AU663" s="53">
        <f>IF(AND(AG663=1,AT663&gt;0,AF663&gt;0),100*AF663/AT663,"")</f>
        <v/>
      </c>
      <c r="AV663" s="44">
        <f>IF(AU663="","",T663/(AU663/100))</f>
        <v/>
      </c>
      <c r="AW663" s="53">
        <f>IF(AU663="","",IF(AND(ABS(AH663)&gt;=0.1,ABS(T663)&gt;=0.05,SIGN(AH663)=SIGN(T663)),100*T663/AH663,""))</f>
        <v/>
      </c>
      <c r="AX663" s="45">
        <f>IF(AU663="","",T663-AV663)</f>
        <v/>
      </c>
      <c r="AY663" s="45">
        <f>IF(AU663="","",AH663-AV663)</f>
        <v/>
      </c>
      <c r="AZ663" s="54">
        <f>(AL663-AM663)-T663*AT663</f>
        <v/>
      </c>
      <c r="BA663" s="43">
        <f>IF(AU663="",0,(AH663-T663)*AF663)</f>
        <v/>
      </c>
      <c r="BB663" s="43">
        <f>IF(AU663="",0,T663*(AF663-AT663))</f>
        <v/>
      </c>
      <c r="BC663" s="51" t="n">
        <v>0.1549285815301938</v>
      </c>
      <c r="BD663" s="51" t="n">
        <v>0.04921510394569368</v>
      </c>
      <c r="BE663" s="51" t="n">
        <v>0.1708894878706199</v>
      </c>
      <c r="BF663" s="43" t="n">
        <v>28284</v>
      </c>
    </row>
    <row r="664">
      <c r="A664" s="42" t="inlineStr">
        <is>
          <t>MS</t>
        </is>
      </c>
      <c r="B664" s="42" t="inlineStr">
        <is>
          <t>28147</t>
        </is>
      </c>
      <c r="C664" s="42" t="inlineStr">
        <is>
          <t>Walthall</t>
        </is>
      </c>
      <c r="D664" s="42" t="inlineStr">
        <is>
          <t>Black Belt</t>
        </is>
      </c>
      <c r="E664" s="42" t="inlineStr"/>
      <c r="F664" s="43" t="n">
        <v>2355</v>
      </c>
      <c r="G664" s="43" t="n">
        <v>4114</v>
      </c>
      <c r="H664" s="43" t="n">
        <v>6529</v>
      </c>
      <c r="I664" s="43" t="n">
        <v>2835</v>
      </c>
      <c r="J664" s="43" t="n">
        <v>4220</v>
      </c>
      <c r="K664" s="42" t="inlineStr">
        <is>
          <t>US House</t>
        </is>
      </c>
      <c r="L664" s="43" t="n">
        <v>1174</v>
      </c>
      <c r="M664" s="43" t="n">
        <v>2603</v>
      </c>
      <c r="N664" s="43" t="n">
        <v>3777</v>
      </c>
      <c r="O664" s="44">
        <f>IFERROR((F664-G664)/(F664+G664),"")</f>
        <v/>
      </c>
      <c r="P664" s="44">
        <f>IFERROR((I664-J664)/(I664+J664),"")</f>
        <v/>
      </c>
      <c r="Q664" s="45">
        <f>IFERROR(O664-P664,"")</f>
        <v/>
      </c>
      <c r="R664" s="44">
        <f>IFERROR((L664-M664)/(L664+M664),"")</f>
        <v/>
      </c>
      <c r="S664" s="46">
        <f>H664/SUMIFS(Counties!$H$2:$H$1583,Counties!$A$2:$A$1583,$A664)</f>
        <v/>
      </c>
      <c r="T664" s="44">
        <f>O664+INDEX(Dashboard!$F$6:$F$22,MATCH($A664,Dashboard!$A$6:$A$22,0))</f>
        <v/>
      </c>
      <c r="U664" s="43">
        <f>AQ664*INDEX(Dashboard!$G$6:$G$22,MATCH($A664,Dashboard!$A$6:$A$22,0))</f>
        <v/>
      </c>
      <c r="V664" s="47" t="n"/>
      <c r="W664" s="47" t="n"/>
      <c r="X664" s="47" t="n"/>
      <c r="Y664" s="48" t="n"/>
      <c r="Z664" s="49" t="n"/>
      <c r="AA664" s="49" t="n"/>
      <c r="AB664" s="49" t="n"/>
      <c r="AC664" s="50" t="n"/>
      <c r="AD664" s="43">
        <f>IF(Z664&lt;&gt;"",Z664,N(V664))</f>
        <v/>
      </c>
      <c r="AE664" s="43">
        <f>IF(AA664&lt;&gt;"",AA664,N(W664))</f>
        <v/>
      </c>
      <c r="AF664" s="43">
        <f>AD664+AE664</f>
        <v/>
      </c>
      <c r="AG664" s="42">
        <f>IF(UPPER(AC664)="Y",1,IF(AF664=0,0,IF(AND(Z664="",Y664&lt;&gt;""),IF(Y664&gt;=0.999,1,0),IF(AF664&gt;=U664,1,0))))</f>
        <v/>
      </c>
      <c r="AH664" s="44">
        <f>IF(AF664&gt;0,(AD664-AE664)/AF664,"")</f>
        <v/>
      </c>
      <c r="AI664" s="45">
        <f>IF(AG664=1,AH664-O664,"")</f>
        <v/>
      </c>
      <c r="AJ664" s="44">
        <f>IF(AG664=1,AH664,MAX(-1,MIN(1,O664+INDEX(Types!$H:$H,MATCH($A664&amp;"|"&amp;$D664,Types!$A:$A,0)))))</f>
        <v/>
      </c>
      <c r="AK664" s="43">
        <f>IF(AG664=1,AF664,MAX(AQ664*AS664,AF664))</f>
        <v/>
      </c>
      <c r="AL664" s="43">
        <f>IF(AG664=1,AD664,AK664*(1+AJ664)/2)</f>
        <v/>
      </c>
      <c r="AM664" s="43">
        <f>IF(AG664=1,AE664,AK664*(1-AJ664)/2)</f>
        <v/>
      </c>
      <c r="AN664" s="45">
        <f>IF(AH664="","",AH664-T664)</f>
        <v/>
      </c>
      <c r="AO664" s="51">
        <f>IF(AG664=1,1,IF(U664&gt;0,MIN(AF664/U664,0.99),0))</f>
        <v/>
      </c>
      <c r="AP664" s="43">
        <f>IF(AG664=1,AI664*AF664,0)</f>
        <v/>
      </c>
      <c r="AQ664" s="43">
        <f>N664*(F664+G664)/H664</f>
        <v/>
      </c>
      <c r="AR664" s="43">
        <f>O664*AQ664</f>
        <v/>
      </c>
      <c r="AS664" s="52">
        <f>IF(AG664=1,IF(AQ664&gt;0,AF664/AQ664,1),IFERROR(INDEX(Types!$K:$K,MATCH($A664&amp;"|"&amp;$D664,Types!$A:$A,0)),INDEX(Dashboard!$X$6:$X$22,MATCH($A664,Dashboard!$A$6:$A$22,0))))</f>
        <v/>
      </c>
      <c r="AT664" s="43">
        <f>AQ664*INDEX(Dashboard!$Y$6:$Y$22,MATCH($A664,Dashboard!$A$6:$A$22,0))</f>
        <v/>
      </c>
      <c r="AU664" s="53">
        <f>IF(AND(AG664=1,AT664&gt;0,AF664&gt;0),100*AF664/AT664,"")</f>
        <v/>
      </c>
      <c r="AV664" s="44">
        <f>IF(AU664="","",T664/(AU664/100))</f>
        <v/>
      </c>
      <c r="AW664" s="53">
        <f>IF(AU664="","",IF(AND(ABS(AH664)&gt;=0.1,ABS(T664)&gt;=0.05,SIGN(AH664)=SIGN(T664)),100*T664/AH664,""))</f>
        <v/>
      </c>
      <c r="AX664" s="45">
        <f>IF(AU664="","",T664-AV664)</f>
        <v/>
      </c>
      <c r="AY664" s="45">
        <f>IF(AU664="","",AH664-AV664)</f>
        <v/>
      </c>
      <c r="AZ664" s="54">
        <f>(AL664-AM664)-T664*AT664</f>
        <v/>
      </c>
      <c r="BA664" s="43">
        <f>IF(AU664="",0,(AH664-T664)*AF664)</f>
        <v/>
      </c>
      <c r="BB664" s="43">
        <f>IF(AU664="",0,T664*(AF664-AT664))</f>
        <v/>
      </c>
      <c r="BC664" s="51" t="n">
        <v>0.4178027843901032</v>
      </c>
      <c r="BD664" s="51" t="n">
        <v>0.02091899300295751</v>
      </c>
      <c r="BE664" s="51" t="n">
        <v>0.1316126279863481</v>
      </c>
      <c r="BF664" s="43" t="n">
        <v>13863</v>
      </c>
    </row>
    <row r="665">
      <c r="A665" s="42" t="inlineStr">
        <is>
          <t>MS</t>
        </is>
      </c>
      <c r="B665" s="42" t="inlineStr">
        <is>
          <t>28149</t>
        </is>
      </c>
      <c r="C665" s="42" t="inlineStr">
        <is>
          <t>Warren</t>
        </is>
      </c>
      <c r="D665" s="42" t="inlineStr">
        <is>
          <t>Black Belt</t>
        </is>
      </c>
      <c r="E665" s="42" t="inlineStr"/>
      <c r="F665" s="43" t="n">
        <v>8683</v>
      </c>
      <c r="G665" s="43" t="n">
        <v>9407</v>
      </c>
      <c r="H665" s="43" t="n">
        <v>18298</v>
      </c>
      <c r="I665" s="43" t="n">
        <v>10442</v>
      </c>
      <c r="J665" s="43" t="n">
        <v>10365</v>
      </c>
      <c r="K665" s="42" t="inlineStr">
        <is>
          <t>US House</t>
        </is>
      </c>
      <c r="L665" s="43" t="n">
        <v>5258</v>
      </c>
      <c r="M665" s="43" t="n">
        <v>6558</v>
      </c>
      <c r="N665" s="43" t="n">
        <v>11816</v>
      </c>
      <c r="O665" s="44">
        <f>IFERROR((F665-G665)/(F665+G665),"")</f>
        <v/>
      </c>
      <c r="P665" s="44">
        <f>IFERROR((I665-J665)/(I665+J665),"")</f>
        <v/>
      </c>
      <c r="Q665" s="45">
        <f>IFERROR(O665-P665,"")</f>
        <v/>
      </c>
      <c r="R665" s="44">
        <f>IFERROR((L665-M665)/(L665+M665),"")</f>
        <v/>
      </c>
      <c r="S665" s="46">
        <f>H665/SUMIFS(Counties!$H$2:$H$1583,Counties!$A$2:$A$1583,$A665)</f>
        <v/>
      </c>
      <c r="T665" s="44">
        <f>O665+INDEX(Dashboard!$F$6:$F$22,MATCH($A665,Dashboard!$A$6:$A$22,0))</f>
        <v/>
      </c>
      <c r="U665" s="43">
        <f>AQ665*INDEX(Dashboard!$G$6:$G$22,MATCH($A665,Dashboard!$A$6:$A$22,0))</f>
        <v/>
      </c>
      <c r="V665" s="47" t="n"/>
      <c r="W665" s="47" t="n"/>
      <c r="X665" s="47" t="n"/>
      <c r="Y665" s="48" t="n"/>
      <c r="Z665" s="49" t="n"/>
      <c r="AA665" s="49" t="n"/>
      <c r="AB665" s="49" t="n"/>
      <c r="AC665" s="50" t="n"/>
      <c r="AD665" s="43">
        <f>IF(Z665&lt;&gt;"",Z665,N(V665))</f>
        <v/>
      </c>
      <c r="AE665" s="43">
        <f>IF(AA665&lt;&gt;"",AA665,N(W665))</f>
        <v/>
      </c>
      <c r="AF665" s="43">
        <f>AD665+AE665</f>
        <v/>
      </c>
      <c r="AG665" s="42">
        <f>IF(UPPER(AC665)="Y",1,IF(AF665=0,0,IF(AND(Z665="",Y665&lt;&gt;""),IF(Y665&gt;=0.999,1,0),IF(AF665&gt;=U665,1,0))))</f>
        <v/>
      </c>
      <c r="AH665" s="44">
        <f>IF(AF665&gt;0,(AD665-AE665)/AF665,"")</f>
        <v/>
      </c>
      <c r="AI665" s="45">
        <f>IF(AG665=1,AH665-O665,"")</f>
        <v/>
      </c>
      <c r="AJ665" s="44">
        <f>IF(AG665=1,AH665,MAX(-1,MIN(1,O665+INDEX(Types!$H:$H,MATCH($A665&amp;"|"&amp;$D665,Types!$A:$A,0)))))</f>
        <v/>
      </c>
      <c r="AK665" s="43">
        <f>IF(AG665=1,AF665,MAX(AQ665*AS665,AF665))</f>
        <v/>
      </c>
      <c r="AL665" s="43">
        <f>IF(AG665=1,AD665,AK665*(1+AJ665)/2)</f>
        <v/>
      </c>
      <c r="AM665" s="43">
        <f>IF(AG665=1,AE665,AK665*(1-AJ665)/2)</f>
        <v/>
      </c>
      <c r="AN665" s="45">
        <f>IF(AH665="","",AH665-T665)</f>
        <v/>
      </c>
      <c r="AO665" s="51">
        <f>IF(AG665=1,1,IF(U665&gt;0,MIN(AF665/U665,0.99),0))</f>
        <v/>
      </c>
      <c r="AP665" s="43">
        <f>IF(AG665=1,AI665*AF665,0)</f>
        <v/>
      </c>
      <c r="AQ665" s="43">
        <f>N665*(F665+G665)/H665</f>
        <v/>
      </c>
      <c r="AR665" s="43">
        <f>O665*AQ665</f>
        <v/>
      </c>
      <c r="AS665" s="52">
        <f>IF(AG665=1,IF(AQ665&gt;0,AF665/AQ665,1),IFERROR(INDEX(Types!$K:$K,MATCH($A665&amp;"|"&amp;$D665,Types!$A:$A,0)),INDEX(Dashboard!$X$6:$X$22,MATCH($A665,Dashboard!$A$6:$A$22,0))))</f>
        <v/>
      </c>
      <c r="AT665" s="43">
        <f>AQ665*INDEX(Dashboard!$Y$6:$Y$22,MATCH($A665,Dashboard!$A$6:$A$22,0))</f>
        <v/>
      </c>
      <c r="AU665" s="53">
        <f>IF(AND(AG665=1,AT665&gt;0,AF665&gt;0),100*AF665/AT665,"")</f>
        <v/>
      </c>
      <c r="AV665" s="44">
        <f>IF(AU665="","",T665/(AU665/100))</f>
        <v/>
      </c>
      <c r="AW665" s="53">
        <f>IF(AU665="","",IF(AND(ABS(AH665)&gt;=0.1,ABS(T665)&gt;=0.05,SIGN(AH665)=SIGN(T665)),100*T665/AH665,""))</f>
        <v/>
      </c>
      <c r="AX665" s="45">
        <f>IF(AU665="","",T665-AV665)</f>
        <v/>
      </c>
      <c r="AY665" s="45">
        <f>IF(AU665="","",AH665-AV665)</f>
        <v/>
      </c>
      <c r="AZ665" s="54">
        <f>(AL665-AM665)-T665*AT665</f>
        <v/>
      </c>
      <c r="BA665" s="43">
        <f>IF(AU665="",0,(AH665-T665)*AF665)</f>
        <v/>
      </c>
      <c r="BB665" s="43">
        <f>IF(AU665="",0,T665*(AF665-AT665))</f>
        <v/>
      </c>
      <c r="BC665" s="51" t="n">
        <v>0.4943968981984964</v>
      </c>
      <c r="BD665" s="51" t="n">
        <v>0.02146673601588727</v>
      </c>
      <c r="BE665" s="51" t="n">
        <v>0.2647187531558219</v>
      </c>
      <c r="BF665" s="43" t="n">
        <v>42298</v>
      </c>
    </row>
    <row r="666">
      <c r="A666" s="42" t="inlineStr">
        <is>
          <t>MS</t>
        </is>
      </c>
      <c r="B666" s="42" t="inlineStr">
        <is>
          <t>28151</t>
        </is>
      </c>
      <c r="C666" s="42" t="inlineStr">
        <is>
          <t>Washington</t>
        </is>
      </c>
      <c r="D666" s="42" t="inlineStr">
        <is>
          <t>Black Belt</t>
        </is>
      </c>
      <c r="E666" s="42" t="inlineStr"/>
      <c r="F666" s="43" t="n">
        <v>9735</v>
      </c>
      <c r="G666" s="43" t="n">
        <v>4649</v>
      </c>
      <c r="H666" s="43" t="n">
        <v>14540</v>
      </c>
      <c r="I666" s="43" t="n">
        <v>12503</v>
      </c>
      <c r="J666" s="43" t="n">
        <v>5300</v>
      </c>
      <c r="K666" s="42" t="inlineStr">
        <is>
          <t>US House</t>
        </is>
      </c>
      <c r="L666" s="43" t="n">
        <v>6025</v>
      </c>
      <c r="M666" s="43" t="n">
        <v>2742</v>
      </c>
      <c r="N666" s="43" t="n">
        <v>8767</v>
      </c>
      <c r="O666" s="44">
        <f>IFERROR((F666-G666)/(F666+G666),"")</f>
        <v/>
      </c>
      <c r="P666" s="44">
        <f>IFERROR((I666-J666)/(I666+J666),"")</f>
        <v/>
      </c>
      <c r="Q666" s="45">
        <f>IFERROR(O666-P666,"")</f>
        <v/>
      </c>
      <c r="R666" s="44">
        <f>IFERROR((L666-M666)/(L666+M666),"")</f>
        <v/>
      </c>
      <c r="S666" s="46">
        <f>H666/SUMIFS(Counties!$H$2:$H$1583,Counties!$A$2:$A$1583,$A666)</f>
        <v/>
      </c>
      <c r="T666" s="44">
        <f>O666+INDEX(Dashboard!$F$6:$F$22,MATCH($A666,Dashboard!$A$6:$A$22,0))</f>
        <v/>
      </c>
      <c r="U666" s="43">
        <f>AQ666*INDEX(Dashboard!$G$6:$G$22,MATCH($A666,Dashboard!$A$6:$A$22,0))</f>
        <v/>
      </c>
      <c r="V666" s="47" t="n"/>
      <c r="W666" s="47" t="n"/>
      <c r="X666" s="47" t="n"/>
      <c r="Y666" s="48" t="n"/>
      <c r="Z666" s="49" t="n"/>
      <c r="AA666" s="49" t="n"/>
      <c r="AB666" s="49" t="n"/>
      <c r="AC666" s="50" t="n"/>
      <c r="AD666" s="43">
        <f>IF(Z666&lt;&gt;"",Z666,N(V666))</f>
        <v/>
      </c>
      <c r="AE666" s="43">
        <f>IF(AA666&lt;&gt;"",AA666,N(W666))</f>
        <v/>
      </c>
      <c r="AF666" s="43">
        <f>AD666+AE666</f>
        <v/>
      </c>
      <c r="AG666" s="42">
        <f>IF(UPPER(AC666)="Y",1,IF(AF666=0,0,IF(AND(Z666="",Y666&lt;&gt;""),IF(Y666&gt;=0.999,1,0),IF(AF666&gt;=U666,1,0))))</f>
        <v/>
      </c>
      <c r="AH666" s="44">
        <f>IF(AF666&gt;0,(AD666-AE666)/AF666,"")</f>
        <v/>
      </c>
      <c r="AI666" s="45">
        <f>IF(AG666=1,AH666-O666,"")</f>
        <v/>
      </c>
      <c r="AJ666" s="44">
        <f>IF(AG666=1,AH666,MAX(-1,MIN(1,O666+INDEX(Types!$H:$H,MATCH($A666&amp;"|"&amp;$D666,Types!$A:$A,0)))))</f>
        <v/>
      </c>
      <c r="AK666" s="43">
        <f>IF(AG666=1,AF666,MAX(AQ666*AS666,AF666))</f>
        <v/>
      </c>
      <c r="AL666" s="43">
        <f>IF(AG666=1,AD666,AK666*(1+AJ666)/2)</f>
        <v/>
      </c>
      <c r="AM666" s="43">
        <f>IF(AG666=1,AE666,AK666*(1-AJ666)/2)</f>
        <v/>
      </c>
      <c r="AN666" s="45">
        <f>IF(AH666="","",AH666-T666)</f>
        <v/>
      </c>
      <c r="AO666" s="51">
        <f>IF(AG666=1,1,IF(U666&gt;0,MIN(AF666/U666,0.99),0))</f>
        <v/>
      </c>
      <c r="AP666" s="43">
        <f>IF(AG666=1,AI666*AF666,0)</f>
        <v/>
      </c>
      <c r="AQ666" s="43">
        <f>N666*(F666+G666)/H666</f>
        <v/>
      </c>
      <c r="AR666" s="43">
        <f>O666*AQ666</f>
        <v/>
      </c>
      <c r="AS666" s="52">
        <f>IF(AG666=1,IF(AQ666&gt;0,AF666/AQ666,1),IFERROR(INDEX(Types!$K:$K,MATCH($A666&amp;"|"&amp;$D666,Types!$A:$A,0)),INDEX(Dashboard!$X$6:$X$22,MATCH($A666,Dashboard!$A$6:$A$22,0))))</f>
        <v/>
      </c>
      <c r="AT666" s="43">
        <f>AQ666*INDEX(Dashboard!$Y$6:$Y$22,MATCH($A666,Dashboard!$A$6:$A$22,0))</f>
        <v/>
      </c>
      <c r="AU666" s="53">
        <f>IF(AND(AG666=1,AT666&gt;0,AF666&gt;0),100*AF666/AT666,"")</f>
        <v/>
      </c>
      <c r="AV666" s="44">
        <f>IF(AU666="","",T666/(AU666/100))</f>
        <v/>
      </c>
      <c r="AW666" s="53">
        <f>IF(AU666="","",IF(AND(ABS(AH666)&gt;=0.1,ABS(T666)&gt;=0.05,SIGN(AH666)=SIGN(T666)),100*T666/AH666,""))</f>
        <v/>
      </c>
      <c r="AX666" s="45">
        <f>IF(AU666="","",T666-AV666)</f>
        <v/>
      </c>
      <c r="AY666" s="45">
        <f>IF(AU666="","",AH666-AV666)</f>
        <v/>
      </c>
      <c r="AZ666" s="54">
        <f>(AL666-AM666)-T666*AT666</f>
        <v/>
      </c>
      <c r="BA666" s="43">
        <f>IF(AU666="",0,(AH666-T666)*AF666)</f>
        <v/>
      </c>
      <c r="BB666" s="43">
        <f>IF(AU666="",0,T666*(AF666-AT666))</f>
        <v/>
      </c>
      <c r="BC666" s="51" t="n">
        <v>0.7326324321747008</v>
      </c>
      <c r="BD666" s="51" t="n">
        <v>0.0158298765078911</v>
      </c>
      <c r="BE666" s="51" t="n">
        <v>0.2053457050860368</v>
      </c>
      <c r="BF666" s="43" t="n">
        <v>41946</v>
      </c>
    </row>
    <row r="667">
      <c r="A667" s="42" t="inlineStr">
        <is>
          <t>MS</t>
        </is>
      </c>
      <c r="B667" s="42" t="inlineStr">
        <is>
          <t>28153</t>
        </is>
      </c>
      <c r="C667" s="42" t="inlineStr">
        <is>
          <t>Wayne</t>
        </is>
      </c>
      <c r="D667" s="42" t="inlineStr">
        <is>
          <t>Black Belt</t>
        </is>
      </c>
      <c r="E667" s="42" t="inlineStr"/>
      <c r="F667" s="43" t="n">
        <v>3028</v>
      </c>
      <c r="G667" s="43" t="n">
        <v>6013</v>
      </c>
      <c r="H667" s="43" t="n">
        <v>9119</v>
      </c>
      <c r="I667" s="43" t="n">
        <v>3624</v>
      </c>
      <c r="J667" s="43" t="n">
        <v>6307</v>
      </c>
      <c r="K667" s="42" t="inlineStr">
        <is>
          <t>US House</t>
        </is>
      </c>
      <c r="L667" s="43" t="n">
        <v>1863</v>
      </c>
      <c r="M667" s="43" t="n">
        <v>3924</v>
      </c>
      <c r="N667" s="43" t="n">
        <v>5831</v>
      </c>
      <c r="O667" s="44">
        <f>IFERROR((F667-G667)/(F667+G667),"")</f>
        <v/>
      </c>
      <c r="P667" s="44">
        <f>IFERROR((I667-J667)/(I667+J667),"")</f>
        <v/>
      </c>
      <c r="Q667" s="45">
        <f>IFERROR(O667-P667,"")</f>
        <v/>
      </c>
      <c r="R667" s="44">
        <f>IFERROR((L667-M667)/(L667+M667),"")</f>
        <v/>
      </c>
      <c r="S667" s="46">
        <f>H667/SUMIFS(Counties!$H$2:$H$1583,Counties!$A$2:$A$1583,$A667)</f>
        <v/>
      </c>
      <c r="T667" s="44">
        <f>O667+INDEX(Dashboard!$F$6:$F$22,MATCH($A667,Dashboard!$A$6:$A$22,0))</f>
        <v/>
      </c>
      <c r="U667" s="43">
        <f>AQ667*INDEX(Dashboard!$G$6:$G$22,MATCH($A667,Dashboard!$A$6:$A$22,0))</f>
        <v/>
      </c>
      <c r="V667" s="47" t="n"/>
      <c r="W667" s="47" t="n"/>
      <c r="X667" s="47" t="n"/>
      <c r="Y667" s="48" t="n"/>
      <c r="Z667" s="49" t="n"/>
      <c r="AA667" s="49" t="n"/>
      <c r="AB667" s="49" t="n"/>
      <c r="AC667" s="50" t="n"/>
      <c r="AD667" s="43">
        <f>IF(Z667&lt;&gt;"",Z667,N(V667))</f>
        <v/>
      </c>
      <c r="AE667" s="43">
        <f>IF(AA667&lt;&gt;"",AA667,N(W667))</f>
        <v/>
      </c>
      <c r="AF667" s="43">
        <f>AD667+AE667</f>
        <v/>
      </c>
      <c r="AG667" s="42">
        <f>IF(UPPER(AC667)="Y",1,IF(AF667=0,0,IF(AND(Z667="",Y667&lt;&gt;""),IF(Y667&gt;=0.999,1,0),IF(AF667&gt;=U667,1,0))))</f>
        <v/>
      </c>
      <c r="AH667" s="44">
        <f>IF(AF667&gt;0,(AD667-AE667)/AF667,"")</f>
        <v/>
      </c>
      <c r="AI667" s="45">
        <f>IF(AG667=1,AH667-O667,"")</f>
        <v/>
      </c>
      <c r="AJ667" s="44">
        <f>IF(AG667=1,AH667,MAX(-1,MIN(1,O667+INDEX(Types!$H:$H,MATCH($A667&amp;"|"&amp;$D667,Types!$A:$A,0)))))</f>
        <v/>
      </c>
      <c r="AK667" s="43">
        <f>IF(AG667=1,AF667,MAX(AQ667*AS667,AF667))</f>
        <v/>
      </c>
      <c r="AL667" s="43">
        <f>IF(AG667=1,AD667,AK667*(1+AJ667)/2)</f>
        <v/>
      </c>
      <c r="AM667" s="43">
        <f>IF(AG667=1,AE667,AK667*(1-AJ667)/2)</f>
        <v/>
      </c>
      <c r="AN667" s="45">
        <f>IF(AH667="","",AH667-T667)</f>
        <v/>
      </c>
      <c r="AO667" s="51">
        <f>IF(AG667=1,1,IF(U667&gt;0,MIN(AF667/U667,0.99),0))</f>
        <v/>
      </c>
      <c r="AP667" s="43">
        <f>IF(AG667=1,AI667*AF667,0)</f>
        <v/>
      </c>
      <c r="AQ667" s="43">
        <f>N667*(F667+G667)/H667</f>
        <v/>
      </c>
      <c r="AR667" s="43">
        <f>O667*AQ667</f>
        <v/>
      </c>
      <c r="AS667" s="52">
        <f>IF(AG667=1,IF(AQ667&gt;0,AF667/AQ667,1),IFERROR(INDEX(Types!$K:$K,MATCH($A667&amp;"|"&amp;$D667,Types!$A:$A,0)),INDEX(Dashboard!$X$6:$X$22,MATCH($A667,Dashboard!$A$6:$A$22,0))))</f>
        <v/>
      </c>
      <c r="AT667" s="43">
        <f>AQ667*INDEX(Dashboard!$Y$6:$Y$22,MATCH($A667,Dashboard!$A$6:$A$22,0))</f>
        <v/>
      </c>
      <c r="AU667" s="53">
        <f>IF(AND(AG667=1,AT667&gt;0,AF667&gt;0),100*AF667/AT667,"")</f>
        <v/>
      </c>
      <c r="AV667" s="44">
        <f>IF(AU667="","",T667/(AU667/100))</f>
        <v/>
      </c>
      <c r="AW667" s="53">
        <f>IF(AU667="","",IF(AND(ABS(AH667)&gt;=0.1,ABS(T667)&gt;=0.05,SIGN(AH667)=SIGN(T667)),100*T667/AH667,""))</f>
        <v/>
      </c>
      <c r="AX667" s="45">
        <f>IF(AU667="","",T667-AV667)</f>
        <v/>
      </c>
      <c r="AY667" s="45">
        <f>IF(AU667="","",AH667-AV667)</f>
        <v/>
      </c>
      <c r="AZ667" s="54">
        <f>(AL667-AM667)-T667*AT667</f>
        <v/>
      </c>
      <c r="BA667" s="43">
        <f>IF(AU667="",0,(AH667-T667)*AF667)</f>
        <v/>
      </c>
      <c r="BB667" s="43">
        <f>IF(AU667="",0,T667*(AF667-AT667))</f>
        <v/>
      </c>
      <c r="BC667" s="51" t="n">
        <v>0.403136578186063</v>
      </c>
      <c r="BD667" s="51" t="n">
        <v>0.01867735877785109</v>
      </c>
      <c r="BE667" s="51" t="n">
        <v>0.1670725001963711</v>
      </c>
      <c r="BF667" s="43" t="n">
        <v>19703</v>
      </c>
    </row>
    <row r="668">
      <c r="A668" s="42" t="inlineStr">
        <is>
          <t>MS</t>
        </is>
      </c>
      <c r="B668" s="42" t="inlineStr">
        <is>
          <t>28155</t>
        </is>
      </c>
      <c r="C668" s="42" t="inlineStr">
        <is>
          <t>Webster</t>
        </is>
      </c>
      <c r="D668" s="42" t="inlineStr">
        <is>
          <t>Small town &amp; rural</t>
        </is>
      </c>
      <c r="E668" s="42" t="inlineStr"/>
      <c r="F668" s="43" t="n">
        <v>872</v>
      </c>
      <c r="G668" s="43" t="n">
        <v>4195</v>
      </c>
      <c r="H668" s="43" t="n">
        <v>5095</v>
      </c>
      <c r="I668" s="43" t="n">
        <v>1043</v>
      </c>
      <c r="J668" s="43" t="n">
        <v>4291</v>
      </c>
      <c r="K668" s="42" t="inlineStr">
        <is>
          <t>US House</t>
        </is>
      </c>
      <c r="L668" s="43" t="n">
        <v>450</v>
      </c>
      <c r="M668" s="43" t="n">
        <v>2750</v>
      </c>
      <c r="N668" s="43" t="n">
        <v>3200</v>
      </c>
      <c r="O668" s="44">
        <f>IFERROR((F668-G668)/(F668+G668),"")</f>
        <v/>
      </c>
      <c r="P668" s="44">
        <f>IFERROR((I668-J668)/(I668+J668),"")</f>
        <v/>
      </c>
      <c r="Q668" s="45">
        <f>IFERROR(O668-P668,"")</f>
        <v/>
      </c>
      <c r="R668" s="44">
        <f>IFERROR((L668-M668)/(L668+M668),"")</f>
        <v/>
      </c>
      <c r="S668" s="46">
        <f>H668/SUMIFS(Counties!$H$2:$H$1583,Counties!$A$2:$A$1583,$A668)</f>
        <v/>
      </c>
      <c r="T668" s="44">
        <f>O668+INDEX(Dashboard!$F$6:$F$22,MATCH($A668,Dashboard!$A$6:$A$22,0))</f>
        <v/>
      </c>
      <c r="U668" s="43">
        <f>AQ668*INDEX(Dashboard!$G$6:$G$22,MATCH($A668,Dashboard!$A$6:$A$22,0))</f>
        <v/>
      </c>
      <c r="V668" s="47" t="n"/>
      <c r="W668" s="47" t="n"/>
      <c r="X668" s="47" t="n"/>
      <c r="Y668" s="48" t="n"/>
      <c r="Z668" s="49" t="n"/>
      <c r="AA668" s="49" t="n"/>
      <c r="AB668" s="49" t="n"/>
      <c r="AC668" s="50" t="n"/>
      <c r="AD668" s="43">
        <f>IF(Z668&lt;&gt;"",Z668,N(V668))</f>
        <v/>
      </c>
      <c r="AE668" s="43">
        <f>IF(AA668&lt;&gt;"",AA668,N(W668))</f>
        <v/>
      </c>
      <c r="AF668" s="43">
        <f>AD668+AE668</f>
        <v/>
      </c>
      <c r="AG668" s="42">
        <f>IF(UPPER(AC668)="Y",1,IF(AF668=0,0,IF(AND(Z668="",Y668&lt;&gt;""),IF(Y668&gt;=0.999,1,0),IF(AF668&gt;=U668,1,0))))</f>
        <v/>
      </c>
      <c r="AH668" s="44">
        <f>IF(AF668&gt;0,(AD668-AE668)/AF668,"")</f>
        <v/>
      </c>
      <c r="AI668" s="45">
        <f>IF(AG668=1,AH668-O668,"")</f>
        <v/>
      </c>
      <c r="AJ668" s="44">
        <f>IF(AG668=1,AH668,MAX(-1,MIN(1,O668+INDEX(Types!$H:$H,MATCH($A668&amp;"|"&amp;$D668,Types!$A:$A,0)))))</f>
        <v/>
      </c>
      <c r="AK668" s="43">
        <f>IF(AG668=1,AF668,MAX(AQ668*AS668,AF668))</f>
        <v/>
      </c>
      <c r="AL668" s="43">
        <f>IF(AG668=1,AD668,AK668*(1+AJ668)/2)</f>
        <v/>
      </c>
      <c r="AM668" s="43">
        <f>IF(AG668=1,AE668,AK668*(1-AJ668)/2)</f>
        <v/>
      </c>
      <c r="AN668" s="45">
        <f>IF(AH668="","",AH668-T668)</f>
        <v/>
      </c>
      <c r="AO668" s="51">
        <f>IF(AG668=1,1,IF(U668&gt;0,MIN(AF668/U668,0.99),0))</f>
        <v/>
      </c>
      <c r="AP668" s="43">
        <f>IF(AG668=1,AI668*AF668,0)</f>
        <v/>
      </c>
      <c r="AQ668" s="43">
        <f>N668*(F668+G668)/H668</f>
        <v/>
      </c>
      <c r="AR668" s="43">
        <f>O668*AQ668</f>
        <v/>
      </c>
      <c r="AS668" s="52">
        <f>IF(AG668=1,IF(AQ668&gt;0,AF668/AQ668,1),IFERROR(INDEX(Types!$K:$K,MATCH($A668&amp;"|"&amp;$D668,Types!$A:$A,0)),INDEX(Dashboard!$X$6:$X$22,MATCH($A668,Dashboard!$A$6:$A$22,0))))</f>
        <v/>
      </c>
      <c r="AT668" s="43">
        <f>AQ668*INDEX(Dashboard!$Y$6:$Y$22,MATCH($A668,Dashboard!$A$6:$A$22,0))</f>
        <v/>
      </c>
      <c r="AU668" s="53">
        <f>IF(AND(AG668=1,AT668&gt;0,AF668&gt;0),100*AF668/AT668,"")</f>
        <v/>
      </c>
      <c r="AV668" s="44">
        <f>IF(AU668="","",T668/(AU668/100))</f>
        <v/>
      </c>
      <c r="AW668" s="53">
        <f>IF(AU668="","",IF(AND(ABS(AH668)&gt;=0.1,ABS(T668)&gt;=0.05,SIGN(AH668)=SIGN(T668)),100*T668/AH668,""))</f>
        <v/>
      </c>
      <c r="AX668" s="45">
        <f>IF(AU668="","",T668-AV668)</f>
        <v/>
      </c>
      <c r="AY668" s="45">
        <f>IF(AU668="","",AH668-AV668)</f>
        <v/>
      </c>
      <c r="AZ668" s="54">
        <f>(AL668-AM668)-T668*AT668</f>
        <v/>
      </c>
      <c r="BA668" s="43">
        <f>IF(AU668="",0,(AH668-T668)*AF668)</f>
        <v/>
      </c>
      <c r="BB668" s="43">
        <f>IF(AU668="",0,T668*(AF668-AT668))</f>
        <v/>
      </c>
      <c r="BC668" s="51" t="n">
        <v>0.1775130156187425</v>
      </c>
      <c r="BD668" s="51" t="n">
        <v>0.02082498998798558</v>
      </c>
      <c r="BE668" s="51" t="n">
        <v>0.2009435353088604</v>
      </c>
      <c r="BF668" s="43" t="n">
        <v>9988</v>
      </c>
    </row>
    <row r="669">
      <c r="A669" s="42" t="inlineStr">
        <is>
          <t>MS</t>
        </is>
      </c>
      <c r="B669" s="42" t="inlineStr">
        <is>
          <t>28157</t>
        </is>
      </c>
      <c r="C669" s="42" t="inlineStr">
        <is>
          <t>Wilkinson</t>
        </is>
      </c>
      <c r="D669" s="42" t="inlineStr">
        <is>
          <t>Black Belt</t>
        </is>
      </c>
      <c r="E669" s="42" t="inlineStr"/>
      <c r="F669" s="43" t="n">
        <v>1817</v>
      </c>
      <c r="G669" s="43" t="n">
        <v>1075</v>
      </c>
      <c r="H669" s="43" t="n">
        <v>2931</v>
      </c>
      <c r="I669" s="43" t="n">
        <v>2749</v>
      </c>
      <c r="J669" s="43" t="n">
        <v>1324</v>
      </c>
      <c r="K669" s="42" t="inlineStr">
        <is>
          <t>US House</t>
        </is>
      </c>
      <c r="L669" s="43" t="n">
        <v>1549</v>
      </c>
      <c r="M669" s="43" t="n">
        <v>846</v>
      </c>
      <c r="N669" s="43" t="n">
        <v>2395</v>
      </c>
      <c r="O669" s="44">
        <f>IFERROR((F669-G669)/(F669+G669),"")</f>
        <v/>
      </c>
      <c r="P669" s="44">
        <f>IFERROR((I669-J669)/(I669+J669),"")</f>
        <v/>
      </c>
      <c r="Q669" s="45">
        <f>IFERROR(O669-P669,"")</f>
        <v/>
      </c>
      <c r="R669" s="44">
        <f>IFERROR((L669-M669)/(L669+M669),"")</f>
        <v/>
      </c>
      <c r="S669" s="46">
        <f>H669/SUMIFS(Counties!$H$2:$H$1583,Counties!$A$2:$A$1583,$A669)</f>
        <v/>
      </c>
      <c r="T669" s="44">
        <f>O669+INDEX(Dashboard!$F$6:$F$22,MATCH($A669,Dashboard!$A$6:$A$22,0))</f>
        <v/>
      </c>
      <c r="U669" s="43">
        <f>AQ669*INDEX(Dashboard!$G$6:$G$22,MATCH($A669,Dashboard!$A$6:$A$22,0))</f>
        <v/>
      </c>
      <c r="V669" s="47" t="n"/>
      <c r="W669" s="47" t="n"/>
      <c r="X669" s="47" t="n"/>
      <c r="Y669" s="48" t="n"/>
      <c r="Z669" s="49" t="n"/>
      <c r="AA669" s="49" t="n"/>
      <c r="AB669" s="49" t="n"/>
      <c r="AC669" s="50" t="n"/>
      <c r="AD669" s="43">
        <f>IF(Z669&lt;&gt;"",Z669,N(V669))</f>
        <v/>
      </c>
      <c r="AE669" s="43">
        <f>IF(AA669&lt;&gt;"",AA669,N(W669))</f>
        <v/>
      </c>
      <c r="AF669" s="43">
        <f>AD669+AE669</f>
        <v/>
      </c>
      <c r="AG669" s="42">
        <f>IF(UPPER(AC669)="Y",1,IF(AF669=0,0,IF(AND(Z669="",Y669&lt;&gt;""),IF(Y669&gt;=0.999,1,0),IF(AF669&gt;=U669,1,0))))</f>
        <v/>
      </c>
      <c r="AH669" s="44">
        <f>IF(AF669&gt;0,(AD669-AE669)/AF669,"")</f>
        <v/>
      </c>
      <c r="AI669" s="45">
        <f>IF(AG669=1,AH669-O669,"")</f>
        <v/>
      </c>
      <c r="AJ669" s="44">
        <f>IF(AG669=1,AH669,MAX(-1,MIN(1,O669+INDEX(Types!$H:$H,MATCH($A669&amp;"|"&amp;$D669,Types!$A:$A,0)))))</f>
        <v/>
      </c>
      <c r="AK669" s="43">
        <f>IF(AG669=1,AF669,MAX(AQ669*AS669,AF669))</f>
        <v/>
      </c>
      <c r="AL669" s="43">
        <f>IF(AG669=1,AD669,AK669*(1+AJ669)/2)</f>
        <v/>
      </c>
      <c r="AM669" s="43">
        <f>IF(AG669=1,AE669,AK669*(1-AJ669)/2)</f>
        <v/>
      </c>
      <c r="AN669" s="45">
        <f>IF(AH669="","",AH669-T669)</f>
        <v/>
      </c>
      <c r="AO669" s="51">
        <f>IF(AG669=1,1,IF(U669&gt;0,MIN(AF669/U669,0.99),0))</f>
        <v/>
      </c>
      <c r="AP669" s="43">
        <f>IF(AG669=1,AI669*AF669,0)</f>
        <v/>
      </c>
      <c r="AQ669" s="43">
        <f>N669*(F669+G669)/H669</f>
        <v/>
      </c>
      <c r="AR669" s="43">
        <f>O669*AQ669</f>
        <v/>
      </c>
      <c r="AS669" s="52">
        <f>IF(AG669=1,IF(AQ669&gt;0,AF669/AQ669,1),IFERROR(INDEX(Types!$K:$K,MATCH($A669&amp;"|"&amp;$D669,Types!$A:$A,0)),INDEX(Dashboard!$X$6:$X$22,MATCH($A669,Dashboard!$A$6:$A$22,0))))</f>
        <v/>
      </c>
      <c r="AT669" s="43">
        <f>AQ669*INDEX(Dashboard!$Y$6:$Y$22,MATCH($A669,Dashboard!$A$6:$A$22,0))</f>
        <v/>
      </c>
      <c r="AU669" s="53">
        <f>IF(AND(AG669=1,AT669&gt;0,AF669&gt;0),100*AF669/AT669,"")</f>
        <v/>
      </c>
      <c r="AV669" s="44">
        <f>IF(AU669="","",T669/(AU669/100))</f>
        <v/>
      </c>
      <c r="AW669" s="53">
        <f>IF(AU669="","",IF(AND(ABS(AH669)&gt;=0.1,ABS(T669)&gt;=0.05,SIGN(AH669)=SIGN(T669)),100*T669/AH669,""))</f>
        <v/>
      </c>
      <c r="AX669" s="45">
        <f>IF(AU669="","",T669-AV669)</f>
        <v/>
      </c>
      <c r="AY669" s="45">
        <f>IF(AU669="","",AH669-AV669)</f>
        <v/>
      </c>
      <c r="AZ669" s="54">
        <f>(AL669-AM669)-T669*AT669</f>
        <v/>
      </c>
      <c r="BA669" s="43">
        <f>IF(AU669="",0,(AH669-T669)*AF669)</f>
        <v/>
      </c>
      <c r="BB669" s="43">
        <f>IF(AU669="",0,T669*(AF669-AT669))</f>
        <v/>
      </c>
      <c r="BC669" s="51" t="n">
        <v>0.6909903201787044</v>
      </c>
      <c r="BD669" s="51" t="n">
        <v>0.01228592702903946</v>
      </c>
      <c r="BE669" s="51" t="n">
        <v>0.1158536585365854</v>
      </c>
      <c r="BF669" s="43" t="n">
        <v>8058</v>
      </c>
    </row>
    <row r="670">
      <c r="A670" s="42" t="inlineStr">
        <is>
          <t>MS</t>
        </is>
      </c>
      <c r="B670" s="42" t="inlineStr">
        <is>
          <t>28159</t>
        </is>
      </c>
      <c r="C670" s="42" t="inlineStr">
        <is>
          <t>Winston</t>
        </is>
      </c>
      <c r="D670" s="42" t="inlineStr">
        <is>
          <t>Black Belt</t>
        </is>
      </c>
      <c r="E670" s="42" t="inlineStr"/>
      <c r="F670" s="43" t="n">
        <v>3392</v>
      </c>
      <c r="G670" s="43" t="n">
        <v>4922</v>
      </c>
      <c r="H670" s="43" t="n">
        <v>8384</v>
      </c>
      <c r="I670" s="43" t="n">
        <v>4040</v>
      </c>
      <c r="J670" s="43" t="n">
        <v>5112</v>
      </c>
      <c r="K670" s="42" t="inlineStr">
        <is>
          <t>US House</t>
        </is>
      </c>
      <c r="L670" s="43" t="n">
        <v>2051</v>
      </c>
      <c r="M670" s="43" t="n">
        <v>3272</v>
      </c>
      <c r="N670" s="43" t="n">
        <v>5323</v>
      </c>
      <c r="O670" s="44">
        <f>IFERROR((F670-G670)/(F670+G670),"")</f>
        <v/>
      </c>
      <c r="P670" s="44">
        <f>IFERROR((I670-J670)/(I670+J670),"")</f>
        <v/>
      </c>
      <c r="Q670" s="45">
        <f>IFERROR(O670-P670,"")</f>
        <v/>
      </c>
      <c r="R670" s="44">
        <f>IFERROR((L670-M670)/(L670+M670),"")</f>
        <v/>
      </c>
      <c r="S670" s="46">
        <f>H670/SUMIFS(Counties!$H$2:$H$1583,Counties!$A$2:$A$1583,$A670)</f>
        <v/>
      </c>
      <c r="T670" s="44">
        <f>O670+INDEX(Dashboard!$F$6:$F$22,MATCH($A670,Dashboard!$A$6:$A$22,0))</f>
        <v/>
      </c>
      <c r="U670" s="43">
        <f>AQ670*INDEX(Dashboard!$G$6:$G$22,MATCH($A670,Dashboard!$A$6:$A$22,0))</f>
        <v/>
      </c>
      <c r="V670" s="47" t="n"/>
      <c r="W670" s="47" t="n"/>
      <c r="X670" s="47" t="n"/>
      <c r="Y670" s="48" t="n"/>
      <c r="Z670" s="49" t="n"/>
      <c r="AA670" s="49" t="n"/>
      <c r="AB670" s="49" t="n"/>
      <c r="AC670" s="50" t="n"/>
      <c r="AD670" s="43">
        <f>IF(Z670&lt;&gt;"",Z670,N(V670))</f>
        <v/>
      </c>
      <c r="AE670" s="43">
        <f>IF(AA670&lt;&gt;"",AA670,N(W670))</f>
        <v/>
      </c>
      <c r="AF670" s="43">
        <f>AD670+AE670</f>
        <v/>
      </c>
      <c r="AG670" s="42">
        <f>IF(UPPER(AC670)="Y",1,IF(AF670=0,0,IF(AND(Z670="",Y670&lt;&gt;""),IF(Y670&gt;=0.999,1,0),IF(AF670&gt;=U670,1,0))))</f>
        <v/>
      </c>
      <c r="AH670" s="44">
        <f>IF(AF670&gt;0,(AD670-AE670)/AF670,"")</f>
        <v/>
      </c>
      <c r="AI670" s="45">
        <f>IF(AG670=1,AH670-O670,"")</f>
        <v/>
      </c>
      <c r="AJ670" s="44">
        <f>IF(AG670=1,AH670,MAX(-1,MIN(1,O670+INDEX(Types!$H:$H,MATCH($A670&amp;"|"&amp;$D670,Types!$A:$A,0)))))</f>
        <v/>
      </c>
      <c r="AK670" s="43">
        <f>IF(AG670=1,AF670,MAX(AQ670*AS670,AF670))</f>
        <v/>
      </c>
      <c r="AL670" s="43">
        <f>IF(AG670=1,AD670,AK670*(1+AJ670)/2)</f>
        <v/>
      </c>
      <c r="AM670" s="43">
        <f>IF(AG670=1,AE670,AK670*(1-AJ670)/2)</f>
        <v/>
      </c>
      <c r="AN670" s="45">
        <f>IF(AH670="","",AH670-T670)</f>
        <v/>
      </c>
      <c r="AO670" s="51">
        <f>IF(AG670=1,1,IF(U670&gt;0,MIN(AF670/U670,0.99),0))</f>
        <v/>
      </c>
      <c r="AP670" s="43">
        <f>IF(AG670=1,AI670*AF670,0)</f>
        <v/>
      </c>
      <c r="AQ670" s="43">
        <f>N670*(F670+G670)/H670</f>
        <v/>
      </c>
      <c r="AR670" s="43">
        <f>O670*AQ670</f>
        <v/>
      </c>
      <c r="AS670" s="52">
        <f>IF(AG670=1,IF(AQ670&gt;0,AF670/AQ670,1),IFERROR(INDEX(Types!$K:$K,MATCH($A670&amp;"|"&amp;$D670,Types!$A:$A,0)),INDEX(Dashboard!$X$6:$X$22,MATCH($A670,Dashboard!$A$6:$A$22,0))))</f>
        <v/>
      </c>
      <c r="AT670" s="43">
        <f>AQ670*INDEX(Dashboard!$Y$6:$Y$22,MATCH($A670,Dashboard!$A$6:$A$22,0))</f>
        <v/>
      </c>
      <c r="AU670" s="53">
        <f>IF(AND(AG670=1,AT670&gt;0,AF670&gt;0),100*AF670/AT670,"")</f>
        <v/>
      </c>
      <c r="AV670" s="44">
        <f>IF(AU670="","",T670/(AU670/100))</f>
        <v/>
      </c>
      <c r="AW670" s="53">
        <f>IF(AU670="","",IF(AND(ABS(AH670)&gt;=0.1,ABS(T670)&gt;=0.05,SIGN(AH670)=SIGN(T670)),100*T670/AH670,""))</f>
        <v/>
      </c>
      <c r="AX670" s="45">
        <f>IF(AU670="","",T670-AV670)</f>
        <v/>
      </c>
      <c r="AY670" s="45">
        <f>IF(AU670="","",AH670-AV670)</f>
        <v/>
      </c>
      <c r="AZ670" s="54">
        <f>(AL670-AM670)-T670*AT670</f>
        <v/>
      </c>
      <c r="BA670" s="43">
        <f>IF(AU670="",0,(AH670-T670)*AF670)</f>
        <v/>
      </c>
      <c r="BB670" s="43">
        <f>IF(AU670="",0,T670*(AF670-AT670))</f>
        <v/>
      </c>
      <c r="BC670" s="51" t="n">
        <v>0.4593477262287552</v>
      </c>
      <c r="BD670" s="51" t="n">
        <v>0.01866100137804318</v>
      </c>
      <c r="BE670" s="51" t="n">
        <v>0.1856247939333993</v>
      </c>
      <c r="BF670" s="43" t="n">
        <v>17416</v>
      </c>
    </row>
    <row r="671">
      <c r="A671" s="42" t="inlineStr">
        <is>
          <t>MS</t>
        </is>
      </c>
      <c r="B671" s="42" t="inlineStr">
        <is>
          <t>28161</t>
        </is>
      </c>
      <c r="C671" s="42" t="inlineStr">
        <is>
          <t>Yalobusha</t>
        </is>
      </c>
      <c r="D671" s="42" t="inlineStr">
        <is>
          <t>Small town &amp; rural</t>
        </is>
      </c>
      <c r="E671" s="42" t="inlineStr"/>
      <c r="F671" s="43" t="n">
        <v>2289</v>
      </c>
      <c r="G671" s="43" t="n">
        <v>3518</v>
      </c>
      <c r="H671" s="43" t="n">
        <v>5878</v>
      </c>
      <c r="I671" s="43" t="n">
        <v>2785</v>
      </c>
      <c r="J671" s="43" t="n">
        <v>3671</v>
      </c>
      <c r="K671" s="42" t="inlineStr">
        <is>
          <t>US House</t>
        </is>
      </c>
      <c r="L671" s="43" t="n">
        <v>1835</v>
      </c>
      <c r="M671" s="43" t="n">
        <v>2518</v>
      </c>
      <c r="N671" s="43" t="n">
        <v>4353</v>
      </c>
      <c r="O671" s="44">
        <f>IFERROR((F671-G671)/(F671+G671),"")</f>
        <v/>
      </c>
      <c r="P671" s="44">
        <f>IFERROR((I671-J671)/(I671+J671),"")</f>
        <v/>
      </c>
      <c r="Q671" s="45">
        <f>IFERROR(O671-P671,"")</f>
        <v/>
      </c>
      <c r="R671" s="44">
        <f>IFERROR((L671-M671)/(L671+M671),"")</f>
        <v/>
      </c>
      <c r="S671" s="46">
        <f>H671/SUMIFS(Counties!$H$2:$H$1583,Counties!$A$2:$A$1583,$A671)</f>
        <v/>
      </c>
      <c r="T671" s="44">
        <f>O671+INDEX(Dashboard!$F$6:$F$22,MATCH($A671,Dashboard!$A$6:$A$22,0))</f>
        <v/>
      </c>
      <c r="U671" s="43">
        <f>AQ671*INDEX(Dashboard!$G$6:$G$22,MATCH($A671,Dashboard!$A$6:$A$22,0))</f>
        <v/>
      </c>
      <c r="V671" s="47" t="n"/>
      <c r="W671" s="47" t="n"/>
      <c r="X671" s="47" t="n"/>
      <c r="Y671" s="48" t="n"/>
      <c r="Z671" s="49" t="n"/>
      <c r="AA671" s="49" t="n"/>
      <c r="AB671" s="49" t="n"/>
      <c r="AC671" s="50" t="n"/>
      <c r="AD671" s="43">
        <f>IF(Z671&lt;&gt;"",Z671,N(V671))</f>
        <v/>
      </c>
      <c r="AE671" s="43">
        <f>IF(AA671&lt;&gt;"",AA671,N(W671))</f>
        <v/>
      </c>
      <c r="AF671" s="43">
        <f>AD671+AE671</f>
        <v/>
      </c>
      <c r="AG671" s="42">
        <f>IF(UPPER(AC671)="Y",1,IF(AF671=0,0,IF(AND(Z671="",Y671&lt;&gt;""),IF(Y671&gt;=0.999,1,0),IF(AF671&gt;=U671,1,0))))</f>
        <v/>
      </c>
      <c r="AH671" s="44">
        <f>IF(AF671&gt;0,(AD671-AE671)/AF671,"")</f>
        <v/>
      </c>
      <c r="AI671" s="45">
        <f>IF(AG671=1,AH671-O671,"")</f>
        <v/>
      </c>
      <c r="AJ671" s="44">
        <f>IF(AG671=1,AH671,MAX(-1,MIN(1,O671+INDEX(Types!$H:$H,MATCH($A671&amp;"|"&amp;$D671,Types!$A:$A,0)))))</f>
        <v/>
      </c>
      <c r="AK671" s="43">
        <f>IF(AG671=1,AF671,MAX(AQ671*AS671,AF671))</f>
        <v/>
      </c>
      <c r="AL671" s="43">
        <f>IF(AG671=1,AD671,AK671*(1+AJ671)/2)</f>
        <v/>
      </c>
      <c r="AM671" s="43">
        <f>IF(AG671=1,AE671,AK671*(1-AJ671)/2)</f>
        <v/>
      </c>
      <c r="AN671" s="45">
        <f>IF(AH671="","",AH671-T671)</f>
        <v/>
      </c>
      <c r="AO671" s="51">
        <f>IF(AG671=1,1,IF(U671&gt;0,MIN(AF671/U671,0.99),0))</f>
        <v/>
      </c>
      <c r="AP671" s="43">
        <f>IF(AG671=1,AI671*AF671,0)</f>
        <v/>
      </c>
      <c r="AQ671" s="43">
        <f>N671*(F671+G671)/H671</f>
        <v/>
      </c>
      <c r="AR671" s="43">
        <f>O671*AQ671</f>
        <v/>
      </c>
      <c r="AS671" s="52">
        <f>IF(AG671=1,IF(AQ671&gt;0,AF671/AQ671,1),IFERROR(INDEX(Types!$K:$K,MATCH($A671&amp;"|"&amp;$D671,Types!$A:$A,0)),INDEX(Dashboard!$X$6:$X$22,MATCH($A671,Dashboard!$A$6:$A$22,0))))</f>
        <v/>
      </c>
      <c r="AT671" s="43">
        <f>AQ671*INDEX(Dashboard!$Y$6:$Y$22,MATCH($A671,Dashboard!$A$6:$A$22,0))</f>
        <v/>
      </c>
      <c r="AU671" s="53">
        <f>IF(AND(AG671=1,AT671&gt;0,AF671&gt;0),100*AF671/AT671,"")</f>
        <v/>
      </c>
      <c r="AV671" s="44">
        <f>IF(AU671="","",T671/(AU671/100))</f>
        <v/>
      </c>
      <c r="AW671" s="53">
        <f>IF(AU671="","",IF(AND(ABS(AH671)&gt;=0.1,ABS(T671)&gt;=0.05,SIGN(AH671)=SIGN(T671)),100*T671/AH671,""))</f>
        <v/>
      </c>
      <c r="AX671" s="45">
        <f>IF(AU671="","",T671-AV671)</f>
        <v/>
      </c>
      <c r="AY671" s="45">
        <f>IF(AU671="","",AH671-AV671)</f>
        <v/>
      </c>
      <c r="AZ671" s="54">
        <f>(AL671-AM671)-T671*AT671</f>
        <v/>
      </c>
      <c r="BA671" s="43">
        <f>IF(AU671="",0,(AH671-T671)*AF671)</f>
        <v/>
      </c>
      <c r="BB671" s="43">
        <f>IF(AU671="",0,T671*(AF671-AT671))</f>
        <v/>
      </c>
      <c r="BC671" s="51" t="n">
        <v>0.3796221540448894</v>
      </c>
      <c r="BD671" s="51" t="n">
        <v>0.01921524301630874</v>
      </c>
      <c r="BE671" s="51" t="n">
        <v>0.123272403031654</v>
      </c>
      <c r="BF671" s="43" t="n">
        <v>12386</v>
      </c>
    </row>
    <row r="672">
      <c r="A672" s="42" t="inlineStr">
        <is>
          <t>MS</t>
        </is>
      </c>
      <c r="B672" s="42" t="inlineStr">
        <is>
          <t>28163</t>
        </is>
      </c>
      <c r="C672" s="42" t="inlineStr">
        <is>
          <t>Yazoo</t>
        </is>
      </c>
      <c r="D672" s="42" t="inlineStr">
        <is>
          <t>Black Belt</t>
        </is>
      </c>
      <c r="E672" s="42" t="inlineStr"/>
      <c r="F672" s="43" t="n">
        <v>4342</v>
      </c>
      <c r="G672" s="43" t="n">
        <v>4558</v>
      </c>
      <c r="H672" s="43" t="n">
        <v>8971</v>
      </c>
      <c r="I672" s="43" t="n">
        <v>5496</v>
      </c>
      <c r="J672" s="43" t="n">
        <v>4832</v>
      </c>
      <c r="K672" s="42" t="inlineStr">
        <is>
          <t>US House</t>
        </is>
      </c>
      <c r="L672" s="43" t="n">
        <v>4768</v>
      </c>
      <c r="M672" s="43" t="n">
        <v>5574</v>
      </c>
      <c r="N672" s="43" t="n">
        <v>10342</v>
      </c>
      <c r="O672" s="44">
        <f>IFERROR((F672-G672)/(F672+G672),"")</f>
        <v/>
      </c>
      <c r="P672" s="44">
        <f>IFERROR((I672-J672)/(I672+J672),"")</f>
        <v/>
      </c>
      <c r="Q672" s="45">
        <f>IFERROR(O672-P672,"")</f>
        <v/>
      </c>
      <c r="R672" s="44">
        <f>IFERROR((L672-M672)/(L672+M672),"")</f>
        <v/>
      </c>
      <c r="S672" s="46">
        <f>H672/SUMIFS(Counties!$H$2:$H$1583,Counties!$A$2:$A$1583,$A672)</f>
        <v/>
      </c>
      <c r="T672" s="44">
        <f>O672+INDEX(Dashboard!$F$6:$F$22,MATCH($A672,Dashboard!$A$6:$A$22,0))</f>
        <v/>
      </c>
      <c r="U672" s="43">
        <f>AQ672*INDEX(Dashboard!$G$6:$G$22,MATCH($A672,Dashboard!$A$6:$A$22,0))</f>
        <v/>
      </c>
      <c r="V672" s="47" t="n"/>
      <c r="W672" s="47" t="n"/>
      <c r="X672" s="47" t="n"/>
      <c r="Y672" s="48" t="n"/>
      <c r="Z672" s="49" t="n"/>
      <c r="AA672" s="49" t="n"/>
      <c r="AB672" s="49" t="n"/>
      <c r="AC672" s="50" t="n"/>
      <c r="AD672" s="43">
        <f>IF(Z672&lt;&gt;"",Z672,N(V672))</f>
        <v/>
      </c>
      <c r="AE672" s="43">
        <f>IF(AA672&lt;&gt;"",AA672,N(W672))</f>
        <v/>
      </c>
      <c r="AF672" s="43">
        <f>AD672+AE672</f>
        <v/>
      </c>
      <c r="AG672" s="42">
        <f>IF(UPPER(AC672)="Y",1,IF(AF672=0,0,IF(AND(Z672="",Y672&lt;&gt;""),IF(Y672&gt;=0.999,1,0),IF(AF672&gt;=U672,1,0))))</f>
        <v/>
      </c>
      <c r="AH672" s="44">
        <f>IF(AF672&gt;0,(AD672-AE672)/AF672,"")</f>
        <v/>
      </c>
      <c r="AI672" s="45">
        <f>IF(AG672=1,AH672-O672,"")</f>
        <v/>
      </c>
      <c r="AJ672" s="44">
        <f>IF(AG672=1,AH672,MAX(-1,MIN(1,O672+INDEX(Types!$H:$H,MATCH($A672&amp;"|"&amp;$D672,Types!$A:$A,0)))))</f>
        <v/>
      </c>
      <c r="AK672" s="43">
        <f>IF(AG672=1,AF672,MAX(AQ672*AS672,AF672))</f>
        <v/>
      </c>
      <c r="AL672" s="43">
        <f>IF(AG672=1,AD672,AK672*(1+AJ672)/2)</f>
        <v/>
      </c>
      <c r="AM672" s="43">
        <f>IF(AG672=1,AE672,AK672*(1-AJ672)/2)</f>
        <v/>
      </c>
      <c r="AN672" s="45">
        <f>IF(AH672="","",AH672-T672)</f>
        <v/>
      </c>
      <c r="AO672" s="51">
        <f>IF(AG672=1,1,IF(U672&gt;0,MIN(AF672/U672,0.99),0))</f>
        <v/>
      </c>
      <c r="AP672" s="43">
        <f>IF(AG672=1,AI672*AF672,0)</f>
        <v/>
      </c>
      <c r="AQ672" s="43">
        <f>N672*(F672+G672)/H672</f>
        <v/>
      </c>
      <c r="AR672" s="43">
        <f>O672*AQ672</f>
        <v/>
      </c>
      <c r="AS672" s="52">
        <f>IF(AG672=1,IF(AQ672&gt;0,AF672/AQ672,1),IFERROR(INDEX(Types!$K:$K,MATCH($A672&amp;"|"&amp;$D672,Types!$A:$A,0)),INDEX(Dashboard!$X$6:$X$22,MATCH($A672,Dashboard!$A$6:$A$22,0))))</f>
        <v/>
      </c>
      <c r="AT672" s="43">
        <f>AQ672*INDEX(Dashboard!$Y$6:$Y$22,MATCH($A672,Dashboard!$A$6:$A$22,0))</f>
        <v/>
      </c>
      <c r="AU672" s="53">
        <f>IF(AND(AG672=1,AT672&gt;0,AF672&gt;0),100*AF672/AT672,"")</f>
        <v/>
      </c>
      <c r="AV672" s="44">
        <f>IF(AU672="","",T672/(AU672/100))</f>
        <v/>
      </c>
      <c r="AW672" s="53">
        <f>IF(AU672="","",IF(AND(ABS(AH672)&gt;=0.1,ABS(T672)&gt;=0.05,SIGN(AH672)=SIGN(T672)),100*T672/AH672,""))</f>
        <v/>
      </c>
      <c r="AX672" s="45">
        <f>IF(AU672="","",T672-AV672)</f>
        <v/>
      </c>
      <c r="AY672" s="45">
        <f>IF(AU672="","",AH672-AV672)</f>
        <v/>
      </c>
      <c r="AZ672" s="54">
        <f>(AL672-AM672)-T672*AT672</f>
        <v/>
      </c>
      <c r="BA672" s="43">
        <f>IF(AU672="",0,(AH672-T672)*AF672)</f>
        <v/>
      </c>
      <c r="BB672" s="43">
        <f>IF(AU672="",0,T672*(AF672-AT672))</f>
        <v/>
      </c>
      <c r="BC672" s="51" t="n">
        <v>0.5809040161265312</v>
      </c>
      <c r="BD672" s="51" t="n">
        <v>0.04663513723057838</v>
      </c>
      <c r="BE672" s="51" t="n">
        <v>0.1325243237463915</v>
      </c>
      <c r="BF672" s="43" t="n">
        <v>25796</v>
      </c>
    </row>
    <row r="673">
      <c r="A673" s="42" t="inlineStr">
        <is>
          <t>NC</t>
        </is>
      </c>
      <c r="B673" s="42" t="inlineStr">
        <is>
          <t>37001</t>
        </is>
      </c>
      <c r="C673" s="42" t="inlineStr">
        <is>
          <t>Alamance</t>
        </is>
      </c>
      <c r="D673" s="42" t="inlineStr">
        <is>
          <t>Mid-size/working metro</t>
        </is>
      </c>
      <c r="E673" s="42" t="inlineStr"/>
      <c r="F673" s="43" t="n">
        <v>40624</v>
      </c>
      <c r="G673" s="43" t="n">
        <v>47937</v>
      </c>
      <c r="H673" s="43" t="n">
        <v>89568</v>
      </c>
      <c r="I673" s="43" t="n">
        <v>38825</v>
      </c>
      <c r="J673" s="43" t="n">
        <v>46056</v>
      </c>
      <c r="K673" s="42" t="inlineStr">
        <is>
          <t>US Senate</t>
        </is>
      </c>
      <c r="L673" s="43" t="n">
        <v>25866</v>
      </c>
      <c r="M673" s="43" t="n">
        <v>32866</v>
      </c>
      <c r="N673" s="43" t="n">
        <v>60013</v>
      </c>
      <c r="O673" s="44">
        <f>IFERROR((F673-G673)/(F673+G673),"")</f>
        <v/>
      </c>
      <c r="P673" s="44">
        <f>IFERROR((I673-J673)/(I673+J673),"")</f>
        <v/>
      </c>
      <c r="Q673" s="45">
        <f>IFERROR(O673-P673,"")</f>
        <v/>
      </c>
      <c r="R673" s="44">
        <f>IFERROR((L673-M673)/(L673+M673),"")</f>
        <v/>
      </c>
      <c r="S673" s="46">
        <f>H673/SUMIFS(Counties!$H$2:$H$1583,Counties!$A$2:$A$1583,$A673)</f>
        <v/>
      </c>
      <c r="T673" s="44">
        <f>O673+INDEX(Dashboard!$F$6:$F$22,MATCH($A673,Dashboard!$A$6:$A$22,0))</f>
        <v/>
      </c>
      <c r="U673" s="43">
        <f>AQ673*INDEX(Dashboard!$G$6:$G$22,MATCH($A673,Dashboard!$A$6:$A$22,0))</f>
        <v/>
      </c>
      <c r="V673" s="47" t="n"/>
      <c r="W673" s="47" t="n"/>
      <c r="X673" s="47" t="n"/>
      <c r="Y673" s="48" t="n"/>
      <c r="Z673" s="49" t="n"/>
      <c r="AA673" s="49" t="n"/>
      <c r="AB673" s="49" t="n"/>
      <c r="AC673" s="50" t="n"/>
      <c r="AD673" s="43">
        <f>IF(Z673&lt;&gt;"",Z673,N(V673))</f>
        <v/>
      </c>
      <c r="AE673" s="43">
        <f>IF(AA673&lt;&gt;"",AA673,N(W673))</f>
        <v/>
      </c>
      <c r="AF673" s="43">
        <f>AD673+AE673</f>
        <v/>
      </c>
      <c r="AG673" s="42">
        <f>IF(UPPER(AC673)="Y",1,IF(AF673=0,0,IF(AND(Z673="",Y673&lt;&gt;""),IF(Y673&gt;=0.999,1,0),IF(AF673&gt;=U673,1,0))))</f>
        <v/>
      </c>
      <c r="AH673" s="44">
        <f>IF(AF673&gt;0,(AD673-AE673)/AF673,"")</f>
        <v/>
      </c>
      <c r="AI673" s="45">
        <f>IF(AG673=1,AH673-O673,"")</f>
        <v/>
      </c>
      <c r="AJ673" s="44">
        <f>IF(AG673=1,AH673,MAX(-1,MIN(1,O673+INDEX(Types!$H:$H,MATCH($A673&amp;"|"&amp;$D673,Types!$A:$A,0)))))</f>
        <v/>
      </c>
      <c r="AK673" s="43">
        <f>IF(AG673=1,AF673,MAX(AQ673*AS673,AF673))</f>
        <v/>
      </c>
      <c r="AL673" s="43">
        <f>IF(AG673=1,AD673,AK673*(1+AJ673)/2)</f>
        <v/>
      </c>
      <c r="AM673" s="43">
        <f>IF(AG673=1,AE673,AK673*(1-AJ673)/2)</f>
        <v/>
      </c>
      <c r="AN673" s="45">
        <f>IF(AH673="","",AH673-T673)</f>
        <v/>
      </c>
      <c r="AO673" s="51">
        <f>IF(AG673=1,1,IF(U673&gt;0,MIN(AF673/U673,0.99),0))</f>
        <v/>
      </c>
      <c r="AP673" s="43">
        <f>IF(AG673=1,AI673*AF673,0)</f>
        <v/>
      </c>
      <c r="AQ673" s="43">
        <f>N673*(F673+G673)/H673</f>
        <v/>
      </c>
      <c r="AR673" s="43">
        <f>O673*AQ673</f>
        <v/>
      </c>
      <c r="AS673" s="52">
        <f>IF(AG673=1,IF(AQ673&gt;0,AF673/AQ673,1),IFERROR(INDEX(Types!$K:$K,MATCH($A673&amp;"|"&amp;$D673,Types!$A:$A,0)),INDEX(Dashboard!$X$6:$X$22,MATCH($A673,Dashboard!$A$6:$A$22,0))))</f>
        <v/>
      </c>
      <c r="AT673" s="43">
        <f>AQ673*INDEX(Dashboard!$Y$6:$Y$22,MATCH($A673,Dashboard!$A$6:$A$22,0))</f>
        <v/>
      </c>
      <c r="AU673" s="53">
        <f>IF(AND(AG673=1,AT673&gt;0,AF673&gt;0),100*AF673/AT673,"")</f>
        <v/>
      </c>
      <c r="AV673" s="44">
        <f>IF(AU673="","",T673/(AU673/100))</f>
        <v/>
      </c>
      <c r="AW673" s="53">
        <f>IF(AU673="","",IF(AND(ABS(AH673)&gt;=0.1,ABS(T673)&gt;=0.05,SIGN(AH673)=SIGN(T673)),100*T673/AH673,""))</f>
        <v/>
      </c>
      <c r="AX673" s="45">
        <f>IF(AU673="","",T673-AV673)</f>
        <v/>
      </c>
      <c r="AY673" s="45">
        <f>IF(AU673="","",AH673-AV673)</f>
        <v/>
      </c>
      <c r="AZ673" s="54">
        <f>(AL673-AM673)-T673*AT673</f>
        <v/>
      </c>
      <c r="BA673" s="43">
        <f>IF(AU673="",0,(AH673-T673)*AF673)</f>
        <v/>
      </c>
      <c r="BB673" s="43">
        <f>IF(AU673="",0,T673*(AF673-AT673))</f>
        <v/>
      </c>
      <c r="BC673" s="51" t="n">
        <v>0.2140205955404236</v>
      </c>
      <c r="BD673" s="51" t="n">
        <v>0.1543660871263919</v>
      </c>
      <c r="BE673" s="51" t="n">
        <v>0.2770895592279465</v>
      </c>
      <c r="BF673" s="43" t="n">
        <v>179165</v>
      </c>
    </row>
    <row r="674">
      <c r="A674" s="42" t="inlineStr">
        <is>
          <t>NC</t>
        </is>
      </c>
      <c r="B674" s="42" t="inlineStr">
        <is>
          <t>37003</t>
        </is>
      </c>
      <c r="C674" s="42" t="inlineStr">
        <is>
          <t>Alexander</t>
        </is>
      </c>
      <c r="D674" s="42" t="inlineStr">
        <is>
          <t>Small town &amp; rural</t>
        </is>
      </c>
      <c r="E674" s="42" t="inlineStr"/>
      <c r="F674" s="43" t="n">
        <v>4060</v>
      </c>
      <c r="G674" s="43" t="n">
        <v>16404</v>
      </c>
      <c r="H674" s="43" t="n">
        <v>20625</v>
      </c>
      <c r="I674" s="43" t="n">
        <v>4145</v>
      </c>
      <c r="J674" s="43" t="n">
        <v>15888</v>
      </c>
      <c r="K674" s="42" t="inlineStr">
        <is>
          <t>US Senate</t>
        </is>
      </c>
      <c r="L674" s="43" t="n">
        <v>3031</v>
      </c>
      <c r="M674" s="43" t="n">
        <v>11833</v>
      </c>
      <c r="N674" s="43" t="n">
        <v>15265</v>
      </c>
      <c r="O674" s="44">
        <f>IFERROR((F674-G674)/(F674+G674),"")</f>
        <v/>
      </c>
      <c r="P674" s="44">
        <f>IFERROR((I674-J674)/(I674+J674),"")</f>
        <v/>
      </c>
      <c r="Q674" s="45">
        <f>IFERROR(O674-P674,"")</f>
        <v/>
      </c>
      <c r="R674" s="44">
        <f>IFERROR((L674-M674)/(L674+M674),"")</f>
        <v/>
      </c>
      <c r="S674" s="46">
        <f>H674/SUMIFS(Counties!$H$2:$H$1583,Counties!$A$2:$A$1583,$A674)</f>
        <v/>
      </c>
      <c r="T674" s="44">
        <f>O674+INDEX(Dashboard!$F$6:$F$22,MATCH($A674,Dashboard!$A$6:$A$22,0))</f>
        <v/>
      </c>
      <c r="U674" s="43">
        <f>AQ674*INDEX(Dashboard!$G$6:$G$22,MATCH($A674,Dashboard!$A$6:$A$22,0))</f>
        <v/>
      </c>
      <c r="V674" s="47" t="n"/>
      <c r="W674" s="47" t="n"/>
      <c r="X674" s="47" t="n"/>
      <c r="Y674" s="48" t="n"/>
      <c r="Z674" s="49" t="n"/>
      <c r="AA674" s="49" t="n"/>
      <c r="AB674" s="49" t="n"/>
      <c r="AC674" s="50" t="n"/>
      <c r="AD674" s="43">
        <f>IF(Z674&lt;&gt;"",Z674,N(V674))</f>
        <v/>
      </c>
      <c r="AE674" s="43">
        <f>IF(AA674&lt;&gt;"",AA674,N(W674))</f>
        <v/>
      </c>
      <c r="AF674" s="43">
        <f>AD674+AE674</f>
        <v/>
      </c>
      <c r="AG674" s="42">
        <f>IF(UPPER(AC674)="Y",1,IF(AF674=0,0,IF(AND(Z674="",Y674&lt;&gt;""),IF(Y674&gt;=0.999,1,0),IF(AF674&gt;=U674,1,0))))</f>
        <v/>
      </c>
      <c r="AH674" s="44">
        <f>IF(AF674&gt;0,(AD674-AE674)/AF674,"")</f>
        <v/>
      </c>
      <c r="AI674" s="45">
        <f>IF(AG674=1,AH674-O674,"")</f>
        <v/>
      </c>
      <c r="AJ674" s="44">
        <f>IF(AG674=1,AH674,MAX(-1,MIN(1,O674+INDEX(Types!$H:$H,MATCH($A674&amp;"|"&amp;$D674,Types!$A:$A,0)))))</f>
        <v/>
      </c>
      <c r="AK674" s="43">
        <f>IF(AG674=1,AF674,MAX(AQ674*AS674,AF674))</f>
        <v/>
      </c>
      <c r="AL674" s="43">
        <f>IF(AG674=1,AD674,AK674*(1+AJ674)/2)</f>
        <v/>
      </c>
      <c r="AM674" s="43">
        <f>IF(AG674=1,AE674,AK674*(1-AJ674)/2)</f>
        <v/>
      </c>
      <c r="AN674" s="45">
        <f>IF(AH674="","",AH674-T674)</f>
        <v/>
      </c>
      <c r="AO674" s="51">
        <f>IF(AG674=1,1,IF(U674&gt;0,MIN(AF674/U674,0.99),0))</f>
        <v/>
      </c>
      <c r="AP674" s="43">
        <f>IF(AG674=1,AI674*AF674,0)</f>
        <v/>
      </c>
      <c r="AQ674" s="43">
        <f>N674*(F674+G674)/H674</f>
        <v/>
      </c>
      <c r="AR674" s="43">
        <f>O674*AQ674</f>
        <v/>
      </c>
      <c r="AS674" s="52">
        <f>IF(AG674=1,IF(AQ674&gt;0,AF674/AQ674,1),IFERROR(INDEX(Types!$K:$K,MATCH($A674&amp;"|"&amp;$D674,Types!$A:$A,0)),INDEX(Dashboard!$X$6:$X$22,MATCH($A674,Dashboard!$A$6:$A$22,0))))</f>
        <v/>
      </c>
      <c r="AT674" s="43">
        <f>AQ674*INDEX(Dashboard!$Y$6:$Y$22,MATCH($A674,Dashboard!$A$6:$A$22,0))</f>
        <v/>
      </c>
      <c r="AU674" s="53">
        <f>IF(AND(AG674=1,AT674&gt;0,AF674&gt;0),100*AF674/AT674,"")</f>
        <v/>
      </c>
      <c r="AV674" s="44">
        <f>IF(AU674="","",T674/(AU674/100))</f>
        <v/>
      </c>
      <c r="AW674" s="53">
        <f>IF(AU674="","",IF(AND(ABS(AH674)&gt;=0.1,ABS(T674)&gt;=0.05,SIGN(AH674)=SIGN(T674)),100*T674/AH674,""))</f>
        <v/>
      </c>
      <c r="AX674" s="45">
        <f>IF(AU674="","",T674-AV674)</f>
        <v/>
      </c>
      <c r="AY674" s="45">
        <f>IF(AU674="","",AH674-AV674)</f>
        <v/>
      </c>
      <c r="AZ674" s="54">
        <f>(AL674-AM674)-T674*AT674</f>
        <v/>
      </c>
      <c r="BA674" s="43">
        <f>IF(AU674="",0,(AH674-T674)*AF674)</f>
        <v/>
      </c>
      <c r="BB674" s="43">
        <f>IF(AU674="",0,T674*(AF674-AT674))</f>
        <v/>
      </c>
      <c r="BC674" s="51" t="n">
        <v>0.05546568694650838</v>
      </c>
      <c r="BD674" s="51" t="n">
        <v>0.05807035341211307</v>
      </c>
      <c r="BE674" s="51" t="n">
        <v>0.1540647018713539</v>
      </c>
      <c r="BF674" s="43" t="n">
        <v>36473</v>
      </c>
    </row>
    <row r="675">
      <c r="A675" s="42" t="inlineStr">
        <is>
          <t>NC</t>
        </is>
      </c>
      <c r="B675" s="42" t="inlineStr">
        <is>
          <t>37005</t>
        </is>
      </c>
      <c r="C675" s="42" t="inlineStr">
        <is>
          <t>Alleghany</t>
        </is>
      </c>
      <c r="D675" s="42" t="inlineStr">
        <is>
          <t>Small town &amp; rural</t>
        </is>
      </c>
      <c r="E675" s="42" t="inlineStr"/>
      <c r="F675" s="43" t="n">
        <v>1533</v>
      </c>
      <c r="G675" s="43" t="n">
        <v>4900</v>
      </c>
      <c r="H675" s="43" t="n">
        <v>6480</v>
      </c>
      <c r="I675" s="43" t="n">
        <v>1486</v>
      </c>
      <c r="J675" s="43" t="n">
        <v>4527</v>
      </c>
      <c r="K675" s="42" t="inlineStr">
        <is>
          <t>US Senate</t>
        </is>
      </c>
      <c r="L675" s="43" t="n">
        <v>1249</v>
      </c>
      <c r="M675" s="43" t="n">
        <v>3648</v>
      </c>
      <c r="N675" s="43" t="n">
        <v>5021</v>
      </c>
      <c r="O675" s="44">
        <f>IFERROR((F675-G675)/(F675+G675),"")</f>
        <v/>
      </c>
      <c r="P675" s="44">
        <f>IFERROR((I675-J675)/(I675+J675),"")</f>
        <v/>
      </c>
      <c r="Q675" s="45">
        <f>IFERROR(O675-P675,"")</f>
        <v/>
      </c>
      <c r="R675" s="44">
        <f>IFERROR((L675-M675)/(L675+M675),"")</f>
        <v/>
      </c>
      <c r="S675" s="46">
        <f>H675/SUMIFS(Counties!$H$2:$H$1583,Counties!$A$2:$A$1583,$A675)</f>
        <v/>
      </c>
      <c r="T675" s="44">
        <f>O675+INDEX(Dashboard!$F$6:$F$22,MATCH($A675,Dashboard!$A$6:$A$22,0))</f>
        <v/>
      </c>
      <c r="U675" s="43">
        <f>AQ675*INDEX(Dashboard!$G$6:$G$22,MATCH($A675,Dashboard!$A$6:$A$22,0))</f>
        <v/>
      </c>
      <c r="V675" s="47" t="n"/>
      <c r="W675" s="47" t="n"/>
      <c r="X675" s="47" t="n"/>
      <c r="Y675" s="48" t="n"/>
      <c r="Z675" s="49" t="n"/>
      <c r="AA675" s="49" t="n"/>
      <c r="AB675" s="49" t="n"/>
      <c r="AC675" s="50" t="n"/>
      <c r="AD675" s="43">
        <f>IF(Z675&lt;&gt;"",Z675,N(V675))</f>
        <v/>
      </c>
      <c r="AE675" s="43">
        <f>IF(AA675&lt;&gt;"",AA675,N(W675))</f>
        <v/>
      </c>
      <c r="AF675" s="43">
        <f>AD675+AE675</f>
        <v/>
      </c>
      <c r="AG675" s="42">
        <f>IF(UPPER(AC675)="Y",1,IF(AF675=0,0,IF(AND(Z675="",Y675&lt;&gt;""),IF(Y675&gt;=0.999,1,0),IF(AF675&gt;=U675,1,0))))</f>
        <v/>
      </c>
      <c r="AH675" s="44">
        <f>IF(AF675&gt;0,(AD675-AE675)/AF675,"")</f>
        <v/>
      </c>
      <c r="AI675" s="45">
        <f>IF(AG675=1,AH675-O675,"")</f>
        <v/>
      </c>
      <c r="AJ675" s="44">
        <f>IF(AG675=1,AH675,MAX(-1,MIN(1,O675+INDEX(Types!$H:$H,MATCH($A675&amp;"|"&amp;$D675,Types!$A:$A,0)))))</f>
        <v/>
      </c>
      <c r="AK675" s="43">
        <f>IF(AG675=1,AF675,MAX(AQ675*AS675,AF675))</f>
        <v/>
      </c>
      <c r="AL675" s="43">
        <f>IF(AG675=1,AD675,AK675*(1+AJ675)/2)</f>
        <v/>
      </c>
      <c r="AM675" s="43">
        <f>IF(AG675=1,AE675,AK675*(1-AJ675)/2)</f>
        <v/>
      </c>
      <c r="AN675" s="45">
        <f>IF(AH675="","",AH675-T675)</f>
        <v/>
      </c>
      <c r="AO675" s="51">
        <f>IF(AG675=1,1,IF(U675&gt;0,MIN(AF675/U675,0.99),0))</f>
        <v/>
      </c>
      <c r="AP675" s="43">
        <f>IF(AG675=1,AI675*AF675,0)</f>
        <v/>
      </c>
      <c r="AQ675" s="43">
        <f>N675*(F675+G675)/H675</f>
        <v/>
      </c>
      <c r="AR675" s="43">
        <f>O675*AQ675</f>
        <v/>
      </c>
      <c r="AS675" s="52">
        <f>IF(AG675=1,IF(AQ675&gt;0,AF675/AQ675,1),IFERROR(INDEX(Types!$K:$K,MATCH($A675&amp;"|"&amp;$D675,Types!$A:$A,0)),INDEX(Dashboard!$X$6:$X$22,MATCH($A675,Dashboard!$A$6:$A$22,0))))</f>
        <v/>
      </c>
      <c r="AT675" s="43">
        <f>AQ675*INDEX(Dashboard!$Y$6:$Y$22,MATCH($A675,Dashboard!$A$6:$A$22,0))</f>
        <v/>
      </c>
      <c r="AU675" s="53">
        <f>IF(AND(AG675=1,AT675&gt;0,AF675&gt;0),100*AF675/AT675,"")</f>
        <v/>
      </c>
      <c r="AV675" s="44">
        <f>IF(AU675="","",T675/(AU675/100))</f>
        <v/>
      </c>
      <c r="AW675" s="53">
        <f>IF(AU675="","",IF(AND(ABS(AH675)&gt;=0.1,ABS(T675)&gt;=0.05,SIGN(AH675)=SIGN(T675)),100*T675/AH675,""))</f>
        <v/>
      </c>
      <c r="AX675" s="45">
        <f>IF(AU675="","",T675-AV675)</f>
        <v/>
      </c>
      <c r="AY675" s="45">
        <f>IF(AU675="","",AH675-AV675)</f>
        <v/>
      </c>
      <c r="AZ675" s="54">
        <f>(AL675-AM675)-T675*AT675</f>
        <v/>
      </c>
      <c r="BA675" s="43">
        <f>IF(AU675="",0,(AH675-T675)*AF675)</f>
        <v/>
      </c>
      <c r="BB675" s="43">
        <f>IF(AU675="",0,T675*(AF675-AT675))</f>
        <v/>
      </c>
      <c r="BC675" s="51" t="n">
        <v>0.02398166108270147</v>
      </c>
      <c r="BD675" s="51" t="n">
        <v>0.1152354082172456</v>
      </c>
      <c r="BE675" s="51" t="n">
        <v>0.2282432118821072</v>
      </c>
      <c r="BF675" s="43" t="n">
        <v>11342</v>
      </c>
    </row>
    <row r="676">
      <c r="A676" s="42" t="inlineStr">
        <is>
          <t>NC</t>
        </is>
      </c>
      <c r="B676" s="42" t="inlineStr">
        <is>
          <t>37007</t>
        </is>
      </c>
      <c r="C676" s="42" t="inlineStr">
        <is>
          <t>Anson</t>
        </is>
      </c>
      <c r="D676" s="42" t="inlineStr">
        <is>
          <t>Black Belt</t>
        </is>
      </c>
      <c r="E676" s="42" t="inlineStr"/>
      <c r="F676" s="43" t="n">
        <v>5253</v>
      </c>
      <c r="G676" s="43" t="n">
        <v>5525</v>
      </c>
      <c r="H676" s="43" t="n">
        <v>10859</v>
      </c>
      <c r="I676" s="43" t="n">
        <v>5789</v>
      </c>
      <c r="J676" s="43" t="n">
        <v>5321</v>
      </c>
      <c r="K676" s="42" t="inlineStr">
        <is>
          <t>US Senate</t>
        </is>
      </c>
      <c r="L676" s="43" t="n">
        <v>3324</v>
      </c>
      <c r="M676" s="43" t="n">
        <v>3711</v>
      </c>
      <c r="N676" s="43" t="n">
        <v>7163</v>
      </c>
      <c r="O676" s="44">
        <f>IFERROR((F676-G676)/(F676+G676),"")</f>
        <v/>
      </c>
      <c r="P676" s="44">
        <f>IFERROR((I676-J676)/(I676+J676),"")</f>
        <v/>
      </c>
      <c r="Q676" s="45">
        <f>IFERROR(O676-P676,"")</f>
        <v/>
      </c>
      <c r="R676" s="44">
        <f>IFERROR((L676-M676)/(L676+M676),"")</f>
        <v/>
      </c>
      <c r="S676" s="46">
        <f>H676/SUMIFS(Counties!$H$2:$H$1583,Counties!$A$2:$A$1583,$A676)</f>
        <v/>
      </c>
      <c r="T676" s="44">
        <f>O676+INDEX(Dashboard!$F$6:$F$22,MATCH($A676,Dashboard!$A$6:$A$22,0))</f>
        <v/>
      </c>
      <c r="U676" s="43">
        <f>AQ676*INDEX(Dashboard!$G$6:$G$22,MATCH($A676,Dashboard!$A$6:$A$22,0))</f>
        <v/>
      </c>
      <c r="V676" s="47" t="n"/>
      <c r="W676" s="47" t="n"/>
      <c r="X676" s="47" t="n"/>
      <c r="Y676" s="48" t="n"/>
      <c r="Z676" s="49" t="n"/>
      <c r="AA676" s="49" t="n"/>
      <c r="AB676" s="49" t="n"/>
      <c r="AC676" s="50" t="n"/>
      <c r="AD676" s="43">
        <f>IF(Z676&lt;&gt;"",Z676,N(V676))</f>
        <v/>
      </c>
      <c r="AE676" s="43">
        <f>IF(AA676&lt;&gt;"",AA676,N(W676))</f>
        <v/>
      </c>
      <c r="AF676" s="43">
        <f>AD676+AE676</f>
        <v/>
      </c>
      <c r="AG676" s="42">
        <f>IF(UPPER(AC676)="Y",1,IF(AF676=0,0,IF(AND(Z676="",Y676&lt;&gt;""),IF(Y676&gt;=0.999,1,0),IF(AF676&gt;=U676,1,0))))</f>
        <v/>
      </c>
      <c r="AH676" s="44">
        <f>IF(AF676&gt;0,(AD676-AE676)/AF676,"")</f>
        <v/>
      </c>
      <c r="AI676" s="45">
        <f>IF(AG676=1,AH676-O676,"")</f>
        <v/>
      </c>
      <c r="AJ676" s="44">
        <f>IF(AG676=1,AH676,MAX(-1,MIN(1,O676+INDEX(Types!$H:$H,MATCH($A676&amp;"|"&amp;$D676,Types!$A:$A,0)))))</f>
        <v/>
      </c>
      <c r="AK676" s="43">
        <f>IF(AG676=1,AF676,MAX(AQ676*AS676,AF676))</f>
        <v/>
      </c>
      <c r="AL676" s="43">
        <f>IF(AG676=1,AD676,AK676*(1+AJ676)/2)</f>
        <v/>
      </c>
      <c r="AM676" s="43">
        <f>IF(AG676=1,AE676,AK676*(1-AJ676)/2)</f>
        <v/>
      </c>
      <c r="AN676" s="45">
        <f>IF(AH676="","",AH676-T676)</f>
        <v/>
      </c>
      <c r="AO676" s="51">
        <f>IF(AG676=1,1,IF(U676&gt;0,MIN(AF676/U676,0.99),0))</f>
        <v/>
      </c>
      <c r="AP676" s="43">
        <f>IF(AG676=1,AI676*AF676,0)</f>
        <v/>
      </c>
      <c r="AQ676" s="43">
        <f>N676*(F676+G676)/H676</f>
        <v/>
      </c>
      <c r="AR676" s="43">
        <f>O676*AQ676</f>
        <v/>
      </c>
      <c r="AS676" s="52">
        <f>IF(AG676=1,IF(AQ676&gt;0,AF676/AQ676,1),IFERROR(INDEX(Types!$K:$K,MATCH($A676&amp;"|"&amp;$D676,Types!$A:$A,0)),INDEX(Dashboard!$X$6:$X$22,MATCH($A676,Dashboard!$A$6:$A$22,0))))</f>
        <v/>
      </c>
      <c r="AT676" s="43">
        <f>AQ676*INDEX(Dashboard!$Y$6:$Y$22,MATCH($A676,Dashboard!$A$6:$A$22,0))</f>
        <v/>
      </c>
      <c r="AU676" s="53">
        <f>IF(AND(AG676=1,AT676&gt;0,AF676&gt;0),100*AF676/AT676,"")</f>
        <v/>
      </c>
      <c r="AV676" s="44">
        <f>IF(AU676="","",T676/(AU676/100))</f>
        <v/>
      </c>
      <c r="AW676" s="53">
        <f>IF(AU676="","",IF(AND(ABS(AH676)&gt;=0.1,ABS(T676)&gt;=0.05,SIGN(AH676)=SIGN(T676)),100*T676/AH676,""))</f>
        <v/>
      </c>
      <c r="AX676" s="45">
        <f>IF(AU676="","",T676-AV676)</f>
        <v/>
      </c>
      <c r="AY676" s="45">
        <f>IF(AU676="","",AH676-AV676)</f>
        <v/>
      </c>
      <c r="AZ676" s="54">
        <f>(AL676-AM676)-T676*AT676</f>
        <v/>
      </c>
      <c r="BA676" s="43">
        <f>IF(AU676="",0,(AH676-T676)*AF676)</f>
        <v/>
      </c>
      <c r="BB676" s="43">
        <f>IF(AU676="",0,T676*(AF676-AT676))</f>
        <v/>
      </c>
      <c r="BC676" s="51" t="n">
        <v>0.4689226834726218</v>
      </c>
      <c r="BD676" s="51" t="n">
        <v>0.04626204502899941</v>
      </c>
      <c r="BE676" s="51" t="n">
        <v>0.1088291746641075</v>
      </c>
      <c r="BF676" s="43" t="n">
        <v>21897</v>
      </c>
    </row>
    <row r="677">
      <c r="A677" s="42" t="inlineStr">
        <is>
          <t>NC</t>
        </is>
      </c>
      <c r="B677" s="42" t="inlineStr">
        <is>
          <t>37009</t>
        </is>
      </c>
      <c r="C677" s="42" t="inlineStr">
        <is>
          <t>Ashe</t>
        </is>
      </c>
      <c r="D677" s="42" t="inlineStr">
        <is>
          <t>Small town &amp; rural</t>
        </is>
      </c>
      <c r="E677" s="42" t="inlineStr"/>
      <c r="F677" s="43" t="n">
        <v>4431</v>
      </c>
      <c r="G677" s="43" t="n">
        <v>11629</v>
      </c>
      <c r="H677" s="43" t="n">
        <v>16187</v>
      </c>
      <c r="I677" s="43" t="n">
        <v>4164</v>
      </c>
      <c r="J677" s="43" t="n">
        <v>11451</v>
      </c>
      <c r="K677" s="42" t="inlineStr">
        <is>
          <t>US Senate</t>
        </is>
      </c>
      <c r="L677" s="43" t="n">
        <v>3172</v>
      </c>
      <c r="M677" s="43" t="n">
        <v>8371</v>
      </c>
      <c r="N677" s="43" t="n">
        <v>11817</v>
      </c>
      <c r="O677" s="44">
        <f>IFERROR((F677-G677)/(F677+G677),"")</f>
        <v/>
      </c>
      <c r="P677" s="44">
        <f>IFERROR((I677-J677)/(I677+J677),"")</f>
        <v/>
      </c>
      <c r="Q677" s="45">
        <f>IFERROR(O677-P677,"")</f>
        <v/>
      </c>
      <c r="R677" s="44">
        <f>IFERROR((L677-M677)/(L677+M677),"")</f>
        <v/>
      </c>
      <c r="S677" s="46">
        <f>H677/SUMIFS(Counties!$H$2:$H$1583,Counties!$A$2:$A$1583,$A677)</f>
        <v/>
      </c>
      <c r="T677" s="44">
        <f>O677+INDEX(Dashboard!$F$6:$F$22,MATCH($A677,Dashboard!$A$6:$A$22,0))</f>
        <v/>
      </c>
      <c r="U677" s="43">
        <f>AQ677*INDEX(Dashboard!$G$6:$G$22,MATCH($A677,Dashboard!$A$6:$A$22,0))</f>
        <v/>
      </c>
      <c r="V677" s="47" t="n"/>
      <c r="W677" s="47" t="n"/>
      <c r="X677" s="47" t="n"/>
      <c r="Y677" s="48" t="n"/>
      <c r="Z677" s="49" t="n"/>
      <c r="AA677" s="49" t="n"/>
      <c r="AB677" s="49" t="n"/>
      <c r="AC677" s="50" t="n"/>
      <c r="AD677" s="43">
        <f>IF(Z677&lt;&gt;"",Z677,N(V677))</f>
        <v/>
      </c>
      <c r="AE677" s="43">
        <f>IF(AA677&lt;&gt;"",AA677,N(W677))</f>
        <v/>
      </c>
      <c r="AF677" s="43">
        <f>AD677+AE677</f>
        <v/>
      </c>
      <c r="AG677" s="42">
        <f>IF(UPPER(AC677)="Y",1,IF(AF677=0,0,IF(AND(Z677="",Y677&lt;&gt;""),IF(Y677&gt;=0.999,1,0),IF(AF677&gt;=U677,1,0))))</f>
        <v/>
      </c>
      <c r="AH677" s="44">
        <f>IF(AF677&gt;0,(AD677-AE677)/AF677,"")</f>
        <v/>
      </c>
      <c r="AI677" s="45">
        <f>IF(AG677=1,AH677-O677,"")</f>
        <v/>
      </c>
      <c r="AJ677" s="44">
        <f>IF(AG677=1,AH677,MAX(-1,MIN(1,O677+INDEX(Types!$H:$H,MATCH($A677&amp;"|"&amp;$D677,Types!$A:$A,0)))))</f>
        <v/>
      </c>
      <c r="AK677" s="43">
        <f>IF(AG677=1,AF677,MAX(AQ677*AS677,AF677))</f>
        <v/>
      </c>
      <c r="AL677" s="43">
        <f>IF(AG677=1,AD677,AK677*(1+AJ677)/2)</f>
        <v/>
      </c>
      <c r="AM677" s="43">
        <f>IF(AG677=1,AE677,AK677*(1-AJ677)/2)</f>
        <v/>
      </c>
      <c r="AN677" s="45">
        <f>IF(AH677="","",AH677-T677)</f>
        <v/>
      </c>
      <c r="AO677" s="51">
        <f>IF(AG677=1,1,IF(U677&gt;0,MIN(AF677/U677,0.99),0))</f>
        <v/>
      </c>
      <c r="AP677" s="43">
        <f>IF(AG677=1,AI677*AF677,0)</f>
        <v/>
      </c>
      <c r="AQ677" s="43">
        <f>N677*(F677+G677)/H677</f>
        <v/>
      </c>
      <c r="AR677" s="43">
        <f>O677*AQ677</f>
        <v/>
      </c>
      <c r="AS677" s="52">
        <f>IF(AG677=1,IF(AQ677&gt;0,AF677/AQ677,1),IFERROR(INDEX(Types!$K:$K,MATCH($A677&amp;"|"&amp;$D677,Types!$A:$A,0)),INDEX(Dashboard!$X$6:$X$22,MATCH($A677,Dashboard!$A$6:$A$22,0))))</f>
        <v/>
      </c>
      <c r="AT677" s="43">
        <f>AQ677*INDEX(Dashboard!$Y$6:$Y$22,MATCH($A677,Dashboard!$A$6:$A$22,0))</f>
        <v/>
      </c>
      <c r="AU677" s="53">
        <f>IF(AND(AG677=1,AT677&gt;0,AF677&gt;0),100*AF677/AT677,"")</f>
        <v/>
      </c>
      <c r="AV677" s="44">
        <f>IF(AU677="","",T677/(AU677/100))</f>
        <v/>
      </c>
      <c r="AW677" s="53">
        <f>IF(AU677="","",IF(AND(ABS(AH677)&gt;=0.1,ABS(T677)&gt;=0.05,SIGN(AH677)=SIGN(T677)),100*T677/AH677,""))</f>
        <v/>
      </c>
      <c r="AX677" s="45">
        <f>IF(AU677="","",T677-AV677)</f>
        <v/>
      </c>
      <c r="AY677" s="45">
        <f>IF(AU677="","",AH677-AV677)</f>
        <v/>
      </c>
      <c r="AZ677" s="54">
        <f>(AL677-AM677)-T677*AT677</f>
        <v/>
      </c>
      <c r="BA677" s="43">
        <f>IF(AU677="",0,(AH677-T677)*AF677)</f>
        <v/>
      </c>
      <c r="BB677" s="43">
        <f>IF(AU677="",0,T677*(AF677-AT677))</f>
        <v/>
      </c>
      <c r="BC677" s="51" t="n">
        <v>0.008868196430550937</v>
      </c>
      <c r="BD677" s="51" t="n">
        <v>0.06122750618926209</v>
      </c>
      <c r="BE677" s="51" t="n">
        <v>0.2240861049161253</v>
      </c>
      <c r="BF677" s="43" t="n">
        <v>27063</v>
      </c>
    </row>
    <row r="678">
      <c r="A678" s="42" t="inlineStr">
        <is>
          <t>NC</t>
        </is>
      </c>
      <c r="B678" s="42" t="inlineStr">
        <is>
          <t>37011</t>
        </is>
      </c>
      <c r="C678" s="42" t="inlineStr">
        <is>
          <t>Avery</t>
        </is>
      </c>
      <c r="D678" s="42" t="inlineStr">
        <is>
          <t>Small town &amp; rural</t>
        </is>
      </c>
      <c r="E678" s="42" t="inlineStr"/>
      <c r="F678" s="43" t="n">
        <v>2220</v>
      </c>
      <c r="G678" s="43" t="n">
        <v>7181</v>
      </c>
      <c r="H678" s="43" t="n">
        <v>9468</v>
      </c>
      <c r="I678" s="43" t="n">
        <v>2191</v>
      </c>
      <c r="J678" s="43" t="n">
        <v>7172</v>
      </c>
      <c r="K678" s="42" t="inlineStr">
        <is>
          <t>US Senate</t>
        </is>
      </c>
      <c r="L678" s="43" t="n">
        <v>1595</v>
      </c>
      <c r="M678" s="43" t="n">
        <v>5089</v>
      </c>
      <c r="N678" s="43" t="n">
        <v>6834</v>
      </c>
      <c r="O678" s="44">
        <f>IFERROR((F678-G678)/(F678+G678),"")</f>
        <v/>
      </c>
      <c r="P678" s="44">
        <f>IFERROR((I678-J678)/(I678+J678),"")</f>
        <v/>
      </c>
      <c r="Q678" s="45">
        <f>IFERROR(O678-P678,"")</f>
        <v/>
      </c>
      <c r="R678" s="44">
        <f>IFERROR((L678-M678)/(L678+M678),"")</f>
        <v/>
      </c>
      <c r="S678" s="46">
        <f>H678/SUMIFS(Counties!$H$2:$H$1583,Counties!$A$2:$A$1583,$A678)</f>
        <v/>
      </c>
      <c r="T678" s="44">
        <f>O678+INDEX(Dashboard!$F$6:$F$22,MATCH($A678,Dashboard!$A$6:$A$22,0))</f>
        <v/>
      </c>
      <c r="U678" s="43">
        <f>AQ678*INDEX(Dashboard!$G$6:$G$22,MATCH($A678,Dashboard!$A$6:$A$22,0))</f>
        <v/>
      </c>
      <c r="V678" s="47" t="n"/>
      <c r="W678" s="47" t="n"/>
      <c r="X678" s="47" t="n"/>
      <c r="Y678" s="48" t="n"/>
      <c r="Z678" s="49" t="n"/>
      <c r="AA678" s="49" t="n"/>
      <c r="AB678" s="49" t="n"/>
      <c r="AC678" s="50" t="n"/>
      <c r="AD678" s="43">
        <f>IF(Z678&lt;&gt;"",Z678,N(V678))</f>
        <v/>
      </c>
      <c r="AE678" s="43">
        <f>IF(AA678&lt;&gt;"",AA678,N(W678))</f>
        <v/>
      </c>
      <c r="AF678" s="43">
        <f>AD678+AE678</f>
        <v/>
      </c>
      <c r="AG678" s="42">
        <f>IF(UPPER(AC678)="Y",1,IF(AF678=0,0,IF(AND(Z678="",Y678&lt;&gt;""),IF(Y678&gt;=0.999,1,0),IF(AF678&gt;=U678,1,0))))</f>
        <v/>
      </c>
      <c r="AH678" s="44">
        <f>IF(AF678&gt;0,(AD678-AE678)/AF678,"")</f>
        <v/>
      </c>
      <c r="AI678" s="45">
        <f>IF(AG678=1,AH678-O678,"")</f>
        <v/>
      </c>
      <c r="AJ678" s="44">
        <f>IF(AG678=1,AH678,MAX(-1,MIN(1,O678+INDEX(Types!$H:$H,MATCH($A678&amp;"|"&amp;$D678,Types!$A:$A,0)))))</f>
        <v/>
      </c>
      <c r="AK678" s="43">
        <f>IF(AG678=1,AF678,MAX(AQ678*AS678,AF678))</f>
        <v/>
      </c>
      <c r="AL678" s="43">
        <f>IF(AG678=1,AD678,AK678*(1+AJ678)/2)</f>
        <v/>
      </c>
      <c r="AM678" s="43">
        <f>IF(AG678=1,AE678,AK678*(1-AJ678)/2)</f>
        <v/>
      </c>
      <c r="AN678" s="45">
        <f>IF(AH678="","",AH678-T678)</f>
        <v/>
      </c>
      <c r="AO678" s="51">
        <f>IF(AG678=1,1,IF(U678&gt;0,MIN(AF678/U678,0.99),0))</f>
        <v/>
      </c>
      <c r="AP678" s="43">
        <f>IF(AG678=1,AI678*AF678,0)</f>
        <v/>
      </c>
      <c r="AQ678" s="43">
        <f>N678*(F678+G678)/H678</f>
        <v/>
      </c>
      <c r="AR678" s="43">
        <f>O678*AQ678</f>
        <v/>
      </c>
      <c r="AS678" s="52">
        <f>IF(AG678=1,IF(AQ678&gt;0,AF678/AQ678,1),IFERROR(INDEX(Types!$K:$K,MATCH($A678&amp;"|"&amp;$D678,Types!$A:$A,0)),INDEX(Dashboard!$X$6:$X$22,MATCH($A678,Dashboard!$A$6:$A$22,0))))</f>
        <v/>
      </c>
      <c r="AT678" s="43">
        <f>AQ678*INDEX(Dashboard!$Y$6:$Y$22,MATCH($A678,Dashboard!$A$6:$A$22,0))</f>
        <v/>
      </c>
      <c r="AU678" s="53">
        <f>IF(AND(AG678=1,AT678&gt;0,AF678&gt;0),100*AF678/AT678,"")</f>
        <v/>
      </c>
      <c r="AV678" s="44">
        <f>IF(AU678="","",T678/(AU678/100))</f>
        <v/>
      </c>
      <c r="AW678" s="53">
        <f>IF(AU678="","",IF(AND(ABS(AH678)&gt;=0.1,ABS(T678)&gt;=0.05,SIGN(AH678)=SIGN(T678)),100*T678/AH678,""))</f>
        <v/>
      </c>
      <c r="AX678" s="45">
        <f>IF(AU678="","",T678-AV678)</f>
        <v/>
      </c>
      <c r="AY678" s="45">
        <f>IF(AU678="","",AH678-AV678)</f>
        <v/>
      </c>
      <c r="AZ678" s="54">
        <f>(AL678-AM678)-T678*AT678</f>
        <v/>
      </c>
      <c r="BA678" s="43">
        <f>IF(AU678="",0,(AH678-T678)*AF678)</f>
        <v/>
      </c>
      <c r="BB678" s="43">
        <f>IF(AU678="",0,T678*(AF678-AT678))</f>
        <v/>
      </c>
      <c r="BC678" s="51" t="n">
        <v>0.03906383463356301</v>
      </c>
      <c r="BD678" s="51" t="n">
        <v>0.06218324696771255</v>
      </c>
      <c r="BE678" s="51" t="n">
        <v>0.2187338022954461</v>
      </c>
      <c r="BF678" s="43" t="n">
        <v>17561</v>
      </c>
    </row>
    <row r="679">
      <c r="A679" s="42" t="inlineStr">
        <is>
          <t>NC</t>
        </is>
      </c>
      <c r="B679" s="42" t="inlineStr">
        <is>
          <t>37013</t>
        </is>
      </c>
      <c r="C679" s="42" t="inlineStr">
        <is>
          <t>Beaufort</t>
        </is>
      </c>
      <c r="D679" s="42" t="inlineStr">
        <is>
          <t>Small town &amp; rural</t>
        </is>
      </c>
      <c r="E679" s="42" t="inlineStr"/>
      <c r="F679" s="43" t="n">
        <v>9049</v>
      </c>
      <c r="G679" s="43" t="n">
        <v>17296</v>
      </c>
      <c r="H679" s="43" t="n">
        <v>26521</v>
      </c>
      <c r="I679" s="43" t="n">
        <v>9633</v>
      </c>
      <c r="J679" s="43" t="n">
        <v>16437</v>
      </c>
      <c r="K679" s="42" t="inlineStr">
        <is>
          <t>US Senate</t>
        </is>
      </c>
      <c r="L679" s="43" t="n">
        <v>6245</v>
      </c>
      <c r="M679" s="43" t="n">
        <v>12338</v>
      </c>
      <c r="N679" s="43" t="n">
        <v>18976</v>
      </c>
      <c r="O679" s="44">
        <f>IFERROR((F679-G679)/(F679+G679),"")</f>
        <v/>
      </c>
      <c r="P679" s="44">
        <f>IFERROR((I679-J679)/(I679+J679),"")</f>
        <v/>
      </c>
      <c r="Q679" s="45">
        <f>IFERROR(O679-P679,"")</f>
        <v/>
      </c>
      <c r="R679" s="44">
        <f>IFERROR((L679-M679)/(L679+M679),"")</f>
        <v/>
      </c>
      <c r="S679" s="46">
        <f>H679/SUMIFS(Counties!$H$2:$H$1583,Counties!$A$2:$A$1583,$A679)</f>
        <v/>
      </c>
      <c r="T679" s="44">
        <f>O679+INDEX(Dashboard!$F$6:$F$22,MATCH($A679,Dashboard!$A$6:$A$22,0))</f>
        <v/>
      </c>
      <c r="U679" s="43">
        <f>AQ679*INDEX(Dashboard!$G$6:$G$22,MATCH($A679,Dashboard!$A$6:$A$22,0))</f>
        <v/>
      </c>
      <c r="V679" s="47" t="n"/>
      <c r="W679" s="47" t="n"/>
      <c r="X679" s="47" t="n"/>
      <c r="Y679" s="48" t="n"/>
      <c r="Z679" s="49" t="n"/>
      <c r="AA679" s="49" t="n"/>
      <c r="AB679" s="49" t="n"/>
      <c r="AC679" s="50" t="n"/>
      <c r="AD679" s="43">
        <f>IF(Z679&lt;&gt;"",Z679,N(V679))</f>
        <v/>
      </c>
      <c r="AE679" s="43">
        <f>IF(AA679&lt;&gt;"",AA679,N(W679))</f>
        <v/>
      </c>
      <c r="AF679" s="43">
        <f>AD679+AE679</f>
        <v/>
      </c>
      <c r="AG679" s="42">
        <f>IF(UPPER(AC679)="Y",1,IF(AF679=0,0,IF(AND(Z679="",Y679&lt;&gt;""),IF(Y679&gt;=0.999,1,0),IF(AF679&gt;=U679,1,0))))</f>
        <v/>
      </c>
      <c r="AH679" s="44">
        <f>IF(AF679&gt;0,(AD679-AE679)/AF679,"")</f>
        <v/>
      </c>
      <c r="AI679" s="45">
        <f>IF(AG679=1,AH679-O679,"")</f>
        <v/>
      </c>
      <c r="AJ679" s="44">
        <f>IF(AG679=1,AH679,MAX(-1,MIN(1,O679+INDEX(Types!$H:$H,MATCH($A679&amp;"|"&amp;$D679,Types!$A:$A,0)))))</f>
        <v/>
      </c>
      <c r="AK679" s="43">
        <f>IF(AG679=1,AF679,MAX(AQ679*AS679,AF679))</f>
        <v/>
      </c>
      <c r="AL679" s="43">
        <f>IF(AG679=1,AD679,AK679*(1+AJ679)/2)</f>
        <v/>
      </c>
      <c r="AM679" s="43">
        <f>IF(AG679=1,AE679,AK679*(1-AJ679)/2)</f>
        <v/>
      </c>
      <c r="AN679" s="45">
        <f>IF(AH679="","",AH679-T679)</f>
        <v/>
      </c>
      <c r="AO679" s="51">
        <f>IF(AG679=1,1,IF(U679&gt;0,MIN(AF679/U679,0.99),0))</f>
        <v/>
      </c>
      <c r="AP679" s="43">
        <f>IF(AG679=1,AI679*AF679,0)</f>
        <v/>
      </c>
      <c r="AQ679" s="43">
        <f>N679*(F679+G679)/H679</f>
        <v/>
      </c>
      <c r="AR679" s="43">
        <f>O679*AQ679</f>
        <v/>
      </c>
      <c r="AS679" s="52">
        <f>IF(AG679=1,IF(AQ679&gt;0,AF679/AQ679,1),IFERROR(INDEX(Types!$K:$K,MATCH($A679&amp;"|"&amp;$D679,Types!$A:$A,0)),INDEX(Dashboard!$X$6:$X$22,MATCH($A679,Dashboard!$A$6:$A$22,0))))</f>
        <v/>
      </c>
      <c r="AT679" s="43">
        <f>AQ679*INDEX(Dashboard!$Y$6:$Y$22,MATCH($A679,Dashboard!$A$6:$A$22,0))</f>
        <v/>
      </c>
      <c r="AU679" s="53">
        <f>IF(AND(AG679=1,AT679&gt;0,AF679&gt;0),100*AF679/AT679,"")</f>
        <v/>
      </c>
      <c r="AV679" s="44">
        <f>IF(AU679="","",T679/(AU679/100))</f>
        <v/>
      </c>
      <c r="AW679" s="53">
        <f>IF(AU679="","",IF(AND(ABS(AH679)&gt;=0.1,ABS(T679)&gt;=0.05,SIGN(AH679)=SIGN(T679)),100*T679/AH679,""))</f>
        <v/>
      </c>
      <c r="AX679" s="45">
        <f>IF(AU679="","",T679-AV679)</f>
        <v/>
      </c>
      <c r="AY679" s="45">
        <f>IF(AU679="","",AH679-AV679)</f>
        <v/>
      </c>
      <c r="AZ679" s="54">
        <f>(AL679-AM679)-T679*AT679</f>
        <v/>
      </c>
      <c r="BA679" s="43">
        <f>IF(AU679="",0,(AH679-T679)*AF679)</f>
        <v/>
      </c>
      <c r="BB679" s="43">
        <f>IF(AU679="",0,T679*(AF679-AT679))</f>
        <v/>
      </c>
      <c r="BC679" s="51" t="n">
        <v>0.2285245385670286</v>
      </c>
      <c r="BD679" s="51" t="n">
        <v>0.0790674670083856</v>
      </c>
      <c r="BE679" s="51" t="n">
        <v>0.2058572560492473</v>
      </c>
      <c r="BF679" s="43" t="n">
        <v>44481</v>
      </c>
    </row>
    <row r="680">
      <c r="A680" s="42" t="inlineStr">
        <is>
          <t>NC</t>
        </is>
      </c>
      <c r="B680" s="42" t="inlineStr">
        <is>
          <t>37015</t>
        </is>
      </c>
      <c r="C680" s="42" t="inlineStr">
        <is>
          <t>Bertie</t>
        </is>
      </c>
      <c r="D680" s="42" t="inlineStr">
        <is>
          <t>Black Belt</t>
        </is>
      </c>
      <c r="E680" s="42" t="inlineStr"/>
      <c r="F680" s="43" t="n">
        <v>5279</v>
      </c>
      <c r="G680" s="43" t="n">
        <v>3840</v>
      </c>
      <c r="H680" s="43" t="n">
        <v>9170</v>
      </c>
      <c r="I680" s="43" t="n">
        <v>5939</v>
      </c>
      <c r="J680" s="43" t="n">
        <v>3817</v>
      </c>
      <c r="K680" s="42" t="inlineStr">
        <is>
          <t>US Senate</t>
        </is>
      </c>
      <c r="L680" s="43" t="n">
        <v>3492</v>
      </c>
      <c r="M680" s="43" t="n">
        <v>2781</v>
      </c>
      <c r="N680" s="43" t="n">
        <v>6360</v>
      </c>
      <c r="O680" s="44">
        <f>IFERROR((F680-G680)/(F680+G680),"")</f>
        <v/>
      </c>
      <c r="P680" s="44">
        <f>IFERROR((I680-J680)/(I680+J680),"")</f>
        <v/>
      </c>
      <c r="Q680" s="45">
        <f>IFERROR(O680-P680,"")</f>
        <v/>
      </c>
      <c r="R680" s="44">
        <f>IFERROR((L680-M680)/(L680+M680),"")</f>
        <v/>
      </c>
      <c r="S680" s="46">
        <f>H680/SUMIFS(Counties!$H$2:$H$1583,Counties!$A$2:$A$1583,$A680)</f>
        <v/>
      </c>
      <c r="T680" s="44">
        <f>O680+INDEX(Dashboard!$F$6:$F$22,MATCH($A680,Dashboard!$A$6:$A$22,0))</f>
        <v/>
      </c>
      <c r="U680" s="43">
        <f>AQ680*INDEX(Dashboard!$G$6:$G$22,MATCH($A680,Dashboard!$A$6:$A$22,0))</f>
        <v/>
      </c>
      <c r="V680" s="47" t="n"/>
      <c r="W680" s="47" t="n"/>
      <c r="X680" s="47" t="n"/>
      <c r="Y680" s="48" t="n"/>
      <c r="Z680" s="49" t="n"/>
      <c r="AA680" s="49" t="n"/>
      <c r="AB680" s="49" t="n"/>
      <c r="AC680" s="50" t="n"/>
      <c r="AD680" s="43">
        <f>IF(Z680&lt;&gt;"",Z680,N(V680))</f>
        <v/>
      </c>
      <c r="AE680" s="43">
        <f>IF(AA680&lt;&gt;"",AA680,N(W680))</f>
        <v/>
      </c>
      <c r="AF680" s="43">
        <f>AD680+AE680</f>
        <v/>
      </c>
      <c r="AG680" s="42">
        <f>IF(UPPER(AC680)="Y",1,IF(AF680=0,0,IF(AND(Z680="",Y680&lt;&gt;""),IF(Y680&gt;=0.999,1,0),IF(AF680&gt;=U680,1,0))))</f>
        <v/>
      </c>
      <c r="AH680" s="44">
        <f>IF(AF680&gt;0,(AD680-AE680)/AF680,"")</f>
        <v/>
      </c>
      <c r="AI680" s="45">
        <f>IF(AG680=1,AH680-O680,"")</f>
        <v/>
      </c>
      <c r="AJ680" s="44">
        <f>IF(AG680=1,AH680,MAX(-1,MIN(1,O680+INDEX(Types!$H:$H,MATCH($A680&amp;"|"&amp;$D680,Types!$A:$A,0)))))</f>
        <v/>
      </c>
      <c r="AK680" s="43">
        <f>IF(AG680=1,AF680,MAX(AQ680*AS680,AF680))</f>
        <v/>
      </c>
      <c r="AL680" s="43">
        <f>IF(AG680=1,AD680,AK680*(1+AJ680)/2)</f>
        <v/>
      </c>
      <c r="AM680" s="43">
        <f>IF(AG680=1,AE680,AK680*(1-AJ680)/2)</f>
        <v/>
      </c>
      <c r="AN680" s="45">
        <f>IF(AH680="","",AH680-T680)</f>
        <v/>
      </c>
      <c r="AO680" s="51">
        <f>IF(AG680=1,1,IF(U680&gt;0,MIN(AF680/U680,0.99),0))</f>
        <v/>
      </c>
      <c r="AP680" s="43">
        <f>IF(AG680=1,AI680*AF680,0)</f>
        <v/>
      </c>
      <c r="AQ680" s="43">
        <f>N680*(F680+G680)/H680</f>
        <v/>
      </c>
      <c r="AR680" s="43">
        <f>O680*AQ680</f>
        <v/>
      </c>
      <c r="AS680" s="52">
        <f>IF(AG680=1,IF(AQ680&gt;0,AF680/AQ680,1),IFERROR(INDEX(Types!$K:$K,MATCH($A680&amp;"|"&amp;$D680,Types!$A:$A,0)),INDEX(Dashboard!$X$6:$X$22,MATCH($A680,Dashboard!$A$6:$A$22,0))))</f>
        <v/>
      </c>
      <c r="AT680" s="43">
        <f>AQ680*INDEX(Dashboard!$Y$6:$Y$22,MATCH($A680,Dashboard!$A$6:$A$22,0))</f>
        <v/>
      </c>
      <c r="AU680" s="53">
        <f>IF(AND(AG680=1,AT680&gt;0,AF680&gt;0),100*AF680/AT680,"")</f>
        <v/>
      </c>
      <c r="AV680" s="44">
        <f>IF(AU680="","",T680/(AU680/100))</f>
        <v/>
      </c>
      <c r="AW680" s="53">
        <f>IF(AU680="","",IF(AND(ABS(AH680)&gt;=0.1,ABS(T680)&gt;=0.05,SIGN(AH680)=SIGN(T680)),100*T680/AH680,""))</f>
        <v/>
      </c>
      <c r="AX680" s="45">
        <f>IF(AU680="","",T680-AV680)</f>
        <v/>
      </c>
      <c r="AY680" s="45">
        <f>IF(AU680="","",AH680-AV680)</f>
        <v/>
      </c>
      <c r="AZ680" s="54">
        <f>(AL680-AM680)-T680*AT680</f>
        <v/>
      </c>
      <c r="BA680" s="43">
        <f>IF(AU680="",0,(AH680-T680)*AF680)</f>
        <v/>
      </c>
      <c r="BB680" s="43">
        <f>IF(AU680="",0,T680*(AF680-AT680))</f>
        <v/>
      </c>
      <c r="BC680" s="51" t="n">
        <v>0.5967970689043848</v>
      </c>
      <c r="BD680" s="51" t="n">
        <v>0.02505613993617776</v>
      </c>
      <c r="BE680" s="51" t="n">
        <v>0.1784745251733494</v>
      </c>
      <c r="BF680" s="43" t="n">
        <v>16922</v>
      </c>
    </row>
    <row r="681">
      <c r="A681" s="42" t="inlineStr">
        <is>
          <t>NC</t>
        </is>
      </c>
      <c r="B681" s="42" t="inlineStr">
        <is>
          <t>37017</t>
        </is>
      </c>
      <c r="C681" s="42" t="inlineStr">
        <is>
          <t>Bladen</t>
        </is>
      </c>
      <c r="D681" s="42" t="inlineStr">
        <is>
          <t>Small town &amp; rural</t>
        </is>
      </c>
      <c r="E681" s="42" t="inlineStr"/>
      <c r="F681" s="43" t="n">
        <v>6620</v>
      </c>
      <c r="G681" s="43" t="n">
        <v>10035</v>
      </c>
      <c r="H681" s="43" t="n">
        <v>16743</v>
      </c>
      <c r="I681" s="43" t="n">
        <v>7326</v>
      </c>
      <c r="J681" s="43" t="n">
        <v>9676</v>
      </c>
      <c r="K681" s="42" t="inlineStr">
        <is>
          <t>US Senate</t>
        </is>
      </c>
      <c r="L681" s="43" t="n">
        <v>4799</v>
      </c>
      <c r="M681" s="43" t="n">
        <v>6745</v>
      </c>
      <c r="N681" s="43" t="n">
        <v>11783</v>
      </c>
      <c r="O681" s="44">
        <f>IFERROR((F681-G681)/(F681+G681),"")</f>
        <v/>
      </c>
      <c r="P681" s="44">
        <f>IFERROR((I681-J681)/(I681+J681),"")</f>
        <v/>
      </c>
      <c r="Q681" s="45">
        <f>IFERROR(O681-P681,"")</f>
        <v/>
      </c>
      <c r="R681" s="44">
        <f>IFERROR((L681-M681)/(L681+M681),"")</f>
        <v/>
      </c>
      <c r="S681" s="46">
        <f>H681/SUMIFS(Counties!$H$2:$H$1583,Counties!$A$2:$A$1583,$A681)</f>
        <v/>
      </c>
      <c r="T681" s="44">
        <f>O681+INDEX(Dashboard!$F$6:$F$22,MATCH($A681,Dashboard!$A$6:$A$22,0))</f>
        <v/>
      </c>
      <c r="U681" s="43">
        <f>AQ681*INDEX(Dashboard!$G$6:$G$22,MATCH($A681,Dashboard!$A$6:$A$22,0))</f>
        <v/>
      </c>
      <c r="V681" s="47" t="n"/>
      <c r="W681" s="47" t="n"/>
      <c r="X681" s="47" t="n"/>
      <c r="Y681" s="48" t="n"/>
      <c r="Z681" s="49" t="n"/>
      <c r="AA681" s="49" t="n"/>
      <c r="AB681" s="49" t="n"/>
      <c r="AC681" s="50" t="n"/>
      <c r="AD681" s="43">
        <f>IF(Z681&lt;&gt;"",Z681,N(V681))</f>
        <v/>
      </c>
      <c r="AE681" s="43">
        <f>IF(AA681&lt;&gt;"",AA681,N(W681))</f>
        <v/>
      </c>
      <c r="AF681" s="43">
        <f>AD681+AE681</f>
        <v/>
      </c>
      <c r="AG681" s="42">
        <f>IF(UPPER(AC681)="Y",1,IF(AF681=0,0,IF(AND(Z681="",Y681&lt;&gt;""),IF(Y681&gt;=0.999,1,0),IF(AF681&gt;=U681,1,0))))</f>
        <v/>
      </c>
      <c r="AH681" s="44">
        <f>IF(AF681&gt;0,(AD681-AE681)/AF681,"")</f>
        <v/>
      </c>
      <c r="AI681" s="45">
        <f>IF(AG681=1,AH681-O681,"")</f>
        <v/>
      </c>
      <c r="AJ681" s="44">
        <f>IF(AG681=1,AH681,MAX(-1,MIN(1,O681+INDEX(Types!$H:$H,MATCH($A681&amp;"|"&amp;$D681,Types!$A:$A,0)))))</f>
        <v/>
      </c>
      <c r="AK681" s="43">
        <f>IF(AG681=1,AF681,MAX(AQ681*AS681,AF681))</f>
        <v/>
      </c>
      <c r="AL681" s="43">
        <f>IF(AG681=1,AD681,AK681*(1+AJ681)/2)</f>
        <v/>
      </c>
      <c r="AM681" s="43">
        <f>IF(AG681=1,AE681,AK681*(1-AJ681)/2)</f>
        <v/>
      </c>
      <c r="AN681" s="45">
        <f>IF(AH681="","",AH681-T681)</f>
        <v/>
      </c>
      <c r="AO681" s="51">
        <f>IF(AG681=1,1,IF(U681&gt;0,MIN(AF681/U681,0.99),0))</f>
        <v/>
      </c>
      <c r="AP681" s="43">
        <f>IF(AG681=1,AI681*AF681,0)</f>
        <v/>
      </c>
      <c r="AQ681" s="43">
        <f>N681*(F681+G681)/H681</f>
        <v/>
      </c>
      <c r="AR681" s="43">
        <f>O681*AQ681</f>
        <v/>
      </c>
      <c r="AS681" s="52">
        <f>IF(AG681=1,IF(AQ681&gt;0,AF681/AQ681,1),IFERROR(INDEX(Types!$K:$K,MATCH($A681&amp;"|"&amp;$D681,Types!$A:$A,0)),INDEX(Dashboard!$X$6:$X$22,MATCH($A681,Dashboard!$A$6:$A$22,0))))</f>
        <v/>
      </c>
      <c r="AT681" s="43">
        <f>AQ681*INDEX(Dashboard!$Y$6:$Y$22,MATCH($A681,Dashboard!$A$6:$A$22,0))</f>
        <v/>
      </c>
      <c r="AU681" s="53">
        <f>IF(AND(AG681=1,AT681&gt;0,AF681&gt;0),100*AF681/AT681,"")</f>
        <v/>
      </c>
      <c r="AV681" s="44">
        <f>IF(AU681="","",T681/(AU681/100))</f>
        <v/>
      </c>
      <c r="AW681" s="53">
        <f>IF(AU681="","",IF(AND(ABS(AH681)&gt;=0.1,ABS(T681)&gt;=0.05,SIGN(AH681)=SIGN(T681)),100*T681/AH681,""))</f>
        <v/>
      </c>
      <c r="AX681" s="45">
        <f>IF(AU681="","",T681-AV681)</f>
        <v/>
      </c>
      <c r="AY681" s="45">
        <f>IF(AU681="","",AH681-AV681)</f>
        <v/>
      </c>
      <c r="AZ681" s="54">
        <f>(AL681-AM681)-T681*AT681</f>
        <v/>
      </c>
      <c r="BA681" s="43">
        <f>IF(AU681="",0,(AH681-T681)*AF681)</f>
        <v/>
      </c>
      <c r="BB681" s="43">
        <f>IF(AU681="",0,T681*(AF681-AT681))</f>
        <v/>
      </c>
      <c r="BC681" s="51" t="n">
        <v>0.3170872337539004</v>
      </c>
      <c r="BD681" s="51" t="n">
        <v>0.0953737620404287</v>
      </c>
      <c r="BE681" s="51" t="n">
        <v>0.2056983028349294</v>
      </c>
      <c r="BF681" s="43" t="n">
        <v>29484</v>
      </c>
    </row>
    <row r="682">
      <c r="A682" s="42" t="inlineStr">
        <is>
          <t>NC</t>
        </is>
      </c>
      <c r="B682" s="42" t="inlineStr">
        <is>
          <t>37019</t>
        </is>
      </c>
      <c r="C682" s="42" t="inlineStr">
        <is>
          <t>Brunswick</t>
        </is>
      </c>
      <c r="D682" s="42" t="inlineStr">
        <is>
          <t>Mid-size/working metro</t>
        </is>
      </c>
      <c r="E682" s="42" t="inlineStr"/>
      <c r="F682" s="43" t="n">
        <v>40557</v>
      </c>
      <c r="G682" s="43" t="n">
        <v>67658</v>
      </c>
      <c r="H682" s="43" t="n">
        <v>109049</v>
      </c>
      <c r="I682" s="43" t="n">
        <v>33310</v>
      </c>
      <c r="J682" s="43" t="n">
        <v>55850</v>
      </c>
      <c r="K682" s="42" t="inlineStr">
        <is>
          <t>US Senate</t>
        </is>
      </c>
      <c r="L682" s="43" t="n">
        <v>26685</v>
      </c>
      <c r="M682" s="43" t="n">
        <v>44911</v>
      </c>
      <c r="N682" s="43" t="n">
        <v>73093</v>
      </c>
      <c r="O682" s="44">
        <f>IFERROR((F682-G682)/(F682+G682),"")</f>
        <v/>
      </c>
      <c r="P682" s="44">
        <f>IFERROR((I682-J682)/(I682+J682),"")</f>
        <v/>
      </c>
      <c r="Q682" s="45">
        <f>IFERROR(O682-P682,"")</f>
        <v/>
      </c>
      <c r="R682" s="44">
        <f>IFERROR((L682-M682)/(L682+M682),"")</f>
        <v/>
      </c>
      <c r="S682" s="46">
        <f>H682/SUMIFS(Counties!$H$2:$H$1583,Counties!$A$2:$A$1583,$A682)</f>
        <v/>
      </c>
      <c r="T682" s="44">
        <f>O682+INDEX(Dashboard!$F$6:$F$22,MATCH($A682,Dashboard!$A$6:$A$22,0))</f>
        <v/>
      </c>
      <c r="U682" s="43">
        <f>AQ682*INDEX(Dashboard!$G$6:$G$22,MATCH($A682,Dashboard!$A$6:$A$22,0))</f>
        <v/>
      </c>
      <c r="V682" s="47" t="n"/>
      <c r="W682" s="47" t="n"/>
      <c r="X682" s="47" t="n"/>
      <c r="Y682" s="48" t="n"/>
      <c r="Z682" s="49" t="n"/>
      <c r="AA682" s="49" t="n"/>
      <c r="AB682" s="49" t="n"/>
      <c r="AC682" s="50" t="n"/>
      <c r="AD682" s="43">
        <f>IF(Z682&lt;&gt;"",Z682,N(V682))</f>
        <v/>
      </c>
      <c r="AE682" s="43">
        <f>IF(AA682&lt;&gt;"",AA682,N(W682))</f>
        <v/>
      </c>
      <c r="AF682" s="43">
        <f>AD682+AE682</f>
        <v/>
      </c>
      <c r="AG682" s="42">
        <f>IF(UPPER(AC682)="Y",1,IF(AF682=0,0,IF(AND(Z682="",Y682&lt;&gt;""),IF(Y682&gt;=0.999,1,0),IF(AF682&gt;=U682,1,0))))</f>
        <v/>
      </c>
      <c r="AH682" s="44">
        <f>IF(AF682&gt;0,(AD682-AE682)/AF682,"")</f>
        <v/>
      </c>
      <c r="AI682" s="45">
        <f>IF(AG682=1,AH682-O682,"")</f>
        <v/>
      </c>
      <c r="AJ682" s="44">
        <f>IF(AG682=1,AH682,MAX(-1,MIN(1,O682+INDEX(Types!$H:$H,MATCH($A682&amp;"|"&amp;$D682,Types!$A:$A,0)))))</f>
        <v/>
      </c>
      <c r="AK682" s="43">
        <f>IF(AG682=1,AF682,MAX(AQ682*AS682,AF682))</f>
        <v/>
      </c>
      <c r="AL682" s="43">
        <f>IF(AG682=1,AD682,AK682*(1+AJ682)/2)</f>
        <v/>
      </c>
      <c r="AM682" s="43">
        <f>IF(AG682=1,AE682,AK682*(1-AJ682)/2)</f>
        <v/>
      </c>
      <c r="AN682" s="45">
        <f>IF(AH682="","",AH682-T682)</f>
        <v/>
      </c>
      <c r="AO682" s="51">
        <f>IF(AG682=1,1,IF(U682&gt;0,MIN(AF682/U682,0.99),0))</f>
        <v/>
      </c>
      <c r="AP682" s="43">
        <f>IF(AG682=1,AI682*AF682,0)</f>
        <v/>
      </c>
      <c r="AQ682" s="43">
        <f>N682*(F682+G682)/H682</f>
        <v/>
      </c>
      <c r="AR682" s="43">
        <f>O682*AQ682</f>
        <v/>
      </c>
      <c r="AS682" s="52">
        <f>IF(AG682=1,IF(AQ682&gt;0,AF682/AQ682,1),IFERROR(INDEX(Types!$K:$K,MATCH($A682&amp;"|"&amp;$D682,Types!$A:$A,0)),INDEX(Dashboard!$X$6:$X$22,MATCH($A682,Dashboard!$A$6:$A$22,0))))</f>
        <v/>
      </c>
      <c r="AT682" s="43">
        <f>AQ682*INDEX(Dashboard!$Y$6:$Y$22,MATCH($A682,Dashboard!$A$6:$A$22,0))</f>
        <v/>
      </c>
      <c r="AU682" s="53">
        <f>IF(AND(AG682=1,AT682&gt;0,AF682&gt;0),100*AF682/AT682,"")</f>
        <v/>
      </c>
      <c r="AV682" s="44">
        <f>IF(AU682="","",T682/(AU682/100))</f>
        <v/>
      </c>
      <c r="AW682" s="53">
        <f>IF(AU682="","",IF(AND(ABS(AH682)&gt;=0.1,ABS(T682)&gt;=0.05,SIGN(AH682)=SIGN(T682)),100*T682/AH682,""))</f>
        <v/>
      </c>
      <c r="AX682" s="45">
        <f>IF(AU682="","",T682-AV682)</f>
        <v/>
      </c>
      <c r="AY682" s="45">
        <f>IF(AU682="","",AH682-AV682)</f>
        <v/>
      </c>
      <c r="AZ682" s="54">
        <f>(AL682-AM682)-T682*AT682</f>
        <v/>
      </c>
      <c r="BA682" s="43">
        <f>IF(AU682="",0,(AH682-T682)*AF682)</f>
        <v/>
      </c>
      <c r="BB682" s="43">
        <f>IF(AU682="",0,T682*(AF682-AT682))</f>
        <v/>
      </c>
      <c r="BC682" s="51" t="n">
        <v>0.08709459628416394</v>
      </c>
      <c r="BD682" s="51" t="n">
        <v>0.05707534195193919</v>
      </c>
      <c r="BE682" s="51" t="n">
        <v>0.3322168814345128</v>
      </c>
      <c r="BF682" s="43" t="n">
        <v>159964</v>
      </c>
    </row>
    <row r="683">
      <c r="A683" s="42" t="inlineStr">
        <is>
          <t>NC</t>
        </is>
      </c>
      <c r="B683" s="42" t="inlineStr">
        <is>
          <t>37021</t>
        </is>
      </c>
      <c r="C683" s="42" t="inlineStr">
        <is>
          <t>Buncombe</t>
        </is>
      </c>
      <c r="D683" s="42" t="inlineStr">
        <is>
          <t>College suburb/metro</t>
        </is>
      </c>
      <c r="E683" s="42" t="inlineStr">
        <is>
          <t>★</t>
        </is>
      </c>
      <c r="F683" s="43" t="n">
        <v>98662</v>
      </c>
      <c r="G683" s="43" t="n">
        <v>59016</v>
      </c>
      <c r="H683" s="43" t="n">
        <v>159885</v>
      </c>
      <c r="I683" s="43" t="n">
        <v>96515</v>
      </c>
      <c r="J683" s="43" t="n">
        <v>62412</v>
      </c>
      <c r="K683" s="42" t="inlineStr">
        <is>
          <t>US Senate</t>
        </is>
      </c>
      <c r="L683" s="43" t="n">
        <v>73807</v>
      </c>
      <c r="M683" s="43" t="n">
        <v>43222</v>
      </c>
      <c r="N683" s="43" t="n">
        <v>120126</v>
      </c>
      <c r="O683" s="44">
        <f>IFERROR((F683-G683)/(F683+G683),"")</f>
        <v/>
      </c>
      <c r="P683" s="44">
        <f>IFERROR((I683-J683)/(I683+J683),"")</f>
        <v/>
      </c>
      <c r="Q683" s="45">
        <f>IFERROR(O683-P683,"")</f>
        <v/>
      </c>
      <c r="R683" s="44">
        <f>IFERROR((L683-M683)/(L683+M683),"")</f>
        <v/>
      </c>
      <c r="S683" s="46">
        <f>H683/SUMIFS(Counties!$H$2:$H$1583,Counties!$A$2:$A$1583,$A683)</f>
        <v/>
      </c>
      <c r="T683" s="44">
        <f>O683+INDEX(Dashboard!$F$6:$F$22,MATCH($A683,Dashboard!$A$6:$A$22,0))</f>
        <v/>
      </c>
      <c r="U683" s="43">
        <f>AQ683*INDEX(Dashboard!$G$6:$G$22,MATCH($A683,Dashboard!$A$6:$A$22,0))</f>
        <v/>
      </c>
      <c r="V683" s="47" t="n"/>
      <c r="W683" s="47" t="n"/>
      <c r="X683" s="47" t="n"/>
      <c r="Y683" s="48" t="n"/>
      <c r="Z683" s="49" t="n"/>
      <c r="AA683" s="49" t="n"/>
      <c r="AB683" s="49" t="n"/>
      <c r="AC683" s="50" t="n"/>
      <c r="AD683" s="43">
        <f>IF(Z683&lt;&gt;"",Z683,N(V683))</f>
        <v/>
      </c>
      <c r="AE683" s="43">
        <f>IF(AA683&lt;&gt;"",AA683,N(W683))</f>
        <v/>
      </c>
      <c r="AF683" s="43">
        <f>AD683+AE683</f>
        <v/>
      </c>
      <c r="AG683" s="42">
        <f>IF(UPPER(AC683)="Y",1,IF(AF683=0,0,IF(AND(Z683="",Y683&lt;&gt;""),IF(Y683&gt;=0.999,1,0),IF(AF683&gt;=U683,1,0))))</f>
        <v/>
      </c>
      <c r="AH683" s="44">
        <f>IF(AF683&gt;0,(AD683-AE683)/AF683,"")</f>
        <v/>
      </c>
      <c r="AI683" s="45">
        <f>IF(AG683=1,AH683-O683,"")</f>
        <v/>
      </c>
      <c r="AJ683" s="44">
        <f>IF(AG683=1,AH683,MAX(-1,MIN(1,O683+INDEX(Types!$H:$H,MATCH($A683&amp;"|"&amp;$D683,Types!$A:$A,0)))))</f>
        <v/>
      </c>
      <c r="AK683" s="43">
        <f>IF(AG683=1,AF683,MAX(AQ683*AS683,AF683))</f>
        <v/>
      </c>
      <c r="AL683" s="43">
        <f>IF(AG683=1,AD683,AK683*(1+AJ683)/2)</f>
        <v/>
      </c>
      <c r="AM683" s="43">
        <f>IF(AG683=1,AE683,AK683*(1-AJ683)/2)</f>
        <v/>
      </c>
      <c r="AN683" s="45">
        <f>IF(AH683="","",AH683-T683)</f>
        <v/>
      </c>
      <c r="AO683" s="51">
        <f>IF(AG683=1,1,IF(U683&gt;0,MIN(AF683/U683,0.99),0))</f>
        <v/>
      </c>
      <c r="AP683" s="43">
        <f>IF(AG683=1,AI683*AF683,0)</f>
        <v/>
      </c>
      <c r="AQ683" s="43">
        <f>N683*(F683+G683)/H683</f>
        <v/>
      </c>
      <c r="AR683" s="43">
        <f>O683*AQ683</f>
        <v/>
      </c>
      <c r="AS683" s="52">
        <f>IF(AG683=1,IF(AQ683&gt;0,AF683/AQ683,1),IFERROR(INDEX(Types!$K:$K,MATCH($A683&amp;"|"&amp;$D683,Types!$A:$A,0)),INDEX(Dashboard!$X$6:$X$22,MATCH($A683,Dashboard!$A$6:$A$22,0))))</f>
        <v/>
      </c>
      <c r="AT683" s="43">
        <f>AQ683*INDEX(Dashboard!$Y$6:$Y$22,MATCH($A683,Dashboard!$A$6:$A$22,0))</f>
        <v/>
      </c>
      <c r="AU683" s="53">
        <f>IF(AND(AG683=1,AT683&gt;0,AF683&gt;0),100*AF683/AT683,"")</f>
        <v/>
      </c>
      <c r="AV683" s="44">
        <f>IF(AU683="","",T683/(AU683/100))</f>
        <v/>
      </c>
      <c r="AW683" s="53">
        <f>IF(AU683="","",IF(AND(ABS(AH683)&gt;=0.1,ABS(T683)&gt;=0.05,SIGN(AH683)=SIGN(T683)),100*T683/AH683,""))</f>
        <v/>
      </c>
      <c r="AX683" s="45">
        <f>IF(AU683="","",T683-AV683)</f>
        <v/>
      </c>
      <c r="AY683" s="45">
        <f>IF(AU683="","",AH683-AV683)</f>
        <v/>
      </c>
      <c r="AZ683" s="54">
        <f>(AL683-AM683)-T683*AT683</f>
        <v/>
      </c>
      <c r="BA683" s="43">
        <f>IF(AU683="",0,(AH683-T683)*AF683)</f>
        <v/>
      </c>
      <c r="BB683" s="43">
        <f>IF(AU683="",0,T683*(AF683-AT683))</f>
        <v/>
      </c>
      <c r="BC683" s="51" t="n">
        <v>0.05645140829500437</v>
      </c>
      <c r="BD683" s="51" t="n">
        <v>0.08560316925273921</v>
      </c>
      <c r="BE683" s="51" t="n">
        <v>0.4462484478809556</v>
      </c>
      <c r="BF683" s="43" t="n">
        <v>275901</v>
      </c>
    </row>
    <row r="684">
      <c r="A684" s="42" t="inlineStr">
        <is>
          <t>NC</t>
        </is>
      </c>
      <c r="B684" s="42" t="inlineStr">
        <is>
          <t>37023</t>
        </is>
      </c>
      <c r="C684" s="42" t="inlineStr">
        <is>
          <t>Burke</t>
        </is>
      </c>
      <c r="D684" s="42" t="inlineStr">
        <is>
          <t>Small town &amp; rural</t>
        </is>
      </c>
      <c r="E684" s="42" t="inlineStr"/>
      <c r="F684" s="43" t="n">
        <v>13272</v>
      </c>
      <c r="G684" s="43" t="n">
        <v>32130</v>
      </c>
      <c r="H684" s="43" t="n">
        <v>45733</v>
      </c>
      <c r="I684" s="43" t="n">
        <v>13118</v>
      </c>
      <c r="J684" s="43" t="n">
        <v>31019</v>
      </c>
      <c r="K684" s="42" t="inlineStr">
        <is>
          <t>US Senate</t>
        </is>
      </c>
      <c r="L684" s="43" t="n">
        <v>8847</v>
      </c>
      <c r="M684" s="43" t="n">
        <v>20456</v>
      </c>
      <c r="N684" s="43" t="n">
        <v>29978</v>
      </c>
      <c r="O684" s="44">
        <f>IFERROR((F684-G684)/(F684+G684),"")</f>
        <v/>
      </c>
      <c r="P684" s="44">
        <f>IFERROR((I684-J684)/(I684+J684),"")</f>
        <v/>
      </c>
      <c r="Q684" s="45">
        <f>IFERROR(O684-P684,"")</f>
        <v/>
      </c>
      <c r="R684" s="44">
        <f>IFERROR((L684-M684)/(L684+M684),"")</f>
        <v/>
      </c>
      <c r="S684" s="46">
        <f>H684/SUMIFS(Counties!$H$2:$H$1583,Counties!$A$2:$A$1583,$A684)</f>
        <v/>
      </c>
      <c r="T684" s="44">
        <f>O684+INDEX(Dashboard!$F$6:$F$22,MATCH($A684,Dashboard!$A$6:$A$22,0))</f>
        <v/>
      </c>
      <c r="U684" s="43">
        <f>AQ684*INDEX(Dashboard!$G$6:$G$22,MATCH($A684,Dashboard!$A$6:$A$22,0))</f>
        <v/>
      </c>
      <c r="V684" s="47" t="n"/>
      <c r="W684" s="47" t="n"/>
      <c r="X684" s="47" t="n"/>
      <c r="Y684" s="48" t="n"/>
      <c r="Z684" s="49" t="n"/>
      <c r="AA684" s="49" t="n"/>
      <c r="AB684" s="49" t="n"/>
      <c r="AC684" s="50" t="n"/>
      <c r="AD684" s="43">
        <f>IF(Z684&lt;&gt;"",Z684,N(V684))</f>
        <v/>
      </c>
      <c r="AE684" s="43">
        <f>IF(AA684&lt;&gt;"",AA684,N(W684))</f>
        <v/>
      </c>
      <c r="AF684" s="43">
        <f>AD684+AE684</f>
        <v/>
      </c>
      <c r="AG684" s="42">
        <f>IF(UPPER(AC684)="Y",1,IF(AF684=0,0,IF(AND(Z684="",Y684&lt;&gt;""),IF(Y684&gt;=0.999,1,0),IF(AF684&gt;=U684,1,0))))</f>
        <v/>
      </c>
      <c r="AH684" s="44">
        <f>IF(AF684&gt;0,(AD684-AE684)/AF684,"")</f>
        <v/>
      </c>
      <c r="AI684" s="45">
        <f>IF(AG684=1,AH684-O684,"")</f>
        <v/>
      </c>
      <c r="AJ684" s="44">
        <f>IF(AG684=1,AH684,MAX(-1,MIN(1,O684+INDEX(Types!$H:$H,MATCH($A684&amp;"|"&amp;$D684,Types!$A:$A,0)))))</f>
        <v/>
      </c>
      <c r="AK684" s="43">
        <f>IF(AG684=1,AF684,MAX(AQ684*AS684,AF684))</f>
        <v/>
      </c>
      <c r="AL684" s="43">
        <f>IF(AG684=1,AD684,AK684*(1+AJ684)/2)</f>
        <v/>
      </c>
      <c r="AM684" s="43">
        <f>IF(AG684=1,AE684,AK684*(1-AJ684)/2)</f>
        <v/>
      </c>
      <c r="AN684" s="45">
        <f>IF(AH684="","",AH684-T684)</f>
        <v/>
      </c>
      <c r="AO684" s="51">
        <f>IF(AG684=1,1,IF(U684&gt;0,MIN(AF684/U684,0.99),0))</f>
        <v/>
      </c>
      <c r="AP684" s="43">
        <f>IF(AG684=1,AI684*AF684,0)</f>
        <v/>
      </c>
      <c r="AQ684" s="43">
        <f>N684*(F684+G684)/H684</f>
        <v/>
      </c>
      <c r="AR684" s="43">
        <f>O684*AQ684</f>
        <v/>
      </c>
      <c r="AS684" s="52">
        <f>IF(AG684=1,IF(AQ684&gt;0,AF684/AQ684,1),IFERROR(INDEX(Types!$K:$K,MATCH($A684&amp;"|"&amp;$D684,Types!$A:$A,0)),INDEX(Dashboard!$X$6:$X$22,MATCH($A684,Dashboard!$A$6:$A$22,0))))</f>
        <v/>
      </c>
      <c r="AT684" s="43">
        <f>AQ684*INDEX(Dashboard!$Y$6:$Y$22,MATCH($A684,Dashboard!$A$6:$A$22,0))</f>
        <v/>
      </c>
      <c r="AU684" s="53">
        <f>IF(AND(AG684=1,AT684&gt;0,AF684&gt;0),100*AF684/AT684,"")</f>
        <v/>
      </c>
      <c r="AV684" s="44">
        <f>IF(AU684="","",T684/(AU684/100))</f>
        <v/>
      </c>
      <c r="AW684" s="53">
        <f>IF(AU684="","",IF(AND(ABS(AH684)&gt;=0.1,ABS(T684)&gt;=0.05,SIGN(AH684)=SIGN(T684)),100*T684/AH684,""))</f>
        <v/>
      </c>
      <c r="AX684" s="45">
        <f>IF(AU684="","",T684-AV684)</f>
        <v/>
      </c>
      <c r="AY684" s="45">
        <f>IF(AU684="","",AH684-AV684)</f>
        <v/>
      </c>
      <c r="AZ684" s="54">
        <f>(AL684-AM684)-T684*AT684</f>
        <v/>
      </c>
      <c r="BA684" s="43">
        <f>IF(AU684="",0,(AH684-T684)*AF684)</f>
        <v/>
      </c>
      <c r="BB684" s="43">
        <f>IF(AU684="",0,T684*(AF684-AT684))</f>
        <v/>
      </c>
      <c r="BC684" s="51" t="n">
        <v>0.06221558106364192</v>
      </c>
      <c r="BD684" s="51" t="n">
        <v>0.08565962552921733</v>
      </c>
      <c r="BE684" s="51" t="n">
        <v>0.2017086344853203</v>
      </c>
      <c r="BF684" s="43" t="n">
        <v>88338</v>
      </c>
    </row>
    <row r="685">
      <c r="A685" s="42" t="inlineStr">
        <is>
          <t>NC</t>
        </is>
      </c>
      <c r="B685" s="42" t="inlineStr">
        <is>
          <t>37025</t>
        </is>
      </c>
      <c r="C685" s="42" t="inlineStr">
        <is>
          <t>Cabarrus</t>
        </is>
      </c>
      <c r="D685" s="42" t="inlineStr">
        <is>
          <t>Mid-size/working metro</t>
        </is>
      </c>
      <c r="E685" s="42" t="inlineStr"/>
      <c r="F685" s="43" t="n">
        <v>54494</v>
      </c>
      <c r="G685" s="43" t="n">
        <v>63746</v>
      </c>
      <c r="H685" s="43" t="n">
        <v>119820</v>
      </c>
      <c r="I685" s="43" t="n">
        <v>52162</v>
      </c>
      <c r="J685" s="43" t="n">
        <v>63237</v>
      </c>
      <c r="K685" s="42" t="inlineStr">
        <is>
          <t>US Senate</t>
        </is>
      </c>
      <c r="L685" s="43" t="n">
        <v>32372</v>
      </c>
      <c r="M685" s="43" t="n">
        <v>41468</v>
      </c>
      <c r="N685" s="43" t="n">
        <v>75681</v>
      </c>
      <c r="O685" s="44">
        <f>IFERROR((F685-G685)/(F685+G685),"")</f>
        <v/>
      </c>
      <c r="P685" s="44">
        <f>IFERROR((I685-J685)/(I685+J685),"")</f>
        <v/>
      </c>
      <c r="Q685" s="45">
        <f>IFERROR(O685-P685,"")</f>
        <v/>
      </c>
      <c r="R685" s="44">
        <f>IFERROR((L685-M685)/(L685+M685),"")</f>
        <v/>
      </c>
      <c r="S685" s="46">
        <f>H685/SUMIFS(Counties!$H$2:$H$1583,Counties!$A$2:$A$1583,$A685)</f>
        <v/>
      </c>
      <c r="T685" s="44">
        <f>O685+INDEX(Dashboard!$F$6:$F$22,MATCH($A685,Dashboard!$A$6:$A$22,0))</f>
        <v/>
      </c>
      <c r="U685" s="43">
        <f>AQ685*INDEX(Dashboard!$G$6:$G$22,MATCH($A685,Dashboard!$A$6:$A$22,0))</f>
        <v/>
      </c>
      <c r="V685" s="47" t="n"/>
      <c r="W685" s="47" t="n"/>
      <c r="X685" s="47" t="n"/>
      <c r="Y685" s="48" t="n"/>
      <c r="Z685" s="49" t="n"/>
      <c r="AA685" s="49" t="n"/>
      <c r="AB685" s="49" t="n"/>
      <c r="AC685" s="50" t="n"/>
      <c r="AD685" s="43">
        <f>IF(Z685&lt;&gt;"",Z685,N(V685))</f>
        <v/>
      </c>
      <c r="AE685" s="43">
        <f>IF(AA685&lt;&gt;"",AA685,N(W685))</f>
        <v/>
      </c>
      <c r="AF685" s="43">
        <f>AD685+AE685</f>
        <v/>
      </c>
      <c r="AG685" s="42">
        <f>IF(UPPER(AC685)="Y",1,IF(AF685=0,0,IF(AND(Z685="",Y685&lt;&gt;""),IF(Y685&gt;=0.999,1,0),IF(AF685&gt;=U685,1,0))))</f>
        <v/>
      </c>
      <c r="AH685" s="44">
        <f>IF(AF685&gt;0,(AD685-AE685)/AF685,"")</f>
        <v/>
      </c>
      <c r="AI685" s="45">
        <f>IF(AG685=1,AH685-O685,"")</f>
        <v/>
      </c>
      <c r="AJ685" s="44">
        <f>IF(AG685=1,AH685,MAX(-1,MIN(1,O685+INDEX(Types!$H:$H,MATCH($A685&amp;"|"&amp;$D685,Types!$A:$A,0)))))</f>
        <v/>
      </c>
      <c r="AK685" s="43">
        <f>IF(AG685=1,AF685,MAX(AQ685*AS685,AF685))</f>
        <v/>
      </c>
      <c r="AL685" s="43">
        <f>IF(AG685=1,AD685,AK685*(1+AJ685)/2)</f>
        <v/>
      </c>
      <c r="AM685" s="43">
        <f>IF(AG685=1,AE685,AK685*(1-AJ685)/2)</f>
        <v/>
      </c>
      <c r="AN685" s="45">
        <f>IF(AH685="","",AH685-T685)</f>
        <v/>
      </c>
      <c r="AO685" s="51">
        <f>IF(AG685=1,1,IF(U685&gt;0,MIN(AF685/U685,0.99),0))</f>
        <v/>
      </c>
      <c r="AP685" s="43">
        <f>IF(AG685=1,AI685*AF685,0)</f>
        <v/>
      </c>
      <c r="AQ685" s="43">
        <f>N685*(F685+G685)/H685</f>
        <v/>
      </c>
      <c r="AR685" s="43">
        <f>O685*AQ685</f>
        <v/>
      </c>
      <c r="AS685" s="52">
        <f>IF(AG685=1,IF(AQ685&gt;0,AF685/AQ685,1),IFERROR(INDEX(Types!$K:$K,MATCH($A685&amp;"|"&amp;$D685,Types!$A:$A,0)),INDEX(Dashboard!$X$6:$X$22,MATCH($A685,Dashboard!$A$6:$A$22,0))))</f>
        <v/>
      </c>
      <c r="AT685" s="43">
        <f>AQ685*INDEX(Dashboard!$Y$6:$Y$22,MATCH($A685,Dashboard!$A$6:$A$22,0))</f>
        <v/>
      </c>
      <c r="AU685" s="53">
        <f>IF(AND(AG685=1,AT685&gt;0,AF685&gt;0),100*AF685/AT685,"")</f>
        <v/>
      </c>
      <c r="AV685" s="44">
        <f>IF(AU685="","",T685/(AU685/100))</f>
        <v/>
      </c>
      <c r="AW685" s="53">
        <f>IF(AU685="","",IF(AND(ABS(AH685)&gt;=0.1,ABS(T685)&gt;=0.05,SIGN(AH685)=SIGN(T685)),100*T685/AH685,""))</f>
        <v/>
      </c>
      <c r="AX685" s="45">
        <f>IF(AU685="","",T685-AV685)</f>
        <v/>
      </c>
      <c r="AY685" s="45">
        <f>IF(AU685="","",AH685-AV685)</f>
        <v/>
      </c>
      <c r="AZ685" s="54">
        <f>(AL685-AM685)-T685*AT685</f>
        <v/>
      </c>
      <c r="BA685" s="43">
        <f>IF(AU685="",0,(AH685-T685)*AF685)</f>
        <v/>
      </c>
      <c r="BB685" s="43">
        <f>IF(AU685="",0,T685*(AF685-AT685))</f>
        <v/>
      </c>
      <c r="BC685" s="51" t="n">
        <v>0.2081319578694754</v>
      </c>
      <c r="BD685" s="51" t="n">
        <v>0.129574695020332</v>
      </c>
      <c r="BE685" s="51" t="n">
        <v>0.3766173752310536</v>
      </c>
      <c r="BF685" s="43" t="n">
        <v>240016</v>
      </c>
    </row>
    <row r="686">
      <c r="A686" s="42" t="inlineStr">
        <is>
          <t>NC</t>
        </is>
      </c>
      <c r="B686" s="42" t="inlineStr">
        <is>
          <t>37027</t>
        </is>
      </c>
      <c r="C686" s="42" t="inlineStr">
        <is>
          <t>Caldwell</t>
        </is>
      </c>
      <c r="D686" s="42" t="inlineStr">
        <is>
          <t>Small town &amp; rural</t>
        </is>
      </c>
      <c r="E686" s="42" t="inlineStr"/>
      <c r="F686" s="43" t="n">
        <v>10146</v>
      </c>
      <c r="G686" s="43" t="n">
        <v>33009</v>
      </c>
      <c r="H686" s="43" t="n">
        <v>43451</v>
      </c>
      <c r="I686" s="43" t="n">
        <v>10245</v>
      </c>
      <c r="J686" s="43" t="n">
        <v>32119</v>
      </c>
      <c r="K686" s="42" t="inlineStr">
        <is>
          <t>US Senate</t>
        </is>
      </c>
      <c r="L686" s="43" t="n">
        <v>6404</v>
      </c>
      <c r="M686" s="43" t="n">
        <v>20900</v>
      </c>
      <c r="N686" s="43" t="n">
        <v>27908</v>
      </c>
      <c r="O686" s="44">
        <f>IFERROR((F686-G686)/(F686+G686),"")</f>
        <v/>
      </c>
      <c r="P686" s="44">
        <f>IFERROR((I686-J686)/(I686+J686),"")</f>
        <v/>
      </c>
      <c r="Q686" s="45">
        <f>IFERROR(O686-P686,"")</f>
        <v/>
      </c>
      <c r="R686" s="44">
        <f>IFERROR((L686-M686)/(L686+M686),"")</f>
        <v/>
      </c>
      <c r="S686" s="46">
        <f>H686/SUMIFS(Counties!$H$2:$H$1583,Counties!$A$2:$A$1583,$A686)</f>
        <v/>
      </c>
      <c r="T686" s="44">
        <f>O686+INDEX(Dashboard!$F$6:$F$22,MATCH($A686,Dashboard!$A$6:$A$22,0))</f>
        <v/>
      </c>
      <c r="U686" s="43">
        <f>AQ686*INDEX(Dashboard!$G$6:$G$22,MATCH($A686,Dashboard!$A$6:$A$22,0))</f>
        <v/>
      </c>
      <c r="V686" s="47" t="n"/>
      <c r="W686" s="47" t="n"/>
      <c r="X686" s="47" t="n"/>
      <c r="Y686" s="48" t="n"/>
      <c r="Z686" s="49" t="n"/>
      <c r="AA686" s="49" t="n"/>
      <c r="AB686" s="49" t="n"/>
      <c r="AC686" s="50" t="n"/>
      <c r="AD686" s="43">
        <f>IF(Z686&lt;&gt;"",Z686,N(V686))</f>
        <v/>
      </c>
      <c r="AE686" s="43">
        <f>IF(AA686&lt;&gt;"",AA686,N(W686))</f>
        <v/>
      </c>
      <c r="AF686" s="43">
        <f>AD686+AE686</f>
        <v/>
      </c>
      <c r="AG686" s="42">
        <f>IF(UPPER(AC686)="Y",1,IF(AF686=0,0,IF(AND(Z686="",Y686&lt;&gt;""),IF(Y686&gt;=0.999,1,0),IF(AF686&gt;=U686,1,0))))</f>
        <v/>
      </c>
      <c r="AH686" s="44">
        <f>IF(AF686&gt;0,(AD686-AE686)/AF686,"")</f>
        <v/>
      </c>
      <c r="AI686" s="45">
        <f>IF(AG686=1,AH686-O686,"")</f>
        <v/>
      </c>
      <c r="AJ686" s="44">
        <f>IF(AG686=1,AH686,MAX(-1,MIN(1,O686+INDEX(Types!$H:$H,MATCH($A686&amp;"|"&amp;$D686,Types!$A:$A,0)))))</f>
        <v/>
      </c>
      <c r="AK686" s="43">
        <f>IF(AG686=1,AF686,MAX(AQ686*AS686,AF686))</f>
        <v/>
      </c>
      <c r="AL686" s="43">
        <f>IF(AG686=1,AD686,AK686*(1+AJ686)/2)</f>
        <v/>
      </c>
      <c r="AM686" s="43">
        <f>IF(AG686=1,AE686,AK686*(1-AJ686)/2)</f>
        <v/>
      </c>
      <c r="AN686" s="45">
        <f>IF(AH686="","",AH686-T686)</f>
        <v/>
      </c>
      <c r="AO686" s="51">
        <f>IF(AG686=1,1,IF(U686&gt;0,MIN(AF686/U686,0.99),0))</f>
        <v/>
      </c>
      <c r="AP686" s="43">
        <f>IF(AG686=1,AI686*AF686,0)</f>
        <v/>
      </c>
      <c r="AQ686" s="43">
        <f>N686*(F686+G686)/H686</f>
        <v/>
      </c>
      <c r="AR686" s="43">
        <f>O686*AQ686</f>
        <v/>
      </c>
      <c r="AS686" s="52">
        <f>IF(AG686=1,IF(AQ686&gt;0,AF686/AQ686,1),IFERROR(INDEX(Types!$K:$K,MATCH($A686&amp;"|"&amp;$D686,Types!$A:$A,0)),INDEX(Dashboard!$X$6:$X$22,MATCH($A686,Dashboard!$A$6:$A$22,0))))</f>
        <v/>
      </c>
      <c r="AT686" s="43">
        <f>AQ686*INDEX(Dashboard!$Y$6:$Y$22,MATCH($A686,Dashboard!$A$6:$A$22,0))</f>
        <v/>
      </c>
      <c r="AU686" s="53">
        <f>IF(AND(AG686=1,AT686&gt;0,AF686&gt;0),100*AF686/AT686,"")</f>
        <v/>
      </c>
      <c r="AV686" s="44">
        <f>IF(AU686="","",T686/(AU686/100))</f>
        <v/>
      </c>
      <c r="AW686" s="53">
        <f>IF(AU686="","",IF(AND(ABS(AH686)&gt;=0.1,ABS(T686)&gt;=0.05,SIGN(AH686)=SIGN(T686)),100*T686/AH686,""))</f>
        <v/>
      </c>
      <c r="AX686" s="45">
        <f>IF(AU686="","",T686-AV686)</f>
        <v/>
      </c>
      <c r="AY686" s="45">
        <f>IF(AU686="","",AH686-AV686)</f>
        <v/>
      </c>
      <c r="AZ686" s="54">
        <f>(AL686-AM686)-T686*AT686</f>
        <v/>
      </c>
      <c r="BA686" s="43">
        <f>IF(AU686="",0,(AH686-T686)*AF686)</f>
        <v/>
      </c>
      <c r="BB686" s="43">
        <f>IF(AU686="",0,T686*(AF686-AT686))</f>
        <v/>
      </c>
      <c r="BC686" s="51" t="n">
        <v>0.05045051753667436</v>
      </c>
      <c r="BD686" s="51" t="n">
        <v>0.06811130141236627</v>
      </c>
      <c r="BE686" s="51" t="n">
        <v>0.1858510110089544</v>
      </c>
      <c r="BF686" s="43" t="n">
        <v>80574</v>
      </c>
    </row>
    <row r="687">
      <c r="A687" s="42" t="inlineStr">
        <is>
          <t>NC</t>
        </is>
      </c>
      <c r="B687" s="42" t="inlineStr">
        <is>
          <t>37029</t>
        </is>
      </c>
      <c r="C687" s="42" t="inlineStr">
        <is>
          <t>Camden</t>
        </is>
      </c>
      <c r="D687" s="42" t="inlineStr">
        <is>
          <t>Small town &amp; rural</t>
        </is>
      </c>
      <c r="E687" s="42" t="inlineStr"/>
      <c r="F687" s="43" t="n">
        <v>1522</v>
      </c>
      <c r="G687" s="43" t="n">
        <v>4716</v>
      </c>
      <c r="H687" s="43" t="n">
        <v>6292</v>
      </c>
      <c r="I687" s="43" t="n">
        <v>1537</v>
      </c>
      <c r="J687" s="43" t="n">
        <v>4312</v>
      </c>
      <c r="K687" s="42" t="inlineStr">
        <is>
          <t>US Senate</t>
        </is>
      </c>
      <c r="L687" s="43" t="n">
        <v>1006</v>
      </c>
      <c r="M687" s="43" t="n">
        <v>3127</v>
      </c>
      <c r="N687" s="43" t="n">
        <v>4280</v>
      </c>
      <c r="O687" s="44">
        <f>IFERROR((F687-G687)/(F687+G687),"")</f>
        <v/>
      </c>
      <c r="P687" s="44">
        <f>IFERROR((I687-J687)/(I687+J687),"")</f>
        <v/>
      </c>
      <c r="Q687" s="45">
        <f>IFERROR(O687-P687,"")</f>
        <v/>
      </c>
      <c r="R687" s="44">
        <f>IFERROR((L687-M687)/(L687+M687),"")</f>
        <v/>
      </c>
      <c r="S687" s="46">
        <f>H687/SUMIFS(Counties!$H$2:$H$1583,Counties!$A$2:$A$1583,$A687)</f>
        <v/>
      </c>
      <c r="T687" s="44">
        <f>O687+INDEX(Dashboard!$F$6:$F$22,MATCH($A687,Dashboard!$A$6:$A$22,0))</f>
        <v/>
      </c>
      <c r="U687" s="43">
        <f>AQ687*INDEX(Dashboard!$G$6:$G$22,MATCH($A687,Dashboard!$A$6:$A$22,0))</f>
        <v/>
      </c>
      <c r="V687" s="47" t="n"/>
      <c r="W687" s="47" t="n"/>
      <c r="X687" s="47" t="n"/>
      <c r="Y687" s="48" t="n"/>
      <c r="Z687" s="49" t="n"/>
      <c r="AA687" s="49" t="n"/>
      <c r="AB687" s="49" t="n"/>
      <c r="AC687" s="50" t="n"/>
      <c r="AD687" s="43">
        <f>IF(Z687&lt;&gt;"",Z687,N(V687))</f>
        <v/>
      </c>
      <c r="AE687" s="43">
        <f>IF(AA687&lt;&gt;"",AA687,N(W687))</f>
        <v/>
      </c>
      <c r="AF687" s="43">
        <f>AD687+AE687</f>
        <v/>
      </c>
      <c r="AG687" s="42">
        <f>IF(UPPER(AC687)="Y",1,IF(AF687=0,0,IF(AND(Z687="",Y687&lt;&gt;""),IF(Y687&gt;=0.999,1,0),IF(AF687&gt;=U687,1,0))))</f>
        <v/>
      </c>
      <c r="AH687" s="44">
        <f>IF(AF687&gt;0,(AD687-AE687)/AF687,"")</f>
        <v/>
      </c>
      <c r="AI687" s="45">
        <f>IF(AG687=1,AH687-O687,"")</f>
        <v/>
      </c>
      <c r="AJ687" s="44">
        <f>IF(AG687=1,AH687,MAX(-1,MIN(1,O687+INDEX(Types!$H:$H,MATCH($A687&amp;"|"&amp;$D687,Types!$A:$A,0)))))</f>
        <v/>
      </c>
      <c r="AK687" s="43">
        <f>IF(AG687=1,AF687,MAX(AQ687*AS687,AF687))</f>
        <v/>
      </c>
      <c r="AL687" s="43">
        <f>IF(AG687=1,AD687,AK687*(1+AJ687)/2)</f>
        <v/>
      </c>
      <c r="AM687" s="43">
        <f>IF(AG687=1,AE687,AK687*(1-AJ687)/2)</f>
        <v/>
      </c>
      <c r="AN687" s="45">
        <f>IF(AH687="","",AH687-T687)</f>
        <v/>
      </c>
      <c r="AO687" s="51">
        <f>IF(AG687=1,1,IF(U687&gt;0,MIN(AF687/U687,0.99),0))</f>
        <v/>
      </c>
      <c r="AP687" s="43">
        <f>IF(AG687=1,AI687*AF687,0)</f>
        <v/>
      </c>
      <c r="AQ687" s="43">
        <f>N687*(F687+G687)/H687</f>
        <v/>
      </c>
      <c r="AR687" s="43">
        <f>O687*AQ687</f>
        <v/>
      </c>
      <c r="AS687" s="52">
        <f>IF(AG687=1,IF(AQ687&gt;0,AF687/AQ687,1),IFERROR(INDEX(Types!$K:$K,MATCH($A687&amp;"|"&amp;$D687,Types!$A:$A,0)),INDEX(Dashboard!$X$6:$X$22,MATCH($A687,Dashboard!$A$6:$A$22,0))))</f>
        <v/>
      </c>
      <c r="AT687" s="43">
        <f>AQ687*INDEX(Dashboard!$Y$6:$Y$22,MATCH($A687,Dashboard!$A$6:$A$22,0))</f>
        <v/>
      </c>
      <c r="AU687" s="53">
        <f>IF(AND(AG687=1,AT687&gt;0,AF687&gt;0),100*AF687/AT687,"")</f>
        <v/>
      </c>
      <c r="AV687" s="44">
        <f>IF(AU687="","",T687/(AU687/100))</f>
        <v/>
      </c>
      <c r="AW687" s="53">
        <f>IF(AU687="","",IF(AND(ABS(AH687)&gt;=0.1,ABS(T687)&gt;=0.05,SIGN(AH687)=SIGN(T687)),100*T687/AH687,""))</f>
        <v/>
      </c>
      <c r="AX687" s="45">
        <f>IF(AU687="","",T687-AV687)</f>
        <v/>
      </c>
      <c r="AY687" s="45">
        <f>IF(AU687="","",AH687-AV687)</f>
        <v/>
      </c>
      <c r="AZ687" s="54">
        <f>(AL687-AM687)-T687*AT687</f>
        <v/>
      </c>
      <c r="BA687" s="43">
        <f>IF(AU687="",0,(AH687-T687)*AF687)</f>
        <v/>
      </c>
      <c r="BB687" s="43">
        <f>IF(AU687="",0,T687*(AF687-AT687))</f>
        <v/>
      </c>
      <c r="BC687" s="51" t="n">
        <v>0.09302325581395349</v>
      </c>
      <c r="BD687" s="51" t="n">
        <v>0.04579330160725509</v>
      </c>
      <c r="BE687" s="51" t="n">
        <v>0.2576125033683643</v>
      </c>
      <c r="BF687" s="43" t="n">
        <v>11137</v>
      </c>
    </row>
    <row r="688">
      <c r="A688" s="42" t="inlineStr">
        <is>
          <t>NC</t>
        </is>
      </c>
      <c r="B688" s="42" t="inlineStr">
        <is>
          <t>37031</t>
        </is>
      </c>
      <c r="C688" s="42" t="inlineStr">
        <is>
          <t>Carteret</t>
        </is>
      </c>
      <c r="D688" s="42" t="inlineStr">
        <is>
          <t>Small town &amp; rural</t>
        </is>
      </c>
      <c r="E688" s="42" t="inlineStr"/>
      <c r="F688" s="43" t="n">
        <v>12813</v>
      </c>
      <c r="G688" s="43" t="n">
        <v>32508</v>
      </c>
      <c r="H688" s="43" t="n">
        <v>45693</v>
      </c>
      <c r="I688" s="43" t="n">
        <v>12093</v>
      </c>
      <c r="J688" s="43" t="n">
        <v>30028</v>
      </c>
      <c r="K688" s="42" t="inlineStr">
        <is>
          <t>US Senate</t>
        </is>
      </c>
      <c r="L688" s="43" t="n">
        <v>8827</v>
      </c>
      <c r="M688" s="43" t="n">
        <v>22709</v>
      </c>
      <c r="N688" s="43" t="n">
        <v>32240</v>
      </c>
      <c r="O688" s="44">
        <f>IFERROR((F688-G688)/(F688+G688),"")</f>
        <v/>
      </c>
      <c r="P688" s="44">
        <f>IFERROR((I688-J688)/(I688+J688),"")</f>
        <v/>
      </c>
      <c r="Q688" s="45">
        <f>IFERROR(O688-P688,"")</f>
        <v/>
      </c>
      <c r="R688" s="44">
        <f>IFERROR((L688-M688)/(L688+M688),"")</f>
        <v/>
      </c>
      <c r="S688" s="46">
        <f>H688/SUMIFS(Counties!$H$2:$H$1583,Counties!$A$2:$A$1583,$A688)</f>
        <v/>
      </c>
      <c r="T688" s="44">
        <f>O688+INDEX(Dashboard!$F$6:$F$22,MATCH($A688,Dashboard!$A$6:$A$22,0))</f>
        <v/>
      </c>
      <c r="U688" s="43">
        <f>AQ688*INDEX(Dashboard!$G$6:$G$22,MATCH($A688,Dashboard!$A$6:$A$22,0))</f>
        <v/>
      </c>
      <c r="V688" s="47" t="n"/>
      <c r="W688" s="47" t="n"/>
      <c r="X688" s="47" t="n"/>
      <c r="Y688" s="48" t="n"/>
      <c r="Z688" s="49" t="n"/>
      <c r="AA688" s="49" t="n"/>
      <c r="AB688" s="49" t="n"/>
      <c r="AC688" s="50" t="n"/>
      <c r="AD688" s="43">
        <f>IF(Z688&lt;&gt;"",Z688,N(V688))</f>
        <v/>
      </c>
      <c r="AE688" s="43">
        <f>IF(AA688&lt;&gt;"",AA688,N(W688))</f>
        <v/>
      </c>
      <c r="AF688" s="43">
        <f>AD688+AE688</f>
        <v/>
      </c>
      <c r="AG688" s="42">
        <f>IF(UPPER(AC688)="Y",1,IF(AF688=0,0,IF(AND(Z688="",Y688&lt;&gt;""),IF(Y688&gt;=0.999,1,0),IF(AF688&gt;=U688,1,0))))</f>
        <v/>
      </c>
      <c r="AH688" s="44">
        <f>IF(AF688&gt;0,(AD688-AE688)/AF688,"")</f>
        <v/>
      </c>
      <c r="AI688" s="45">
        <f>IF(AG688=1,AH688-O688,"")</f>
        <v/>
      </c>
      <c r="AJ688" s="44">
        <f>IF(AG688=1,AH688,MAX(-1,MIN(1,O688+INDEX(Types!$H:$H,MATCH($A688&amp;"|"&amp;$D688,Types!$A:$A,0)))))</f>
        <v/>
      </c>
      <c r="AK688" s="43">
        <f>IF(AG688=1,AF688,MAX(AQ688*AS688,AF688))</f>
        <v/>
      </c>
      <c r="AL688" s="43">
        <f>IF(AG688=1,AD688,AK688*(1+AJ688)/2)</f>
        <v/>
      </c>
      <c r="AM688" s="43">
        <f>IF(AG688=1,AE688,AK688*(1-AJ688)/2)</f>
        <v/>
      </c>
      <c r="AN688" s="45">
        <f>IF(AH688="","",AH688-T688)</f>
        <v/>
      </c>
      <c r="AO688" s="51">
        <f>IF(AG688=1,1,IF(U688&gt;0,MIN(AF688/U688,0.99),0))</f>
        <v/>
      </c>
      <c r="AP688" s="43">
        <f>IF(AG688=1,AI688*AF688,0)</f>
        <v/>
      </c>
      <c r="AQ688" s="43">
        <f>N688*(F688+G688)/H688</f>
        <v/>
      </c>
      <c r="AR688" s="43">
        <f>O688*AQ688</f>
        <v/>
      </c>
      <c r="AS688" s="52">
        <f>IF(AG688=1,IF(AQ688&gt;0,AF688/AQ688,1),IFERROR(INDEX(Types!$K:$K,MATCH($A688&amp;"|"&amp;$D688,Types!$A:$A,0)),INDEX(Dashboard!$X$6:$X$22,MATCH($A688,Dashboard!$A$6:$A$22,0))))</f>
        <v/>
      </c>
      <c r="AT688" s="43">
        <f>AQ688*INDEX(Dashboard!$Y$6:$Y$22,MATCH($A688,Dashboard!$A$6:$A$22,0))</f>
        <v/>
      </c>
      <c r="AU688" s="53">
        <f>IF(AND(AG688=1,AT688&gt;0,AF688&gt;0),100*AF688/AT688,"")</f>
        <v/>
      </c>
      <c r="AV688" s="44">
        <f>IF(AU688="","",T688/(AU688/100))</f>
        <v/>
      </c>
      <c r="AW688" s="53">
        <f>IF(AU688="","",IF(AND(ABS(AH688)&gt;=0.1,ABS(T688)&gt;=0.05,SIGN(AH688)=SIGN(T688)),100*T688/AH688,""))</f>
        <v/>
      </c>
      <c r="AX688" s="45">
        <f>IF(AU688="","",T688-AV688)</f>
        <v/>
      </c>
      <c r="AY688" s="45">
        <f>IF(AU688="","",AH688-AV688)</f>
        <v/>
      </c>
      <c r="AZ688" s="54">
        <f>(AL688-AM688)-T688*AT688</f>
        <v/>
      </c>
      <c r="BA688" s="43">
        <f>IF(AU688="",0,(AH688-T688)*AF688)</f>
        <v/>
      </c>
      <c r="BB688" s="43">
        <f>IF(AU688="",0,T688*(AF688-AT688))</f>
        <v/>
      </c>
      <c r="BC688" s="51" t="n">
        <v>0.04855275443510738</v>
      </c>
      <c r="BD688" s="51" t="n">
        <v>0.04904115492350786</v>
      </c>
      <c r="BE688" s="51" t="n">
        <v>0.3233756108691932</v>
      </c>
      <c r="BF688" s="43" t="n">
        <v>69615</v>
      </c>
    </row>
    <row r="689">
      <c r="A689" s="42" t="inlineStr">
        <is>
          <t>NC</t>
        </is>
      </c>
      <c r="B689" s="42" t="inlineStr">
        <is>
          <t>37033</t>
        </is>
      </c>
      <c r="C689" s="42" t="inlineStr">
        <is>
          <t>Caswell</t>
        </is>
      </c>
      <c r="D689" s="42" t="inlineStr">
        <is>
          <t>Small town &amp; rural</t>
        </is>
      </c>
      <c r="E689" s="42" t="inlineStr"/>
      <c r="F689" s="43" t="n">
        <v>4493</v>
      </c>
      <c r="G689" s="43" t="n">
        <v>7445</v>
      </c>
      <c r="H689" s="43" t="n">
        <v>12025</v>
      </c>
      <c r="I689" s="43" t="n">
        <v>4860</v>
      </c>
      <c r="J689" s="43" t="n">
        <v>7089</v>
      </c>
      <c r="K689" s="42" t="inlineStr">
        <is>
          <t>US Senate</t>
        </is>
      </c>
      <c r="L689" s="43" t="n">
        <v>3121</v>
      </c>
      <c r="M689" s="43" t="n">
        <v>4867</v>
      </c>
      <c r="N689" s="43" t="n">
        <v>8118</v>
      </c>
      <c r="O689" s="44">
        <f>IFERROR((F689-G689)/(F689+G689),"")</f>
        <v/>
      </c>
      <c r="P689" s="44">
        <f>IFERROR((I689-J689)/(I689+J689),"")</f>
        <v/>
      </c>
      <c r="Q689" s="45">
        <f>IFERROR(O689-P689,"")</f>
        <v/>
      </c>
      <c r="R689" s="44">
        <f>IFERROR((L689-M689)/(L689+M689),"")</f>
        <v/>
      </c>
      <c r="S689" s="46">
        <f>H689/SUMIFS(Counties!$H$2:$H$1583,Counties!$A$2:$A$1583,$A689)</f>
        <v/>
      </c>
      <c r="T689" s="44">
        <f>O689+INDEX(Dashboard!$F$6:$F$22,MATCH($A689,Dashboard!$A$6:$A$22,0))</f>
        <v/>
      </c>
      <c r="U689" s="43">
        <f>AQ689*INDEX(Dashboard!$G$6:$G$22,MATCH($A689,Dashboard!$A$6:$A$22,0))</f>
        <v/>
      </c>
      <c r="V689" s="47" t="n"/>
      <c r="W689" s="47" t="n"/>
      <c r="X689" s="47" t="n"/>
      <c r="Y689" s="48" t="n"/>
      <c r="Z689" s="49" t="n"/>
      <c r="AA689" s="49" t="n"/>
      <c r="AB689" s="49" t="n"/>
      <c r="AC689" s="50" t="n"/>
      <c r="AD689" s="43">
        <f>IF(Z689&lt;&gt;"",Z689,N(V689))</f>
        <v/>
      </c>
      <c r="AE689" s="43">
        <f>IF(AA689&lt;&gt;"",AA689,N(W689))</f>
        <v/>
      </c>
      <c r="AF689" s="43">
        <f>AD689+AE689</f>
        <v/>
      </c>
      <c r="AG689" s="42">
        <f>IF(UPPER(AC689)="Y",1,IF(AF689=0,0,IF(AND(Z689="",Y689&lt;&gt;""),IF(Y689&gt;=0.999,1,0),IF(AF689&gt;=U689,1,0))))</f>
        <v/>
      </c>
      <c r="AH689" s="44">
        <f>IF(AF689&gt;0,(AD689-AE689)/AF689,"")</f>
        <v/>
      </c>
      <c r="AI689" s="45">
        <f>IF(AG689=1,AH689-O689,"")</f>
        <v/>
      </c>
      <c r="AJ689" s="44">
        <f>IF(AG689=1,AH689,MAX(-1,MIN(1,O689+INDEX(Types!$H:$H,MATCH($A689&amp;"|"&amp;$D689,Types!$A:$A,0)))))</f>
        <v/>
      </c>
      <c r="AK689" s="43">
        <f>IF(AG689=1,AF689,MAX(AQ689*AS689,AF689))</f>
        <v/>
      </c>
      <c r="AL689" s="43">
        <f>IF(AG689=1,AD689,AK689*(1+AJ689)/2)</f>
        <v/>
      </c>
      <c r="AM689" s="43">
        <f>IF(AG689=1,AE689,AK689*(1-AJ689)/2)</f>
        <v/>
      </c>
      <c r="AN689" s="45">
        <f>IF(AH689="","",AH689-T689)</f>
        <v/>
      </c>
      <c r="AO689" s="51">
        <f>IF(AG689=1,1,IF(U689&gt;0,MIN(AF689/U689,0.99),0))</f>
        <v/>
      </c>
      <c r="AP689" s="43">
        <f>IF(AG689=1,AI689*AF689,0)</f>
        <v/>
      </c>
      <c r="AQ689" s="43">
        <f>N689*(F689+G689)/H689</f>
        <v/>
      </c>
      <c r="AR689" s="43">
        <f>O689*AQ689</f>
        <v/>
      </c>
      <c r="AS689" s="52">
        <f>IF(AG689=1,IF(AQ689&gt;0,AF689/AQ689,1),IFERROR(INDEX(Types!$K:$K,MATCH($A689&amp;"|"&amp;$D689,Types!$A:$A,0)),INDEX(Dashboard!$X$6:$X$22,MATCH($A689,Dashboard!$A$6:$A$22,0))))</f>
        <v/>
      </c>
      <c r="AT689" s="43">
        <f>AQ689*INDEX(Dashboard!$Y$6:$Y$22,MATCH($A689,Dashboard!$A$6:$A$22,0))</f>
        <v/>
      </c>
      <c r="AU689" s="53">
        <f>IF(AND(AG689=1,AT689&gt;0,AF689&gt;0),100*AF689/AT689,"")</f>
        <v/>
      </c>
      <c r="AV689" s="44">
        <f>IF(AU689="","",T689/(AU689/100))</f>
        <v/>
      </c>
      <c r="AW689" s="53">
        <f>IF(AU689="","",IF(AND(ABS(AH689)&gt;=0.1,ABS(T689)&gt;=0.05,SIGN(AH689)=SIGN(T689)),100*T689/AH689,""))</f>
        <v/>
      </c>
      <c r="AX689" s="45">
        <f>IF(AU689="","",T689-AV689)</f>
        <v/>
      </c>
      <c r="AY689" s="45">
        <f>IF(AU689="","",AH689-AV689)</f>
        <v/>
      </c>
      <c r="AZ689" s="54">
        <f>(AL689-AM689)-T689*AT689</f>
        <v/>
      </c>
      <c r="BA689" s="43">
        <f>IF(AU689="",0,(AH689-T689)*AF689)</f>
        <v/>
      </c>
      <c r="BB689" s="43">
        <f>IF(AU689="",0,T689*(AF689-AT689))</f>
        <v/>
      </c>
      <c r="BC689" s="51" t="n">
        <v>0.3045556188889376</v>
      </c>
      <c r="BD689" s="51" t="n">
        <v>0.05340465646512036</v>
      </c>
      <c r="BE689" s="51" t="n">
        <v>0.1604789698537818</v>
      </c>
      <c r="BF689" s="43" t="n">
        <v>22807</v>
      </c>
    </row>
    <row r="690">
      <c r="A690" s="42" t="inlineStr">
        <is>
          <t>NC</t>
        </is>
      </c>
      <c r="B690" s="42" t="inlineStr">
        <is>
          <t>37035</t>
        </is>
      </c>
      <c r="C690" s="42" t="inlineStr">
        <is>
          <t>Catawba</t>
        </is>
      </c>
      <c r="D690" s="42" t="inlineStr">
        <is>
          <t>Mid-size/working metro</t>
        </is>
      </c>
      <c r="E690" s="42" t="inlineStr"/>
      <c r="F690" s="43" t="n">
        <v>26569</v>
      </c>
      <c r="G690" s="43" t="n">
        <v>59577</v>
      </c>
      <c r="H690" s="43" t="n">
        <v>86885</v>
      </c>
      <c r="I690" s="43" t="n">
        <v>25689</v>
      </c>
      <c r="J690" s="43" t="n">
        <v>56588</v>
      </c>
      <c r="K690" s="42" t="inlineStr">
        <is>
          <t>US Senate</t>
        </is>
      </c>
      <c r="L690" s="43" t="n">
        <v>16076</v>
      </c>
      <c r="M690" s="43" t="n">
        <v>38252</v>
      </c>
      <c r="N690" s="43" t="n">
        <v>55566</v>
      </c>
      <c r="O690" s="44">
        <f>IFERROR((F690-G690)/(F690+G690),"")</f>
        <v/>
      </c>
      <c r="P690" s="44">
        <f>IFERROR((I690-J690)/(I690+J690),"")</f>
        <v/>
      </c>
      <c r="Q690" s="45">
        <f>IFERROR(O690-P690,"")</f>
        <v/>
      </c>
      <c r="R690" s="44">
        <f>IFERROR((L690-M690)/(L690+M690),"")</f>
        <v/>
      </c>
      <c r="S690" s="46">
        <f>H690/SUMIFS(Counties!$H$2:$H$1583,Counties!$A$2:$A$1583,$A690)</f>
        <v/>
      </c>
      <c r="T690" s="44">
        <f>O690+INDEX(Dashboard!$F$6:$F$22,MATCH($A690,Dashboard!$A$6:$A$22,0))</f>
        <v/>
      </c>
      <c r="U690" s="43">
        <f>AQ690*INDEX(Dashboard!$G$6:$G$22,MATCH($A690,Dashboard!$A$6:$A$22,0))</f>
        <v/>
      </c>
      <c r="V690" s="47" t="n"/>
      <c r="W690" s="47" t="n"/>
      <c r="X690" s="47" t="n"/>
      <c r="Y690" s="48" t="n"/>
      <c r="Z690" s="49" t="n"/>
      <c r="AA690" s="49" t="n"/>
      <c r="AB690" s="49" t="n"/>
      <c r="AC690" s="50" t="n"/>
      <c r="AD690" s="43">
        <f>IF(Z690&lt;&gt;"",Z690,N(V690))</f>
        <v/>
      </c>
      <c r="AE690" s="43">
        <f>IF(AA690&lt;&gt;"",AA690,N(W690))</f>
        <v/>
      </c>
      <c r="AF690" s="43">
        <f>AD690+AE690</f>
        <v/>
      </c>
      <c r="AG690" s="42">
        <f>IF(UPPER(AC690)="Y",1,IF(AF690=0,0,IF(AND(Z690="",Y690&lt;&gt;""),IF(Y690&gt;=0.999,1,0),IF(AF690&gt;=U690,1,0))))</f>
        <v/>
      </c>
      <c r="AH690" s="44">
        <f>IF(AF690&gt;0,(AD690-AE690)/AF690,"")</f>
        <v/>
      </c>
      <c r="AI690" s="45">
        <f>IF(AG690=1,AH690-O690,"")</f>
        <v/>
      </c>
      <c r="AJ690" s="44">
        <f>IF(AG690=1,AH690,MAX(-1,MIN(1,O690+INDEX(Types!$H:$H,MATCH($A690&amp;"|"&amp;$D690,Types!$A:$A,0)))))</f>
        <v/>
      </c>
      <c r="AK690" s="43">
        <f>IF(AG690=1,AF690,MAX(AQ690*AS690,AF690))</f>
        <v/>
      </c>
      <c r="AL690" s="43">
        <f>IF(AG690=1,AD690,AK690*(1+AJ690)/2)</f>
        <v/>
      </c>
      <c r="AM690" s="43">
        <f>IF(AG690=1,AE690,AK690*(1-AJ690)/2)</f>
        <v/>
      </c>
      <c r="AN690" s="45">
        <f>IF(AH690="","",AH690-T690)</f>
        <v/>
      </c>
      <c r="AO690" s="51">
        <f>IF(AG690=1,1,IF(U690&gt;0,MIN(AF690/U690,0.99),0))</f>
        <v/>
      </c>
      <c r="AP690" s="43">
        <f>IF(AG690=1,AI690*AF690,0)</f>
        <v/>
      </c>
      <c r="AQ690" s="43">
        <f>N690*(F690+G690)/H690</f>
        <v/>
      </c>
      <c r="AR690" s="43">
        <f>O690*AQ690</f>
        <v/>
      </c>
      <c r="AS690" s="52">
        <f>IF(AG690=1,IF(AQ690&gt;0,AF690/AQ690,1),IFERROR(INDEX(Types!$K:$K,MATCH($A690&amp;"|"&amp;$D690,Types!$A:$A,0)),INDEX(Dashboard!$X$6:$X$22,MATCH($A690,Dashboard!$A$6:$A$22,0))))</f>
        <v/>
      </c>
      <c r="AT690" s="43">
        <f>AQ690*INDEX(Dashboard!$Y$6:$Y$22,MATCH($A690,Dashboard!$A$6:$A$22,0))</f>
        <v/>
      </c>
      <c r="AU690" s="53">
        <f>IF(AND(AG690=1,AT690&gt;0,AF690&gt;0),100*AF690/AT690,"")</f>
        <v/>
      </c>
      <c r="AV690" s="44">
        <f>IF(AU690="","",T690/(AU690/100))</f>
        <v/>
      </c>
      <c r="AW690" s="53">
        <f>IF(AU690="","",IF(AND(ABS(AH690)&gt;=0.1,ABS(T690)&gt;=0.05,SIGN(AH690)=SIGN(T690)),100*T690/AH690,""))</f>
        <v/>
      </c>
      <c r="AX690" s="45">
        <f>IF(AU690="","",T690-AV690)</f>
        <v/>
      </c>
      <c r="AY690" s="45">
        <f>IF(AU690="","",AH690-AV690)</f>
        <v/>
      </c>
      <c r="AZ690" s="54">
        <f>(AL690-AM690)-T690*AT690</f>
        <v/>
      </c>
      <c r="BA690" s="43">
        <f>IF(AU690="",0,(AH690-T690)*AF690)</f>
        <v/>
      </c>
      <c r="BB690" s="43">
        <f>IF(AU690="",0,T690*(AF690-AT690))</f>
        <v/>
      </c>
      <c r="BC690" s="51" t="n">
        <v>0.08321540283640561</v>
      </c>
      <c r="BD690" s="51" t="n">
        <v>0.1166327553220566</v>
      </c>
      <c r="BE690" s="51" t="n">
        <v>0.2493345242622284</v>
      </c>
      <c r="BF690" s="43" t="n">
        <v>164645</v>
      </c>
    </row>
    <row r="691">
      <c r="A691" s="42" t="inlineStr">
        <is>
          <t>NC</t>
        </is>
      </c>
      <c r="B691" s="42" t="inlineStr">
        <is>
          <t>37037</t>
        </is>
      </c>
      <c r="C691" s="42" t="inlineStr">
        <is>
          <t>Chatham</t>
        </is>
      </c>
      <c r="D691" s="42" t="inlineStr">
        <is>
          <t>Small town &amp; rural</t>
        </is>
      </c>
      <c r="E691" s="42" t="inlineStr"/>
      <c r="F691" s="43" t="n">
        <v>29014</v>
      </c>
      <c r="G691" s="43" t="n">
        <v>22507</v>
      </c>
      <c r="H691" s="43" t="n">
        <v>52098</v>
      </c>
      <c r="I691" s="43" t="n">
        <v>26787</v>
      </c>
      <c r="J691" s="43" t="n">
        <v>21186</v>
      </c>
      <c r="K691" s="42" t="inlineStr">
        <is>
          <t>US Senate</t>
        </is>
      </c>
      <c r="L691" s="43" t="n">
        <v>22493</v>
      </c>
      <c r="M691" s="43" t="n">
        <v>16275</v>
      </c>
      <c r="N691" s="43" t="n">
        <v>39469</v>
      </c>
      <c r="O691" s="44">
        <f>IFERROR((F691-G691)/(F691+G691),"")</f>
        <v/>
      </c>
      <c r="P691" s="44">
        <f>IFERROR((I691-J691)/(I691+J691),"")</f>
        <v/>
      </c>
      <c r="Q691" s="45">
        <f>IFERROR(O691-P691,"")</f>
        <v/>
      </c>
      <c r="R691" s="44">
        <f>IFERROR((L691-M691)/(L691+M691),"")</f>
        <v/>
      </c>
      <c r="S691" s="46">
        <f>H691/SUMIFS(Counties!$H$2:$H$1583,Counties!$A$2:$A$1583,$A691)</f>
        <v/>
      </c>
      <c r="T691" s="44">
        <f>O691+INDEX(Dashboard!$F$6:$F$22,MATCH($A691,Dashboard!$A$6:$A$22,0))</f>
        <v/>
      </c>
      <c r="U691" s="43">
        <f>AQ691*INDEX(Dashboard!$G$6:$G$22,MATCH($A691,Dashboard!$A$6:$A$22,0))</f>
        <v/>
      </c>
      <c r="V691" s="47" t="n"/>
      <c r="W691" s="47" t="n"/>
      <c r="X691" s="47" t="n"/>
      <c r="Y691" s="48" t="n"/>
      <c r="Z691" s="49" t="n"/>
      <c r="AA691" s="49" t="n"/>
      <c r="AB691" s="49" t="n"/>
      <c r="AC691" s="50" t="n"/>
      <c r="AD691" s="43">
        <f>IF(Z691&lt;&gt;"",Z691,N(V691))</f>
        <v/>
      </c>
      <c r="AE691" s="43">
        <f>IF(AA691&lt;&gt;"",AA691,N(W691))</f>
        <v/>
      </c>
      <c r="AF691" s="43">
        <f>AD691+AE691</f>
        <v/>
      </c>
      <c r="AG691" s="42">
        <f>IF(UPPER(AC691)="Y",1,IF(AF691=0,0,IF(AND(Z691="",Y691&lt;&gt;""),IF(Y691&gt;=0.999,1,0),IF(AF691&gt;=U691,1,0))))</f>
        <v/>
      </c>
      <c r="AH691" s="44">
        <f>IF(AF691&gt;0,(AD691-AE691)/AF691,"")</f>
        <v/>
      </c>
      <c r="AI691" s="45">
        <f>IF(AG691=1,AH691-O691,"")</f>
        <v/>
      </c>
      <c r="AJ691" s="44">
        <f>IF(AG691=1,AH691,MAX(-1,MIN(1,O691+INDEX(Types!$H:$H,MATCH($A691&amp;"|"&amp;$D691,Types!$A:$A,0)))))</f>
        <v/>
      </c>
      <c r="AK691" s="43">
        <f>IF(AG691=1,AF691,MAX(AQ691*AS691,AF691))</f>
        <v/>
      </c>
      <c r="AL691" s="43">
        <f>IF(AG691=1,AD691,AK691*(1+AJ691)/2)</f>
        <v/>
      </c>
      <c r="AM691" s="43">
        <f>IF(AG691=1,AE691,AK691*(1-AJ691)/2)</f>
        <v/>
      </c>
      <c r="AN691" s="45">
        <f>IF(AH691="","",AH691-T691)</f>
        <v/>
      </c>
      <c r="AO691" s="51">
        <f>IF(AG691=1,1,IF(U691&gt;0,MIN(AF691/U691,0.99),0))</f>
        <v/>
      </c>
      <c r="AP691" s="43">
        <f>IF(AG691=1,AI691*AF691,0)</f>
        <v/>
      </c>
      <c r="AQ691" s="43">
        <f>N691*(F691+G691)/H691</f>
        <v/>
      </c>
      <c r="AR691" s="43">
        <f>O691*AQ691</f>
        <v/>
      </c>
      <c r="AS691" s="52">
        <f>IF(AG691=1,IF(AQ691&gt;0,AF691/AQ691,1),IFERROR(INDEX(Types!$K:$K,MATCH($A691&amp;"|"&amp;$D691,Types!$A:$A,0)),INDEX(Dashboard!$X$6:$X$22,MATCH($A691,Dashboard!$A$6:$A$22,0))))</f>
        <v/>
      </c>
      <c r="AT691" s="43">
        <f>AQ691*INDEX(Dashboard!$Y$6:$Y$22,MATCH($A691,Dashboard!$A$6:$A$22,0))</f>
        <v/>
      </c>
      <c r="AU691" s="53">
        <f>IF(AND(AG691=1,AT691&gt;0,AF691&gt;0),100*AF691/AT691,"")</f>
        <v/>
      </c>
      <c r="AV691" s="44">
        <f>IF(AU691="","",T691/(AU691/100))</f>
        <v/>
      </c>
      <c r="AW691" s="53">
        <f>IF(AU691="","",IF(AND(ABS(AH691)&gt;=0.1,ABS(T691)&gt;=0.05,SIGN(AH691)=SIGN(T691)),100*T691/AH691,""))</f>
        <v/>
      </c>
      <c r="AX691" s="45">
        <f>IF(AU691="","",T691-AV691)</f>
        <v/>
      </c>
      <c r="AY691" s="45">
        <f>IF(AU691="","",AH691-AV691)</f>
        <v/>
      </c>
      <c r="AZ691" s="54">
        <f>(AL691-AM691)-T691*AT691</f>
        <v/>
      </c>
      <c r="BA691" s="43">
        <f>IF(AU691="",0,(AH691-T691)*AF691)</f>
        <v/>
      </c>
      <c r="BB691" s="43">
        <f>IF(AU691="",0,T691*(AF691-AT691))</f>
        <v/>
      </c>
      <c r="BC691" s="51" t="n">
        <v>0.1080197000882094</v>
      </c>
      <c r="BD691" s="51" t="n">
        <v>0.1343354895618936</v>
      </c>
      <c r="BE691" s="51" t="n">
        <v>0.480009011975529</v>
      </c>
      <c r="BF691" s="43" t="n">
        <v>81624</v>
      </c>
    </row>
    <row r="692">
      <c r="A692" s="42" t="inlineStr">
        <is>
          <t>NC</t>
        </is>
      </c>
      <c r="B692" s="42" t="inlineStr">
        <is>
          <t>37039</t>
        </is>
      </c>
      <c r="C692" s="42" t="inlineStr">
        <is>
          <t>Cherokee</t>
        </is>
      </c>
      <c r="D692" s="42" t="inlineStr">
        <is>
          <t>Small town &amp; rural</t>
        </is>
      </c>
      <c r="E692" s="42" t="inlineStr"/>
      <c r="F692" s="43" t="n">
        <v>3686</v>
      </c>
      <c r="G692" s="43" t="n">
        <v>13883</v>
      </c>
      <c r="H692" s="43" t="n">
        <v>17748</v>
      </c>
      <c r="I692" s="43" t="n">
        <v>3583</v>
      </c>
      <c r="J692" s="43" t="n">
        <v>12628</v>
      </c>
      <c r="K692" s="42" t="inlineStr">
        <is>
          <t>US Senate</t>
        </is>
      </c>
      <c r="L692" s="43" t="n">
        <v>2448</v>
      </c>
      <c r="M692" s="43" t="n">
        <v>9493</v>
      </c>
      <c r="N692" s="43" t="n">
        <v>12190</v>
      </c>
      <c r="O692" s="44">
        <f>IFERROR((F692-G692)/(F692+G692),"")</f>
        <v/>
      </c>
      <c r="P692" s="44">
        <f>IFERROR((I692-J692)/(I692+J692),"")</f>
        <v/>
      </c>
      <c r="Q692" s="45">
        <f>IFERROR(O692-P692,"")</f>
        <v/>
      </c>
      <c r="R692" s="44">
        <f>IFERROR((L692-M692)/(L692+M692),"")</f>
        <v/>
      </c>
      <c r="S692" s="46">
        <f>H692/SUMIFS(Counties!$H$2:$H$1583,Counties!$A$2:$A$1583,$A692)</f>
        <v/>
      </c>
      <c r="T692" s="44">
        <f>O692+INDEX(Dashboard!$F$6:$F$22,MATCH($A692,Dashboard!$A$6:$A$22,0))</f>
        <v/>
      </c>
      <c r="U692" s="43">
        <f>AQ692*INDEX(Dashboard!$G$6:$G$22,MATCH($A692,Dashboard!$A$6:$A$22,0))</f>
        <v/>
      </c>
      <c r="V692" s="47" t="n"/>
      <c r="W692" s="47" t="n"/>
      <c r="X692" s="47" t="n"/>
      <c r="Y692" s="48" t="n"/>
      <c r="Z692" s="49" t="n"/>
      <c r="AA692" s="49" t="n"/>
      <c r="AB692" s="49" t="n"/>
      <c r="AC692" s="50" t="n"/>
      <c r="AD692" s="43">
        <f>IF(Z692&lt;&gt;"",Z692,N(V692))</f>
        <v/>
      </c>
      <c r="AE692" s="43">
        <f>IF(AA692&lt;&gt;"",AA692,N(W692))</f>
        <v/>
      </c>
      <c r="AF692" s="43">
        <f>AD692+AE692</f>
        <v/>
      </c>
      <c r="AG692" s="42">
        <f>IF(UPPER(AC692)="Y",1,IF(AF692=0,0,IF(AND(Z692="",Y692&lt;&gt;""),IF(Y692&gt;=0.999,1,0),IF(AF692&gt;=U692,1,0))))</f>
        <v/>
      </c>
      <c r="AH692" s="44">
        <f>IF(AF692&gt;0,(AD692-AE692)/AF692,"")</f>
        <v/>
      </c>
      <c r="AI692" s="45">
        <f>IF(AG692=1,AH692-O692,"")</f>
        <v/>
      </c>
      <c r="AJ692" s="44">
        <f>IF(AG692=1,AH692,MAX(-1,MIN(1,O692+INDEX(Types!$H:$H,MATCH($A692&amp;"|"&amp;$D692,Types!$A:$A,0)))))</f>
        <v/>
      </c>
      <c r="AK692" s="43">
        <f>IF(AG692=1,AF692,MAX(AQ692*AS692,AF692))</f>
        <v/>
      </c>
      <c r="AL692" s="43">
        <f>IF(AG692=1,AD692,AK692*(1+AJ692)/2)</f>
        <v/>
      </c>
      <c r="AM692" s="43">
        <f>IF(AG692=1,AE692,AK692*(1-AJ692)/2)</f>
        <v/>
      </c>
      <c r="AN692" s="45">
        <f>IF(AH692="","",AH692-T692)</f>
        <v/>
      </c>
      <c r="AO692" s="51">
        <f>IF(AG692=1,1,IF(U692&gt;0,MIN(AF692/U692,0.99),0))</f>
        <v/>
      </c>
      <c r="AP692" s="43">
        <f>IF(AG692=1,AI692*AF692,0)</f>
        <v/>
      </c>
      <c r="AQ692" s="43">
        <f>N692*(F692+G692)/H692</f>
        <v/>
      </c>
      <c r="AR692" s="43">
        <f>O692*AQ692</f>
        <v/>
      </c>
      <c r="AS692" s="52">
        <f>IF(AG692=1,IF(AQ692&gt;0,AF692/AQ692,1),IFERROR(INDEX(Types!$K:$K,MATCH($A692&amp;"|"&amp;$D692,Types!$A:$A,0)),INDEX(Dashboard!$X$6:$X$22,MATCH($A692,Dashboard!$A$6:$A$22,0))))</f>
        <v/>
      </c>
      <c r="AT692" s="43">
        <f>AQ692*INDEX(Dashboard!$Y$6:$Y$22,MATCH($A692,Dashboard!$A$6:$A$22,0))</f>
        <v/>
      </c>
      <c r="AU692" s="53">
        <f>IF(AND(AG692=1,AT692&gt;0,AF692&gt;0),100*AF692/AT692,"")</f>
        <v/>
      </c>
      <c r="AV692" s="44">
        <f>IF(AU692="","",T692/(AU692/100))</f>
        <v/>
      </c>
      <c r="AW692" s="53">
        <f>IF(AU692="","",IF(AND(ABS(AH692)&gt;=0.1,ABS(T692)&gt;=0.05,SIGN(AH692)=SIGN(T692)),100*T692/AH692,""))</f>
        <v/>
      </c>
      <c r="AX692" s="45">
        <f>IF(AU692="","",T692-AV692)</f>
        <v/>
      </c>
      <c r="AY692" s="45">
        <f>IF(AU692="","",AH692-AV692)</f>
        <v/>
      </c>
      <c r="AZ692" s="54">
        <f>(AL692-AM692)-T692*AT692</f>
        <v/>
      </c>
      <c r="BA692" s="43">
        <f>IF(AU692="",0,(AH692-T692)*AF692)</f>
        <v/>
      </c>
      <c r="BB692" s="43">
        <f>IF(AU692="",0,T692*(AF692-AT692))</f>
        <v/>
      </c>
      <c r="BC692" s="51" t="n">
        <v>0.01595513868954238</v>
      </c>
      <c r="BD692" s="51" t="n">
        <v>0.03972095196768918</v>
      </c>
      <c r="BE692" s="51" t="n">
        <v>0.2420650599236139</v>
      </c>
      <c r="BF692" s="43" t="n">
        <v>29959</v>
      </c>
    </row>
    <row r="693">
      <c r="A693" s="42" t="inlineStr">
        <is>
          <t>NC</t>
        </is>
      </c>
      <c r="B693" s="42" t="inlineStr">
        <is>
          <t>37041</t>
        </is>
      </c>
      <c r="C693" s="42" t="inlineStr">
        <is>
          <t>Chowan</t>
        </is>
      </c>
      <c r="D693" s="42" t="inlineStr">
        <is>
          <t>Small town &amp; rural</t>
        </is>
      </c>
      <c r="E693" s="42" t="inlineStr"/>
      <c r="F693" s="43" t="n">
        <v>2895</v>
      </c>
      <c r="G693" s="43" t="n">
        <v>4587</v>
      </c>
      <c r="H693" s="43" t="n">
        <v>7533</v>
      </c>
      <c r="I693" s="43" t="n">
        <v>3247</v>
      </c>
      <c r="J693" s="43" t="n">
        <v>4471</v>
      </c>
      <c r="K693" s="42" t="inlineStr">
        <is>
          <t>US Senate</t>
        </is>
      </c>
      <c r="L693" s="43" t="n">
        <v>2047</v>
      </c>
      <c r="M693" s="43" t="n">
        <v>3360</v>
      </c>
      <c r="N693" s="43" t="n">
        <v>5519</v>
      </c>
      <c r="O693" s="44">
        <f>IFERROR((F693-G693)/(F693+G693),"")</f>
        <v/>
      </c>
      <c r="P693" s="44">
        <f>IFERROR((I693-J693)/(I693+J693),"")</f>
        <v/>
      </c>
      <c r="Q693" s="45">
        <f>IFERROR(O693-P693,"")</f>
        <v/>
      </c>
      <c r="R693" s="44">
        <f>IFERROR((L693-M693)/(L693+M693),"")</f>
        <v/>
      </c>
      <c r="S693" s="46">
        <f>H693/SUMIFS(Counties!$H$2:$H$1583,Counties!$A$2:$A$1583,$A693)</f>
        <v/>
      </c>
      <c r="T693" s="44">
        <f>O693+INDEX(Dashboard!$F$6:$F$22,MATCH($A693,Dashboard!$A$6:$A$22,0))</f>
        <v/>
      </c>
      <c r="U693" s="43">
        <f>AQ693*INDEX(Dashboard!$G$6:$G$22,MATCH($A693,Dashboard!$A$6:$A$22,0))</f>
        <v/>
      </c>
      <c r="V693" s="47" t="n"/>
      <c r="W693" s="47" t="n"/>
      <c r="X693" s="47" t="n"/>
      <c r="Y693" s="48" t="n"/>
      <c r="Z693" s="49" t="n"/>
      <c r="AA693" s="49" t="n"/>
      <c r="AB693" s="49" t="n"/>
      <c r="AC693" s="50" t="n"/>
      <c r="AD693" s="43">
        <f>IF(Z693&lt;&gt;"",Z693,N(V693))</f>
        <v/>
      </c>
      <c r="AE693" s="43">
        <f>IF(AA693&lt;&gt;"",AA693,N(W693))</f>
        <v/>
      </c>
      <c r="AF693" s="43">
        <f>AD693+AE693</f>
        <v/>
      </c>
      <c r="AG693" s="42">
        <f>IF(UPPER(AC693)="Y",1,IF(AF693=0,0,IF(AND(Z693="",Y693&lt;&gt;""),IF(Y693&gt;=0.999,1,0),IF(AF693&gt;=U693,1,0))))</f>
        <v/>
      </c>
      <c r="AH693" s="44">
        <f>IF(AF693&gt;0,(AD693-AE693)/AF693,"")</f>
        <v/>
      </c>
      <c r="AI693" s="45">
        <f>IF(AG693=1,AH693-O693,"")</f>
        <v/>
      </c>
      <c r="AJ693" s="44">
        <f>IF(AG693=1,AH693,MAX(-1,MIN(1,O693+INDEX(Types!$H:$H,MATCH($A693&amp;"|"&amp;$D693,Types!$A:$A,0)))))</f>
        <v/>
      </c>
      <c r="AK693" s="43">
        <f>IF(AG693=1,AF693,MAX(AQ693*AS693,AF693))</f>
        <v/>
      </c>
      <c r="AL693" s="43">
        <f>IF(AG693=1,AD693,AK693*(1+AJ693)/2)</f>
        <v/>
      </c>
      <c r="AM693" s="43">
        <f>IF(AG693=1,AE693,AK693*(1-AJ693)/2)</f>
        <v/>
      </c>
      <c r="AN693" s="45">
        <f>IF(AH693="","",AH693-T693)</f>
        <v/>
      </c>
      <c r="AO693" s="51">
        <f>IF(AG693=1,1,IF(U693&gt;0,MIN(AF693/U693,0.99),0))</f>
        <v/>
      </c>
      <c r="AP693" s="43">
        <f>IF(AG693=1,AI693*AF693,0)</f>
        <v/>
      </c>
      <c r="AQ693" s="43">
        <f>N693*(F693+G693)/H693</f>
        <v/>
      </c>
      <c r="AR693" s="43">
        <f>O693*AQ693</f>
        <v/>
      </c>
      <c r="AS693" s="52">
        <f>IF(AG693=1,IF(AQ693&gt;0,AF693/AQ693,1),IFERROR(INDEX(Types!$K:$K,MATCH($A693&amp;"|"&amp;$D693,Types!$A:$A,0)),INDEX(Dashboard!$X$6:$X$22,MATCH($A693,Dashboard!$A$6:$A$22,0))))</f>
        <v/>
      </c>
      <c r="AT693" s="43">
        <f>AQ693*INDEX(Dashboard!$Y$6:$Y$22,MATCH($A693,Dashboard!$A$6:$A$22,0))</f>
        <v/>
      </c>
      <c r="AU693" s="53">
        <f>IF(AND(AG693=1,AT693&gt;0,AF693&gt;0),100*AF693/AT693,"")</f>
        <v/>
      </c>
      <c r="AV693" s="44">
        <f>IF(AU693="","",T693/(AU693/100))</f>
        <v/>
      </c>
      <c r="AW693" s="53">
        <f>IF(AU693="","",IF(AND(ABS(AH693)&gt;=0.1,ABS(T693)&gt;=0.05,SIGN(AH693)=SIGN(T693)),100*T693/AH693,""))</f>
        <v/>
      </c>
      <c r="AX693" s="45">
        <f>IF(AU693="","",T693-AV693)</f>
        <v/>
      </c>
      <c r="AY693" s="45">
        <f>IF(AU693="","",AH693-AV693)</f>
        <v/>
      </c>
      <c r="AZ693" s="54">
        <f>(AL693-AM693)-T693*AT693</f>
        <v/>
      </c>
      <c r="BA693" s="43">
        <f>IF(AU693="",0,(AH693-T693)*AF693)</f>
        <v/>
      </c>
      <c r="BB693" s="43">
        <f>IF(AU693="",0,T693*(AF693-AT693))</f>
        <v/>
      </c>
      <c r="BC693" s="51" t="n">
        <v>0.3161039521992657</v>
      </c>
      <c r="BD693" s="51" t="n">
        <v>0.04146569721402347</v>
      </c>
      <c r="BE693" s="51" t="n">
        <v>0.2452129179765647</v>
      </c>
      <c r="BF693" s="43" t="n">
        <v>13891</v>
      </c>
    </row>
    <row r="694">
      <c r="A694" s="42" t="inlineStr">
        <is>
          <t>NC</t>
        </is>
      </c>
      <c r="B694" s="42" t="inlineStr">
        <is>
          <t>37043</t>
        </is>
      </c>
      <c r="C694" s="42" t="inlineStr">
        <is>
          <t>Clay</t>
        </is>
      </c>
      <c r="D694" s="42" t="inlineStr">
        <is>
          <t>Small town &amp; rural</t>
        </is>
      </c>
      <c r="E694" s="42" t="inlineStr"/>
      <c r="F694" s="43" t="n">
        <v>1899</v>
      </c>
      <c r="G694" s="43" t="n">
        <v>5761</v>
      </c>
      <c r="H694" s="43" t="n">
        <v>7708</v>
      </c>
      <c r="I694" s="43" t="n">
        <v>1699</v>
      </c>
      <c r="J694" s="43" t="n">
        <v>5112</v>
      </c>
      <c r="K694" s="42" t="inlineStr">
        <is>
          <t>US Senate</t>
        </is>
      </c>
      <c r="L694" s="43" t="n">
        <v>1339</v>
      </c>
      <c r="M694" s="43" t="n">
        <v>4073</v>
      </c>
      <c r="N694" s="43" t="n">
        <v>5518</v>
      </c>
      <c r="O694" s="44">
        <f>IFERROR((F694-G694)/(F694+G694),"")</f>
        <v/>
      </c>
      <c r="P694" s="44">
        <f>IFERROR((I694-J694)/(I694+J694),"")</f>
        <v/>
      </c>
      <c r="Q694" s="45">
        <f>IFERROR(O694-P694,"")</f>
        <v/>
      </c>
      <c r="R694" s="44">
        <f>IFERROR((L694-M694)/(L694+M694),"")</f>
        <v/>
      </c>
      <c r="S694" s="46">
        <f>H694/SUMIFS(Counties!$H$2:$H$1583,Counties!$A$2:$A$1583,$A694)</f>
        <v/>
      </c>
      <c r="T694" s="44">
        <f>O694+INDEX(Dashboard!$F$6:$F$22,MATCH($A694,Dashboard!$A$6:$A$22,0))</f>
        <v/>
      </c>
      <c r="U694" s="43">
        <f>AQ694*INDEX(Dashboard!$G$6:$G$22,MATCH($A694,Dashboard!$A$6:$A$22,0))</f>
        <v/>
      </c>
      <c r="V694" s="47" t="n"/>
      <c r="W694" s="47" t="n"/>
      <c r="X694" s="47" t="n"/>
      <c r="Y694" s="48" t="n"/>
      <c r="Z694" s="49" t="n"/>
      <c r="AA694" s="49" t="n"/>
      <c r="AB694" s="49" t="n"/>
      <c r="AC694" s="50" t="n"/>
      <c r="AD694" s="43">
        <f>IF(Z694&lt;&gt;"",Z694,N(V694))</f>
        <v/>
      </c>
      <c r="AE694" s="43">
        <f>IF(AA694&lt;&gt;"",AA694,N(W694))</f>
        <v/>
      </c>
      <c r="AF694" s="43">
        <f>AD694+AE694</f>
        <v/>
      </c>
      <c r="AG694" s="42">
        <f>IF(UPPER(AC694)="Y",1,IF(AF694=0,0,IF(AND(Z694="",Y694&lt;&gt;""),IF(Y694&gt;=0.999,1,0),IF(AF694&gt;=U694,1,0))))</f>
        <v/>
      </c>
      <c r="AH694" s="44">
        <f>IF(AF694&gt;0,(AD694-AE694)/AF694,"")</f>
        <v/>
      </c>
      <c r="AI694" s="45">
        <f>IF(AG694=1,AH694-O694,"")</f>
        <v/>
      </c>
      <c r="AJ694" s="44">
        <f>IF(AG694=1,AH694,MAX(-1,MIN(1,O694+INDEX(Types!$H:$H,MATCH($A694&amp;"|"&amp;$D694,Types!$A:$A,0)))))</f>
        <v/>
      </c>
      <c r="AK694" s="43">
        <f>IF(AG694=1,AF694,MAX(AQ694*AS694,AF694))</f>
        <v/>
      </c>
      <c r="AL694" s="43">
        <f>IF(AG694=1,AD694,AK694*(1+AJ694)/2)</f>
        <v/>
      </c>
      <c r="AM694" s="43">
        <f>IF(AG694=1,AE694,AK694*(1-AJ694)/2)</f>
        <v/>
      </c>
      <c r="AN694" s="45">
        <f>IF(AH694="","",AH694-T694)</f>
        <v/>
      </c>
      <c r="AO694" s="51">
        <f>IF(AG694=1,1,IF(U694&gt;0,MIN(AF694/U694,0.99),0))</f>
        <v/>
      </c>
      <c r="AP694" s="43">
        <f>IF(AG694=1,AI694*AF694,0)</f>
        <v/>
      </c>
      <c r="AQ694" s="43">
        <f>N694*(F694+G694)/H694</f>
        <v/>
      </c>
      <c r="AR694" s="43">
        <f>O694*AQ694</f>
        <v/>
      </c>
      <c r="AS694" s="52">
        <f>IF(AG694=1,IF(AQ694&gt;0,AF694/AQ694,1),IFERROR(INDEX(Types!$K:$K,MATCH($A694&amp;"|"&amp;$D694,Types!$A:$A,0)),INDEX(Dashboard!$X$6:$X$22,MATCH($A694,Dashboard!$A$6:$A$22,0))))</f>
        <v/>
      </c>
      <c r="AT694" s="43">
        <f>AQ694*INDEX(Dashboard!$Y$6:$Y$22,MATCH($A694,Dashboard!$A$6:$A$22,0))</f>
        <v/>
      </c>
      <c r="AU694" s="53">
        <f>IF(AND(AG694=1,AT694&gt;0,AF694&gt;0),100*AF694/AT694,"")</f>
        <v/>
      </c>
      <c r="AV694" s="44">
        <f>IF(AU694="","",T694/(AU694/100))</f>
        <v/>
      </c>
      <c r="AW694" s="53">
        <f>IF(AU694="","",IF(AND(ABS(AH694)&gt;=0.1,ABS(T694)&gt;=0.05,SIGN(AH694)=SIGN(T694)),100*T694/AH694,""))</f>
        <v/>
      </c>
      <c r="AX694" s="45">
        <f>IF(AU694="","",T694-AV694)</f>
        <v/>
      </c>
      <c r="AY694" s="45">
        <f>IF(AU694="","",AH694-AV694)</f>
        <v/>
      </c>
      <c r="AZ694" s="54">
        <f>(AL694-AM694)-T694*AT694</f>
        <v/>
      </c>
      <c r="BA694" s="43">
        <f>IF(AU694="",0,(AH694-T694)*AF694)</f>
        <v/>
      </c>
      <c r="BB694" s="43">
        <f>IF(AU694="",0,T694*(AF694-AT694))</f>
        <v/>
      </c>
      <c r="BC694" s="51" t="n">
        <v>0.01399190829399865</v>
      </c>
      <c r="BD694" s="51" t="n">
        <v>0.04239716790289953</v>
      </c>
      <c r="BE694" s="51" t="n">
        <v>0.3141467827660296</v>
      </c>
      <c r="BF694" s="43" t="n">
        <v>11864</v>
      </c>
    </row>
    <row r="695">
      <c r="A695" s="42" t="inlineStr">
        <is>
          <t>NC</t>
        </is>
      </c>
      <c r="B695" s="42" t="inlineStr">
        <is>
          <t>37045</t>
        </is>
      </c>
      <c r="C695" s="42" t="inlineStr">
        <is>
          <t>Cleveland</t>
        </is>
      </c>
      <c r="D695" s="42" t="inlineStr">
        <is>
          <t>Mid-size/working metro</t>
        </is>
      </c>
      <c r="E695" s="42" t="inlineStr"/>
      <c r="F695" s="43" t="n">
        <v>16603</v>
      </c>
      <c r="G695" s="43" t="n">
        <v>34654</v>
      </c>
      <c r="H695" s="43" t="n">
        <v>51602</v>
      </c>
      <c r="I695" s="43" t="n">
        <v>16955</v>
      </c>
      <c r="J695" s="43" t="n">
        <v>33798</v>
      </c>
      <c r="K695" s="42" t="inlineStr">
        <is>
          <t>US Senate</t>
        </is>
      </c>
      <c r="L695" s="43" t="n">
        <v>10557</v>
      </c>
      <c r="M695" s="43" t="n">
        <v>21654</v>
      </c>
      <c r="N695" s="43" t="n">
        <v>32846</v>
      </c>
      <c r="O695" s="44">
        <f>IFERROR((F695-G695)/(F695+G695),"")</f>
        <v/>
      </c>
      <c r="P695" s="44">
        <f>IFERROR((I695-J695)/(I695+J695),"")</f>
        <v/>
      </c>
      <c r="Q695" s="45">
        <f>IFERROR(O695-P695,"")</f>
        <v/>
      </c>
      <c r="R695" s="44">
        <f>IFERROR((L695-M695)/(L695+M695),"")</f>
        <v/>
      </c>
      <c r="S695" s="46">
        <f>H695/SUMIFS(Counties!$H$2:$H$1583,Counties!$A$2:$A$1583,$A695)</f>
        <v/>
      </c>
      <c r="T695" s="44">
        <f>O695+INDEX(Dashboard!$F$6:$F$22,MATCH($A695,Dashboard!$A$6:$A$22,0))</f>
        <v/>
      </c>
      <c r="U695" s="43">
        <f>AQ695*INDEX(Dashboard!$G$6:$G$22,MATCH($A695,Dashboard!$A$6:$A$22,0))</f>
        <v/>
      </c>
      <c r="V695" s="47" t="n"/>
      <c r="W695" s="47" t="n"/>
      <c r="X695" s="47" t="n"/>
      <c r="Y695" s="48" t="n"/>
      <c r="Z695" s="49" t="n"/>
      <c r="AA695" s="49" t="n"/>
      <c r="AB695" s="49" t="n"/>
      <c r="AC695" s="50" t="n"/>
      <c r="AD695" s="43">
        <f>IF(Z695&lt;&gt;"",Z695,N(V695))</f>
        <v/>
      </c>
      <c r="AE695" s="43">
        <f>IF(AA695&lt;&gt;"",AA695,N(W695))</f>
        <v/>
      </c>
      <c r="AF695" s="43">
        <f>AD695+AE695</f>
        <v/>
      </c>
      <c r="AG695" s="42">
        <f>IF(UPPER(AC695)="Y",1,IF(AF695=0,0,IF(AND(Z695="",Y695&lt;&gt;""),IF(Y695&gt;=0.999,1,0),IF(AF695&gt;=U695,1,0))))</f>
        <v/>
      </c>
      <c r="AH695" s="44">
        <f>IF(AF695&gt;0,(AD695-AE695)/AF695,"")</f>
        <v/>
      </c>
      <c r="AI695" s="45">
        <f>IF(AG695=1,AH695-O695,"")</f>
        <v/>
      </c>
      <c r="AJ695" s="44">
        <f>IF(AG695=1,AH695,MAX(-1,MIN(1,O695+INDEX(Types!$H:$H,MATCH($A695&amp;"|"&amp;$D695,Types!$A:$A,0)))))</f>
        <v/>
      </c>
      <c r="AK695" s="43">
        <f>IF(AG695=1,AF695,MAX(AQ695*AS695,AF695))</f>
        <v/>
      </c>
      <c r="AL695" s="43">
        <f>IF(AG695=1,AD695,AK695*(1+AJ695)/2)</f>
        <v/>
      </c>
      <c r="AM695" s="43">
        <f>IF(AG695=1,AE695,AK695*(1-AJ695)/2)</f>
        <v/>
      </c>
      <c r="AN695" s="45">
        <f>IF(AH695="","",AH695-T695)</f>
        <v/>
      </c>
      <c r="AO695" s="51">
        <f>IF(AG695=1,1,IF(U695&gt;0,MIN(AF695/U695,0.99),0))</f>
        <v/>
      </c>
      <c r="AP695" s="43">
        <f>IF(AG695=1,AI695*AF695,0)</f>
        <v/>
      </c>
      <c r="AQ695" s="43">
        <f>N695*(F695+G695)/H695</f>
        <v/>
      </c>
      <c r="AR695" s="43">
        <f>O695*AQ695</f>
        <v/>
      </c>
      <c r="AS695" s="52">
        <f>IF(AG695=1,IF(AQ695&gt;0,AF695/AQ695,1),IFERROR(INDEX(Types!$K:$K,MATCH($A695&amp;"|"&amp;$D695,Types!$A:$A,0)),INDEX(Dashboard!$X$6:$X$22,MATCH($A695,Dashboard!$A$6:$A$22,0))))</f>
        <v/>
      </c>
      <c r="AT695" s="43">
        <f>AQ695*INDEX(Dashboard!$Y$6:$Y$22,MATCH($A695,Dashboard!$A$6:$A$22,0))</f>
        <v/>
      </c>
      <c r="AU695" s="53">
        <f>IF(AND(AG695=1,AT695&gt;0,AF695&gt;0),100*AF695/AT695,"")</f>
        <v/>
      </c>
      <c r="AV695" s="44">
        <f>IF(AU695="","",T695/(AU695/100))</f>
        <v/>
      </c>
      <c r="AW695" s="53">
        <f>IF(AU695="","",IF(AND(ABS(AH695)&gt;=0.1,ABS(T695)&gt;=0.05,SIGN(AH695)=SIGN(T695)),100*T695/AH695,""))</f>
        <v/>
      </c>
      <c r="AX695" s="45">
        <f>IF(AU695="","",T695-AV695)</f>
        <v/>
      </c>
      <c r="AY695" s="45">
        <f>IF(AU695="","",AH695-AV695)</f>
        <v/>
      </c>
      <c r="AZ695" s="54">
        <f>(AL695-AM695)-T695*AT695</f>
        <v/>
      </c>
      <c r="BA695" s="43">
        <f>IF(AU695="",0,(AH695-T695)*AF695)</f>
        <v/>
      </c>
      <c r="BB695" s="43">
        <f>IF(AU695="",0,T695*(AF695-AT695))</f>
        <v/>
      </c>
      <c r="BC695" s="51" t="n">
        <v>0.2047091084850756</v>
      </c>
      <c r="BD695" s="51" t="n">
        <v>0.0497050642151157</v>
      </c>
      <c r="BE695" s="51" t="n">
        <v>0.210712736735579</v>
      </c>
      <c r="BF695" s="43" t="n">
        <v>101378</v>
      </c>
    </row>
    <row r="696">
      <c r="A696" s="42" t="inlineStr">
        <is>
          <t>NC</t>
        </is>
      </c>
      <c r="B696" s="42" t="inlineStr">
        <is>
          <t>37047</t>
        </is>
      </c>
      <c r="C696" s="42" t="inlineStr">
        <is>
          <t>Columbus</t>
        </is>
      </c>
      <c r="D696" s="42" t="inlineStr">
        <is>
          <t>Small town &amp; rural</t>
        </is>
      </c>
      <c r="E696" s="42" t="inlineStr"/>
      <c r="F696" s="43" t="n">
        <v>8648</v>
      </c>
      <c r="G696" s="43" t="n">
        <v>17592</v>
      </c>
      <c r="H696" s="43" t="n">
        <v>26363</v>
      </c>
      <c r="I696" s="43" t="n">
        <v>9446</v>
      </c>
      <c r="J696" s="43" t="n">
        <v>16832</v>
      </c>
      <c r="K696" s="42" t="inlineStr">
        <is>
          <t>US Senate</t>
        </is>
      </c>
      <c r="L696" s="43" t="n">
        <v>6888</v>
      </c>
      <c r="M696" s="43" t="n">
        <v>11723</v>
      </c>
      <c r="N696" s="43" t="n">
        <v>19039</v>
      </c>
      <c r="O696" s="44">
        <f>IFERROR((F696-G696)/(F696+G696),"")</f>
        <v/>
      </c>
      <c r="P696" s="44">
        <f>IFERROR((I696-J696)/(I696+J696),"")</f>
        <v/>
      </c>
      <c r="Q696" s="45">
        <f>IFERROR(O696-P696,"")</f>
        <v/>
      </c>
      <c r="R696" s="44">
        <f>IFERROR((L696-M696)/(L696+M696),"")</f>
        <v/>
      </c>
      <c r="S696" s="46">
        <f>H696/SUMIFS(Counties!$H$2:$H$1583,Counties!$A$2:$A$1583,$A696)</f>
        <v/>
      </c>
      <c r="T696" s="44">
        <f>O696+INDEX(Dashboard!$F$6:$F$22,MATCH($A696,Dashboard!$A$6:$A$22,0))</f>
        <v/>
      </c>
      <c r="U696" s="43">
        <f>AQ696*INDEX(Dashboard!$G$6:$G$22,MATCH($A696,Dashboard!$A$6:$A$22,0))</f>
        <v/>
      </c>
      <c r="V696" s="47" t="n"/>
      <c r="W696" s="47" t="n"/>
      <c r="X696" s="47" t="n"/>
      <c r="Y696" s="48" t="n"/>
      <c r="Z696" s="49" t="n"/>
      <c r="AA696" s="49" t="n"/>
      <c r="AB696" s="49" t="n"/>
      <c r="AC696" s="50" t="n"/>
      <c r="AD696" s="43">
        <f>IF(Z696&lt;&gt;"",Z696,N(V696))</f>
        <v/>
      </c>
      <c r="AE696" s="43">
        <f>IF(AA696&lt;&gt;"",AA696,N(W696))</f>
        <v/>
      </c>
      <c r="AF696" s="43">
        <f>AD696+AE696</f>
        <v/>
      </c>
      <c r="AG696" s="42">
        <f>IF(UPPER(AC696)="Y",1,IF(AF696=0,0,IF(AND(Z696="",Y696&lt;&gt;""),IF(Y696&gt;=0.999,1,0),IF(AF696&gt;=U696,1,0))))</f>
        <v/>
      </c>
      <c r="AH696" s="44">
        <f>IF(AF696&gt;0,(AD696-AE696)/AF696,"")</f>
        <v/>
      </c>
      <c r="AI696" s="45">
        <f>IF(AG696=1,AH696-O696,"")</f>
        <v/>
      </c>
      <c r="AJ696" s="44">
        <f>IF(AG696=1,AH696,MAX(-1,MIN(1,O696+INDEX(Types!$H:$H,MATCH($A696&amp;"|"&amp;$D696,Types!$A:$A,0)))))</f>
        <v/>
      </c>
      <c r="AK696" s="43">
        <f>IF(AG696=1,AF696,MAX(AQ696*AS696,AF696))</f>
        <v/>
      </c>
      <c r="AL696" s="43">
        <f>IF(AG696=1,AD696,AK696*(1+AJ696)/2)</f>
        <v/>
      </c>
      <c r="AM696" s="43">
        <f>IF(AG696=1,AE696,AK696*(1-AJ696)/2)</f>
        <v/>
      </c>
      <c r="AN696" s="45">
        <f>IF(AH696="","",AH696-T696)</f>
        <v/>
      </c>
      <c r="AO696" s="51">
        <f>IF(AG696=1,1,IF(U696&gt;0,MIN(AF696/U696,0.99),0))</f>
        <v/>
      </c>
      <c r="AP696" s="43">
        <f>IF(AG696=1,AI696*AF696,0)</f>
        <v/>
      </c>
      <c r="AQ696" s="43">
        <f>N696*(F696+G696)/H696</f>
        <v/>
      </c>
      <c r="AR696" s="43">
        <f>O696*AQ696</f>
        <v/>
      </c>
      <c r="AS696" s="52">
        <f>IF(AG696=1,IF(AQ696&gt;0,AF696/AQ696,1),IFERROR(INDEX(Types!$K:$K,MATCH($A696&amp;"|"&amp;$D696,Types!$A:$A,0)),INDEX(Dashboard!$X$6:$X$22,MATCH($A696,Dashboard!$A$6:$A$22,0))))</f>
        <v/>
      </c>
      <c r="AT696" s="43">
        <f>AQ696*INDEX(Dashboard!$Y$6:$Y$22,MATCH($A696,Dashboard!$A$6:$A$22,0))</f>
        <v/>
      </c>
      <c r="AU696" s="53">
        <f>IF(AND(AG696=1,AT696&gt;0,AF696&gt;0),100*AF696/AT696,"")</f>
        <v/>
      </c>
      <c r="AV696" s="44">
        <f>IF(AU696="","",T696/(AU696/100))</f>
        <v/>
      </c>
      <c r="AW696" s="53">
        <f>IF(AU696="","",IF(AND(ABS(AH696)&gt;=0.1,ABS(T696)&gt;=0.05,SIGN(AH696)=SIGN(T696)),100*T696/AH696,""))</f>
        <v/>
      </c>
      <c r="AX696" s="45">
        <f>IF(AU696="","",T696-AV696)</f>
        <v/>
      </c>
      <c r="AY696" s="45">
        <f>IF(AU696="","",AH696-AV696)</f>
        <v/>
      </c>
      <c r="AZ696" s="54">
        <f>(AL696-AM696)-T696*AT696</f>
        <v/>
      </c>
      <c r="BA696" s="43">
        <f>IF(AU696="",0,(AH696-T696)*AF696)</f>
        <v/>
      </c>
      <c r="BB696" s="43">
        <f>IF(AU696="",0,T696*(AF696-AT696))</f>
        <v/>
      </c>
      <c r="BC696" s="51" t="n">
        <v>0.2920532311805431</v>
      </c>
      <c r="BD696" s="51" t="n">
        <v>0.0582390614712396</v>
      </c>
      <c r="BE696" s="51" t="n">
        <v>0.1506550218340611</v>
      </c>
      <c r="BF696" s="43" t="n">
        <v>50121</v>
      </c>
    </row>
    <row r="697">
      <c r="A697" s="42" t="inlineStr">
        <is>
          <t>NC</t>
        </is>
      </c>
      <c r="B697" s="42" t="inlineStr">
        <is>
          <t>37049</t>
        </is>
      </c>
      <c r="C697" s="42" t="inlineStr">
        <is>
          <t>Craven</t>
        </is>
      </c>
      <c r="D697" s="42" t="inlineStr">
        <is>
          <t>Mid-size/working metro</t>
        </is>
      </c>
      <c r="E697" s="42" t="inlineStr"/>
      <c r="F697" s="43" t="n">
        <v>22011</v>
      </c>
      <c r="G697" s="43" t="n">
        <v>33477</v>
      </c>
      <c r="H697" s="43" t="n">
        <v>56028</v>
      </c>
      <c r="I697" s="43" t="n">
        <v>21148</v>
      </c>
      <c r="J697" s="43" t="n">
        <v>31032</v>
      </c>
      <c r="K697" s="42" t="inlineStr">
        <is>
          <t>US Senate</t>
        </is>
      </c>
      <c r="L697" s="43" t="n">
        <v>14101</v>
      </c>
      <c r="M697" s="43" t="n">
        <v>21981</v>
      </c>
      <c r="N697" s="43" t="n">
        <v>36985</v>
      </c>
      <c r="O697" s="44">
        <f>IFERROR((F697-G697)/(F697+G697),"")</f>
        <v/>
      </c>
      <c r="P697" s="44">
        <f>IFERROR((I697-J697)/(I697+J697),"")</f>
        <v/>
      </c>
      <c r="Q697" s="45">
        <f>IFERROR(O697-P697,"")</f>
        <v/>
      </c>
      <c r="R697" s="44">
        <f>IFERROR((L697-M697)/(L697+M697),"")</f>
        <v/>
      </c>
      <c r="S697" s="46">
        <f>H697/SUMIFS(Counties!$H$2:$H$1583,Counties!$A$2:$A$1583,$A697)</f>
        <v/>
      </c>
      <c r="T697" s="44">
        <f>O697+INDEX(Dashboard!$F$6:$F$22,MATCH($A697,Dashboard!$A$6:$A$22,0))</f>
        <v/>
      </c>
      <c r="U697" s="43">
        <f>AQ697*INDEX(Dashboard!$G$6:$G$22,MATCH($A697,Dashboard!$A$6:$A$22,0))</f>
        <v/>
      </c>
      <c r="V697" s="47" t="n"/>
      <c r="W697" s="47" t="n"/>
      <c r="X697" s="47" t="n"/>
      <c r="Y697" s="48" t="n"/>
      <c r="Z697" s="49" t="n"/>
      <c r="AA697" s="49" t="n"/>
      <c r="AB697" s="49" t="n"/>
      <c r="AC697" s="50" t="n"/>
      <c r="AD697" s="43">
        <f>IF(Z697&lt;&gt;"",Z697,N(V697))</f>
        <v/>
      </c>
      <c r="AE697" s="43">
        <f>IF(AA697&lt;&gt;"",AA697,N(W697))</f>
        <v/>
      </c>
      <c r="AF697" s="43">
        <f>AD697+AE697</f>
        <v/>
      </c>
      <c r="AG697" s="42">
        <f>IF(UPPER(AC697)="Y",1,IF(AF697=0,0,IF(AND(Z697="",Y697&lt;&gt;""),IF(Y697&gt;=0.999,1,0),IF(AF697&gt;=U697,1,0))))</f>
        <v/>
      </c>
      <c r="AH697" s="44">
        <f>IF(AF697&gt;0,(AD697-AE697)/AF697,"")</f>
        <v/>
      </c>
      <c r="AI697" s="45">
        <f>IF(AG697=1,AH697-O697,"")</f>
        <v/>
      </c>
      <c r="AJ697" s="44">
        <f>IF(AG697=1,AH697,MAX(-1,MIN(1,O697+INDEX(Types!$H:$H,MATCH($A697&amp;"|"&amp;$D697,Types!$A:$A,0)))))</f>
        <v/>
      </c>
      <c r="AK697" s="43">
        <f>IF(AG697=1,AF697,MAX(AQ697*AS697,AF697))</f>
        <v/>
      </c>
      <c r="AL697" s="43">
        <f>IF(AG697=1,AD697,AK697*(1+AJ697)/2)</f>
        <v/>
      </c>
      <c r="AM697" s="43">
        <f>IF(AG697=1,AE697,AK697*(1-AJ697)/2)</f>
        <v/>
      </c>
      <c r="AN697" s="45">
        <f>IF(AH697="","",AH697-T697)</f>
        <v/>
      </c>
      <c r="AO697" s="51">
        <f>IF(AG697=1,1,IF(U697&gt;0,MIN(AF697/U697,0.99),0))</f>
        <v/>
      </c>
      <c r="AP697" s="43">
        <f>IF(AG697=1,AI697*AF697,0)</f>
        <v/>
      </c>
      <c r="AQ697" s="43">
        <f>N697*(F697+G697)/H697</f>
        <v/>
      </c>
      <c r="AR697" s="43">
        <f>O697*AQ697</f>
        <v/>
      </c>
      <c r="AS697" s="52">
        <f>IF(AG697=1,IF(AQ697&gt;0,AF697/AQ697,1),IFERROR(INDEX(Types!$K:$K,MATCH($A697&amp;"|"&amp;$D697,Types!$A:$A,0)),INDEX(Dashboard!$X$6:$X$22,MATCH($A697,Dashboard!$A$6:$A$22,0))))</f>
        <v/>
      </c>
      <c r="AT697" s="43">
        <f>AQ697*INDEX(Dashboard!$Y$6:$Y$22,MATCH($A697,Dashboard!$A$6:$A$22,0))</f>
        <v/>
      </c>
      <c r="AU697" s="53">
        <f>IF(AND(AG697=1,AT697&gt;0,AF697&gt;0),100*AF697/AT697,"")</f>
        <v/>
      </c>
      <c r="AV697" s="44">
        <f>IF(AU697="","",T697/(AU697/100))</f>
        <v/>
      </c>
      <c r="AW697" s="53">
        <f>IF(AU697="","",IF(AND(ABS(AH697)&gt;=0.1,ABS(T697)&gt;=0.05,SIGN(AH697)=SIGN(T697)),100*T697/AH697,""))</f>
        <v/>
      </c>
      <c r="AX697" s="45">
        <f>IF(AU697="","",T697-AV697)</f>
        <v/>
      </c>
      <c r="AY697" s="45">
        <f>IF(AU697="","",AH697-AV697)</f>
        <v/>
      </c>
      <c r="AZ697" s="54">
        <f>(AL697-AM697)-T697*AT697</f>
        <v/>
      </c>
      <c r="BA697" s="43">
        <f>IF(AU697="",0,(AH697-T697)*AF697)</f>
        <v/>
      </c>
      <c r="BB697" s="43">
        <f>IF(AU697="",0,T697*(AF697-AT697))</f>
        <v/>
      </c>
      <c r="BC697" s="51" t="n">
        <v>0.1977712884921526</v>
      </c>
      <c r="BD697" s="51" t="n">
        <v>0.07756541102245315</v>
      </c>
      <c r="BE697" s="51" t="n">
        <v>0.2602783554631259</v>
      </c>
      <c r="BF697" s="43" t="n">
        <v>102391</v>
      </c>
    </row>
    <row r="698">
      <c r="A698" s="42" t="inlineStr">
        <is>
          <t>NC</t>
        </is>
      </c>
      <c r="B698" s="42" t="inlineStr">
        <is>
          <t>37051</t>
        </is>
      </c>
      <c r="C698" s="42" t="inlineStr">
        <is>
          <t>Cumberland</t>
        </is>
      </c>
      <c r="D698" s="42" t="inlineStr">
        <is>
          <t>Mid-size/working metro</t>
        </is>
      </c>
      <c r="E698" s="42" t="inlineStr"/>
      <c r="F698" s="43" t="n">
        <v>78631</v>
      </c>
      <c r="G698" s="43" t="n">
        <v>59840</v>
      </c>
      <c r="H698" s="43" t="n">
        <v>140175</v>
      </c>
      <c r="I698" s="43" t="n">
        <v>84469</v>
      </c>
      <c r="J698" s="43" t="n">
        <v>60032</v>
      </c>
      <c r="K698" s="42" t="inlineStr">
        <is>
          <t>US Senate</t>
        </is>
      </c>
      <c r="L698" s="43" t="n">
        <v>46449</v>
      </c>
      <c r="M698" s="43" t="n">
        <v>35674</v>
      </c>
      <c r="N698" s="43" t="n">
        <v>84007</v>
      </c>
      <c r="O698" s="44">
        <f>IFERROR((F698-G698)/(F698+G698),"")</f>
        <v/>
      </c>
      <c r="P698" s="44">
        <f>IFERROR((I698-J698)/(I698+J698),"")</f>
        <v/>
      </c>
      <c r="Q698" s="45">
        <f>IFERROR(O698-P698,"")</f>
        <v/>
      </c>
      <c r="R698" s="44">
        <f>IFERROR((L698-M698)/(L698+M698),"")</f>
        <v/>
      </c>
      <c r="S698" s="46">
        <f>H698/SUMIFS(Counties!$H$2:$H$1583,Counties!$A$2:$A$1583,$A698)</f>
        <v/>
      </c>
      <c r="T698" s="44">
        <f>O698+INDEX(Dashboard!$F$6:$F$22,MATCH($A698,Dashboard!$A$6:$A$22,0))</f>
        <v/>
      </c>
      <c r="U698" s="43">
        <f>AQ698*INDEX(Dashboard!$G$6:$G$22,MATCH($A698,Dashboard!$A$6:$A$22,0))</f>
        <v/>
      </c>
      <c r="V698" s="47" t="n"/>
      <c r="W698" s="47" t="n"/>
      <c r="X698" s="47" t="n"/>
      <c r="Y698" s="48" t="n"/>
      <c r="Z698" s="49" t="n"/>
      <c r="AA698" s="49" t="n"/>
      <c r="AB698" s="49" t="n"/>
      <c r="AC698" s="50" t="n"/>
      <c r="AD698" s="43">
        <f>IF(Z698&lt;&gt;"",Z698,N(V698))</f>
        <v/>
      </c>
      <c r="AE698" s="43">
        <f>IF(AA698&lt;&gt;"",AA698,N(W698))</f>
        <v/>
      </c>
      <c r="AF698" s="43">
        <f>AD698+AE698</f>
        <v/>
      </c>
      <c r="AG698" s="42">
        <f>IF(UPPER(AC698)="Y",1,IF(AF698=0,0,IF(AND(Z698="",Y698&lt;&gt;""),IF(Y698&gt;=0.999,1,0),IF(AF698&gt;=U698,1,0))))</f>
        <v/>
      </c>
      <c r="AH698" s="44">
        <f>IF(AF698&gt;0,(AD698-AE698)/AF698,"")</f>
        <v/>
      </c>
      <c r="AI698" s="45">
        <f>IF(AG698=1,AH698-O698,"")</f>
        <v/>
      </c>
      <c r="AJ698" s="44">
        <f>IF(AG698=1,AH698,MAX(-1,MIN(1,O698+INDEX(Types!$H:$H,MATCH($A698&amp;"|"&amp;$D698,Types!$A:$A,0)))))</f>
        <v/>
      </c>
      <c r="AK698" s="43">
        <f>IF(AG698=1,AF698,MAX(AQ698*AS698,AF698))</f>
        <v/>
      </c>
      <c r="AL698" s="43">
        <f>IF(AG698=1,AD698,AK698*(1+AJ698)/2)</f>
        <v/>
      </c>
      <c r="AM698" s="43">
        <f>IF(AG698=1,AE698,AK698*(1-AJ698)/2)</f>
        <v/>
      </c>
      <c r="AN698" s="45">
        <f>IF(AH698="","",AH698-T698)</f>
        <v/>
      </c>
      <c r="AO698" s="51">
        <f>IF(AG698=1,1,IF(U698&gt;0,MIN(AF698/U698,0.99),0))</f>
        <v/>
      </c>
      <c r="AP698" s="43">
        <f>IF(AG698=1,AI698*AF698,0)</f>
        <v/>
      </c>
      <c r="AQ698" s="43">
        <f>N698*(F698+G698)/H698</f>
        <v/>
      </c>
      <c r="AR698" s="43">
        <f>O698*AQ698</f>
        <v/>
      </c>
      <c r="AS698" s="52">
        <f>IF(AG698=1,IF(AQ698&gt;0,AF698/AQ698,1),IFERROR(INDEX(Types!$K:$K,MATCH($A698&amp;"|"&amp;$D698,Types!$A:$A,0)),INDEX(Dashboard!$X$6:$X$22,MATCH($A698,Dashboard!$A$6:$A$22,0))))</f>
        <v/>
      </c>
      <c r="AT698" s="43">
        <f>AQ698*INDEX(Dashboard!$Y$6:$Y$22,MATCH($A698,Dashboard!$A$6:$A$22,0))</f>
        <v/>
      </c>
      <c r="AU698" s="53">
        <f>IF(AND(AG698=1,AT698&gt;0,AF698&gt;0),100*AF698/AT698,"")</f>
        <v/>
      </c>
      <c r="AV698" s="44">
        <f>IF(AU698="","",T698/(AU698/100))</f>
        <v/>
      </c>
      <c r="AW698" s="53">
        <f>IF(AU698="","",IF(AND(ABS(AH698)&gt;=0.1,ABS(T698)&gt;=0.05,SIGN(AH698)=SIGN(T698)),100*T698/AH698,""))</f>
        <v/>
      </c>
      <c r="AX698" s="45">
        <f>IF(AU698="","",T698-AV698)</f>
        <v/>
      </c>
      <c r="AY698" s="45">
        <f>IF(AU698="","",AH698-AV698)</f>
        <v/>
      </c>
      <c r="AZ698" s="54">
        <f>(AL698-AM698)-T698*AT698</f>
        <v/>
      </c>
      <c r="BA698" s="43">
        <f>IF(AU698="",0,(AH698-T698)*AF698)</f>
        <v/>
      </c>
      <c r="BB698" s="43">
        <f>IF(AU698="",0,T698*(AF698-AT698))</f>
        <v/>
      </c>
      <c r="BC698" s="51" t="n">
        <v>0.3804462990914203</v>
      </c>
      <c r="BD698" s="51" t="n">
        <v>0.1311551096510699</v>
      </c>
      <c r="BE698" s="51" t="n">
        <v>0.271895418606757</v>
      </c>
      <c r="BF698" s="43" t="n">
        <v>337890</v>
      </c>
    </row>
    <row r="699">
      <c r="A699" s="42" t="inlineStr">
        <is>
          <t>NC</t>
        </is>
      </c>
      <c r="B699" s="42" t="inlineStr">
        <is>
          <t>37053</t>
        </is>
      </c>
      <c r="C699" s="42" t="inlineStr">
        <is>
          <t>Currituck</t>
        </is>
      </c>
      <c r="D699" s="42" t="inlineStr">
        <is>
          <t>Small town &amp; rural</t>
        </is>
      </c>
      <c r="E699" s="42" t="inlineStr"/>
      <c r="F699" s="43" t="n">
        <v>4604</v>
      </c>
      <c r="G699" s="43" t="n">
        <v>13235</v>
      </c>
      <c r="H699" s="43" t="n">
        <v>18010</v>
      </c>
      <c r="I699" s="43" t="n">
        <v>4195</v>
      </c>
      <c r="J699" s="43" t="n">
        <v>11657</v>
      </c>
      <c r="K699" s="42" t="inlineStr">
        <is>
          <t>US Senate</t>
        </is>
      </c>
      <c r="L699" s="43" t="n">
        <v>2739</v>
      </c>
      <c r="M699" s="43" t="n">
        <v>8593</v>
      </c>
      <c r="N699" s="43" t="n">
        <v>11638</v>
      </c>
      <c r="O699" s="44">
        <f>IFERROR((F699-G699)/(F699+G699),"")</f>
        <v/>
      </c>
      <c r="P699" s="44">
        <f>IFERROR((I699-J699)/(I699+J699),"")</f>
        <v/>
      </c>
      <c r="Q699" s="45">
        <f>IFERROR(O699-P699,"")</f>
        <v/>
      </c>
      <c r="R699" s="44">
        <f>IFERROR((L699-M699)/(L699+M699),"")</f>
        <v/>
      </c>
      <c r="S699" s="46">
        <f>H699/SUMIFS(Counties!$H$2:$H$1583,Counties!$A$2:$A$1583,$A699)</f>
        <v/>
      </c>
      <c r="T699" s="44">
        <f>O699+INDEX(Dashboard!$F$6:$F$22,MATCH($A699,Dashboard!$A$6:$A$22,0))</f>
        <v/>
      </c>
      <c r="U699" s="43">
        <f>AQ699*INDEX(Dashboard!$G$6:$G$22,MATCH($A699,Dashboard!$A$6:$A$22,0))</f>
        <v/>
      </c>
      <c r="V699" s="47" t="n"/>
      <c r="W699" s="47" t="n"/>
      <c r="X699" s="47" t="n"/>
      <c r="Y699" s="48" t="n"/>
      <c r="Z699" s="49" t="n"/>
      <c r="AA699" s="49" t="n"/>
      <c r="AB699" s="49" t="n"/>
      <c r="AC699" s="50" t="n"/>
      <c r="AD699" s="43">
        <f>IF(Z699&lt;&gt;"",Z699,N(V699))</f>
        <v/>
      </c>
      <c r="AE699" s="43">
        <f>IF(AA699&lt;&gt;"",AA699,N(W699))</f>
        <v/>
      </c>
      <c r="AF699" s="43">
        <f>AD699+AE699</f>
        <v/>
      </c>
      <c r="AG699" s="42">
        <f>IF(UPPER(AC699)="Y",1,IF(AF699=0,0,IF(AND(Z699="",Y699&lt;&gt;""),IF(Y699&gt;=0.999,1,0),IF(AF699&gt;=U699,1,0))))</f>
        <v/>
      </c>
      <c r="AH699" s="44">
        <f>IF(AF699&gt;0,(AD699-AE699)/AF699,"")</f>
        <v/>
      </c>
      <c r="AI699" s="45">
        <f>IF(AG699=1,AH699-O699,"")</f>
        <v/>
      </c>
      <c r="AJ699" s="44">
        <f>IF(AG699=1,AH699,MAX(-1,MIN(1,O699+INDEX(Types!$H:$H,MATCH($A699&amp;"|"&amp;$D699,Types!$A:$A,0)))))</f>
        <v/>
      </c>
      <c r="AK699" s="43">
        <f>IF(AG699=1,AF699,MAX(AQ699*AS699,AF699))</f>
        <v/>
      </c>
      <c r="AL699" s="43">
        <f>IF(AG699=1,AD699,AK699*(1+AJ699)/2)</f>
        <v/>
      </c>
      <c r="AM699" s="43">
        <f>IF(AG699=1,AE699,AK699*(1-AJ699)/2)</f>
        <v/>
      </c>
      <c r="AN699" s="45">
        <f>IF(AH699="","",AH699-T699)</f>
        <v/>
      </c>
      <c r="AO699" s="51">
        <f>IF(AG699=1,1,IF(U699&gt;0,MIN(AF699/U699,0.99),0))</f>
        <v/>
      </c>
      <c r="AP699" s="43">
        <f>IF(AG699=1,AI699*AF699,0)</f>
        <v/>
      </c>
      <c r="AQ699" s="43">
        <f>N699*(F699+G699)/H699</f>
        <v/>
      </c>
      <c r="AR699" s="43">
        <f>O699*AQ699</f>
        <v/>
      </c>
      <c r="AS699" s="52">
        <f>IF(AG699=1,IF(AQ699&gt;0,AF699/AQ699,1),IFERROR(INDEX(Types!$K:$K,MATCH($A699&amp;"|"&amp;$D699,Types!$A:$A,0)),INDEX(Dashboard!$X$6:$X$22,MATCH($A699,Dashboard!$A$6:$A$22,0))))</f>
        <v/>
      </c>
      <c r="AT699" s="43">
        <f>AQ699*INDEX(Dashboard!$Y$6:$Y$22,MATCH($A699,Dashboard!$A$6:$A$22,0))</f>
        <v/>
      </c>
      <c r="AU699" s="53">
        <f>IF(AND(AG699=1,AT699&gt;0,AF699&gt;0),100*AF699/AT699,"")</f>
        <v/>
      </c>
      <c r="AV699" s="44">
        <f>IF(AU699="","",T699/(AU699/100))</f>
        <v/>
      </c>
      <c r="AW699" s="53">
        <f>IF(AU699="","",IF(AND(ABS(AH699)&gt;=0.1,ABS(T699)&gt;=0.05,SIGN(AH699)=SIGN(T699)),100*T699/AH699,""))</f>
        <v/>
      </c>
      <c r="AX699" s="45">
        <f>IF(AU699="","",T699-AV699)</f>
        <v/>
      </c>
      <c r="AY699" s="45">
        <f>IF(AU699="","",AH699-AV699)</f>
        <v/>
      </c>
      <c r="AZ699" s="54">
        <f>(AL699-AM699)-T699*AT699</f>
        <v/>
      </c>
      <c r="BA699" s="43">
        <f>IF(AU699="",0,(AH699-T699)*AF699)</f>
        <v/>
      </c>
      <c r="BB699" s="43">
        <f>IF(AU699="",0,T699*(AF699-AT699))</f>
        <v/>
      </c>
      <c r="BC699" s="51" t="n">
        <v>0.05570854303168423</v>
      </c>
      <c r="BD699" s="51" t="n">
        <v>0.05441078719969614</v>
      </c>
      <c r="BE699" s="51" t="n">
        <v>0.2928742543097374</v>
      </c>
      <c r="BF699" s="43" t="n">
        <v>31593</v>
      </c>
    </row>
    <row r="700">
      <c r="A700" s="42" t="inlineStr">
        <is>
          <t>NC</t>
        </is>
      </c>
      <c r="B700" s="42" t="inlineStr">
        <is>
          <t>37055</t>
        </is>
      </c>
      <c r="C700" s="42" t="inlineStr">
        <is>
          <t>Dare</t>
        </is>
      </c>
      <c r="D700" s="42" t="inlineStr">
        <is>
          <t>Small town &amp; rural</t>
        </is>
      </c>
      <c r="E700" s="42" t="inlineStr"/>
      <c r="F700" s="43" t="n">
        <v>10074</v>
      </c>
      <c r="G700" s="43" t="n">
        <v>14792</v>
      </c>
      <c r="H700" s="43" t="n">
        <v>25115</v>
      </c>
      <c r="I700" s="43" t="n">
        <v>9936</v>
      </c>
      <c r="J700" s="43" t="n">
        <v>13938</v>
      </c>
      <c r="K700" s="42" t="inlineStr">
        <is>
          <t>US Senate</t>
        </is>
      </c>
      <c r="L700" s="43" t="n">
        <v>7097</v>
      </c>
      <c r="M700" s="43" t="n">
        <v>10236</v>
      </c>
      <c r="N700" s="43" t="n">
        <v>17844</v>
      </c>
      <c r="O700" s="44">
        <f>IFERROR((F700-G700)/(F700+G700),"")</f>
        <v/>
      </c>
      <c r="P700" s="44">
        <f>IFERROR((I700-J700)/(I700+J700),"")</f>
        <v/>
      </c>
      <c r="Q700" s="45">
        <f>IFERROR(O700-P700,"")</f>
        <v/>
      </c>
      <c r="R700" s="44">
        <f>IFERROR((L700-M700)/(L700+M700),"")</f>
        <v/>
      </c>
      <c r="S700" s="46">
        <f>H700/SUMIFS(Counties!$H$2:$H$1583,Counties!$A$2:$A$1583,$A700)</f>
        <v/>
      </c>
      <c r="T700" s="44">
        <f>O700+INDEX(Dashboard!$F$6:$F$22,MATCH($A700,Dashboard!$A$6:$A$22,0))</f>
        <v/>
      </c>
      <c r="U700" s="43">
        <f>AQ700*INDEX(Dashboard!$G$6:$G$22,MATCH($A700,Dashboard!$A$6:$A$22,0))</f>
        <v/>
      </c>
      <c r="V700" s="47" t="n"/>
      <c r="W700" s="47" t="n"/>
      <c r="X700" s="47" t="n"/>
      <c r="Y700" s="48" t="n"/>
      <c r="Z700" s="49" t="n"/>
      <c r="AA700" s="49" t="n"/>
      <c r="AB700" s="49" t="n"/>
      <c r="AC700" s="50" t="n"/>
      <c r="AD700" s="43">
        <f>IF(Z700&lt;&gt;"",Z700,N(V700))</f>
        <v/>
      </c>
      <c r="AE700" s="43">
        <f>IF(AA700&lt;&gt;"",AA700,N(W700))</f>
        <v/>
      </c>
      <c r="AF700" s="43">
        <f>AD700+AE700</f>
        <v/>
      </c>
      <c r="AG700" s="42">
        <f>IF(UPPER(AC700)="Y",1,IF(AF700=0,0,IF(AND(Z700="",Y700&lt;&gt;""),IF(Y700&gt;=0.999,1,0),IF(AF700&gt;=U700,1,0))))</f>
        <v/>
      </c>
      <c r="AH700" s="44">
        <f>IF(AF700&gt;0,(AD700-AE700)/AF700,"")</f>
        <v/>
      </c>
      <c r="AI700" s="45">
        <f>IF(AG700=1,AH700-O700,"")</f>
        <v/>
      </c>
      <c r="AJ700" s="44">
        <f>IF(AG700=1,AH700,MAX(-1,MIN(1,O700+INDEX(Types!$H:$H,MATCH($A700&amp;"|"&amp;$D700,Types!$A:$A,0)))))</f>
        <v/>
      </c>
      <c r="AK700" s="43">
        <f>IF(AG700=1,AF700,MAX(AQ700*AS700,AF700))</f>
        <v/>
      </c>
      <c r="AL700" s="43">
        <f>IF(AG700=1,AD700,AK700*(1+AJ700)/2)</f>
        <v/>
      </c>
      <c r="AM700" s="43">
        <f>IF(AG700=1,AE700,AK700*(1-AJ700)/2)</f>
        <v/>
      </c>
      <c r="AN700" s="45">
        <f>IF(AH700="","",AH700-T700)</f>
        <v/>
      </c>
      <c r="AO700" s="51">
        <f>IF(AG700=1,1,IF(U700&gt;0,MIN(AF700/U700,0.99),0))</f>
        <v/>
      </c>
      <c r="AP700" s="43">
        <f>IF(AG700=1,AI700*AF700,0)</f>
        <v/>
      </c>
      <c r="AQ700" s="43">
        <f>N700*(F700+G700)/H700</f>
        <v/>
      </c>
      <c r="AR700" s="43">
        <f>O700*AQ700</f>
        <v/>
      </c>
      <c r="AS700" s="52">
        <f>IF(AG700=1,IF(AQ700&gt;0,AF700/AQ700,1),IFERROR(INDEX(Types!$K:$K,MATCH($A700&amp;"|"&amp;$D700,Types!$A:$A,0)),INDEX(Dashboard!$X$6:$X$22,MATCH($A700,Dashboard!$A$6:$A$22,0))))</f>
        <v/>
      </c>
      <c r="AT700" s="43">
        <f>AQ700*INDEX(Dashboard!$Y$6:$Y$22,MATCH($A700,Dashboard!$A$6:$A$22,0))</f>
        <v/>
      </c>
      <c r="AU700" s="53">
        <f>IF(AND(AG700=1,AT700&gt;0,AF700&gt;0),100*AF700/AT700,"")</f>
        <v/>
      </c>
      <c r="AV700" s="44">
        <f>IF(AU700="","",T700/(AU700/100))</f>
        <v/>
      </c>
      <c r="AW700" s="53">
        <f>IF(AU700="","",IF(AND(ABS(AH700)&gt;=0.1,ABS(T700)&gt;=0.05,SIGN(AH700)=SIGN(T700)),100*T700/AH700,""))</f>
        <v/>
      </c>
      <c r="AX700" s="45">
        <f>IF(AU700="","",T700-AV700)</f>
        <v/>
      </c>
      <c r="AY700" s="45">
        <f>IF(AU700="","",AH700-AV700)</f>
        <v/>
      </c>
      <c r="AZ700" s="54">
        <f>(AL700-AM700)-T700*AT700</f>
        <v/>
      </c>
      <c r="BA700" s="43">
        <f>IF(AU700="",0,(AH700-T700)*AF700)</f>
        <v/>
      </c>
      <c r="BB700" s="43">
        <f>IF(AU700="",0,T700*(AF700-AT700))</f>
        <v/>
      </c>
      <c r="BC700" s="51" t="n">
        <v>0.02432432432432433</v>
      </c>
      <c r="BD700" s="51" t="n">
        <v>0.07347152978220939</v>
      </c>
      <c r="BE700" s="51" t="n">
        <v>0.4280952882152756</v>
      </c>
      <c r="BF700" s="43" t="n">
        <v>38110</v>
      </c>
    </row>
    <row r="701">
      <c r="A701" s="42" t="inlineStr">
        <is>
          <t>NC</t>
        </is>
      </c>
      <c r="B701" s="42" t="inlineStr">
        <is>
          <t>37057</t>
        </is>
      </c>
      <c r="C701" s="42" t="inlineStr">
        <is>
          <t>Davidson</t>
        </is>
      </c>
      <c r="D701" s="42" t="inlineStr">
        <is>
          <t>Mid-size/working metro</t>
        </is>
      </c>
      <c r="E701" s="42" t="inlineStr">
        <is>
          <t>★</t>
        </is>
      </c>
      <c r="F701" s="43" t="n">
        <v>24150</v>
      </c>
      <c r="G701" s="43" t="n">
        <v>67959</v>
      </c>
      <c r="H701" s="43" t="n">
        <v>93091</v>
      </c>
      <c r="I701" s="43" t="n">
        <v>22636</v>
      </c>
      <c r="J701" s="43" t="n">
        <v>64658</v>
      </c>
      <c r="K701" s="42" t="inlineStr">
        <is>
          <t>US Senate</t>
        </is>
      </c>
      <c r="L701" s="43" t="n">
        <v>14643</v>
      </c>
      <c r="M701" s="43" t="n">
        <v>43393</v>
      </c>
      <c r="N701" s="43" t="n">
        <v>59260</v>
      </c>
      <c r="O701" s="44">
        <f>IFERROR((F701-G701)/(F701+G701),"")</f>
        <v/>
      </c>
      <c r="P701" s="44">
        <f>IFERROR((I701-J701)/(I701+J701),"")</f>
        <v/>
      </c>
      <c r="Q701" s="45">
        <f>IFERROR(O701-P701,"")</f>
        <v/>
      </c>
      <c r="R701" s="44">
        <f>IFERROR((L701-M701)/(L701+M701),"")</f>
        <v/>
      </c>
      <c r="S701" s="46">
        <f>H701/SUMIFS(Counties!$H$2:$H$1583,Counties!$A$2:$A$1583,$A701)</f>
        <v/>
      </c>
      <c r="T701" s="44">
        <f>O701+INDEX(Dashboard!$F$6:$F$22,MATCH($A701,Dashboard!$A$6:$A$22,0))</f>
        <v/>
      </c>
      <c r="U701" s="43">
        <f>AQ701*INDEX(Dashboard!$G$6:$G$22,MATCH($A701,Dashboard!$A$6:$A$22,0))</f>
        <v/>
      </c>
      <c r="V701" s="47" t="n"/>
      <c r="W701" s="47" t="n"/>
      <c r="X701" s="47" t="n"/>
      <c r="Y701" s="48" t="n"/>
      <c r="Z701" s="49" t="n"/>
      <c r="AA701" s="49" t="n"/>
      <c r="AB701" s="49" t="n"/>
      <c r="AC701" s="50" t="n"/>
      <c r="AD701" s="43">
        <f>IF(Z701&lt;&gt;"",Z701,N(V701))</f>
        <v/>
      </c>
      <c r="AE701" s="43">
        <f>IF(AA701&lt;&gt;"",AA701,N(W701))</f>
        <v/>
      </c>
      <c r="AF701" s="43">
        <f>AD701+AE701</f>
        <v/>
      </c>
      <c r="AG701" s="42">
        <f>IF(UPPER(AC701)="Y",1,IF(AF701=0,0,IF(AND(Z701="",Y701&lt;&gt;""),IF(Y701&gt;=0.999,1,0),IF(AF701&gt;=U701,1,0))))</f>
        <v/>
      </c>
      <c r="AH701" s="44">
        <f>IF(AF701&gt;0,(AD701-AE701)/AF701,"")</f>
        <v/>
      </c>
      <c r="AI701" s="45">
        <f>IF(AG701=1,AH701-O701,"")</f>
        <v/>
      </c>
      <c r="AJ701" s="44">
        <f>IF(AG701=1,AH701,MAX(-1,MIN(1,O701+INDEX(Types!$H:$H,MATCH($A701&amp;"|"&amp;$D701,Types!$A:$A,0)))))</f>
        <v/>
      </c>
      <c r="AK701" s="43">
        <f>IF(AG701=1,AF701,MAX(AQ701*AS701,AF701))</f>
        <v/>
      </c>
      <c r="AL701" s="43">
        <f>IF(AG701=1,AD701,AK701*(1+AJ701)/2)</f>
        <v/>
      </c>
      <c r="AM701" s="43">
        <f>IF(AG701=1,AE701,AK701*(1-AJ701)/2)</f>
        <v/>
      </c>
      <c r="AN701" s="45">
        <f>IF(AH701="","",AH701-T701)</f>
        <v/>
      </c>
      <c r="AO701" s="51">
        <f>IF(AG701=1,1,IF(U701&gt;0,MIN(AF701/U701,0.99),0))</f>
        <v/>
      </c>
      <c r="AP701" s="43">
        <f>IF(AG701=1,AI701*AF701,0)</f>
        <v/>
      </c>
      <c r="AQ701" s="43">
        <f>N701*(F701+G701)/H701</f>
        <v/>
      </c>
      <c r="AR701" s="43">
        <f>O701*AQ701</f>
        <v/>
      </c>
      <c r="AS701" s="52">
        <f>IF(AG701=1,IF(AQ701&gt;0,AF701/AQ701,1),IFERROR(INDEX(Types!$K:$K,MATCH($A701&amp;"|"&amp;$D701,Types!$A:$A,0)),INDEX(Dashboard!$X$6:$X$22,MATCH($A701,Dashboard!$A$6:$A$22,0))))</f>
        <v/>
      </c>
      <c r="AT701" s="43">
        <f>AQ701*INDEX(Dashboard!$Y$6:$Y$22,MATCH($A701,Dashboard!$A$6:$A$22,0))</f>
        <v/>
      </c>
      <c r="AU701" s="53">
        <f>IF(AND(AG701=1,AT701&gt;0,AF701&gt;0),100*AF701/AT701,"")</f>
        <v/>
      </c>
      <c r="AV701" s="44">
        <f>IF(AU701="","",T701/(AU701/100))</f>
        <v/>
      </c>
      <c r="AW701" s="53">
        <f>IF(AU701="","",IF(AND(ABS(AH701)&gt;=0.1,ABS(T701)&gt;=0.05,SIGN(AH701)=SIGN(T701)),100*T701/AH701,""))</f>
        <v/>
      </c>
      <c r="AX701" s="45">
        <f>IF(AU701="","",T701-AV701)</f>
        <v/>
      </c>
      <c r="AY701" s="45">
        <f>IF(AU701="","",AH701-AV701)</f>
        <v/>
      </c>
      <c r="AZ701" s="54">
        <f>(AL701-AM701)-T701*AT701</f>
        <v/>
      </c>
      <c r="BA701" s="43">
        <f>IF(AU701="",0,(AH701-T701)*AF701)</f>
        <v/>
      </c>
      <c r="BB701" s="43">
        <f>IF(AU701="",0,T701*(AF701-AT701))</f>
        <v/>
      </c>
      <c r="BC701" s="51" t="n">
        <v>0.1038362966522505</v>
      </c>
      <c r="BD701" s="51" t="n">
        <v>0.0919773002906112</v>
      </c>
      <c r="BE701" s="51" t="n">
        <v>0.2072227284022198</v>
      </c>
      <c r="BF701" s="43" t="n">
        <v>174804</v>
      </c>
    </row>
    <row r="702">
      <c r="A702" s="42" t="inlineStr">
        <is>
          <t>NC</t>
        </is>
      </c>
      <c r="B702" s="42" t="inlineStr">
        <is>
          <t>37059</t>
        </is>
      </c>
      <c r="C702" s="42" t="inlineStr">
        <is>
          <t>Davie</t>
        </is>
      </c>
      <c r="D702" s="42" t="inlineStr">
        <is>
          <t>Small town &amp; rural</t>
        </is>
      </c>
      <c r="E702" s="42" t="inlineStr"/>
      <c r="F702" s="43" t="n">
        <v>6988</v>
      </c>
      <c r="G702" s="43" t="n">
        <v>19398</v>
      </c>
      <c r="H702" s="43" t="n">
        <v>26704</v>
      </c>
      <c r="I702" s="43" t="n">
        <v>6713</v>
      </c>
      <c r="J702" s="43" t="n">
        <v>18228</v>
      </c>
      <c r="K702" s="42" t="inlineStr">
        <is>
          <t>US Senate</t>
        </is>
      </c>
      <c r="L702" s="43" t="n">
        <v>4501</v>
      </c>
      <c r="M702" s="43" t="n">
        <v>13191</v>
      </c>
      <c r="N702" s="43" t="n">
        <v>18059</v>
      </c>
      <c r="O702" s="44">
        <f>IFERROR((F702-G702)/(F702+G702),"")</f>
        <v/>
      </c>
      <c r="P702" s="44">
        <f>IFERROR((I702-J702)/(I702+J702),"")</f>
        <v/>
      </c>
      <c r="Q702" s="45">
        <f>IFERROR(O702-P702,"")</f>
        <v/>
      </c>
      <c r="R702" s="44">
        <f>IFERROR((L702-M702)/(L702+M702),"")</f>
        <v/>
      </c>
      <c r="S702" s="46">
        <f>H702/SUMIFS(Counties!$H$2:$H$1583,Counties!$A$2:$A$1583,$A702)</f>
        <v/>
      </c>
      <c r="T702" s="44">
        <f>O702+INDEX(Dashboard!$F$6:$F$22,MATCH($A702,Dashboard!$A$6:$A$22,0))</f>
        <v/>
      </c>
      <c r="U702" s="43">
        <f>AQ702*INDEX(Dashboard!$G$6:$G$22,MATCH($A702,Dashboard!$A$6:$A$22,0))</f>
        <v/>
      </c>
      <c r="V702" s="47" t="n"/>
      <c r="W702" s="47" t="n"/>
      <c r="X702" s="47" t="n"/>
      <c r="Y702" s="48" t="n"/>
      <c r="Z702" s="49" t="n"/>
      <c r="AA702" s="49" t="n"/>
      <c r="AB702" s="49" t="n"/>
      <c r="AC702" s="50" t="n"/>
      <c r="AD702" s="43">
        <f>IF(Z702&lt;&gt;"",Z702,N(V702))</f>
        <v/>
      </c>
      <c r="AE702" s="43">
        <f>IF(AA702&lt;&gt;"",AA702,N(W702))</f>
        <v/>
      </c>
      <c r="AF702" s="43">
        <f>AD702+AE702</f>
        <v/>
      </c>
      <c r="AG702" s="42">
        <f>IF(UPPER(AC702)="Y",1,IF(AF702=0,0,IF(AND(Z702="",Y702&lt;&gt;""),IF(Y702&gt;=0.999,1,0),IF(AF702&gt;=U702,1,0))))</f>
        <v/>
      </c>
      <c r="AH702" s="44">
        <f>IF(AF702&gt;0,(AD702-AE702)/AF702,"")</f>
        <v/>
      </c>
      <c r="AI702" s="45">
        <f>IF(AG702=1,AH702-O702,"")</f>
        <v/>
      </c>
      <c r="AJ702" s="44">
        <f>IF(AG702=1,AH702,MAX(-1,MIN(1,O702+INDEX(Types!$H:$H,MATCH($A702&amp;"|"&amp;$D702,Types!$A:$A,0)))))</f>
        <v/>
      </c>
      <c r="AK702" s="43">
        <f>IF(AG702=1,AF702,MAX(AQ702*AS702,AF702))</f>
        <v/>
      </c>
      <c r="AL702" s="43">
        <f>IF(AG702=1,AD702,AK702*(1+AJ702)/2)</f>
        <v/>
      </c>
      <c r="AM702" s="43">
        <f>IF(AG702=1,AE702,AK702*(1-AJ702)/2)</f>
        <v/>
      </c>
      <c r="AN702" s="45">
        <f>IF(AH702="","",AH702-T702)</f>
        <v/>
      </c>
      <c r="AO702" s="51">
        <f>IF(AG702=1,1,IF(U702&gt;0,MIN(AF702/U702,0.99),0))</f>
        <v/>
      </c>
      <c r="AP702" s="43">
        <f>IF(AG702=1,AI702*AF702,0)</f>
        <v/>
      </c>
      <c r="AQ702" s="43">
        <f>N702*(F702+G702)/H702</f>
        <v/>
      </c>
      <c r="AR702" s="43">
        <f>O702*AQ702</f>
        <v/>
      </c>
      <c r="AS702" s="52">
        <f>IF(AG702=1,IF(AQ702&gt;0,AF702/AQ702,1),IFERROR(INDEX(Types!$K:$K,MATCH($A702&amp;"|"&amp;$D702,Types!$A:$A,0)),INDEX(Dashboard!$X$6:$X$22,MATCH($A702,Dashboard!$A$6:$A$22,0))))</f>
        <v/>
      </c>
      <c r="AT702" s="43">
        <f>AQ702*INDEX(Dashboard!$Y$6:$Y$22,MATCH($A702,Dashboard!$A$6:$A$22,0))</f>
        <v/>
      </c>
      <c r="AU702" s="53">
        <f>IF(AND(AG702=1,AT702&gt;0,AF702&gt;0),100*AF702/AT702,"")</f>
        <v/>
      </c>
      <c r="AV702" s="44">
        <f>IF(AU702="","",T702/(AU702/100))</f>
        <v/>
      </c>
      <c r="AW702" s="53">
        <f>IF(AU702="","",IF(AND(ABS(AH702)&gt;=0.1,ABS(T702)&gt;=0.05,SIGN(AH702)=SIGN(T702)),100*T702/AH702,""))</f>
        <v/>
      </c>
      <c r="AX702" s="45">
        <f>IF(AU702="","",T702-AV702)</f>
        <v/>
      </c>
      <c r="AY702" s="45">
        <f>IF(AU702="","",AH702-AV702)</f>
        <v/>
      </c>
      <c r="AZ702" s="54">
        <f>(AL702-AM702)-T702*AT702</f>
        <v/>
      </c>
      <c r="BA702" s="43">
        <f>IF(AU702="",0,(AH702-T702)*AF702)</f>
        <v/>
      </c>
      <c r="BB702" s="43">
        <f>IF(AU702="",0,T702*(AF702-AT702))</f>
        <v/>
      </c>
      <c r="BC702" s="51" t="n">
        <v>0.06358886970559878</v>
      </c>
      <c r="BD702" s="51" t="n">
        <v>0.08399291463934169</v>
      </c>
      <c r="BE702" s="51" t="n">
        <v>0.2676980476665273</v>
      </c>
      <c r="BF702" s="43" t="n">
        <v>44599</v>
      </c>
    </row>
    <row r="703">
      <c r="A703" s="42" t="inlineStr">
        <is>
          <t>NC</t>
        </is>
      </c>
      <c r="B703" s="42" t="inlineStr">
        <is>
          <t>37061</t>
        </is>
      </c>
      <c r="C703" s="42" t="inlineStr">
        <is>
          <t>Duplin</t>
        </is>
      </c>
      <c r="D703" s="42" t="inlineStr">
        <is>
          <t>Small town &amp; rural</t>
        </is>
      </c>
      <c r="E703" s="42" t="inlineStr"/>
      <c r="F703" s="43" t="n">
        <v>8057</v>
      </c>
      <c r="G703" s="43" t="n">
        <v>14677</v>
      </c>
      <c r="H703" s="43" t="n">
        <v>22864</v>
      </c>
      <c r="I703" s="43" t="n">
        <v>8767</v>
      </c>
      <c r="J703" s="43" t="n">
        <v>13793</v>
      </c>
      <c r="K703" s="42" t="inlineStr">
        <is>
          <t>US Senate</t>
        </is>
      </c>
      <c r="L703" s="43" t="n">
        <v>5071</v>
      </c>
      <c r="M703" s="43" t="n">
        <v>9852</v>
      </c>
      <c r="N703" s="43" t="n">
        <v>15210</v>
      </c>
      <c r="O703" s="44">
        <f>IFERROR((F703-G703)/(F703+G703),"")</f>
        <v/>
      </c>
      <c r="P703" s="44">
        <f>IFERROR((I703-J703)/(I703+J703),"")</f>
        <v/>
      </c>
      <c r="Q703" s="45">
        <f>IFERROR(O703-P703,"")</f>
        <v/>
      </c>
      <c r="R703" s="44">
        <f>IFERROR((L703-M703)/(L703+M703),"")</f>
        <v/>
      </c>
      <c r="S703" s="46">
        <f>H703/SUMIFS(Counties!$H$2:$H$1583,Counties!$A$2:$A$1583,$A703)</f>
        <v/>
      </c>
      <c r="T703" s="44">
        <f>O703+INDEX(Dashboard!$F$6:$F$22,MATCH($A703,Dashboard!$A$6:$A$22,0))</f>
        <v/>
      </c>
      <c r="U703" s="43">
        <f>AQ703*INDEX(Dashboard!$G$6:$G$22,MATCH($A703,Dashboard!$A$6:$A$22,0))</f>
        <v/>
      </c>
      <c r="V703" s="47" t="n"/>
      <c r="W703" s="47" t="n"/>
      <c r="X703" s="47" t="n"/>
      <c r="Y703" s="48" t="n"/>
      <c r="Z703" s="49" t="n"/>
      <c r="AA703" s="49" t="n"/>
      <c r="AB703" s="49" t="n"/>
      <c r="AC703" s="50" t="n"/>
      <c r="AD703" s="43">
        <f>IF(Z703&lt;&gt;"",Z703,N(V703))</f>
        <v/>
      </c>
      <c r="AE703" s="43">
        <f>IF(AA703&lt;&gt;"",AA703,N(W703))</f>
        <v/>
      </c>
      <c r="AF703" s="43">
        <f>AD703+AE703</f>
        <v/>
      </c>
      <c r="AG703" s="42">
        <f>IF(UPPER(AC703)="Y",1,IF(AF703=0,0,IF(AND(Z703="",Y703&lt;&gt;""),IF(Y703&gt;=0.999,1,0),IF(AF703&gt;=U703,1,0))))</f>
        <v/>
      </c>
      <c r="AH703" s="44">
        <f>IF(AF703&gt;0,(AD703-AE703)/AF703,"")</f>
        <v/>
      </c>
      <c r="AI703" s="45">
        <f>IF(AG703=1,AH703-O703,"")</f>
        <v/>
      </c>
      <c r="AJ703" s="44">
        <f>IF(AG703=1,AH703,MAX(-1,MIN(1,O703+INDEX(Types!$H:$H,MATCH($A703&amp;"|"&amp;$D703,Types!$A:$A,0)))))</f>
        <v/>
      </c>
      <c r="AK703" s="43">
        <f>IF(AG703=1,AF703,MAX(AQ703*AS703,AF703))</f>
        <v/>
      </c>
      <c r="AL703" s="43">
        <f>IF(AG703=1,AD703,AK703*(1+AJ703)/2)</f>
        <v/>
      </c>
      <c r="AM703" s="43">
        <f>IF(AG703=1,AE703,AK703*(1-AJ703)/2)</f>
        <v/>
      </c>
      <c r="AN703" s="45">
        <f>IF(AH703="","",AH703-T703)</f>
        <v/>
      </c>
      <c r="AO703" s="51">
        <f>IF(AG703=1,1,IF(U703&gt;0,MIN(AF703/U703,0.99),0))</f>
        <v/>
      </c>
      <c r="AP703" s="43">
        <f>IF(AG703=1,AI703*AF703,0)</f>
        <v/>
      </c>
      <c r="AQ703" s="43">
        <f>N703*(F703+G703)/H703</f>
        <v/>
      </c>
      <c r="AR703" s="43">
        <f>O703*AQ703</f>
        <v/>
      </c>
      <c r="AS703" s="52">
        <f>IF(AG703=1,IF(AQ703&gt;0,AF703/AQ703,1),IFERROR(INDEX(Types!$K:$K,MATCH($A703&amp;"|"&amp;$D703,Types!$A:$A,0)),INDEX(Dashboard!$X$6:$X$22,MATCH($A703,Dashboard!$A$6:$A$22,0))))</f>
        <v/>
      </c>
      <c r="AT703" s="43">
        <f>AQ703*INDEX(Dashboard!$Y$6:$Y$22,MATCH($A703,Dashboard!$A$6:$A$22,0))</f>
        <v/>
      </c>
      <c r="AU703" s="53">
        <f>IF(AND(AG703=1,AT703&gt;0,AF703&gt;0),100*AF703/AT703,"")</f>
        <v/>
      </c>
      <c r="AV703" s="44">
        <f>IF(AU703="","",T703/(AU703/100))</f>
        <v/>
      </c>
      <c r="AW703" s="53">
        <f>IF(AU703="","",IF(AND(ABS(AH703)&gt;=0.1,ABS(T703)&gt;=0.05,SIGN(AH703)=SIGN(T703)),100*T703/AH703,""))</f>
        <v/>
      </c>
      <c r="AX703" s="45">
        <f>IF(AU703="","",T703-AV703)</f>
        <v/>
      </c>
      <c r="AY703" s="45">
        <f>IF(AU703="","",AH703-AV703)</f>
        <v/>
      </c>
      <c r="AZ703" s="54">
        <f>(AL703-AM703)-T703*AT703</f>
        <v/>
      </c>
      <c r="BA703" s="43">
        <f>IF(AU703="",0,(AH703-T703)*AF703)</f>
        <v/>
      </c>
      <c r="BB703" s="43">
        <f>IF(AU703="",0,T703*(AF703-AT703))</f>
        <v/>
      </c>
      <c r="BC703" s="51" t="n">
        <v>0.2373788368336026</v>
      </c>
      <c r="BD703" s="51" t="n">
        <v>0.2358844911147011</v>
      </c>
      <c r="BE703" s="51" t="n">
        <v>0.1749871798739103</v>
      </c>
      <c r="BF703" s="43" t="n">
        <v>49520</v>
      </c>
    </row>
    <row r="704">
      <c r="A704" s="42" t="inlineStr">
        <is>
          <t>NC</t>
        </is>
      </c>
      <c r="B704" s="42" t="inlineStr">
        <is>
          <t>37063</t>
        </is>
      </c>
      <c r="C704" s="42" t="inlineStr">
        <is>
          <t>Durham</t>
        </is>
      </c>
      <c r="D704" s="42" t="inlineStr">
        <is>
          <t>College suburb/metro</t>
        </is>
      </c>
      <c r="E704" s="42" t="inlineStr">
        <is>
          <t>★</t>
        </is>
      </c>
      <c r="F704" s="43" t="n">
        <v>144450</v>
      </c>
      <c r="G704" s="43" t="n">
        <v>32853</v>
      </c>
      <c r="H704" s="43" t="n">
        <v>180189</v>
      </c>
      <c r="I704" s="43" t="n">
        <v>144688</v>
      </c>
      <c r="J704" s="43" t="n">
        <v>32459</v>
      </c>
      <c r="K704" s="42" t="inlineStr">
        <is>
          <t>US Senate</t>
        </is>
      </c>
      <c r="L704" s="43" t="n">
        <v>103630</v>
      </c>
      <c r="M704" s="43" t="n">
        <v>22107</v>
      </c>
      <c r="N704" s="43" t="n">
        <v>128097</v>
      </c>
      <c r="O704" s="44">
        <f>IFERROR((F704-G704)/(F704+G704),"")</f>
        <v/>
      </c>
      <c r="P704" s="44">
        <f>IFERROR((I704-J704)/(I704+J704),"")</f>
        <v/>
      </c>
      <c r="Q704" s="45">
        <f>IFERROR(O704-P704,"")</f>
        <v/>
      </c>
      <c r="R704" s="44">
        <f>IFERROR((L704-M704)/(L704+M704),"")</f>
        <v/>
      </c>
      <c r="S704" s="46">
        <f>H704/SUMIFS(Counties!$H$2:$H$1583,Counties!$A$2:$A$1583,$A704)</f>
        <v/>
      </c>
      <c r="T704" s="44">
        <f>O704+INDEX(Dashboard!$F$6:$F$22,MATCH($A704,Dashboard!$A$6:$A$22,0))</f>
        <v/>
      </c>
      <c r="U704" s="43">
        <f>AQ704*INDEX(Dashboard!$G$6:$G$22,MATCH($A704,Dashboard!$A$6:$A$22,0))</f>
        <v/>
      </c>
      <c r="V704" s="47" t="n"/>
      <c r="W704" s="47" t="n"/>
      <c r="X704" s="47" t="n"/>
      <c r="Y704" s="48" t="n"/>
      <c r="Z704" s="49" t="n"/>
      <c r="AA704" s="49" t="n"/>
      <c r="AB704" s="49" t="n"/>
      <c r="AC704" s="50" t="n"/>
      <c r="AD704" s="43">
        <f>IF(Z704&lt;&gt;"",Z704,N(V704))</f>
        <v/>
      </c>
      <c r="AE704" s="43">
        <f>IF(AA704&lt;&gt;"",AA704,N(W704))</f>
        <v/>
      </c>
      <c r="AF704" s="43">
        <f>AD704+AE704</f>
        <v/>
      </c>
      <c r="AG704" s="42">
        <f>IF(UPPER(AC704)="Y",1,IF(AF704=0,0,IF(AND(Z704="",Y704&lt;&gt;""),IF(Y704&gt;=0.999,1,0),IF(AF704&gt;=U704,1,0))))</f>
        <v/>
      </c>
      <c r="AH704" s="44">
        <f>IF(AF704&gt;0,(AD704-AE704)/AF704,"")</f>
        <v/>
      </c>
      <c r="AI704" s="45">
        <f>IF(AG704=1,AH704-O704,"")</f>
        <v/>
      </c>
      <c r="AJ704" s="44">
        <f>IF(AG704=1,AH704,MAX(-1,MIN(1,O704+INDEX(Types!$H:$H,MATCH($A704&amp;"|"&amp;$D704,Types!$A:$A,0)))))</f>
        <v/>
      </c>
      <c r="AK704" s="43">
        <f>IF(AG704=1,AF704,MAX(AQ704*AS704,AF704))</f>
        <v/>
      </c>
      <c r="AL704" s="43">
        <f>IF(AG704=1,AD704,AK704*(1+AJ704)/2)</f>
        <v/>
      </c>
      <c r="AM704" s="43">
        <f>IF(AG704=1,AE704,AK704*(1-AJ704)/2)</f>
        <v/>
      </c>
      <c r="AN704" s="45">
        <f>IF(AH704="","",AH704-T704)</f>
        <v/>
      </c>
      <c r="AO704" s="51">
        <f>IF(AG704=1,1,IF(U704&gt;0,MIN(AF704/U704,0.99),0))</f>
        <v/>
      </c>
      <c r="AP704" s="43">
        <f>IF(AG704=1,AI704*AF704,0)</f>
        <v/>
      </c>
      <c r="AQ704" s="43">
        <f>N704*(F704+G704)/H704</f>
        <v/>
      </c>
      <c r="AR704" s="43">
        <f>O704*AQ704</f>
        <v/>
      </c>
      <c r="AS704" s="52">
        <f>IF(AG704=1,IF(AQ704&gt;0,AF704/AQ704,1),IFERROR(INDEX(Types!$K:$K,MATCH($A704&amp;"|"&amp;$D704,Types!$A:$A,0)),INDEX(Dashboard!$X$6:$X$22,MATCH($A704,Dashboard!$A$6:$A$22,0))))</f>
        <v/>
      </c>
      <c r="AT704" s="43">
        <f>AQ704*INDEX(Dashboard!$Y$6:$Y$22,MATCH($A704,Dashboard!$A$6:$A$22,0))</f>
        <v/>
      </c>
      <c r="AU704" s="53">
        <f>IF(AND(AG704=1,AT704&gt;0,AF704&gt;0),100*AF704/AT704,"")</f>
        <v/>
      </c>
      <c r="AV704" s="44">
        <f>IF(AU704="","",T704/(AU704/100))</f>
        <v/>
      </c>
      <c r="AW704" s="53">
        <f>IF(AU704="","",IF(AND(ABS(AH704)&gt;=0.1,ABS(T704)&gt;=0.05,SIGN(AH704)=SIGN(T704)),100*T704/AH704,""))</f>
        <v/>
      </c>
      <c r="AX704" s="45">
        <f>IF(AU704="","",T704-AV704)</f>
        <v/>
      </c>
      <c r="AY704" s="45">
        <f>IF(AU704="","",AH704-AV704)</f>
        <v/>
      </c>
      <c r="AZ704" s="54">
        <f>(AL704-AM704)-T704*AT704</f>
        <v/>
      </c>
      <c r="BA704" s="43">
        <f>IF(AU704="",0,(AH704-T704)*AF704)</f>
        <v/>
      </c>
      <c r="BB704" s="43">
        <f>IF(AU704="",0,T704*(AF704-AT704))</f>
        <v/>
      </c>
      <c r="BC704" s="51" t="n">
        <v>0.3298683257542476</v>
      </c>
      <c r="BD704" s="51" t="n">
        <v>0.1540909252816927</v>
      </c>
      <c r="BE704" s="51" t="n">
        <v>0.5354261071342571</v>
      </c>
      <c r="BF704" s="43" t="n">
        <v>336892</v>
      </c>
    </row>
    <row r="705">
      <c r="A705" s="42" t="inlineStr">
        <is>
          <t>NC</t>
        </is>
      </c>
      <c r="B705" s="42" t="inlineStr">
        <is>
          <t>37065</t>
        </is>
      </c>
      <c r="C705" s="42" t="inlineStr">
        <is>
          <t>Edgecombe</t>
        </is>
      </c>
      <c r="D705" s="42" t="inlineStr">
        <is>
          <t>Black Belt</t>
        </is>
      </c>
      <c r="E705" s="42" t="inlineStr"/>
      <c r="F705" s="43" t="n">
        <v>14900</v>
      </c>
      <c r="G705" s="43" t="n">
        <v>9355</v>
      </c>
      <c r="H705" s="43" t="n">
        <v>24416</v>
      </c>
      <c r="I705" s="43" t="n">
        <v>16089</v>
      </c>
      <c r="J705" s="43" t="n">
        <v>9206</v>
      </c>
      <c r="K705" s="42" t="inlineStr">
        <is>
          <t>US Senate</t>
        </is>
      </c>
      <c r="L705" s="43" t="n">
        <v>9213</v>
      </c>
      <c r="M705" s="43" t="n">
        <v>6046</v>
      </c>
      <c r="N705" s="43" t="n">
        <v>15495</v>
      </c>
      <c r="O705" s="44">
        <f>IFERROR((F705-G705)/(F705+G705),"")</f>
        <v/>
      </c>
      <c r="P705" s="44">
        <f>IFERROR((I705-J705)/(I705+J705),"")</f>
        <v/>
      </c>
      <c r="Q705" s="45">
        <f>IFERROR(O705-P705,"")</f>
        <v/>
      </c>
      <c r="R705" s="44">
        <f>IFERROR((L705-M705)/(L705+M705),"")</f>
        <v/>
      </c>
      <c r="S705" s="46">
        <f>H705/SUMIFS(Counties!$H$2:$H$1583,Counties!$A$2:$A$1583,$A705)</f>
        <v/>
      </c>
      <c r="T705" s="44">
        <f>O705+INDEX(Dashboard!$F$6:$F$22,MATCH($A705,Dashboard!$A$6:$A$22,0))</f>
        <v/>
      </c>
      <c r="U705" s="43">
        <f>AQ705*INDEX(Dashboard!$G$6:$G$22,MATCH($A705,Dashboard!$A$6:$A$22,0))</f>
        <v/>
      </c>
      <c r="V705" s="47" t="n"/>
      <c r="W705" s="47" t="n"/>
      <c r="X705" s="47" t="n"/>
      <c r="Y705" s="48" t="n"/>
      <c r="Z705" s="49" t="n"/>
      <c r="AA705" s="49" t="n"/>
      <c r="AB705" s="49" t="n"/>
      <c r="AC705" s="50" t="n"/>
      <c r="AD705" s="43">
        <f>IF(Z705&lt;&gt;"",Z705,N(V705))</f>
        <v/>
      </c>
      <c r="AE705" s="43">
        <f>IF(AA705&lt;&gt;"",AA705,N(W705))</f>
        <v/>
      </c>
      <c r="AF705" s="43">
        <f>AD705+AE705</f>
        <v/>
      </c>
      <c r="AG705" s="42">
        <f>IF(UPPER(AC705)="Y",1,IF(AF705=0,0,IF(AND(Z705="",Y705&lt;&gt;""),IF(Y705&gt;=0.999,1,0),IF(AF705&gt;=U705,1,0))))</f>
        <v/>
      </c>
      <c r="AH705" s="44">
        <f>IF(AF705&gt;0,(AD705-AE705)/AF705,"")</f>
        <v/>
      </c>
      <c r="AI705" s="45">
        <f>IF(AG705=1,AH705-O705,"")</f>
        <v/>
      </c>
      <c r="AJ705" s="44">
        <f>IF(AG705=1,AH705,MAX(-1,MIN(1,O705+INDEX(Types!$H:$H,MATCH($A705&amp;"|"&amp;$D705,Types!$A:$A,0)))))</f>
        <v/>
      </c>
      <c r="AK705" s="43">
        <f>IF(AG705=1,AF705,MAX(AQ705*AS705,AF705))</f>
        <v/>
      </c>
      <c r="AL705" s="43">
        <f>IF(AG705=1,AD705,AK705*(1+AJ705)/2)</f>
        <v/>
      </c>
      <c r="AM705" s="43">
        <f>IF(AG705=1,AE705,AK705*(1-AJ705)/2)</f>
        <v/>
      </c>
      <c r="AN705" s="45">
        <f>IF(AH705="","",AH705-T705)</f>
        <v/>
      </c>
      <c r="AO705" s="51">
        <f>IF(AG705=1,1,IF(U705&gt;0,MIN(AF705/U705,0.99),0))</f>
        <v/>
      </c>
      <c r="AP705" s="43">
        <f>IF(AG705=1,AI705*AF705,0)</f>
        <v/>
      </c>
      <c r="AQ705" s="43">
        <f>N705*(F705+G705)/H705</f>
        <v/>
      </c>
      <c r="AR705" s="43">
        <f>O705*AQ705</f>
        <v/>
      </c>
      <c r="AS705" s="52">
        <f>IF(AG705=1,IF(AQ705&gt;0,AF705/AQ705,1),IFERROR(INDEX(Types!$K:$K,MATCH($A705&amp;"|"&amp;$D705,Types!$A:$A,0)),INDEX(Dashboard!$X$6:$X$22,MATCH($A705,Dashboard!$A$6:$A$22,0))))</f>
        <v/>
      </c>
      <c r="AT705" s="43">
        <f>AQ705*INDEX(Dashboard!$Y$6:$Y$22,MATCH($A705,Dashboard!$A$6:$A$22,0))</f>
        <v/>
      </c>
      <c r="AU705" s="53">
        <f>IF(AND(AG705=1,AT705&gt;0,AF705&gt;0),100*AF705/AT705,"")</f>
        <v/>
      </c>
      <c r="AV705" s="44">
        <f>IF(AU705="","",T705/(AU705/100))</f>
        <v/>
      </c>
      <c r="AW705" s="53">
        <f>IF(AU705="","",IF(AND(ABS(AH705)&gt;=0.1,ABS(T705)&gt;=0.05,SIGN(AH705)=SIGN(T705)),100*T705/AH705,""))</f>
        <v/>
      </c>
      <c r="AX705" s="45">
        <f>IF(AU705="","",T705-AV705)</f>
        <v/>
      </c>
      <c r="AY705" s="45">
        <f>IF(AU705="","",AH705-AV705)</f>
        <v/>
      </c>
      <c r="AZ705" s="54">
        <f>(AL705-AM705)-T705*AT705</f>
        <v/>
      </c>
      <c r="BA705" s="43">
        <f>IF(AU705="",0,(AH705-T705)*AF705)</f>
        <v/>
      </c>
      <c r="BB705" s="43">
        <f>IF(AU705="",0,T705*(AF705-AT705))</f>
        <v/>
      </c>
      <c r="BC705" s="51" t="n">
        <v>0.5662065858453473</v>
      </c>
      <c r="BD705" s="51" t="n">
        <v>0.06307339449541284</v>
      </c>
      <c r="BE705" s="51" t="n">
        <v>0.1672666115897557</v>
      </c>
      <c r="BF705" s="43" t="n">
        <v>48832</v>
      </c>
    </row>
    <row r="706">
      <c r="A706" s="42" t="inlineStr">
        <is>
          <t>NC</t>
        </is>
      </c>
      <c r="B706" s="42" t="inlineStr">
        <is>
          <t>37067</t>
        </is>
      </c>
      <c r="C706" s="42" t="inlineStr">
        <is>
          <t>Forsyth</t>
        </is>
      </c>
      <c r="D706" s="42" t="inlineStr">
        <is>
          <t>Mid-size/working metro</t>
        </is>
      </c>
      <c r="E706" s="42" t="inlineStr"/>
      <c r="F706" s="43" t="n">
        <v>114145</v>
      </c>
      <c r="G706" s="43" t="n">
        <v>87292</v>
      </c>
      <c r="H706" s="43" t="n">
        <v>203928</v>
      </c>
      <c r="I706" s="43" t="n">
        <v>113033</v>
      </c>
      <c r="J706" s="43" t="n">
        <v>85064</v>
      </c>
      <c r="K706" s="42" t="inlineStr">
        <is>
          <t>US Senate</t>
        </is>
      </c>
      <c r="L706" s="43" t="n">
        <v>73524</v>
      </c>
      <c r="M706" s="43" t="n">
        <v>58350</v>
      </c>
      <c r="N706" s="43" t="n">
        <v>134818</v>
      </c>
      <c r="O706" s="44">
        <f>IFERROR((F706-G706)/(F706+G706),"")</f>
        <v/>
      </c>
      <c r="P706" s="44">
        <f>IFERROR((I706-J706)/(I706+J706),"")</f>
        <v/>
      </c>
      <c r="Q706" s="45">
        <f>IFERROR(O706-P706,"")</f>
        <v/>
      </c>
      <c r="R706" s="44">
        <f>IFERROR((L706-M706)/(L706+M706),"")</f>
        <v/>
      </c>
      <c r="S706" s="46">
        <f>H706/SUMIFS(Counties!$H$2:$H$1583,Counties!$A$2:$A$1583,$A706)</f>
        <v/>
      </c>
      <c r="T706" s="44">
        <f>O706+INDEX(Dashboard!$F$6:$F$22,MATCH($A706,Dashboard!$A$6:$A$22,0))</f>
        <v/>
      </c>
      <c r="U706" s="43">
        <f>AQ706*INDEX(Dashboard!$G$6:$G$22,MATCH($A706,Dashboard!$A$6:$A$22,0))</f>
        <v/>
      </c>
      <c r="V706" s="47" t="n"/>
      <c r="W706" s="47" t="n"/>
      <c r="X706" s="47" t="n"/>
      <c r="Y706" s="48" t="n"/>
      <c r="Z706" s="49" t="n"/>
      <c r="AA706" s="49" t="n"/>
      <c r="AB706" s="49" t="n"/>
      <c r="AC706" s="50" t="n"/>
      <c r="AD706" s="43">
        <f>IF(Z706&lt;&gt;"",Z706,N(V706))</f>
        <v/>
      </c>
      <c r="AE706" s="43">
        <f>IF(AA706&lt;&gt;"",AA706,N(W706))</f>
        <v/>
      </c>
      <c r="AF706" s="43">
        <f>AD706+AE706</f>
        <v/>
      </c>
      <c r="AG706" s="42">
        <f>IF(UPPER(AC706)="Y",1,IF(AF706=0,0,IF(AND(Z706="",Y706&lt;&gt;""),IF(Y706&gt;=0.999,1,0),IF(AF706&gt;=U706,1,0))))</f>
        <v/>
      </c>
      <c r="AH706" s="44">
        <f>IF(AF706&gt;0,(AD706-AE706)/AF706,"")</f>
        <v/>
      </c>
      <c r="AI706" s="45">
        <f>IF(AG706=1,AH706-O706,"")</f>
        <v/>
      </c>
      <c r="AJ706" s="44">
        <f>IF(AG706=1,AH706,MAX(-1,MIN(1,O706+INDEX(Types!$H:$H,MATCH($A706&amp;"|"&amp;$D706,Types!$A:$A,0)))))</f>
        <v/>
      </c>
      <c r="AK706" s="43">
        <f>IF(AG706=1,AF706,MAX(AQ706*AS706,AF706))</f>
        <v/>
      </c>
      <c r="AL706" s="43">
        <f>IF(AG706=1,AD706,AK706*(1+AJ706)/2)</f>
        <v/>
      </c>
      <c r="AM706" s="43">
        <f>IF(AG706=1,AE706,AK706*(1-AJ706)/2)</f>
        <v/>
      </c>
      <c r="AN706" s="45">
        <f>IF(AH706="","",AH706-T706)</f>
        <v/>
      </c>
      <c r="AO706" s="51">
        <f>IF(AG706=1,1,IF(U706&gt;0,MIN(AF706/U706,0.99),0))</f>
        <v/>
      </c>
      <c r="AP706" s="43">
        <f>IF(AG706=1,AI706*AF706,0)</f>
        <v/>
      </c>
      <c r="AQ706" s="43">
        <f>N706*(F706+G706)/H706</f>
        <v/>
      </c>
      <c r="AR706" s="43">
        <f>O706*AQ706</f>
        <v/>
      </c>
      <c r="AS706" s="52">
        <f>IF(AG706=1,IF(AQ706&gt;0,AF706/AQ706,1),IFERROR(INDEX(Types!$K:$K,MATCH($A706&amp;"|"&amp;$D706,Types!$A:$A,0)),INDEX(Dashboard!$X$6:$X$22,MATCH($A706,Dashboard!$A$6:$A$22,0))))</f>
        <v/>
      </c>
      <c r="AT706" s="43">
        <f>AQ706*INDEX(Dashboard!$Y$6:$Y$22,MATCH($A706,Dashboard!$A$6:$A$22,0))</f>
        <v/>
      </c>
      <c r="AU706" s="53">
        <f>IF(AND(AG706=1,AT706&gt;0,AF706&gt;0),100*AF706/AT706,"")</f>
        <v/>
      </c>
      <c r="AV706" s="44">
        <f>IF(AU706="","",T706/(AU706/100))</f>
        <v/>
      </c>
      <c r="AW706" s="53">
        <f>IF(AU706="","",IF(AND(ABS(AH706)&gt;=0.1,ABS(T706)&gt;=0.05,SIGN(AH706)=SIGN(T706)),100*T706/AH706,""))</f>
        <v/>
      </c>
      <c r="AX706" s="45">
        <f>IF(AU706="","",T706-AV706)</f>
        <v/>
      </c>
      <c r="AY706" s="45">
        <f>IF(AU706="","",AH706-AV706)</f>
        <v/>
      </c>
      <c r="AZ706" s="54">
        <f>(AL706-AM706)-T706*AT706</f>
        <v/>
      </c>
      <c r="BA706" s="43">
        <f>IF(AU706="",0,(AH706-T706)*AF706)</f>
        <v/>
      </c>
      <c r="BB706" s="43">
        <f>IF(AU706="",0,T706*(AF706-AT706))</f>
        <v/>
      </c>
      <c r="BC706" s="51" t="n">
        <v>0.2559802097622677</v>
      </c>
      <c r="BD706" s="51" t="n">
        <v>0.1526362805754846</v>
      </c>
      <c r="BE706" s="51" t="n">
        <v>0.3687252076688379</v>
      </c>
      <c r="BF706" s="43" t="n">
        <v>392921</v>
      </c>
    </row>
    <row r="707">
      <c r="A707" s="42" t="inlineStr">
        <is>
          <t>NC</t>
        </is>
      </c>
      <c r="B707" s="42" t="inlineStr">
        <is>
          <t>37069</t>
        </is>
      </c>
      <c r="C707" s="42" t="inlineStr">
        <is>
          <t>Franklin</t>
        </is>
      </c>
      <c r="D707" s="42" t="inlineStr">
        <is>
          <t>Small town &amp; rural</t>
        </is>
      </c>
      <c r="E707" s="42" t="inlineStr"/>
      <c r="F707" s="43" t="n">
        <v>18167</v>
      </c>
      <c r="G707" s="43" t="n">
        <v>23938</v>
      </c>
      <c r="H707" s="43" t="n">
        <v>42526</v>
      </c>
      <c r="I707" s="43" t="n">
        <v>15879</v>
      </c>
      <c r="J707" s="43" t="n">
        <v>20901</v>
      </c>
      <c r="K707" s="42" t="inlineStr">
        <is>
          <t>US Senate</t>
        </is>
      </c>
      <c r="L707" s="43" t="n">
        <v>11701</v>
      </c>
      <c r="M707" s="43" t="n">
        <v>15292</v>
      </c>
      <c r="N707" s="43" t="n">
        <v>27630</v>
      </c>
      <c r="O707" s="44">
        <f>IFERROR((F707-G707)/(F707+G707),"")</f>
        <v/>
      </c>
      <c r="P707" s="44">
        <f>IFERROR((I707-J707)/(I707+J707),"")</f>
        <v/>
      </c>
      <c r="Q707" s="45">
        <f>IFERROR(O707-P707,"")</f>
        <v/>
      </c>
      <c r="R707" s="44">
        <f>IFERROR((L707-M707)/(L707+M707),"")</f>
        <v/>
      </c>
      <c r="S707" s="46">
        <f>H707/SUMIFS(Counties!$H$2:$H$1583,Counties!$A$2:$A$1583,$A707)</f>
        <v/>
      </c>
      <c r="T707" s="44">
        <f>O707+INDEX(Dashboard!$F$6:$F$22,MATCH($A707,Dashboard!$A$6:$A$22,0))</f>
        <v/>
      </c>
      <c r="U707" s="43">
        <f>AQ707*INDEX(Dashboard!$G$6:$G$22,MATCH($A707,Dashboard!$A$6:$A$22,0))</f>
        <v/>
      </c>
      <c r="V707" s="47" t="n"/>
      <c r="W707" s="47" t="n"/>
      <c r="X707" s="47" t="n"/>
      <c r="Y707" s="48" t="n"/>
      <c r="Z707" s="49" t="n"/>
      <c r="AA707" s="49" t="n"/>
      <c r="AB707" s="49" t="n"/>
      <c r="AC707" s="50" t="n"/>
      <c r="AD707" s="43">
        <f>IF(Z707&lt;&gt;"",Z707,N(V707))</f>
        <v/>
      </c>
      <c r="AE707" s="43">
        <f>IF(AA707&lt;&gt;"",AA707,N(W707))</f>
        <v/>
      </c>
      <c r="AF707" s="43">
        <f>AD707+AE707</f>
        <v/>
      </c>
      <c r="AG707" s="42">
        <f>IF(UPPER(AC707)="Y",1,IF(AF707=0,0,IF(AND(Z707="",Y707&lt;&gt;""),IF(Y707&gt;=0.999,1,0),IF(AF707&gt;=U707,1,0))))</f>
        <v/>
      </c>
      <c r="AH707" s="44">
        <f>IF(AF707&gt;0,(AD707-AE707)/AF707,"")</f>
        <v/>
      </c>
      <c r="AI707" s="45">
        <f>IF(AG707=1,AH707-O707,"")</f>
        <v/>
      </c>
      <c r="AJ707" s="44">
        <f>IF(AG707=1,AH707,MAX(-1,MIN(1,O707+INDEX(Types!$H:$H,MATCH($A707&amp;"|"&amp;$D707,Types!$A:$A,0)))))</f>
        <v/>
      </c>
      <c r="AK707" s="43">
        <f>IF(AG707=1,AF707,MAX(AQ707*AS707,AF707))</f>
        <v/>
      </c>
      <c r="AL707" s="43">
        <f>IF(AG707=1,AD707,AK707*(1+AJ707)/2)</f>
        <v/>
      </c>
      <c r="AM707" s="43">
        <f>IF(AG707=1,AE707,AK707*(1-AJ707)/2)</f>
        <v/>
      </c>
      <c r="AN707" s="45">
        <f>IF(AH707="","",AH707-T707)</f>
        <v/>
      </c>
      <c r="AO707" s="51">
        <f>IF(AG707=1,1,IF(U707&gt;0,MIN(AF707/U707,0.99),0))</f>
        <v/>
      </c>
      <c r="AP707" s="43">
        <f>IF(AG707=1,AI707*AF707,0)</f>
        <v/>
      </c>
      <c r="AQ707" s="43">
        <f>N707*(F707+G707)/H707</f>
        <v/>
      </c>
      <c r="AR707" s="43">
        <f>O707*AQ707</f>
        <v/>
      </c>
      <c r="AS707" s="52">
        <f>IF(AG707=1,IF(AQ707&gt;0,AF707/AQ707,1),IFERROR(INDEX(Types!$K:$K,MATCH($A707&amp;"|"&amp;$D707,Types!$A:$A,0)),INDEX(Dashboard!$X$6:$X$22,MATCH($A707,Dashboard!$A$6:$A$22,0))))</f>
        <v/>
      </c>
      <c r="AT707" s="43">
        <f>AQ707*INDEX(Dashboard!$Y$6:$Y$22,MATCH($A707,Dashboard!$A$6:$A$22,0))</f>
        <v/>
      </c>
      <c r="AU707" s="53">
        <f>IF(AND(AG707=1,AT707&gt;0,AF707&gt;0),100*AF707/AT707,"")</f>
        <v/>
      </c>
      <c r="AV707" s="44">
        <f>IF(AU707="","",T707/(AU707/100))</f>
        <v/>
      </c>
      <c r="AW707" s="53">
        <f>IF(AU707="","",IF(AND(ABS(AH707)&gt;=0.1,ABS(T707)&gt;=0.05,SIGN(AH707)=SIGN(T707)),100*T707/AH707,""))</f>
        <v/>
      </c>
      <c r="AX707" s="45">
        <f>IF(AU707="","",T707-AV707)</f>
        <v/>
      </c>
      <c r="AY707" s="45">
        <f>IF(AU707="","",AH707-AV707)</f>
        <v/>
      </c>
      <c r="AZ707" s="54">
        <f>(AL707-AM707)-T707*AT707</f>
        <v/>
      </c>
      <c r="BA707" s="43">
        <f>IF(AU707="",0,(AH707-T707)*AF707)</f>
        <v/>
      </c>
      <c r="BB707" s="43">
        <f>IF(AU707="",0,T707*(AF707-AT707))</f>
        <v/>
      </c>
      <c r="BC707" s="51" t="n">
        <v>0.2431916468617291</v>
      </c>
      <c r="BD707" s="51" t="n">
        <v>0.1160244672147115</v>
      </c>
      <c r="BE707" s="51" t="n">
        <v>0.2439392735076703</v>
      </c>
      <c r="BF707" s="43" t="n">
        <v>77001</v>
      </c>
    </row>
    <row r="708">
      <c r="A708" s="42" t="inlineStr">
        <is>
          <t>NC</t>
        </is>
      </c>
      <c r="B708" s="42" t="inlineStr">
        <is>
          <t>37071</t>
        </is>
      </c>
      <c r="C708" s="42" t="inlineStr">
        <is>
          <t>Gaston</t>
        </is>
      </c>
      <c r="D708" s="42" t="inlineStr">
        <is>
          <t>Mid-size/working metro</t>
        </is>
      </c>
      <c r="E708" s="42" t="inlineStr"/>
      <c r="F708" s="43" t="n">
        <v>44062</v>
      </c>
      <c r="G708" s="43" t="n">
        <v>73828</v>
      </c>
      <c r="H708" s="43" t="n">
        <v>118959</v>
      </c>
      <c r="I708" s="43" t="n">
        <v>40959</v>
      </c>
      <c r="J708" s="43" t="n">
        <v>73033</v>
      </c>
      <c r="K708" s="42" t="inlineStr">
        <is>
          <t>US Senate</t>
        </is>
      </c>
      <c r="L708" s="43" t="n">
        <v>25676</v>
      </c>
      <c r="M708" s="43" t="n">
        <v>46256</v>
      </c>
      <c r="N708" s="43" t="n">
        <v>73442</v>
      </c>
      <c r="O708" s="44">
        <f>IFERROR((F708-G708)/(F708+G708),"")</f>
        <v/>
      </c>
      <c r="P708" s="44">
        <f>IFERROR((I708-J708)/(I708+J708),"")</f>
        <v/>
      </c>
      <c r="Q708" s="45">
        <f>IFERROR(O708-P708,"")</f>
        <v/>
      </c>
      <c r="R708" s="44">
        <f>IFERROR((L708-M708)/(L708+M708),"")</f>
        <v/>
      </c>
      <c r="S708" s="46">
        <f>H708/SUMIFS(Counties!$H$2:$H$1583,Counties!$A$2:$A$1583,$A708)</f>
        <v/>
      </c>
      <c r="T708" s="44">
        <f>O708+INDEX(Dashboard!$F$6:$F$22,MATCH($A708,Dashboard!$A$6:$A$22,0))</f>
        <v/>
      </c>
      <c r="U708" s="43">
        <f>AQ708*INDEX(Dashboard!$G$6:$G$22,MATCH($A708,Dashboard!$A$6:$A$22,0))</f>
        <v/>
      </c>
      <c r="V708" s="47" t="n"/>
      <c r="W708" s="47" t="n"/>
      <c r="X708" s="47" t="n"/>
      <c r="Y708" s="48" t="n"/>
      <c r="Z708" s="49" t="n"/>
      <c r="AA708" s="49" t="n"/>
      <c r="AB708" s="49" t="n"/>
      <c r="AC708" s="50" t="n"/>
      <c r="AD708" s="43">
        <f>IF(Z708&lt;&gt;"",Z708,N(V708))</f>
        <v/>
      </c>
      <c r="AE708" s="43">
        <f>IF(AA708&lt;&gt;"",AA708,N(W708))</f>
        <v/>
      </c>
      <c r="AF708" s="43">
        <f>AD708+AE708</f>
        <v/>
      </c>
      <c r="AG708" s="42">
        <f>IF(UPPER(AC708)="Y",1,IF(AF708=0,0,IF(AND(Z708="",Y708&lt;&gt;""),IF(Y708&gt;=0.999,1,0),IF(AF708&gt;=U708,1,0))))</f>
        <v/>
      </c>
      <c r="AH708" s="44">
        <f>IF(AF708&gt;0,(AD708-AE708)/AF708,"")</f>
        <v/>
      </c>
      <c r="AI708" s="45">
        <f>IF(AG708=1,AH708-O708,"")</f>
        <v/>
      </c>
      <c r="AJ708" s="44">
        <f>IF(AG708=1,AH708,MAX(-1,MIN(1,O708+INDEX(Types!$H:$H,MATCH($A708&amp;"|"&amp;$D708,Types!$A:$A,0)))))</f>
        <v/>
      </c>
      <c r="AK708" s="43">
        <f>IF(AG708=1,AF708,MAX(AQ708*AS708,AF708))</f>
        <v/>
      </c>
      <c r="AL708" s="43">
        <f>IF(AG708=1,AD708,AK708*(1+AJ708)/2)</f>
        <v/>
      </c>
      <c r="AM708" s="43">
        <f>IF(AG708=1,AE708,AK708*(1-AJ708)/2)</f>
        <v/>
      </c>
      <c r="AN708" s="45">
        <f>IF(AH708="","",AH708-T708)</f>
        <v/>
      </c>
      <c r="AO708" s="51">
        <f>IF(AG708=1,1,IF(U708&gt;0,MIN(AF708/U708,0.99),0))</f>
        <v/>
      </c>
      <c r="AP708" s="43">
        <f>IF(AG708=1,AI708*AF708,0)</f>
        <v/>
      </c>
      <c r="AQ708" s="43">
        <f>N708*(F708+G708)/H708</f>
        <v/>
      </c>
      <c r="AR708" s="43">
        <f>O708*AQ708</f>
        <v/>
      </c>
      <c r="AS708" s="52">
        <f>IF(AG708=1,IF(AQ708&gt;0,AF708/AQ708,1),IFERROR(INDEX(Types!$K:$K,MATCH($A708&amp;"|"&amp;$D708,Types!$A:$A,0)),INDEX(Dashboard!$X$6:$X$22,MATCH($A708,Dashboard!$A$6:$A$22,0))))</f>
        <v/>
      </c>
      <c r="AT708" s="43">
        <f>AQ708*INDEX(Dashboard!$Y$6:$Y$22,MATCH($A708,Dashboard!$A$6:$A$22,0))</f>
        <v/>
      </c>
      <c r="AU708" s="53">
        <f>IF(AND(AG708=1,AT708&gt;0,AF708&gt;0),100*AF708/AT708,"")</f>
        <v/>
      </c>
      <c r="AV708" s="44">
        <f>IF(AU708="","",T708/(AU708/100))</f>
        <v/>
      </c>
      <c r="AW708" s="53">
        <f>IF(AU708="","",IF(AND(ABS(AH708)&gt;=0.1,ABS(T708)&gt;=0.05,SIGN(AH708)=SIGN(T708)),100*T708/AH708,""))</f>
        <v/>
      </c>
      <c r="AX708" s="45">
        <f>IF(AU708="","",T708-AV708)</f>
        <v/>
      </c>
      <c r="AY708" s="45">
        <f>IF(AU708="","",AH708-AV708)</f>
        <v/>
      </c>
      <c r="AZ708" s="54">
        <f>(AL708-AM708)-T708*AT708</f>
        <v/>
      </c>
      <c r="BA708" s="43">
        <f>IF(AU708="",0,(AH708-T708)*AF708)</f>
        <v/>
      </c>
      <c r="BB708" s="43">
        <f>IF(AU708="",0,T708*(AF708-AT708))</f>
        <v/>
      </c>
      <c r="BC708" s="51" t="n">
        <v>0.1893172372514142</v>
      </c>
      <c r="BD708" s="51" t="n">
        <v>0.101921244973487</v>
      </c>
      <c r="BE708" s="51" t="n">
        <v>0.2596811075485298</v>
      </c>
      <c r="BF708" s="43" t="n">
        <v>237242</v>
      </c>
    </row>
    <row r="709">
      <c r="A709" s="42" t="inlineStr">
        <is>
          <t>NC</t>
        </is>
      </c>
      <c r="B709" s="42" t="inlineStr">
        <is>
          <t>37073</t>
        </is>
      </c>
      <c r="C709" s="42" t="inlineStr">
        <is>
          <t>Gates</t>
        </is>
      </c>
      <c r="D709" s="42" t="inlineStr">
        <is>
          <t>Small town &amp; rural</t>
        </is>
      </c>
      <c r="E709" s="42" t="inlineStr"/>
      <c r="F709" s="43" t="n">
        <v>2268</v>
      </c>
      <c r="G709" s="43" t="n">
        <v>3538</v>
      </c>
      <c r="H709" s="43" t="n">
        <v>5860</v>
      </c>
      <c r="I709" s="43" t="n">
        <v>2546</v>
      </c>
      <c r="J709" s="43" t="n">
        <v>3367</v>
      </c>
      <c r="K709" s="42" t="inlineStr">
        <is>
          <t>US Senate</t>
        </is>
      </c>
      <c r="L709" s="43" t="n">
        <v>1756</v>
      </c>
      <c r="M709" s="43" t="n">
        <v>2431</v>
      </c>
      <c r="N709" s="43" t="n">
        <v>4306</v>
      </c>
      <c r="O709" s="44">
        <f>IFERROR((F709-G709)/(F709+G709),"")</f>
        <v/>
      </c>
      <c r="P709" s="44">
        <f>IFERROR((I709-J709)/(I709+J709),"")</f>
        <v/>
      </c>
      <c r="Q709" s="45">
        <f>IFERROR(O709-P709,"")</f>
        <v/>
      </c>
      <c r="R709" s="44">
        <f>IFERROR((L709-M709)/(L709+M709),"")</f>
        <v/>
      </c>
      <c r="S709" s="46">
        <f>H709/SUMIFS(Counties!$H$2:$H$1583,Counties!$A$2:$A$1583,$A709)</f>
        <v/>
      </c>
      <c r="T709" s="44">
        <f>O709+INDEX(Dashboard!$F$6:$F$22,MATCH($A709,Dashboard!$A$6:$A$22,0))</f>
        <v/>
      </c>
      <c r="U709" s="43">
        <f>AQ709*INDEX(Dashboard!$G$6:$G$22,MATCH($A709,Dashboard!$A$6:$A$22,0))</f>
        <v/>
      </c>
      <c r="V709" s="47" t="n"/>
      <c r="W709" s="47" t="n"/>
      <c r="X709" s="47" t="n"/>
      <c r="Y709" s="48" t="n"/>
      <c r="Z709" s="49" t="n"/>
      <c r="AA709" s="49" t="n"/>
      <c r="AB709" s="49" t="n"/>
      <c r="AC709" s="50" t="n"/>
      <c r="AD709" s="43">
        <f>IF(Z709&lt;&gt;"",Z709,N(V709))</f>
        <v/>
      </c>
      <c r="AE709" s="43">
        <f>IF(AA709&lt;&gt;"",AA709,N(W709))</f>
        <v/>
      </c>
      <c r="AF709" s="43">
        <f>AD709+AE709</f>
        <v/>
      </c>
      <c r="AG709" s="42">
        <f>IF(UPPER(AC709)="Y",1,IF(AF709=0,0,IF(AND(Z709="",Y709&lt;&gt;""),IF(Y709&gt;=0.999,1,0),IF(AF709&gt;=U709,1,0))))</f>
        <v/>
      </c>
      <c r="AH709" s="44">
        <f>IF(AF709&gt;0,(AD709-AE709)/AF709,"")</f>
        <v/>
      </c>
      <c r="AI709" s="45">
        <f>IF(AG709=1,AH709-O709,"")</f>
        <v/>
      </c>
      <c r="AJ709" s="44">
        <f>IF(AG709=1,AH709,MAX(-1,MIN(1,O709+INDEX(Types!$H:$H,MATCH($A709&amp;"|"&amp;$D709,Types!$A:$A,0)))))</f>
        <v/>
      </c>
      <c r="AK709" s="43">
        <f>IF(AG709=1,AF709,MAX(AQ709*AS709,AF709))</f>
        <v/>
      </c>
      <c r="AL709" s="43">
        <f>IF(AG709=1,AD709,AK709*(1+AJ709)/2)</f>
        <v/>
      </c>
      <c r="AM709" s="43">
        <f>IF(AG709=1,AE709,AK709*(1-AJ709)/2)</f>
        <v/>
      </c>
      <c r="AN709" s="45">
        <f>IF(AH709="","",AH709-T709)</f>
        <v/>
      </c>
      <c r="AO709" s="51">
        <f>IF(AG709=1,1,IF(U709&gt;0,MIN(AF709/U709,0.99),0))</f>
        <v/>
      </c>
      <c r="AP709" s="43">
        <f>IF(AG709=1,AI709*AF709,0)</f>
        <v/>
      </c>
      <c r="AQ709" s="43">
        <f>N709*(F709+G709)/H709</f>
        <v/>
      </c>
      <c r="AR709" s="43">
        <f>O709*AQ709</f>
        <v/>
      </c>
      <c r="AS709" s="52">
        <f>IF(AG709=1,IF(AQ709&gt;0,AF709/AQ709,1),IFERROR(INDEX(Types!$K:$K,MATCH($A709&amp;"|"&amp;$D709,Types!$A:$A,0)),INDEX(Dashboard!$X$6:$X$22,MATCH($A709,Dashboard!$A$6:$A$22,0))))</f>
        <v/>
      </c>
      <c r="AT709" s="43">
        <f>AQ709*INDEX(Dashboard!$Y$6:$Y$22,MATCH($A709,Dashboard!$A$6:$A$22,0))</f>
        <v/>
      </c>
      <c r="AU709" s="53">
        <f>IF(AND(AG709=1,AT709&gt;0,AF709&gt;0),100*AF709/AT709,"")</f>
        <v/>
      </c>
      <c r="AV709" s="44">
        <f>IF(AU709="","",T709/(AU709/100))</f>
        <v/>
      </c>
      <c r="AW709" s="53">
        <f>IF(AU709="","",IF(AND(ABS(AH709)&gt;=0.1,ABS(T709)&gt;=0.05,SIGN(AH709)=SIGN(T709)),100*T709/AH709,""))</f>
        <v/>
      </c>
      <c r="AX709" s="45">
        <f>IF(AU709="","",T709-AV709)</f>
        <v/>
      </c>
      <c r="AY709" s="45">
        <f>IF(AU709="","",AH709-AV709)</f>
        <v/>
      </c>
      <c r="AZ709" s="54">
        <f>(AL709-AM709)-T709*AT709</f>
        <v/>
      </c>
      <c r="BA709" s="43">
        <f>IF(AU709="",0,(AH709-T709)*AF709)</f>
        <v/>
      </c>
      <c r="BB709" s="43">
        <f>IF(AU709="",0,T709*(AF709-AT709))</f>
        <v/>
      </c>
      <c r="BC709" s="51" t="n">
        <v>0.2963356859711883</v>
      </c>
      <c r="BD709" s="51" t="n">
        <v>0.02107705694672726</v>
      </c>
      <c r="BE709" s="51" t="n">
        <v>0.1078898596769923</v>
      </c>
      <c r="BF709" s="43" t="n">
        <v>10343</v>
      </c>
    </row>
    <row r="710">
      <c r="A710" s="42" t="inlineStr">
        <is>
          <t>NC</t>
        </is>
      </c>
      <c r="B710" s="42" t="inlineStr">
        <is>
          <t>37075</t>
        </is>
      </c>
      <c r="C710" s="42" t="inlineStr">
        <is>
          <t>Graham</t>
        </is>
      </c>
      <c r="D710" s="42" t="inlineStr">
        <is>
          <t>Small town &amp; rural</t>
        </is>
      </c>
      <c r="E710" s="42" t="inlineStr"/>
      <c r="F710" s="43" t="n">
        <v>839</v>
      </c>
      <c r="G710" s="43" t="n">
        <v>3883</v>
      </c>
      <c r="H710" s="43" t="n">
        <v>4769</v>
      </c>
      <c r="I710" s="43" t="n">
        <v>905</v>
      </c>
      <c r="J710" s="43" t="n">
        <v>3710</v>
      </c>
      <c r="K710" s="42" t="inlineStr">
        <is>
          <t>US Senate</t>
        </is>
      </c>
      <c r="L710" s="43" t="n">
        <v>639</v>
      </c>
      <c r="M710" s="43" t="n">
        <v>2791</v>
      </c>
      <c r="N710" s="43" t="n">
        <v>3543</v>
      </c>
      <c r="O710" s="44">
        <f>IFERROR((F710-G710)/(F710+G710),"")</f>
        <v/>
      </c>
      <c r="P710" s="44">
        <f>IFERROR((I710-J710)/(I710+J710),"")</f>
        <v/>
      </c>
      <c r="Q710" s="45">
        <f>IFERROR(O710-P710,"")</f>
        <v/>
      </c>
      <c r="R710" s="44">
        <f>IFERROR((L710-M710)/(L710+M710),"")</f>
        <v/>
      </c>
      <c r="S710" s="46">
        <f>H710/SUMIFS(Counties!$H$2:$H$1583,Counties!$A$2:$A$1583,$A710)</f>
        <v/>
      </c>
      <c r="T710" s="44">
        <f>O710+INDEX(Dashboard!$F$6:$F$22,MATCH($A710,Dashboard!$A$6:$A$22,0))</f>
        <v/>
      </c>
      <c r="U710" s="43">
        <f>AQ710*INDEX(Dashboard!$G$6:$G$22,MATCH($A710,Dashboard!$A$6:$A$22,0))</f>
        <v/>
      </c>
      <c r="V710" s="47" t="n"/>
      <c r="W710" s="47" t="n"/>
      <c r="X710" s="47" t="n"/>
      <c r="Y710" s="48" t="n"/>
      <c r="Z710" s="49" t="n"/>
      <c r="AA710" s="49" t="n"/>
      <c r="AB710" s="49" t="n"/>
      <c r="AC710" s="50" t="n"/>
      <c r="AD710" s="43">
        <f>IF(Z710&lt;&gt;"",Z710,N(V710))</f>
        <v/>
      </c>
      <c r="AE710" s="43">
        <f>IF(AA710&lt;&gt;"",AA710,N(W710))</f>
        <v/>
      </c>
      <c r="AF710" s="43">
        <f>AD710+AE710</f>
        <v/>
      </c>
      <c r="AG710" s="42">
        <f>IF(UPPER(AC710)="Y",1,IF(AF710=0,0,IF(AND(Z710="",Y710&lt;&gt;""),IF(Y710&gt;=0.999,1,0),IF(AF710&gt;=U710,1,0))))</f>
        <v/>
      </c>
      <c r="AH710" s="44">
        <f>IF(AF710&gt;0,(AD710-AE710)/AF710,"")</f>
        <v/>
      </c>
      <c r="AI710" s="45">
        <f>IF(AG710=1,AH710-O710,"")</f>
        <v/>
      </c>
      <c r="AJ710" s="44">
        <f>IF(AG710=1,AH710,MAX(-1,MIN(1,O710+INDEX(Types!$H:$H,MATCH($A710&amp;"|"&amp;$D710,Types!$A:$A,0)))))</f>
        <v/>
      </c>
      <c r="AK710" s="43">
        <f>IF(AG710=1,AF710,MAX(AQ710*AS710,AF710))</f>
        <v/>
      </c>
      <c r="AL710" s="43">
        <f>IF(AG710=1,AD710,AK710*(1+AJ710)/2)</f>
        <v/>
      </c>
      <c r="AM710" s="43">
        <f>IF(AG710=1,AE710,AK710*(1-AJ710)/2)</f>
        <v/>
      </c>
      <c r="AN710" s="45">
        <f>IF(AH710="","",AH710-T710)</f>
        <v/>
      </c>
      <c r="AO710" s="51">
        <f>IF(AG710=1,1,IF(U710&gt;0,MIN(AF710/U710,0.99),0))</f>
        <v/>
      </c>
      <c r="AP710" s="43">
        <f>IF(AG710=1,AI710*AF710,0)</f>
        <v/>
      </c>
      <c r="AQ710" s="43">
        <f>N710*(F710+G710)/H710</f>
        <v/>
      </c>
      <c r="AR710" s="43">
        <f>O710*AQ710</f>
        <v/>
      </c>
      <c r="AS710" s="52">
        <f>IF(AG710=1,IF(AQ710&gt;0,AF710/AQ710,1),IFERROR(INDEX(Types!$K:$K,MATCH($A710&amp;"|"&amp;$D710,Types!$A:$A,0)),INDEX(Dashboard!$X$6:$X$22,MATCH($A710,Dashboard!$A$6:$A$22,0))))</f>
        <v/>
      </c>
      <c r="AT710" s="43">
        <f>AQ710*INDEX(Dashboard!$Y$6:$Y$22,MATCH($A710,Dashboard!$A$6:$A$22,0))</f>
        <v/>
      </c>
      <c r="AU710" s="53">
        <f>IF(AND(AG710=1,AT710&gt;0,AF710&gt;0),100*AF710/AT710,"")</f>
        <v/>
      </c>
      <c r="AV710" s="44">
        <f>IF(AU710="","",T710/(AU710/100))</f>
        <v/>
      </c>
      <c r="AW710" s="53">
        <f>IF(AU710="","",IF(AND(ABS(AH710)&gt;=0.1,ABS(T710)&gt;=0.05,SIGN(AH710)=SIGN(T710)),100*T710/AH710,""))</f>
        <v/>
      </c>
      <c r="AX710" s="45">
        <f>IF(AU710="","",T710-AV710)</f>
        <v/>
      </c>
      <c r="AY710" s="45">
        <f>IF(AU710="","",AH710-AV710)</f>
        <v/>
      </c>
      <c r="AZ710" s="54">
        <f>(AL710-AM710)-T710*AT710</f>
        <v/>
      </c>
      <c r="BA710" s="43">
        <f>IF(AU710="",0,(AH710-T710)*AF710)</f>
        <v/>
      </c>
      <c r="BB710" s="43">
        <f>IF(AU710="",0,T710*(AF710-AT710))</f>
        <v/>
      </c>
      <c r="BC710" s="51" t="n">
        <v>0.01626924987580725</v>
      </c>
      <c r="BD710" s="51" t="n">
        <v>0.03241430700447094</v>
      </c>
      <c r="BE710" s="51" t="n">
        <v>0.1675030282055719</v>
      </c>
      <c r="BF710" s="43" t="n">
        <v>8052</v>
      </c>
    </row>
    <row r="711">
      <c r="A711" s="42" t="inlineStr">
        <is>
          <t>NC</t>
        </is>
      </c>
      <c r="B711" s="42" t="inlineStr">
        <is>
          <t>37077</t>
        </is>
      </c>
      <c r="C711" s="42" t="inlineStr">
        <is>
          <t>Granville</t>
        </is>
      </c>
      <c r="D711" s="42" t="inlineStr">
        <is>
          <t>Small town &amp; rural</t>
        </is>
      </c>
      <c r="E711" s="42" t="inlineStr"/>
      <c r="F711" s="43" t="n">
        <v>14365</v>
      </c>
      <c r="G711" s="43" t="n">
        <v>17383</v>
      </c>
      <c r="H711" s="43" t="n">
        <v>32044</v>
      </c>
      <c r="I711" s="43" t="n">
        <v>14565</v>
      </c>
      <c r="J711" s="43" t="n">
        <v>16647</v>
      </c>
      <c r="K711" s="42" t="inlineStr">
        <is>
          <t>US Senate</t>
        </is>
      </c>
      <c r="L711" s="43" t="n">
        <v>9950</v>
      </c>
      <c r="M711" s="43" t="n">
        <v>11770</v>
      </c>
      <c r="N711" s="43" t="n">
        <v>22241</v>
      </c>
      <c r="O711" s="44">
        <f>IFERROR((F711-G711)/(F711+G711),"")</f>
        <v/>
      </c>
      <c r="P711" s="44">
        <f>IFERROR((I711-J711)/(I711+J711),"")</f>
        <v/>
      </c>
      <c r="Q711" s="45">
        <f>IFERROR(O711-P711,"")</f>
        <v/>
      </c>
      <c r="R711" s="44">
        <f>IFERROR((L711-M711)/(L711+M711),"")</f>
        <v/>
      </c>
      <c r="S711" s="46">
        <f>H711/SUMIFS(Counties!$H$2:$H$1583,Counties!$A$2:$A$1583,$A711)</f>
        <v/>
      </c>
      <c r="T711" s="44">
        <f>O711+INDEX(Dashboard!$F$6:$F$22,MATCH($A711,Dashboard!$A$6:$A$22,0))</f>
        <v/>
      </c>
      <c r="U711" s="43">
        <f>AQ711*INDEX(Dashboard!$G$6:$G$22,MATCH($A711,Dashboard!$A$6:$A$22,0))</f>
        <v/>
      </c>
      <c r="V711" s="47" t="n"/>
      <c r="W711" s="47" t="n"/>
      <c r="X711" s="47" t="n"/>
      <c r="Y711" s="48" t="n"/>
      <c r="Z711" s="49" t="n"/>
      <c r="AA711" s="49" t="n"/>
      <c r="AB711" s="49" t="n"/>
      <c r="AC711" s="50" t="n"/>
      <c r="AD711" s="43">
        <f>IF(Z711&lt;&gt;"",Z711,N(V711))</f>
        <v/>
      </c>
      <c r="AE711" s="43">
        <f>IF(AA711&lt;&gt;"",AA711,N(W711))</f>
        <v/>
      </c>
      <c r="AF711" s="43">
        <f>AD711+AE711</f>
        <v/>
      </c>
      <c r="AG711" s="42">
        <f>IF(UPPER(AC711)="Y",1,IF(AF711=0,0,IF(AND(Z711="",Y711&lt;&gt;""),IF(Y711&gt;=0.999,1,0),IF(AF711&gt;=U711,1,0))))</f>
        <v/>
      </c>
      <c r="AH711" s="44">
        <f>IF(AF711&gt;0,(AD711-AE711)/AF711,"")</f>
        <v/>
      </c>
      <c r="AI711" s="45">
        <f>IF(AG711=1,AH711-O711,"")</f>
        <v/>
      </c>
      <c r="AJ711" s="44">
        <f>IF(AG711=1,AH711,MAX(-1,MIN(1,O711+INDEX(Types!$H:$H,MATCH($A711&amp;"|"&amp;$D711,Types!$A:$A,0)))))</f>
        <v/>
      </c>
      <c r="AK711" s="43">
        <f>IF(AG711=1,AF711,MAX(AQ711*AS711,AF711))</f>
        <v/>
      </c>
      <c r="AL711" s="43">
        <f>IF(AG711=1,AD711,AK711*(1+AJ711)/2)</f>
        <v/>
      </c>
      <c r="AM711" s="43">
        <f>IF(AG711=1,AE711,AK711*(1-AJ711)/2)</f>
        <v/>
      </c>
      <c r="AN711" s="45">
        <f>IF(AH711="","",AH711-T711)</f>
        <v/>
      </c>
      <c r="AO711" s="51">
        <f>IF(AG711=1,1,IF(U711&gt;0,MIN(AF711/U711,0.99),0))</f>
        <v/>
      </c>
      <c r="AP711" s="43">
        <f>IF(AG711=1,AI711*AF711,0)</f>
        <v/>
      </c>
      <c r="AQ711" s="43">
        <f>N711*(F711+G711)/H711</f>
        <v/>
      </c>
      <c r="AR711" s="43">
        <f>O711*AQ711</f>
        <v/>
      </c>
      <c r="AS711" s="52">
        <f>IF(AG711=1,IF(AQ711&gt;0,AF711/AQ711,1),IFERROR(INDEX(Types!$K:$K,MATCH($A711&amp;"|"&amp;$D711,Types!$A:$A,0)),INDEX(Dashboard!$X$6:$X$22,MATCH($A711,Dashboard!$A$6:$A$22,0))))</f>
        <v/>
      </c>
      <c r="AT711" s="43">
        <f>AQ711*INDEX(Dashboard!$Y$6:$Y$22,MATCH($A711,Dashboard!$A$6:$A$22,0))</f>
        <v/>
      </c>
      <c r="AU711" s="53">
        <f>IF(AND(AG711=1,AT711&gt;0,AF711&gt;0),100*AF711/AT711,"")</f>
        <v/>
      </c>
      <c r="AV711" s="44">
        <f>IF(AU711="","",T711/(AU711/100))</f>
        <v/>
      </c>
      <c r="AW711" s="53">
        <f>IF(AU711="","",IF(AND(ABS(AH711)&gt;=0.1,ABS(T711)&gt;=0.05,SIGN(AH711)=SIGN(T711)),100*T711/AH711,""))</f>
        <v/>
      </c>
      <c r="AX711" s="45">
        <f>IF(AU711="","",T711-AV711)</f>
        <v/>
      </c>
      <c r="AY711" s="45">
        <f>IF(AU711="","",AH711-AV711)</f>
        <v/>
      </c>
      <c r="AZ711" s="54">
        <f>(AL711-AM711)-T711*AT711</f>
        <v/>
      </c>
      <c r="BA711" s="43">
        <f>IF(AU711="",0,(AH711-T711)*AF711)</f>
        <v/>
      </c>
      <c r="BB711" s="43">
        <f>IF(AU711="",0,T711*(AF711-AT711))</f>
        <v/>
      </c>
      <c r="BC711" s="51" t="n">
        <v>0.2980769230769231</v>
      </c>
      <c r="BD711" s="51" t="n">
        <v>0.1144841780293285</v>
      </c>
      <c r="BE711" s="51" t="n">
        <v>0.2403470715835141</v>
      </c>
      <c r="BF711" s="43" t="n">
        <v>62192</v>
      </c>
    </row>
    <row r="712">
      <c r="A712" s="42" t="inlineStr">
        <is>
          <t>NC</t>
        </is>
      </c>
      <c r="B712" s="42" t="inlineStr">
        <is>
          <t>37079</t>
        </is>
      </c>
      <c r="C712" s="42" t="inlineStr">
        <is>
          <t>Greene</t>
        </is>
      </c>
      <c r="D712" s="42" t="inlineStr">
        <is>
          <t>Small town &amp; rural</t>
        </is>
      </c>
      <c r="E712" s="42" t="inlineStr"/>
      <c r="F712" s="43" t="n">
        <v>3437</v>
      </c>
      <c r="G712" s="43" t="n">
        <v>4965</v>
      </c>
      <c r="H712" s="43" t="n">
        <v>8442</v>
      </c>
      <c r="I712" s="43" t="n">
        <v>3832</v>
      </c>
      <c r="J712" s="43" t="n">
        <v>4874</v>
      </c>
      <c r="K712" s="42" t="inlineStr">
        <is>
          <t>US Senate</t>
        </is>
      </c>
      <c r="L712" s="43" t="n">
        <v>2410</v>
      </c>
      <c r="M712" s="43" t="n">
        <v>3518</v>
      </c>
      <c r="N712" s="43" t="n">
        <v>6045</v>
      </c>
      <c r="O712" s="44">
        <f>IFERROR((F712-G712)/(F712+G712),"")</f>
        <v/>
      </c>
      <c r="P712" s="44">
        <f>IFERROR((I712-J712)/(I712+J712),"")</f>
        <v/>
      </c>
      <c r="Q712" s="45">
        <f>IFERROR(O712-P712,"")</f>
        <v/>
      </c>
      <c r="R712" s="44">
        <f>IFERROR((L712-M712)/(L712+M712),"")</f>
        <v/>
      </c>
      <c r="S712" s="46">
        <f>H712/SUMIFS(Counties!$H$2:$H$1583,Counties!$A$2:$A$1583,$A712)</f>
        <v/>
      </c>
      <c r="T712" s="44">
        <f>O712+INDEX(Dashboard!$F$6:$F$22,MATCH($A712,Dashboard!$A$6:$A$22,0))</f>
        <v/>
      </c>
      <c r="U712" s="43">
        <f>AQ712*INDEX(Dashboard!$G$6:$G$22,MATCH($A712,Dashboard!$A$6:$A$22,0))</f>
        <v/>
      </c>
      <c r="V712" s="47" t="n"/>
      <c r="W712" s="47" t="n"/>
      <c r="X712" s="47" t="n"/>
      <c r="Y712" s="48" t="n"/>
      <c r="Z712" s="49" t="n"/>
      <c r="AA712" s="49" t="n"/>
      <c r="AB712" s="49" t="n"/>
      <c r="AC712" s="50" t="n"/>
      <c r="AD712" s="43">
        <f>IF(Z712&lt;&gt;"",Z712,N(V712))</f>
        <v/>
      </c>
      <c r="AE712" s="43">
        <f>IF(AA712&lt;&gt;"",AA712,N(W712))</f>
        <v/>
      </c>
      <c r="AF712" s="43">
        <f>AD712+AE712</f>
        <v/>
      </c>
      <c r="AG712" s="42">
        <f>IF(UPPER(AC712)="Y",1,IF(AF712=0,0,IF(AND(Z712="",Y712&lt;&gt;""),IF(Y712&gt;=0.999,1,0),IF(AF712&gt;=U712,1,0))))</f>
        <v/>
      </c>
      <c r="AH712" s="44">
        <f>IF(AF712&gt;0,(AD712-AE712)/AF712,"")</f>
        <v/>
      </c>
      <c r="AI712" s="45">
        <f>IF(AG712=1,AH712-O712,"")</f>
        <v/>
      </c>
      <c r="AJ712" s="44">
        <f>IF(AG712=1,AH712,MAX(-1,MIN(1,O712+INDEX(Types!$H:$H,MATCH($A712&amp;"|"&amp;$D712,Types!$A:$A,0)))))</f>
        <v/>
      </c>
      <c r="AK712" s="43">
        <f>IF(AG712=1,AF712,MAX(AQ712*AS712,AF712))</f>
        <v/>
      </c>
      <c r="AL712" s="43">
        <f>IF(AG712=1,AD712,AK712*(1+AJ712)/2)</f>
        <v/>
      </c>
      <c r="AM712" s="43">
        <f>IF(AG712=1,AE712,AK712*(1-AJ712)/2)</f>
        <v/>
      </c>
      <c r="AN712" s="45">
        <f>IF(AH712="","",AH712-T712)</f>
        <v/>
      </c>
      <c r="AO712" s="51">
        <f>IF(AG712=1,1,IF(U712&gt;0,MIN(AF712/U712,0.99),0))</f>
        <v/>
      </c>
      <c r="AP712" s="43">
        <f>IF(AG712=1,AI712*AF712,0)</f>
        <v/>
      </c>
      <c r="AQ712" s="43">
        <f>N712*(F712+G712)/H712</f>
        <v/>
      </c>
      <c r="AR712" s="43">
        <f>O712*AQ712</f>
        <v/>
      </c>
      <c r="AS712" s="52">
        <f>IF(AG712=1,IF(AQ712&gt;0,AF712/AQ712,1),IFERROR(INDEX(Types!$K:$K,MATCH($A712&amp;"|"&amp;$D712,Types!$A:$A,0)),INDEX(Dashboard!$X$6:$X$22,MATCH($A712,Dashboard!$A$6:$A$22,0))))</f>
        <v/>
      </c>
      <c r="AT712" s="43">
        <f>AQ712*INDEX(Dashboard!$Y$6:$Y$22,MATCH($A712,Dashboard!$A$6:$A$22,0))</f>
        <v/>
      </c>
      <c r="AU712" s="53">
        <f>IF(AND(AG712=1,AT712&gt;0,AF712&gt;0),100*AF712/AT712,"")</f>
        <v/>
      </c>
      <c r="AV712" s="44">
        <f>IF(AU712="","",T712/(AU712/100))</f>
        <v/>
      </c>
      <c r="AW712" s="53">
        <f>IF(AU712="","",IF(AND(ABS(AH712)&gt;=0.1,ABS(T712)&gt;=0.05,SIGN(AH712)=SIGN(T712)),100*T712/AH712,""))</f>
        <v/>
      </c>
      <c r="AX712" s="45">
        <f>IF(AU712="","",T712-AV712)</f>
        <v/>
      </c>
      <c r="AY712" s="45">
        <f>IF(AU712="","",AH712-AV712)</f>
        <v/>
      </c>
      <c r="AZ712" s="54">
        <f>(AL712-AM712)-T712*AT712</f>
        <v/>
      </c>
      <c r="BA712" s="43">
        <f>IF(AU712="",0,(AH712-T712)*AF712)</f>
        <v/>
      </c>
      <c r="BB712" s="43">
        <f>IF(AU712="",0,T712*(AF712-AT712))</f>
        <v/>
      </c>
      <c r="BC712" s="51" t="n">
        <v>0.3617145640526059</v>
      </c>
      <c r="BD712" s="51" t="n">
        <v>0.1593278129566488</v>
      </c>
      <c r="BE712" s="51" t="n">
        <v>0.1222092464106615</v>
      </c>
      <c r="BF712" s="43" t="n">
        <v>20530</v>
      </c>
    </row>
    <row r="713">
      <c r="A713" s="42" t="inlineStr">
        <is>
          <t>NC</t>
        </is>
      </c>
      <c r="B713" s="42" t="inlineStr">
        <is>
          <t>37081</t>
        </is>
      </c>
      <c r="C713" s="42" t="inlineStr">
        <is>
          <t>Guilford</t>
        </is>
      </c>
      <c r="D713" s="42" t="inlineStr">
        <is>
          <t>Mid-size/working metro</t>
        </is>
      </c>
      <c r="E713" s="42" t="inlineStr">
        <is>
          <t>★</t>
        </is>
      </c>
      <c r="F713" s="43" t="n">
        <v>171118</v>
      </c>
      <c r="G713" s="43" t="n">
        <v>109077</v>
      </c>
      <c r="H713" s="43" t="n">
        <v>284114</v>
      </c>
      <c r="I713" s="43" t="n">
        <v>173086</v>
      </c>
      <c r="J713" s="43" t="n">
        <v>107294</v>
      </c>
      <c r="K713" s="42" t="inlineStr">
        <is>
          <t>US Senate</t>
        </is>
      </c>
      <c r="L713" s="43" t="n">
        <v>108688</v>
      </c>
      <c r="M713" s="43" t="n">
        <v>74544</v>
      </c>
      <c r="N713" s="43" t="n">
        <v>187236</v>
      </c>
      <c r="O713" s="44">
        <f>IFERROR((F713-G713)/(F713+G713),"")</f>
        <v/>
      </c>
      <c r="P713" s="44">
        <f>IFERROR((I713-J713)/(I713+J713),"")</f>
        <v/>
      </c>
      <c r="Q713" s="45">
        <f>IFERROR(O713-P713,"")</f>
        <v/>
      </c>
      <c r="R713" s="44">
        <f>IFERROR((L713-M713)/(L713+M713),"")</f>
        <v/>
      </c>
      <c r="S713" s="46">
        <f>H713/SUMIFS(Counties!$H$2:$H$1583,Counties!$A$2:$A$1583,$A713)</f>
        <v/>
      </c>
      <c r="T713" s="44">
        <f>O713+INDEX(Dashboard!$F$6:$F$22,MATCH($A713,Dashboard!$A$6:$A$22,0))</f>
        <v/>
      </c>
      <c r="U713" s="43">
        <f>AQ713*INDEX(Dashboard!$G$6:$G$22,MATCH($A713,Dashboard!$A$6:$A$22,0))</f>
        <v/>
      </c>
      <c r="V713" s="47" t="n"/>
      <c r="W713" s="47" t="n"/>
      <c r="X713" s="47" t="n"/>
      <c r="Y713" s="48" t="n"/>
      <c r="Z713" s="49" t="n"/>
      <c r="AA713" s="49" t="n"/>
      <c r="AB713" s="49" t="n"/>
      <c r="AC713" s="50" t="n"/>
      <c r="AD713" s="43">
        <f>IF(Z713&lt;&gt;"",Z713,N(V713))</f>
        <v/>
      </c>
      <c r="AE713" s="43">
        <f>IF(AA713&lt;&gt;"",AA713,N(W713))</f>
        <v/>
      </c>
      <c r="AF713" s="43">
        <f>AD713+AE713</f>
        <v/>
      </c>
      <c r="AG713" s="42">
        <f>IF(UPPER(AC713)="Y",1,IF(AF713=0,0,IF(AND(Z713="",Y713&lt;&gt;""),IF(Y713&gt;=0.999,1,0),IF(AF713&gt;=U713,1,0))))</f>
        <v/>
      </c>
      <c r="AH713" s="44">
        <f>IF(AF713&gt;0,(AD713-AE713)/AF713,"")</f>
        <v/>
      </c>
      <c r="AI713" s="45">
        <f>IF(AG713=1,AH713-O713,"")</f>
        <v/>
      </c>
      <c r="AJ713" s="44">
        <f>IF(AG713=1,AH713,MAX(-1,MIN(1,O713+INDEX(Types!$H:$H,MATCH($A713&amp;"|"&amp;$D713,Types!$A:$A,0)))))</f>
        <v/>
      </c>
      <c r="AK713" s="43">
        <f>IF(AG713=1,AF713,MAX(AQ713*AS713,AF713))</f>
        <v/>
      </c>
      <c r="AL713" s="43">
        <f>IF(AG713=1,AD713,AK713*(1+AJ713)/2)</f>
        <v/>
      </c>
      <c r="AM713" s="43">
        <f>IF(AG713=1,AE713,AK713*(1-AJ713)/2)</f>
        <v/>
      </c>
      <c r="AN713" s="45">
        <f>IF(AH713="","",AH713-T713)</f>
        <v/>
      </c>
      <c r="AO713" s="51">
        <f>IF(AG713=1,1,IF(U713&gt;0,MIN(AF713/U713,0.99),0))</f>
        <v/>
      </c>
      <c r="AP713" s="43">
        <f>IF(AG713=1,AI713*AF713,0)</f>
        <v/>
      </c>
      <c r="AQ713" s="43">
        <f>N713*(F713+G713)/H713</f>
        <v/>
      </c>
      <c r="AR713" s="43">
        <f>O713*AQ713</f>
        <v/>
      </c>
      <c r="AS713" s="52">
        <f>IF(AG713=1,IF(AQ713&gt;0,AF713/AQ713,1),IFERROR(INDEX(Types!$K:$K,MATCH($A713&amp;"|"&amp;$D713,Types!$A:$A,0)),INDEX(Dashboard!$X$6:$X$22,MATCH($A713,Dashboard!$A$6:$A$22,0))))</f>
        <v/>
      </c>
      <c r="AT713" s="43">
        <f>AQ713*INDEX(Dashboard!$Y$6:$Y$22,MATCH($A713,Dashboard!$A$6:$A$22,0))</f>
        <v/>
      </c>
      <c r="AU713" s="53">
        <f>IF(AND(AG713=1,AT713&gt;0,AF713&gt;0),100*AF713/AT713,"")</f>
        <v/>
      </c>
      <c r="AV713" s="44">
        <f>IF(AU713="","",T713/(AU713/100))</f>
        <v/>
      </c>
      <c r="AW713" s="53">
        <f>IF(AU713="","",IF(AND(ABS(AH713)&gt;=0.1,ABS(T713)&gt;=0.05,SIGN(AH713)=SIGN(T713)),100*T713/AH713,""))</f>
        <v/>
      </c>
      <c r="AX713" s="45">
        <f>IF(AU713="","",T713-AV713)</f>
        <v/>
      </c>
      <c r="AY713" s="45">
        <f>IF(AU713="","",AH713-AV713)</f>
        <v/>
      </c>
      <c r="AZ713" s="54">
        <f>(AL713-AM713)-T713*AT713</f>
        <v/>
      </c>
      <c r="BA713" s="43">
        <f>IF(AU713="",0,(AH713-T713)*AF713)</f>
        <v/>
      </c>
      <c r="BB713" s="43">
        <f>IF(AU713="",0,T713*(AF713-AT713))</f>
        <v/>
      </c>
      <c r="BC713" s="51" t="n">
        <v>0.3500107298869179</v>
      </c>
      <c r="BD713" s="51" t="n">
        <v>0.1019830285924207</v>
      </c>
      <c r="BE713" s="51" t="n">
        <v>0.3810167831272663</v>
      </c>
      <c r="BF713" s="43" t="n">
        <v>549866</v>
      </c>
    </row>
    <row r="714">
      <c r="A714" s="42" t="inlineStr">
        <is>
          <t>NC</t>
        </is>
      </c>
      <c r="B714" s="42" t="inlineStr">
        <is>
          <t>37083</t>
        </is>
      </c>
      <c r="C714" s="42" t="inlineStr">
        <is>
          <t>Halifax</t>
        </is>
      </c>
      <c r="D714" s="42" t="inlineStr">
        <is>
          <t>Black Belt</t>
        </is>
      </c>
      <c r="E714" s="42" t="inlineStr"/>
      <c r="F714" s="43" t="n">
        <v>14014</v>
      </c>
      <c r="G714" s="43" t="n">
        <v>9778</v>
      </c>
      <c r="H714" s="43" t="n">
        <v>23938</v>
      </c>
      <c r="I714" s="43" t="n">
        <v>15545</v>
      </c>
      <c r="J714" s="43" t="n">
        <v>10080</v>
      </c>
      <c r="K714" s="42" t="inlineStr">
        <is>
          <t>US Senate</t>
        </is>
      </c>
      <c r="L714" s="43" t="n">
        <v>8884</v>
      </c>
      <c r="M714" s="43" t="n">
        <v>6631</v>
      </c>
      <c r="N714" s="43" t="n">
        <v>15715</v>
      </c>
      <c r="O714" s="44">
        <f>IFERROR((F714-G714)/(F714+G714),"")</f>
        <v/>
      </c>
      <c r="P714" s="44">
        <f>IFERROR((I714-J714)/(I714+J714),"")</f>
        <v/>
      </c>
      <c r="Q714" s="45">
        <f>IFERROR(O714-P714,"")</f>
        <v/>
      </c>
      <c r="R714" s="44">
        <f>IFERROR((L714-M714)/(L714+M714),"")</f>
        <v/>
      </c>
      <c r="S714" s="46">
        <f>H714/SUMIFS(Counties!$H$2:$H$1583,Counties!$A$2:$A$1583,$A714)</f>
        <v/>
      </c>
      <c r="T714" s="44">
        <f>O714+INDEX(Dashboard!$F$6:$F$22,MATCH($A714,Dashboard!$A$6:$A$22,0))</f>
        <v/>
      </c>
      <c r="U714" s="43">
        <f>AQ714*INDEX(Dashboard!$G$6:$G$22,MATCH($A714,Dashboard!$A$6:$A$22,0))</f>
        <v/>
      </c>
      <c r="V714" s="47" t="n"/>
      <c r="W714" s="47" t="n"/>
      <c r="X714" s="47" t="n"/>
      <c r="Y714" s="48" t="n"/>
      <c r="Z714" s="49" t="n"/>
      <c r="AA714" s="49" t="n"/>
      <c r="AB714" s="49" t="n"/>
      <c r="AC714" s="50" t="n"/>
      <c r="AD714" s="43">
        <f>IF(Z714&lt;&gt;"",Z714,N(V714))</f>
        <v/>
      </c>
      <c r="AE714" s="43">
        <f>IF(AA714&lt;&gt;"",AA714,N(W714))</f>
        <v/>
      </c>
      <c r="AF714" s="43">
        <f>AD714+AE714</f>
        <v/>
      </c>
      <c r="AG714" s="42">
        <f>IF(UPPER(AC714)="Y",1,IF(AF714=0,0,IF(AND(Z714="",Y714&lt;&gt;""),IF(Y714&gt;=0.999,1,0),IF(AF714&gt;=U714,1,0))))</f>
        <v/>
      </c>
      <c r="AH714" s="44">
        <f>IF(AF714&gt;0,(AD714-AE714)/AF714,"")</f>
        <v/>
      </c>
      <c r="AI714" s="45">
        <f>IF(AG714=1,AH714-O714,"")</f>
        <v/>
      </c>
      <c r="AJ714" s="44">
        <f>IF(AG714=1,AH714,MAX(-1,MIN(1,O714+INDEX(Types!$H:$H,MATCH($A714&amp;"|"&amp;$D714,Types!$A:$A,0)))))</f>
        <v/>
      </c>
      <c r="AK714" s="43">
        <f>IF(AG714=1,AF714,MAX(AQ714*AS714,AF714))</f>
        <v/>
      </c>
      <c r="AL714" s="43">
        <f>IF(AG714=1,AD714,AK714*(1+AJ714)/2)</f>
        <v/>
      </c>
      <c r="AM714" s="43">
        <f>IF(AG714=1,AE714,AK714*(1-AJ714)/2)</f>
        <v/>
      </c>
      <c r="AN714" s="45">
        <f>IF(AH714="","",AH714-T714)</f>
        <v/>
      </c>
      <c r="AO714" s="51">
        <f>IF(AG714=1,1,IF(U714&gt;0,MIN(AF714/U714,0.99),0))</f>
        <v/>
      </c>
      <c r="AP714" s="43">
        <f>IF(AG714=1,AI714*AF714,0)</f>
        <v/>
      </c>
      <c r="AQ714" s="43">
        <f>N714*(F714+G714)/H714</f>
        <v/>
      </c>
      <c r="AR714" s="43">
        <f>O714*AQ714</f>
        <v/>
      </c>
      <c r="AS714" s="52">
        <f>IF(AG714=1,IF(AQ714&gt;0,AF714/AQ714,1),IFERROR(INDEX(Types!$K:$K,MATCH($A714&amp;"|"&amp;$D714,Types!$A:$A,0)),INDEX(Dashboard!$X$6:$X$22,MATCH($A714,Dashboard!$A$6:$A$22,0))))</f>
        <v/>
      </c>
      <c r="AT714" s="43">
        <f>AQ714*INDEX(Dashboard!$Y$6:$Y$22,MATCH($A714,Dashboard!$A$6:$A$22,0))</f>
        <v/>
      </c>
      <c r="AU714" s="53">
        <f>IF(AND(AG714=1,AT714&gt;0,AF714&gt;0),100*AF714/AT714,"")</f>
        <v/>
      </c>
      <c r="AV714" s="44">
        <f>IF(AU714="","",T714/(AU714/100))</f>
        <v/>
      </c>
      <c r="AW714" s="53">
        <f>IF(AU714="","",IF(AND(ABS(AH714)&gt;=0.1,ABS(T714)&gt;=0.05,SIGN(AH714)=SIGN(T714)),100*T714/AH714,""))</f>
        <v/>
      </c>
      <c r="AX714" s="45">
        <f>IF(AU714="","",T714-AV714)</f>
        <v/>
      </c>
      <c r="AY714" s="45">
        <f>IF(AU714="","",AH714-AV714)</f>
        <v/>
      </c>
      <c r="AZ714" s="54">
        <f>(AL714-AM714)-T714*AT714</f>
        <v/>
      </c>
      <c r="BA714" s="43">
        <f>IF(AU714="",0,(AH714-T714)*AF714)</f>
        <v/>
      </c>
      <c r="BB714" s="43">
        <f>IF(AU714="",0,T714*(AF714-AT714))</f>
        <v/>
      </c>
      <c r="BC714" s="51" t="n">
        <v>0.5268087445557952</v>
      </c>
      <c r="BD714" s="51" t="n">
        <v>0.0355194722821261</v>
      </c>
      <c r="BE714" s="51" t="n">
        <v>0.1545731265400783</v>
      </c>
      <c r="BF714" s="43" t="n">
        <v>47298</v>
      </c>
    </row>
    <row r="715">
      <c r="A715" s="42" t="inlineStr">
        <is>
          <t>NC</t>
        </is>
      </c>
      <c r="B715" s="42" t="inlineStr">
        <is>
          <t>37085</t>
        </is>
      </c>
      <c r="C715" s="42" t="inlineStr">
        <is>
          <t>Harnett</t>
        </is>
      </c>
      <c r="D715" s="42" t="inlineStr">
        <is>
          <t>Mid-size/working metro</t>
        </is>
      </c>
      <c r="E715" s="42" t="inlineStr"/>
      <c r="F715" s="43" t="n">
        <v>23472</v>
      </c>
      <c r="G715" s="43" t="n">
        <v>39440</v>
      </c>
      <c r="H715" s="43" t="n">
        <v>63597</v>
      </c>
      <c r="I715" s="43" t="n">
        <v>22093</v>
      </c>
      <c r="J715" s="43" t="n">
        <v>35177</v>
      </c>
      <c r="K715" s="42" t="inlineStr">
        <is>
          <t>US Senate</t>
        </is>
      </c>
      <c r="L715" s="43" t="n">
        <v>13133</v>
      </c>
      <c r="M715" s="43" t="n">
        <v>22860</v>
      </c>
      <c r="N715" s="43" t="n">
        <v>36923</v>
      </c>
      <c r="O715" s="44">
        <f>IFERROR((F715-G715)/(F715+G715),"")</f>
        <v/>
      </c>
      <c r="P715" s="44">
        <f>IFERROR((I715-J715)/(I715+J715),"")</f>
        <v/>
      </c>
      <c r="Q715" s="45">
        <f>IFERROR(O715-P715,"")</f>
        <v/>
      </c>
      <c r="R715" s="44">
        <f>IFERROR((L715-M715)/(L715+M715),"")</f>
        <v/>
      </c>
      <c r="S715" s="46">
        <f>H715/SUMIFS(Counties!$H$2:$H$1583,Counties!$A$2:$A$1583,$A715)</f>
        <v/>
      </c>
      <c r="T715" s="44">
        <f>O715+INDEX(Dashboard!$F$6:$F$22,MATCH($A715,Dashboard!$A$6:$A$22,0))</f>
        <v/>
      </c>
      <c r="U715" s="43">
        <f>AQ715*INDEX(Dashboard!$G$6:$G$22,MATCH($A715,Dashboard!$A$6:$A$22,0))</f>
        <v/>
      </c>
      <c r="V715" s="47" t="n"/>
      <c r="W715" s="47" t="n"/>
      <c r="X715" s="47" t="n"/>
      <c r="Y715" s="48" t="n"/>
      <c r="Z715" s="49" t="n"/>
      <c r="AA715" s="49" t="n"/>
      <c r="AB715" s="49" t="n"/>
      <c r="AC715" s="50" t="n"/>
      <c r="AD715" s="43">
        <f>IF(Z715&lt;&gt;"",Z715,N(V715))</f>
        <v/>
      </c>
      <c r="AE715" s="43">
        <f>IF(AA715&lt;&gt;"",AA715,N(W715))</f>
        <v/>
      </c>
      <c r="AF715" s="43">
        <f>AD715+AE715</f>
        <v/>
      </c>
      <c r="AG715" s="42">
        <f>IF(UPPER(AC715)="Y",1,IF(AF715=0,0,IF(AND(Z715="",Y715&lt;&gt;""),IF(Y715&gt;=0.999,1,0),IF(AF715&gt;=U715,1,0))))</f>
        <v/>
      </c>
      <c r="AH715" s="44">
        <f>IF(AF715&gt;0,(AD715-AE715)/AF715,"")</f>
        <v/>
      </c>
      <c r="AI715" s="45">
        <f>IF(AG715=1,AH715-O715,"")</f>
        <v/>
      </c>
      <c r="AJ715" s="44">
        <f>IF(AG715=1,AH715,MAX(-1,MIN(1,O715+INDEX(Types!$H:$H,MATCH($A715&amp;"|"&amp;$D715,Types!$A:$A,0)))))</f>
        <v/>
      </c>
      <c r="AK715" s="43">
        <f>IF(AG715=1,AF715,MAX(AQ715*AS715,AF715))</f>
        <v/>
      </c>
      <c r="AL715" s="43">
        <f>IF(AG715=1,AD715,AK715*(1+AJ715)/2)</f>
        <v/>
      </c>
      <c r="AM715" s="43">
        <f>IF(AG715=1,AE715,AK715*(1-AJ715)/2)</f>
        <v/>
      </c>
      <c r="AN715" s="45">
        <f>IF(AH715="","",AH715-T715)</f>
        <v/>
      </c>
      <c r="AO715" s="51">
        <f>IF(AG715=1,1,IF(U715&gt;0,MIN(AF715/U715,0.99),0))</f>
        <v/>
      </c>
      <c r="AP715" s="43">
        <f>IF(AG715=1,AI715*AF715,0)</f>
        <v/>
      </c>
      <c r="AQ715" s="43">
        <f>N715*(F715+G715)/H715</f>
        <v/>
      </c>
      <c r="AR715" s="43">
        <f>O715*AQ715</f>
        <v/>
      </c>
      <c r="AS715" s="52">
        <f>IF(AG715=1,IF(AQ715&gt;0,AF715/AQ715,1),IFERROR(INDEX(Types!$K:$K,MATCH($A715&amp;"|"&amp;$D715,Types!$A:$A,0)),INDEX(Dashboard!$X$6:$X$22,MATCH($A715,Dashboard!$A$6:$A$22,0))))</f>
        <v/>
      </c>
      <c r="AT715" s="43">
        <f>AQ715*INDEX(Dashboard!$Y$6:$Y$22,MATCH($A715,Dashboard!$A$6:$A$22,0))</f>
        <v/>
      </c>
      <c r="AU715" s="53">
        <f>IF(AND(AG715=1,AT715&gt;0,AF715&gt;0),100*AF715/AT715,"")</f>
        <v/>
      </c>
      <c r="AV715" s="44">
        <f>IF(AU715="","",T715/(AU715/100))</f>
        <v/>
      </c>
      <c r="AW715" s="53">
        <f>IF(AU715="","",IF(AND(ABS(AH715)&gt;=0.1,ABS(T715)&gt;=0.05,SIGN(AH715)=SIGN(T715)),100*T715/AH715,""))</f>
        <v/>
      </c>
      <c r="AX715" s="45">
        <f>IF(AU715="","",T715-AV715)</f>
        <v/>
      </c>
      <c r="AY715" s="45">
        <f>IF(AU715="","",AH715-AV715)</f>
        <v/>
      </c>
      <c r="AZ715" s="54">
        <f>(AL715-AM715)-T715*AT715</f>
        <v/>
      </c>
      <c r="BA715" s="43">
        <f>IF(AU715="",0,(AH715-T715)*AF715)</f>
        <v/>
      </c>
      <c r="BB715" s="43">
        <f>IF(AU715="",0,T715*(AF715-AT715))</f>
        <v/>
      </c>
      <c r="BC715" s="51" t="n">
        <v>0.2062101967104194</v>
      </c>
      <c r="BD715" s="51" t="n">
        <v>0.1556224686698191</v>
      </c>
      <c r="BE715" s="51" t="n">
        <v>0.2392306752147198</v>
      </c>
      <c r="BF715" s="43" t="n">
        <v>141477</v>
      </c>
    </row>
    <row r="716">
      <c r="A716" s="42" t="inlineStr">
        <is>
          <t>NC</t>
        </is>
      </c>
      <c r="B716" s="42" t="inlineStr">
        <is>
          <t>37087</t>
        </is>
      </c>
      <c r="C716" s="42" t="inlineStr">
        <is>
          <t>Haywood</t>
        </is>
      </c>
      <c r="D716" s="42" t="inlineStr">
        <is>
          <t>Small town &amp; rural</t>
        </is>
      </c>
      <c r="E716" s="42" t="inlineStr"/>
      <c r="F716" s="43" t="n">
        <v>13913</v>
      </c>
      <c r="G716" s="43" t="n">
        <v>23393</v>
      </c>
      <c r="H716" s="43" t="n">
        <v>37724</v>
      </c>
      <c r="I716" s="43" t="n">
        <v>13144</v>
      </c>
      <c r="J716" s="43" t="n">
        <v>22834</v>
      </c>
      <c r="K716" s="42" t="inlineStr">
        <is>
          <t>US Senate</t>
        </is>
      </c>
      <c r="L716" s="43" t="n">
        <v>9972</v>
      </c>
      <c r="M716" s="43" t="n">
        <v>16078</v>
      </c>
      <c r="N716" s="43" t="n">
        <v>26768</v>
      </c>
      <c r="O716" s="44">
        <f>IFERROR((F716-G716)/(F716+G716),"")</f>
        <v/>
      </c>
      <c r="P716" s="44">
        <f>IFERROR((I716-J716)/(I716+J716),"")</f>
        <v/>
      </c>
      <c r="Q716" s="45">
        <f>IFERROR(O716-P716,"")</f>
        <v/>
      </c>
      <c r="R716" s="44">
        <f>IFERROR((L716-M716)/(L716+M716),"")</f>
        <v/>
      </c>
      <c r="S716" s="46">
        <f>H716/SUMIFS(Counties!$H$2:$H$1583,Counties!$A$2:$A$1583,$A716)</f>
        <v/>
      </c>
      <c r="T716" s="44">
        <f>O716+INDEX(Dashboard!$F$6:$F$22,MATCH($A716,Dashboard!$A$6:$A$22,0))</f>
        <v/>
      </c>
      <c r="U716" s="43">
        <f>AQ716*INDEX(Dashboard!$G$6:$G$22,MATCH($A716,Dashboard!$A$6:$A$22,0))</f>
        <v/>
      </c>
      <c r="V716" s="47" t="n"/>
      <c r="W716" s="47" t="n"/>
      <c r="X716" s="47" t="n"/>
      <c r="Y716" s="48" t="n"/>
      <c r="Z716" s="49" t="n"/>
      <c r="AA716" s="49" t="n"/>
      <c r="AB716" s="49" t="n"/>
      <c r="AC716" s="50" t="n"/>
      <c r="AD716" s="43">
        <f>IF(Z716&lt;&gt;"",Z716,N(V716))</f>
        <v/>
      </c>
      <c r="AE716" s="43">
        <f>IF(AA716&lt;&gt;"",AA716,N(W716))</f>
        <v/>
      </c>
      <c r="AF716" s="43">
        <f>AD716+AE716</f>
        <v/>
      </c>
      <c r="AG716" s="42">
        <f>IF(UPPER(AC716)="Y",1,IF(AF716=0,0,IF(AND(Z716="",Y716&lt;&gt;""),IF(Y716&gt;=0.999,1,0),IF(AF716&gt;=U716,1,0))))</f>
        <v/>
      </c>
      <c r="AH716" s="44">
        <f>IF(AF716&gt;0,(AD716-AE716)/AF716,"")</f>
        <v/>
      </c>
      <c r="AI716" s="45">
        <f>IF(AG716=1,AH716-O716,"")</f>
        <v/>
      </c>
      <c r="AJ716" s="44">
        <f>IF(AG716=1,AH716,MAX(-1,MIN(1,O716+INDEX(Types!$H:$H,MATCH($A716&amp;"|"&amp;$D716,Types!$A:$A,0)))))</f>
        <v/>
      </c>
      <c r="AK716" s="43">
        <f>IF(AG716=1,AF716,MAX(AQ716*AS716,AF716))</f>
        <v/>
      </c>
      <c r="AL716" s="43">
        <f>IF(AG716=1,AD716,AK716*(1+AJ716)/2)</f>
        <v/>
      </c>
      <c r="AM716" s="43">
        <f>IF(AG716=1,AE716,AK716*(1-AJ716)/2)</f>
        <v/>
      </c>
      <c r="AN716" s="45">
        <f>IF(AH716="","",AH716-T716)</f>
        <v/>
      </c>
      <c r="AO716" s="51">
        <f>IF(AG716=1,1,IF(U716&gt;0,MIN(AF716/U716,0.99),0))</f>
        <v/>
      </c>
      <c r="AP716" s="43">
        <f>IF(AG716=1,AI716*AF716,0)</f>
        <v/>
      </c>
      <c r="AQ716" s="43">
        <f>N716*(F716+G716)/H716</f>
        <v/>
      </c>
      <c r="AR716" s="43">
        <f>O716*AQ716</f>
        <v/>
      </c>
      <c r="AS716" s="52">
        <f>IF(AG716=1,IF(AQ716&gt;0,AF716/AQ716,1),IFERROR(INDEX(Types!$K:$K,MATCH($A716&amp;"|"&amp;$D716,Types!$A:$A,0)),INDEX(Dashboard!$X$6:$X$22,MATCH($A716,Dashboard!$A$6:$A$22,0))))</f>
        <v/>
      </c>
      <c r="AT716" s="43">
        <f>AQ716*INDEX(Dashboard!$Y$6:$Y$22,MATCH($A716,Dashboard!$A$6:$A$22,0))</f>
        <v/>
      </c>
      <c r="AU716" s="53">
        <f>IF(AND(AG716=1,AT716&gt;0,AF716&gt;0),100*AF716/AT716,"")</f>
        <v/>
      </c>
      <c r="AV716" s="44">
        <f>IF(AU716="","",T716/(AU716/100))</f>
        <v/>
      </c>
      <c r="AW716" s="53">
        <f>IF(AU716="","",IF(AND(ABS(AH716)&gt;=0.1,ABS(T716)&gt;=0.05,SIGN(AH716)=SIGN(T716)),100*T716/AH716,""))</f>
        <v/>
      </c>
      <c r="AX716" s="45">
        <f>IF(AU716="","",T716-AV716)</f>
        <v/>
      </c>
      <c r="AY716" s="45">
        <f>IF(AU716="","",AH716-AV716)</f>
        <v/>
      </c>
      <c r="AZ716" s="54">
        <f>(AL716-AM716)-T716*AT716</f>
        <v/>
      </c>
      <c r="BA716" s="43">
        <f>IF(AU716="",0,(AH716-T716)*AF716)</f>
        <v/>
      </c>
      <c r="BB716" s="43">
        <f>IF(AU716="",0,T716*(AF716-AT716))</f>
        <v/>
      </c>
      <c r="BC716" s="51" t="n">
        <v>0.01372103733583192</v>
      </c>
      <c r="BD716" s="51" t="n">
        <v>0.05067572932712922</v>
      </c>
      <c r="BE716" s="51" t="n">
        <v>0.2940180706320489</v>
      </c>
      <c r="BF716" s="43" t="n">
        <v>62969</v>
      </c>
    </row>
    <row r="717">
      <c r="A717" s="42" t="inlineStr">
        <is>
          <t>NC</t>
        </is>
      </c>
      <c r="B717" s="42" t="inlineStr">
        <is>
          <t>37089</t>
        </is>
      </c>
      <c r="C717" s="42" t="inlineStr">
        <is>
          <t>Henderson</t>
        </is>
      </c>
      <c r="D717" s="42" t="inlineStr">
        <is>
          <t>Mid-size/working metro</t>
        </is>
      </c>
      <c r="E717" s="42" t="inlineStr"/>
      <c r="F717" s="43" t="n">
        <v>29361</v>
      </c>
      <c r="G717" s="43" t="n">
        <v>39497</v>
      </c>
      <c r="H717" s="43" t="n">
        <v>69651</v>
      </c>
      <c r="I717" s="43" t="n">
        <v>27211</v>
      </c>
      <c r="J717" s="43" t="n">
        <v>40032</v>
      </c>
      <c r="K717" s="42" t="inlineStr">
        <is>
          <t>US Senate</t>
        </is>
      </c>
      <c r="L717" s="43" t="n">
        <v>20167</v>
      </c>
      <c r="M717" s="43" t="n">
        <v>29798</v>
      </c>
      <c r="N717" s="43" t="n">
        <v>51165</v>
      </c>
      <c r="O717" s="44">
        <f>IFERROR((F717-G717)/(F717+G717),"")</f>
        <v/>
      </c>
      <c r="P717" s="44">
        <f>IFERROR((I717-J717)/(I717+J717),"")</f>
        <v/>
      </c>
      <c r="Q717" s="45">
        <f>IFERROR(O717-P717,"")</f>
        <v/>
      </c>
      <c r="R717" s="44">
        <f>IFERROR((L717-M717)/(L717+M717),"")</f>
        <v/>
      </c>
      <c r="S717" s="46">
        <f>H717/SUMIFS(Counties!$H$2:$H$1583,Counties!$A$2:$A$1583,$A717)</f>
        <v/>
      </c>
      <c r="T717" s="44">
        <f>O717+INDEX(Dashboard!$F$6:$F$22,MATCH($A717,Dashboard!$A$6:$A$22,0))</f>
        <v/>
      </c>
      <c r="U717" s="43">
        <f>AQ717*INDEX(Dashboard!$G$6:$G$22,MATCH($A717,Dashboard!$A$6:$A$22,0))</f>
        <v/>
      </c>
      <c r="V717" s="47" t="n"/>
      <c r="W717" s="47" t="n"/>
      <c r="X717" s="47" t="n"/>
      <c r="Y717" s="48" t="n"/>
      <c r="Z717" s="49" t="n"/>
      <c r="AA717" s="49" t="n"/>
      <c r="AB717" s="49" t="n"/>
      <c r="AC717" s="50" t="n"/>
      <c r="AD717" s="43">
        <f>IF(Z717&lt;&gt;"",Z717,N(V717))</f>
        <v/>
      </c>
      <c r="AE717" s="43">
        <f>IF(AA717&lt;&gt;"",AA717,N(W717))</f>
        <v/>
      </c>
      <c r="AF717" s="43">
        <f>AD717+AE717</f>
        <v/>
      </c>
      <c r="AG717" s="42">
        <f>IF(UPPER(AC717)="Y",1,IF(AF717=0,0,IF(AND(Z717="",Y717&lt;&gt;""),IF(Y717&gt;=0.999,1,0),IF(AF717&gt;=U717,1,0))))</f>
        <v/>
      </c>
      <c r="AH717" s="44">
        <f>IF(AF717&gt;0,(AD717-AE717)/AF717,"")</f>
        <v/>
      </c>
      <c r="AI717" s="45">
        <f>IF(AG717=1,AH717-O717,"")</f>
        <v/>
      </c>
      <c r="AJ717" s="44">
        <f>IF(AG717=1,AH717,MAX(-1,MIN(1,O717+INDEX(Types!$H:$H,MATCH($A717&amp;"|"&amp;$D717,Types!$A:$A,0)))))</f>
        <v/>
      </c>
      <c r="AK717" s="43">
        <f>IF(AG717=1,AF717,MAX(AQ717*AS717,AF717))</f>
        <v/>
      </c>
      <c r="AL717" s="43">
        <f>IF(AG717=1,AD717,AK717*(1+AJ717)/2)</f>
        <v/>
      </c>
      <c r="AM717" s="43">
        <f>IF(AG717=1,AE717,AK717*(1-AJ717)/2)</f>
        <v/>
      </c>
      <c r="AN717" s="45">
        <f>IF(AH717="","",AH717-T717)</f>
        <v/>
      </c>
      <c r="AO717" s="51">
        <f>IF(AG717=1,1,IF(U717&gt;0,MIN(AF717/U717,0.99),0))</f>
        <v/>
      </c>
      <c r="AP717" s="43">
        <f>IF(AG717=1,AI717*AF717,0)</f>
        <v/>
      </c>
      <c r="AQ717" s="43">
        <f>N717*(F717+G717)/H717</f>
        <v/>
      </c>
      <c r="AR717" s="43">
        <f>O717*AQ717</f>
        <v/>
      </c>
      <c r="AS717" s="52">
        <f>IF(AG717=1,IF(AQ717&gt;0,AF717/AQ717,1),IFERROR(INDEX(Types!$K:$K,MATCH($A717&amp;"|"&amp;$D717,Types!$A:$A,0)),INDEX(Dashboard!$X$6:$X$22,MATCH($A717,Dashboard!$A$6:$A$22,0))))</f>
        <v/>
      </c>
      <c r="AT717" s="43">
        <f>AQ717*INDEX(Dashboard!$Y$6:$Y$22,MATCH($A717,Dashboard!$A$6:$A$22,0))</f>
        <v/>
      </c>
      <c r="AU717" s="53">
        <f>IF(AND(AG717=1,AT717&gt;0,AF717&gt;0),100*AF717/AT717,"")</f>
        <v/>
      </c>
      <c r="AV717" s="44">
        <f>IF(AU717="","",T717/(AU717/100))</f>
        <v/>
      </c>
      <c r="AW717" s="53">
        <f>IF(AU717="","",IF(AND(ABS(AH717)&gt;=0.1,ABS(T717)&gt;=0.05,SIGN(AH717)=SIGN(T717)),100*T717/AH717,""))</f>
        <v/>
      </c>
      <c r="AX717" s="45">
        <f>IF(AU717="","",T717-AV717)</f>
        <v/>
      </c>
      <c r="AY717" s="45">
        <f>IF(AU717="","",AH717-AV717)</f>
        <v/>
      </c>
      <c r="AZ717" s="54">
        <f>(AL717-AM717)-T717*AT717</f>
        <v/>
      </c>
      <c r="BA717" s="43">
        <f>IF(AU717="",0,(AH717-T717)*AF717)</f>
        <v/>
      </c>
      <c r="BB717" s="43">
        <f>IF(AU717="",0,T717*(AF717-AT717))</f>
        <v/>
      </c>
      <c r="BC717" s="51" t="n">
        <v>0.03014342028013084</v>
      </c>
      <c r="BD717" s="51" t="n">
        <v>0.1296737398305796</v>
      </c>
      <c r="BE717" s="51" t="n">
        <v>0.3506130276946962</v>
      </c>
      <c r="BF717" s="43" t="n">
        <v>119230</v>
      </c>
    </row>
    <row r="718">
      <c r="A718" s="42" t="inlineStr">
        <is>
          <t>NC</t>
        </is>
      </c>
      <c r="B718" s="42" t="inlineStr">
        <is>
          <t>37091</t>
        </is>
      </c>
      <c r="C718" s="42" t="inlineStr">
        <is>
          <t>Hertford</t>
        </is>
      </c>
      <c r="D718" s="42" t="inlineStr">
        <is>
          <t>Black Belt</t>
        </is>
      </c>
      <c r="E718" s="42" t="inlineStr"/>
      <c r="F718" s="43" t="n">
        <v>6191</v>
      </c>
      <c r="G718" s="43" t="n">
        <v>3561</v>
      </c>
      <c r="H718" s="43" t="n">
        <v>9819</v>
      </c>
      <c r="I718" s="43" t="n">
        <v>7097</v>
      </c>
      <c r="J718" s="43" t="n">
        <v>3479</v>
      </c>
      <c r="K718" s="42" t="inlineStr">
        <is>
          <t>US Senate</t>
        </is>
      </c>
      <c r="L718" s="43" t="n">
        <v>4096</v>
      </c>
      <c r="M718" s="43" t="n">
        <v>2400</v>
      </c>
      <c r="N718" s="43" t="n">
        <v>6601</v>
      </c>
      <c r="O718" s="44">
        <f>IFERROR((F718-G718)/(F718+G718),"")</f>
        <v/>
      </c>
      <c r="P718" s="44">
        <f>IFERROR((I718-J718)/(I718+J718),"")</f>
        <v/>
      </c>
      <c r="Q718" s="45">
        <f>IFERROR(O718-P718,"")</f>
        <v/>
      </c>
      <c r="R718" s="44">
        <f>IFERROR((L718-M718)/(L718+M718),"")</f>
        <v/>
      </c>
      <c r="S718" s="46">
        <f>H718/SUMIFS(Counties!$H$2:$H$1583,Counties!$A$2:$A$1583,$A718)</f>
        <v/>
      </c>
      <c r="T718" s="44">
        <f>O718+INDEX(Dashboard!$F$6:$F$22,MATCH($A718,Dashboard!$A$6:$A$22,0))</f>
        <v/>
      </c>
      <c r="U718" s="43">
        <f>AQ718*INDEX(Dashboard!$G$6:$G$22,MATCH($A718,Dashboard!$A$6:$A$22,0))</f>
        <v/>
      </c>
      <c r="V718" s="47" t="n"/>
      <c r="W718" s="47" t="n"/>
      <c r="X718" s="47" t="n"/>
      <c r="Y718" s="48" t="n"/>
      <c r="Z718" s="49" t="n"/>
      <c r="AA718" s="49" t="n"/>
      <c r="AB718" s="49" t="n"/>
      <c r="AC718" s="50" t="n"/>
      <c r="AD718" s="43">
        <f>IF(Z718&lt;&gt;"",Z718,N(V718))</f>
        <v/>
      </c>
      <c r="AE718" s="43">
        <f>IF(AA718&lt;&gt;"",AA718,N(W718))</f>
        <v/>
      </c>
      <c r="AF718" s="43">
        <f>AD718+AE718</f>
        <v/>
      </c>
      <c r="AG718" s="42">
        <f>IF(UPPER(AC718)="Y",1,IF(AF718=0,0,IF(AND(Z718="",Y718&lt;&gt;""),IF(Y718&gt;=0.999,1,0),IF(AF718&gt;=U718,1,0))))</f>
        <v/>
      </c>
      <c r="AH718" s="44">
        <f>IF(AF718&gt;0,(AD718-AE718)/AF718,"")</f>
        <v/>
      </c>
      <c r="AI718" s="45">
        <f>IF(AG718=1,AH718-O718,"")</f>
        <v/>
      </c>
      <c r="AJ718" s="44">
        <f>IF(AG718=1,AH718,MAX(-1,MIN(1,O718+INDEX(Types!$H:$H,MATCH($A718&amp;"|"&amp;$D718,Types!$A:$A,0)))))</f>
        <v/>
      </c>
      <c r="AK718" s="43">
        <f>IF(AG718=1,AF718,MAX(AQ718*AS718,AF718))</f>
        <v/>
      </c>
      <c r="AL718" s="43">
        <f>IF(AG718=1,AD718,AK718*(1+AJ718)/2)</f>
        <v/>
      </c>
      <c r="AM718" s="43">
        <f>IF(AG718=1,AE718,AK718*(1-AJ718)/2)</f>
        <v/>
      </c>
      <c r="AN718" s="45">
        <f>IF(AH718="","",AH718-T718)</f>
        <v/>
      </c>
      <c r="AO718" s="51">
        <f>IF(AG718=1,1,IF(U718&gt;0,MIN(AF718/U718,0.99),0))</f>
        <v/>
      </c>
      <c r="AP718" s="43">
        <f>IF(AG718=1,AI718*AF718,0)</f>
        <v/>
      </c>
      <c r="AQ718" s="43">
        <f>N718*(F718+G718)/H718</f>
        <v/>
      </c>
      <c r="AR718" s="43">
        <f>O718*AQ718</f>
        <v/>
      </c>
      <c r="AS718" s="52">
        <f>IF(AG718=1,IF(AQ718&gt;0,AF718/AQ718,1),IFERROR(INDEX(Types!$K:$K,MATCH($A718&amp;"|"&amp;$D718,Types!$A:$A,0)),INDEX(Dashboard!$X$6:$X$22,MATCH($A718,Dashboard!$A$6:$A$22,0))))</f>
        <v/>
      </c>
      <c r="AT718" s="43">
        <f>AQ718*INDEX(Dashboard!$Y$6:$Y$22,MATCH($A718,Dashboard!$A$6:$A$22,0))</f>
        <v/>
      </c>
      <c r="AU718" s="53">
        <f>IF(AND(AG718=1,AT718&gt;0,AF718&gt;0),100*AF718/AT718,"")</f>
        <v/>
      </c>
      <c r="AV718" s="44">
        <f>IF(AU718="","",T718/(AU718/100))</f>
        <v/>
      </c>
      <c r="AW718" s="53">
        <f>IF(AU718="","",IF(AND(ABS(AH718)&gt;=0.1,ABS(T718)&gt;=0.05,SIGN(AH718)=SIGN(T718)),100*T718/AH718,""))</f>
        <v/>
      </c>
      <c r="AX718" s="45">
        <f>IF(AU718="","",T718-AV718)</f>
        <v/>
      </c>
      <c r="AY718" s="45">
        <f>IF(AU718="","",AH718-AV718)</f>
        <v/>
      </c>
      <c r="AZ718" s="54">
        <f>(AL718-AM718)-T718*AT718</f>
        <v/>
      </c>
      <c r="BA718" s="43">
        <f>IF(AU718="",0,(AH718-T718)*AF718)</f>
        <v/>
      </c>
      <c r="BB718" s="43">
        <f>IF(AU718="",0,T718*(AF718-AT718))</f>
        <v/>
      </c>
      <c r="BC718" s="51" t="n">
        <v>0.5727651262016141</v>
      </c>
      <c r="BD718" s="51" t="n">
        <v>0.06209839099367707</v>
      </c>
      <c r="BE718" s="51" t="n">
        <v>0.1674614305750351</v>
      </c>
      <c r="BF718" s="43" t="n">
        <v>19453</v>
      </c>
    </row>
    <row r="719">
      <c r="A719" s="42" t="inlineStr">
        <is>
          <t>NC</t>
        </is>
      </c>
      <c r="B719" s="42" t="inlineStr">
        <is>
          <t>37093</t>
        </is>
      </c>
      <c r="C719" s="42" t="inlineStr">
        <is>
          <t>Hoke</t>
        </is>
      </c>
      <c r="D719" s="42" t="inlineStr">
        <is>
          <t>Small town &amp; rural</t>
        </is>
      </c>
      <c r="E719" s="42" t="inlineStr"/>
      <c r="F719" s="43" t="n">
        <v>11896</v>
      </c>
      <c r="G719" s="43" t="n">
        <v>10547</v>
      </c>
      <c r="H719" s="43" t="n">
        <v>22724</v>
      </c>
      <c r="I719" s="43" t="n">
        <v>11804</v>
      </c>
      <c r="J719" s="43" t="n">
        <v>9453</v>
      </c>
      <c r="K719" s="42" t="inlineStr">
        <is>
          <t>US Senate</t>
        </is>
      </c>
      <c r="L719" s="43" t="n">
        <v>7111</v>
      </c>
      <c r="M719" s="43" t="n">
        <v>5589</v>
      </c>
      <c r="N719" s="43" t="n">
        <v>13087</v>
      </c>
      <c r="O719" s="44">
        <f>IFERROR((F719-G719)/(F719+G719),"")</f>
        <v/>
      </c>
      <c r="P719" s="44">
        <f>IFERROR((I719-J719)/(I719+J719),"")</f>
        <v/>
      </c>
      <c r="Q719" s="45">
        <f>IFERROR(O719-P719,"")</f>
        <v/>
      </c>
      <c r="R719" s="44">
        <f>IFERROR((L719-M719)/(L719+M719),"")</f>
        <v/>
      </c>
      <c r="S719" s="46">
        <f>H719/SUMIFS(Counties!$H$2:$H$1583,Counties!$A$2:$A$1583,$A719)</f>
        <v/>
      </c>
      <c r="T719" s="44">
        <f>O719+INDEX(Dashboard!$F$6:$F$22,MATCH($A719,Dashboard!$A$6:$A$22,0))</f>
        <v/>
      </c>
      <c r="U719" s="43">
        <f>AQ719*INDEX(Dashboard!$G$6:$G$22,MATCH($A719,Dashboard!$A$6:$A$22,0))</f>
        <v/>
      </c>
      <c r="V719" s="47" t="n"/>
      <c r="W719" s="47" t="n"/>
      <c r="X719" s="47" t="n"/>
      <c r="Y719" s="48" t="n"/>
      <c r="Z719" s="49" t="n"/>
      <c r="AA719" s="49" t="n"/>
      <c r="AB719" s="49" t="n"/>
      <c r="AC719" s="50" t="n"/>
      <c r="AD719" s="43">
        <f>IF(Z719&lt;&gt;"",Z719,N(V719))</f>
        <v/>
      </c>
      <c r="AE719" s="43">
        <f>IF(AA719&lt;&gt;"",AA719,N(W719))</f>
        <v/>
      </c>
      <c r="AF719" s="43">
        <f>AD719+AE719</f>
        <v/>
      </c>
      <c r="AG719" s="42">
        <f>IF(UPPER(AC719)="Y",1,IF(AF719=0,0,IF(AND(Z719="",Y719&lt;&gt;""),IF(Y719&gt;=0.999,1,0),IF(AF719&gt;=U719,1,0))))</f>
        <v/>
      </c>
      <c r="AH719" s="44">
        <f>IF(AF719&gt;0,(AD719-AE719)/AF719,"")</f>
        <v/>
      </c>
      <c r="AI719" s="45">
        <f>IF(AG719=1,AH719-O719,"")</f>
        <v/>
      </c>
      <c r="AJ719" s="44">
        <f>IF(AG719=1,AH719,MAX(-1,MIN(1,O719+INDEX(Types!$H:$H,MATCH($A719&amp;"|"&amp;$D719,Types!$A:$A,0)))))</f>
        <v/>
      </c>
      <c r="AK719" s="43">
        <f>IF(AG719=1,AF719,MAX(AQ719*AS719,AF719))</f>
        <v/>
      </c>
      <c r="AL719" s="43">
        <f>IF(AG719=1,AD719,AK719*(1+AJ719)/2)</f>
        <v/>
      </c>
      <c r="AM719" s="43">
        <f>IF(AG719=1,AE719,AK719*(1-AJ719)/2)</f>
        <v/>
      </c>
      <c r="AN719" s="45">
        <f>IF(AH719="","",AH719-T719)</f>
        <v/>
      </c>
      <c r="AO719" s="51">
        <f>IF(AG719=1,1,IF(U719&gt;0,MIN(AF719/U719,0.99),0))</f>
        <v/>
      </c>
      <c r="AP719" s="43">
        <f>IF(AG719=1,AI719*AF719,0)</f>
        <v/>
      </c>
      <c r="AQ719" s="43">
        <f>N719*(F719+G719)/H719</f>
        <v/>
      </c>
      <c r="AR719" s="43">
        <f>O719*AQ719</f>
        <v/>
      </c>
      <c r="AS719" s="52">
        <f>IF(AG719=1,IF(AQ719&gt;0,AF719/AQ719,1),IFERROR(INDEX(Types!$K:$K,MATCH($A719&amp;"|"&amp;$D719,Types!$A:$A,0)),INDEX(Dashboard!$X$6:$X$22,MATCH($A719,Dashboard!$A$6:$A$22,0))))</f>
        <v/>
      </c>
      <c r="AT719" s="43">
        <f>AQ719*INDEX(Dashboard!$Y$6:$Y$22,MATCH($A719,Dashboard!$A$6:$A$22,0))</f>
        <v/>
      </c>
      <c r="AU719" s="53">
        <f>IF(AND(AG719=1,AT719&gt;0,AF719&gt;0),100*AF719/AT719,"")</f>
        <v/>
      </c>
      <c r="AV719" s="44">
        <f>IF(AU719="","",T719/(AU719/100))</f>
        <v/>
      </c>
      <c r="AW719" s="53">
        <f>IF(AU719="","",IF(AND(ABS(AH719)&gt;=0.1,ABS(T719)&gt;=0.05,SIGN(AH719)=SIGN(T719)),100*T719/AH719,""))</f>
        <v/>
      </c>
      <c r="AX719" s="45">
        <f>IF(AU719="","",T719-AV719)</f>
        <v/>
      </c>
      <c r="AY719" s="45">
        <f>IF(AU719="","",AH719-AV719)</f>
        <v/>
      </c>
      <c r="AZ719" s="54">
        <f>(AL719-AM719)-T719*AT719</f>
        <v/>
      </c>
      <c r="BA719" s="43">
        <f>IF(AU719="",0,(AH719-T719)*AF719)</f>
        <v/>
      </c>
      <c r="BB719" s="43">
        <f>IF(AU719="",0,T719*(AF719-AT719))</f>
        <v/>
      </c>
      <c r="BC719" s="51" t="n">
        <v>0.3431289718252948</v>
      </c>
      <c r="BD719" s="51" t="n">
        <v>0.1578628365720163</v>
      </c>
      <c r="BE719" s="51" t="n">
        <v>0.2131604952624542</v>
      </c>
      <c r="BF719" s="43" t="n">
        <v>54446</v>
      </c>
    </row>
    <row r="720">
      <c r="A720" s="42" t="inlineStr">
        <is>
          <t>NC</t>
        </is>
      </c>
      <c r="B720" s="42" t="inlineStr">
        <is>
          <t>37095</t>
        </is>
      </c>
      <c r="C720" s="42" t="inlineStr">
        <is>
          <t>Hyde</t>
        </is>
      </c>
      <c r="D720" s="42" t="inlineStr">
        <is>
          <t>Small town &amp; rural</t>
        </is>
      </c>
      <c r="E720" s="42" t="inlineStr"/>
      <c r="F720" s="43" t="n">
        <v>931</v>
      </c>
      <c r="G720" s="43" t="n">
        <v>1465</v>
      </c>
      <c r="H720" s="43" t="n">
        <v>2417</v>
      </c>
      <c r="I720" s="43" t="n">
        <v>1046</v>
      </c>
      <c r="J720" s="43" t="n">
        <v>1418</v>
      </c>
      <c r="K720" s="42" t="inlineStr">
        <is>
          <t>US Senate</t>
        </is>
      </c>
      <c r="L720" s="43" t="n">
        <v>731</v>
      </c>
      <c r="M720" s="43" t="n">
        <v>1083</v>
      </c>
      <c r="N720" s="43" t="n">
        <v>1863</v>
      </c>
      <c r="O720" s="44">
        <f>IFERROR((F720-G720)/(F720+G720),"")</f>
        <v/>
      </c>
      <c r="P720" s="44">
        <f>IFERROR((I720-J720)/(I720+J720),"")</f>
        <v/>
      </c>
      <c r="Q720" s="45">
        <f>IFERROR(O720-P720,"")</f>
        <v/>
      </c>
      <c r="R720" s="44">
        <f>IFERROR((L720-M720)/(L720+M720),"")</f>
        <v/>
      </c>
      <c r="S720" s="46">
        <f>H720/SUMIFS(Counties!$H$2:$H$1583,Counties!$A$2:$A$1583,$A720)</f>
        <v/>
      </c>
      <c r="T720" s="44">
        <f>O720+INDEX(Dashboard!$F$6:$F$22,MATCH($A720,Dashboard!$A$6:$A$22,0))</f>
        <v/>
      </c>
      <c r="U720" s="43">
        <f>AQ720*INDEX(Dashboard!$G$6:$G$22,MATCH($A720,Dashboard!$A$6:$A$22,0))</f>
        <v/>
      </c>
      <c r="V720" s="47" t="n"/>
      <c r="W720" s="47" t="n"/>
      <c r="X720" s="47" t="n"/>
      <c r="Y720" s="48" t="n"/>
      <c r="Z720" s="49" t="n"/>
      <c r="AA720" s="49" t="n"/>
      <c r="AB720" s="49" t="n"/>
      <c r="AC720" s="50" t="n"/>
      <c r="AD720" s="43">
        <f>IF(Z720&lt;&gt;"",Z720,N(V720))</f>
        <v/>
      </c>
      <c r="AE720" s="43">
        <f>IF(AA720&lt;&gt;"",AA720,N(W720))</f>
        <v/>
      </c>
      <c r="AF720" s="43">
        <f>AD720+AE720</f>
        <v/>
      </c>
      <c r="AG720" s="42">
        <f>IF(UPPER(AC720)="Y",1,IF(AF720=0,0,IF(AND(Z720="",Y720&lt;&gt;""),IF(Y720&gt;=0.999,1,0),IF(AF720&gt;=U720,1,0))))</f>
        <v/>
      </c>
      <c r="AH720" s="44">
        <f>IF(AF720&gt;0,(AD720-AE720)/AF720,"")</f>
        <v/>
      </c>
      <c r="AI720" s="45">
        <f>IF(AG720=1,AH720-O720,"")</f>
        <v/>
      </c>
      <c r="AJ720" s="44">
        <f>IF(AG720=1,AH720,MAX(-1,MIN(1,O720+INDEX(Types!$H:$H,MATCH($A720&amp;"|"&amp;$D720,Types!$A:$A,0)))))</f>
        <v/>
      </c>
      <c r="AK720" s="43">
        <f>IF(AG720=1,AF720,MAX(AQ720*AS720,AF720))</f>
        <v/>
      </c>
      <c r="AL720" s="43">
        <f>IF(AG720=1,AD720,AK720*(1+AJ720)/2)</f>
        <v/>
      </c>
      <c r="AM720" s="43">
        <f>IF(AG720=1,AE720,AK720*(1-AJ720)/2)</f>
        <v/>
      </c>
      <c r="AN720" s="45">
        <f>IF(AH720="","",AH720-T720)</f>
        <v/>
      </c>
      <c r="AO720" s="51">
        <f>IF(AG720=1,1,IF(U720&gt;0,MIN(AF720/U720,0.99),0))</f>
        <v/>
      </c>
      <c r="AP720" s="43">
        <f>IF(AG720=1,AI720*AF720,0)</f>
        <v/>
      </c>
      <c r="AQ720" s="43">
        <f>N720*(F720+G720)/H720</f>
        <v/>
      </c>
      <c r="AR720" s="43">
        <f>O720*AQ720</f>
        <v/>
      </c>
      <c r="AS720" s="52">
        <f>IF(AG720=1,IF(AQ720&gt;0,AF720/AQ720,1),IFERROR(INDEX(Types!$K:$K,MATCH($A720&amp;"|"&amp;$D720,Types!$A:$A,0)),INDEX(Dashboard!$X$6:$X$22,MATCH($A720,Dashboard!$A$6:$A$22,0))))</f>
        <v/>
      </c>
      <c r="AT720" s="43">
        <f>AQ720*INDEX(Dashboard!$Y$6:$Y$22,MATCH($A720,Dashboard!$A$6:$A$22,0))</f>
        <v/>
      </c>
      <c r="AU720" s="53">
        <f>IF(AND(AG720=1,AT720&gt;0,AF720&gt;0),100*AF720/AT720,"")</f>
        <v/>
      </c>
      <c r="AV720" s="44">
        <f>IF(AU720="","",T720/(AU720/100))</f>
        <v/>
      </c>
      <c r="AW720" s="53">
        <f>IF(AU720="","",IF(AND(ABS(AH720)&gt;=0.1,ABS(T720)&gt;=0.05,SIGN(AH720)=SIGN(T720)),100*T720/AH720,""))</f>
        <v/>
      </c>
      <c r="AX720" s="45">
        <f>IF(AU720="","",T720-AV720)</f>
        <v/>
      </c>
      <c r="AY720" s="45">
        <f>IF(AU720="","",AH720-AV720)</f>
        <v/>
      </c>
      <c r="AZ720" s="54">
        <f>(AL720-AM720)-T720*AT720</f>
        <v/>
      </c>
      <c r="BA720" s="43">
        <f>IF(AU720="",0,(AH720-T720)*AF720)</f>
        <v/>
      </c>
      <c r="BB720" s="43">
        <f>IF(AU720="",0,T720*(AF720-AT720))</f>
        <v/>
      </c>
      <c r="BC720" s="51" t="n">
        <v>0.2823963533752984</v>
      </c>
      <c r="BD720" s="51" t="n">
        <v>0.08378554373779032</v>
      </c>
      <c r="BE720" s="51" t="n">
        <v>0.1371801850843767</v>
      </c>
      <c r="BF720" s="43" t="n">
        <v>4607</v>
      </c>
    </row>
    <row r="721">
      <c r="A721" s="42" t="inlineStr">
        <is>
          <t>NC</t>
        </is>
      </c>
      <c r="B721" s="42" t="inlineStr">
        <is>
          <t>37097</t>
        </is>
      </c>
      <c r="C721" s="42" t="inlineStr">
        <is>
          <t>Iredell</t>
        </is>
      </c>
      <c r="D721" s="42" t="inlineStr">
        <is>
          <t>Mid-size/working metro</t>
        </is>
      </c>
      <c r="E721" s="42" t="inlineStr"/>
      <c r="F721" s="43" t="n">
        <v>36739</v>
      </c>
      <c r="G721" s="43" t="n">
        <v>72801</v>
      </c>
      <c r="H721" s="43" t="n">
        <v>110560</v>
      </c>
      <c r="I721" s="43" t="n">
        <v>33888</v>
      </c>
      <c r="J721" s="43" t="n">
        <v>67010</v>
      </c>
      <c r="K721" s="42" t="inlineStr">
        <is>
          <t>US Senate</t>
        </is>
      </c>
      <c r="L721" s="43" t="n">
        <v>21442</v>
      </c>
      <c r="M721" s="43" t="n">
        <v>46598</v>
      </c>
      <c r="N721" s="43" t="n">
        <v>69625</v>
      </c>
      <c r="O721" s="44">
        <f>IFERROR((F721-G721)/(F721+G721),"")</f>
        <v/>
      </c>
      <c r="P721" s="44">
        <f>IFERROR((I721-J721)/(I721+J721),"")</f>
        <v/>
      </c>
      <c r="Q721" s="45">
        <f>IFERROR(O721-P721,"")</f>
        <v/>
      </c>
      <c r="R721" s="44">
        <f>IFERROR((L721-M721)/(L721+M721),"")</f>
        <v/>
      </c>
      <c r="S721" s="46">
        <f>H721/SUMIFS(Counties!$H$2:$H$1583,Counties!$A$2:$A$1583,$A721)</f>
        <v/>
      </c>
      <c r="T721" s="44">
        <f>O721+INDEX(Dashboard!$F$6:$F$22,MATCH($A721,Dashboard!$A$6:$A$22,0))</f>
        <v/>
      </c>
      <c r="U721" s="43">
        <f>AQ721*INDEX(Dashboard!$G$6:$G$22,MATCH($A721,Dashboard!$A$6:$A$22,0))</f>
        <v/>
      </c>
      <c r="V721" s="47" t="n"/>
      <c r="W721" s="47" t="n"/>
      <c r="X721" s="47" t="n"/>
      <c r="Y721" s="48" t="n"/>
      <c r="Z721" s="49" t="n"/>
      <c r="AA721" s="49" t="n"/>
      <c r="AB721" s="49" t="n"/>
      <c r="AC721" s="50" t="n"/>
      <c r="AD721" s="43">
        <f>IF(Z721&lt;&gt;"",Z721,N(V721))</f>
        <v/>
      </c>
      <c r="AE721" s="43">
        <f>IF(AA721&lt;&gt;"",AA721,N(W721))</f>
        <v/>
      </c>
      <c r="AF721" s="43">
        <f>AD721+AE721</f>
        <v/>
      </c>
      <c r="AG721" s="42">
        <f>IF(UPPER(AC721)="Y",1,IF(AF721=0,0,IF(AND(Z721="",Y721&lt;&gt;""),IF(Y721&gt;=0.999,1,0),IF(AF721&gt;=U721,1,0))))</f>
        <v/>
      </c>
      <c r="AH721" s="44">
        <f>IF(AF721&gt;0,(AD721-AE721)/AF721,"")</f>
        <v/>
      </c>
      <c r="AI721" s="45">
        <f>IF(AG721=1,AH721-O721,"")</f>
        <v/>
      </c>
      <c r="AJ721" s="44">
        <f>IF(AG721=1,AH721,MAX(-1,MIN(1,O721+INDEX(Types!$H:$H,MATCH($A721&amp;"|"&amp;$D721,Types!$A:$A,0)))))</f>
        <v/>
      </c>
      <c r="AK721" s="43">
        <f>IF(AG721=1,AF721,MAX(AQ721*AS721,AF721))</f>
        <v/>
      </c>
      <c r="AL721" s="43">
        <f>IF(AG721=1,AD721,AK721*(1+AJ721)/2)</f>
        <v/>
      </c>
      <c r="AM721" s="43">
        <f>IF(AG721=1,AE721,AK721*(1-AJ721)/2)</f>
        <v/>
      </c>
      <c r="AN721" s="45">
        <f>IF(AH721="","",AH721-T721)</f>
        <v/>
      </c>
      <c r="AO721" s="51">
        <f>IF(AG721=1,1,IF(U721&gt;0,MIN(AF721/U721,0.99),0))</f>
        <v/>
      </c>
      <c r="AP721" s="43">
        <f>IF(AG721=1,AI721*AF721,0)</f>
        <v/>
      </c>
      <c r="AQ721" s="43">
        <f>N721*(F721+G721)/H721</f>
        <v/>
      </c>
      <c r="AR721" s="43">
        <f>O721*AQ721</f>
        <v/>
      </c>
      <c r="AS721" s="52">
        <f>IF(AG721=1,IF(AQ721&gt;0,AF721/AQ721,1),IFERROR(INDEX(Types!$K:$K,MATCH($A721&amp;"|"&amp;$D721,Types!$A:$A,0)),INDEX(Dashboard!$X$6:$X$22,MATCH($A721,Dashboard!$A$6:$A$22,0))))</f>
        <v/>
      </c>
      <c r="AT721" s="43">
        <f>AQ721*INDEX(Dashboard!$Y$6:$Y$22,MATCH($A721,Dashboard!$A$6:$A$22,0))</f>
        <v/>
      </c>
      <c r="AU721" s="53">
        <f>IF(AND(AG721=1,AT721&gt;0,AF721&gt;0),100*AF721/AT721,"")</f>
        <v/>
      </c>
      <c r="AV721" s="44">
        <f>IF(AU721="","",T721/(AU721/100))</f>
        <v/>
      </c>
      <c r="AW721" s="53">
        <f>IF(AU721="","",IF(AND(ABS(AH721)&gt;=0.1,ABS(T721)&gt;=0.05,SIGN(AH721)=SIGN(T721)),100*T721/AH721,""))</f>
        <v/>
      </c>
      <c r="AX721" s="45">
        <f>IF(AU721="","",T721-AV721)</f>
        <v/>
      </c>
      <c r="AY721" s="45">
        <f>IF(AU721="","",AH721-AV721)</f>
        <v/>
      </c>
      <c r="AZ721" s="54">
        <f>(AL721-AM721)-T721*AT721</f>
        <v/>
      </c>
      <c r="BA721" s="43">
        <f>IF(AU721="",0,(AH721-T721)*AF721)</f>
        <v/>
      </c>
      <c r="BB721" s="43">
        <f>IF(AU721="",0,T721*(AF721-AT721))</f>
        <v/>
      </c>
      <c r="BC721" s="51" t="n">
        <v>0.1203144559611437</v>
      </c>
      <c r="BD721" s="51" t="n">
        <v>0.09574883581192729</v>
      </c>
      <c r="BE721" s="51" t="n">
        <v>0.3333133612941881</v>
      </c>
      <c r="BF721" s="43" t="n">
        <v>199710</v>
      </c>
    </row>
    <row r="722">
      <c r="A722" s="42" t="inlineStr">
        <is>
          <t>NC</t>
        </is>
      </c>
      <c r="B722" s="42" t="inlineStr">
        <is>
          <t>37099</t>
        </is>
      </c>
      <c r="C722" s="42" t="inlineStr">
        <is>
          <t>Jackson</t>
        </is>
      </c>
      <c r="D722" s="42" t="inlineStr">
        <is>
          <t>Small town &amp; rural</t>
        </is>
      </c>
      <c r="E722" s="42" t="inlineStr"/>
      <c r="F722" s="43" t="n">
        <v>9746</v>
      </c>
      <c r="G722" s="43" t="n">
        <v>11796</v>
      </c>
      <c r="H722" s="43" t="n">
        <v>21864</v>
      </c>
      <c r="I722" s="43" t="n">
        <v>9591</v>
      </c>
      <c r="J722" s="43" t="n">
        <v>11356</v>
      </c>
      <c r="K722" s="42" t="inlineStr">
        <is>
          <t>US Senate</t>
        </is>
      </c>
      <c r="L722" s="43" t="n">
        <v>6556</v>
      </c>
      <c r="M722" s="43" t="n">
        <v>7920</v>
      </c>
      <c r="N722" s="43" t="n">
        <v>14931</v>
      </c>
      <c r="O722" s="44">
        <f>IFERROR((F722-G722)/(F722+G722),"")</f>
        <v/>
      </c>
      <c r="P722" s="44">
        <f>IFERROR((I722-J722)/(I722+J722),"")</f>
        <v/>
      </c>
      <c r="Q722" s="45">
        <f>IFERROR(O722-P722,"")</f>
        <v/>
      </c>
      <c r="R722" s="44">
        <f>IFERROR((L722-M722)/(L722+M722),"")</f>
        <v/>
      </c>
      <c r="S722" s="46">
        <f>H722/SUMIFS(Counties!$H$2:$H$1583,Counties!$A$2:$A$1583,$A722)</f>
        <v/>
      </c>
      <c r="T722" s="44">
        <f>O722+INDEX(Dashboard!$F$6:$F$22,MATCH($A722,Dashboard!$A$6:$A$22,0))</f>
        <v/>
      </c>
      <c r="U722" s="43">
        <f>AQ722*INDEX(Dashboard!$G$6:$G$22,MATCH($A722,Dashboard!$A$6:$A$22,0))</f>
        <v/>
      </c>
      <c r="V722" s="47" t="n"/>
      <c r="W722" s="47" t="n"/>
      <c r="X722" s="47" t="n"/>
      <c r="Y722" s="48" t="n"/>
      <c r="Z722" s="49" t="n"/>
      <c r="AA722" s="49" t="n"/>
      <c r="AB722" s="49" t="n"/>
      <c r="AC722" s="50" t="n"/>
      <c r="AD722" s="43">
        <f>IF(Z722&lt;&gt;"",Z722,N(V722))</f>
        <v/>
      </c>
      <c r="AE722" s="43">
        <f>IF(AA722&lt;&gt;"",AA722,N(W722))</f>
        <v/>
      </c>
      <c r="AF722" s="43">
        <f>AD722+AE722</f>
        <v/>
      </c>
      <c r="AG722" s="42">
        <f>IF(UPPER(AC722)="Y",1,IF(AF722=0,0,IF(AND(Z722="",Y722&lt;&gt;""),IF(Y722&gt;=0.999,1,0),IF(AF722&gt;=U722,1,0))))</f>
        <v/>
      </c>
      <c r="AH722" s="44">
        <f>IF(AF722&gt;0,(AD722-AE722)/AF722,"")</f>
        <v/>
      </c>
      <c r="AI722" s="45">
        <f>IF(AG722=1,AH722-O722,"")</f>
        <v/>
      </c>
      <c r="AJ722" s="44">
        <f>IF(AG722=1,AH722,MAX(-1,MIN(1,O722+INDEX(Types!$H:$H,MATCH($A722&amp;"|"&amp;$D722,Types!$A:$A,0)))))</f>
        <v/>
      </c>
      <c r="AK722" s="43">
        <f>IF(AG722=1,AF722,MAX(AQ722*AS722,AF722))</f>
        <v/>
      </c>
      <c r="AL722" s="43">
        <f>IF(AG722=1,AD722,AK722*(1+AJ722)/2)</f>
        <v/>
      </c>
      <c r="AM722" s="43">
        <f>IF(AG722=1,AE722,AK722*(1-AJ722)/2)</f>
        <v/>
      </c>
      <c r="AN722" s="45">
        <f>IF(AH722="","",AH722-T722)</f>
        <v/>
      </c>
      <c r="AO722" s="51">
        <f>IF(AG722=1,1,IF(U722&gt;0,MIN(AF722/U722,0.99),0))</f>
        <v/>
      </c>
      <c r="AP722" s="43">
        <f>IF(AG722=1,AI722*AF722,0)</f>
        <v/>
      </c>
      <c r="AQ722" s="43">
        <f>N722*(F722+G722)/H722</f>
        <v/>
      </c>
      <c r="AR722" s="43">
        <f>O722*AQ722</f>
        <v/>
      </c>
      <c r="AS722" s="52">
        <f>IF(AG722=1,IF(AQ722&gt;0,AF722/AQ722,1),IFERROR(INDEX(Types!$K:$K,MATCH($A722&amp;"|"&amp;$D722,Types!$A:$A,0)),INDEX(Dashboard!$X$6:$X$22,MATCH($A722,Dashboard!$A$6:$A$22,0))))</f>
        <v/>
      </c>
      <c r="AT722" s="43">
        <f>AQ722*INDEX(Dashboard!$Y$6:$Y$22,MATCH($A722,Dashboard!$A$6:$A$22,0))</f>
        <v/>
      </c>
      <c r="AU722" s="53">
        <f>IF(AND(AG722=1,AT722&gt;0,AF722&gt;0),100*AF722/AT722,"")</f>
        <v/>
      </c>
      <c r="AV722" s="44">
        <f>IF(AU722="","",T722/(AU722/100))</f>
        <v/>
      </c>
      <c r="AW722" s="53">
        <f>IF(AU722="","",IF(AND(ABS(AH722)&gt;=0.1,ABS(T722)&gt;=0.05,SIGN(AH722)=SIGN(T722)),100*T722/AH722,""))</f>
        <v/>
      </c>
      <c r="AX722" s="45">
        <f>IF(AU722="","",T722-AV722)</f>
        <v/>
      </c>
      <c r="AY722" s="45">
        <f>IF(AU722="","",AH722-AV722)</f>
        <v/>
      </c>
      <c r="AZ722" s="54">
        <f>(AL722-AM722)-T722*AT722</f>
        <v/>
      </c>
      <c r="BA722" s="43">
        <f>IF(AU722="",0,(AH722-T722)*AF722)</f>
        <v/>
      </c>
      <c r="BB722" s="43">
        <f>IF(AU722="",0,T722*(AF722-AT722))</f>
        <v/>
      </c>
      <c r="BC722" s="51" t="n">
        <v>0.02229999551307937</v>
      </c>
      <c r="BD722" s="51" t="n">
        <v>0.07986718714945933</v>
      </c>
      <c r="BE722" s="51" t="n">
        <v>0.3000713775874376</v>
      </c>
      <c r="BF722" s="43" t="n">
        <v>44574</v>
      </c>
    </row>
    <row r="723">
      <c r="A723" s="42" t="inlineStr">
        <is>
          <t>NC</t>
        </is>
      </c>
      <c r="B723" s="42" t="inlineStr">
        <is>
          <t>37101</t>
        </is>
      </c>
      <c r="C723" s="42" t="inlineStr">
        <is>
          <t>Johnston</t>
        </is>
      </c>
      <c r="D723" s="42" t="inlineStr">
        <is>
          <t>Mid-size/working metro</t>
        </is>
      </c>
      <c r="E723" s="42" t="inlineStr">
        <is>
          <t>★</t>
        </is>
      </c>
      <c r="F723" s="43" t="n">
        <v>48116</v>
      </c>
      <c r="G723" s="43" t="n">
        <v>74878</v>
      </c>
      <c r="H723" s="43" t="n">
        <v>124360</v>
      </c>
      <c r="I723" s="43" t="n">
        <v>41257</v>
      </c>
      <c r="J723" s="43" t="n">
        <v>68353</v>
      </c>
      <c r="K723" s="42" t="inlineStr">
        <is>
          <t>US Senate</t>
        </is>
      </c>
      <c r="L723" s="43" t="n">
        <v>28121</v>
      </c>
      <c r="M723" s="43" t="n">
        <v>46239</v>
      </c>
      <c r="N723" s="43" t="n">
        <v>76054</v>
      </c>
      <c r="O723" s="44">
        <f>IFERROR((F723-G723)/(F723+G723),"")</f>
        <v/>
      </c>
      <c r="P723" s="44">
        <f>IFERROR((I723-J723)/(I723+J723),"")</f>
        <v/>
      </c>
      <c r="Q723" s="45">
        <f>IFERROR(O723-P723,"")</f>
        <v/>
      </c>
      <c r="R723" s="44">
        <f>IFERROR((L723-M723)/(L723+M723),"")</f>
        <v/>
      </c>
      <c r="S723" s="46">
        <f>H723/SUMIFS(Counties!$H$2:$H$1583,Counties!$A$2:$A$1583,$A723)</f>
        <v/>
      </c>
      <c r="T723" s="44">
        <f>O723+INDEX(Dashboard!$F$6:$F$22,MATCH($A723,Dashboard!$A$6:$A$22,0))</f>
        <v/>
      </c>
      <c r="U723" s="43">
        <f>AQ723*INDEX(Dashboard!$G$6:$G$22,MATCH($A723,Dashboard!$A$6:$A$22,0))</f>
        <v/>
      </c>
      <c r="V723" s="47" t="n"/>
      <c r="W723" s="47" t="n"/>
      <c r="X723" s="47" t="n"/>
      <c r="Y723" s="48" t="n"/>
      <c r="Z723" s="49" t="n"/>
      <c r="AA723" s="49" t="n"/>
      <c r="AB723" s="49" t="n"/>
      <c r="AC723" s="50" t="n"/>
      <c r="AD723" s="43">
        <f>IF(Z723&lt;&gt;"",Z723,N(V723))</f>
        <v/>
      </c>
      <c r="AE723" s="43">
        <f>IF(AA723&lt;&gt;"",AA723,N(W723))</f>
        <v/>
      </c>
      <c r="AF723" s="43">
        <f>AD723+AE723</f>
        <v/>
      </c>
      <c r="AG723" s="42">
        <f>IF(UPPER(AC723)="Y",1,IF(AF723=0,0,IF(AND(Z723="",Y723&lt;&gt;""),IF(Y723&gt;=0.999,1,0),IF(AF723&gt;=U723,1,0))))</f>
        <v/>
      </c>
      <c r="AH723" s="44">
        <f>IF(AF723&gt;0,(AD723-AE723)/AF723,"")</f>
        <v/>
      </c>
      <c r="AI723" s="45">
        <f>IF(AG723=1,AH723-O723,"")</f>
        <v/>
      </c>
      <c r="AJ723" s="44">
        <f>IF(AG723=1,AH723,MAX(-1,MIN(1,O723+INDEX(Types!$H:$H,MATCH($A723&amp;"|"&amp;$D723,Types!$A:$A,0)))))</f>
        <v/>
      </c>
      <c r="AK723" s="43">
        <f>IF(AG723=1,AF723,MAX(AQ723*AS723,AF723))</f>
        <v/>
      </c>
      <c r="AL723" s="43">
        <f>IF(AG723=1,AD723,AK723*(1+AJ723)/2)</f>
        <v/>
      </c>
      <c r="AM723" s="43">
        <f>IF(AG723=1,AE723,AK723*(1-AJ723)/2)</f>
        <v/>
      </c>
      <c r="AN723" s="45">
        <f>IF(AH723="","",AH723-T723)</f>
        <v/>
      </c>
      <c r="AO723" s="51">
        <f>IF(AG723=1,1,IF(U723&gt;0,MIN(AF723/U723,0.99),0))</f>
        <v/>
      </c>
      <c r="AP723" s="43">
        <f>IF(AG723=1,AI723*AF723,0)</f>
        <v/>
      </c>
      <c r="AQ723" s="43">
        <f>N723*(F723+G723)/H723</f>
        <v/>
      </c>
      <c r="AR723" s="43">
        <f>O723*AQ723</f>
        <v/>
      </c>
      <c r="AS723" s="52">
        <f>IF(AG723=1,IF(AQ723&gt;0,AF723/AQ723,1),IFERROR(INDEX(Types!$K:$K,MATCH($A723&amp;"|"&amp;$D723,Types!$A:$A,0)),INDEX(Dashboard!$X$6:$X$22,MATCH($A723,Dashboard!$A$6:$A$22,0))))</f>
        <v/>
      </c>
      <c r="AT723" s="43">
        <f>AQ723*INDEX(Dashboard!$Y$6:$Y$22,MATCH($A723,Dashboard!$A$6:$A$22,0))</f>
        <v/>
      </c>
      <c r="AU723" s="53">
        <f>IF(AND(AG723=1,AT723&gt;0,AF723&gt;0),100*AF723/AT723,"")</f>
        <v/>
      </c>
      <c r="AV723" s="44">
        <f>IF(AU723="","",T723/(AU723/100))</f>
        <v/>
      </c>
      <c r="AW723" s="53">
        <f>IF(AU723="","",IF(AND(ABS(AH723)&gt;=0.1,ABS(T723)&gt;=0.05,SIGN(AH723)=SIGN(T723)),100*T723/AH723,""))</f>
        <v/>
      </c>
      <c r="AX723" s="45">
        <f>IF(AU723="","",T723-AV723)</f>
        <v/>
      </c>
      <c r="AY723" s="45">
        <f>IF(AU723="","",AH723-AV723)</f>
        <v/>
      </c>
      <c r="AZ723" s="54">
        <f>(AL723-AM723)-T723*AT723</f>
        <v/>
      </c>
      <c r="BA723" s="43">
        <f>IF(AU723="",0,(AH723-T723)*AF723)</f>
        <v/>
      </c>
      <c r="BB723" s="43">
        <f>IF(AU723="",0,T723*(AF723-AT723))</f>
        <v/>
      </c>
      <c r="BC723" s="51" t="n">
        <v>0.1782976173255357</v>
      </c>
      <c r="BD723" s="51" t="n">
        <v>0.1693372734599409</v>
      </c>
      <c r="BE723" s="51" t="n">
        <v>0.2763038900514229</v>
      </c>
      <c r="BF723" s="43" t="n">
        <v>241955</v>
      </c>
    </row>
    <row r="724">
      <c r="A724" s="42" t="inlineStr">
        <is>
          <t>NC</t>
        </is>
      </c>
      <c r="B724" s="42" t="inlineStr">
        <is>
          <t>37103</t>
        </is>
      </c>
      <c r="C724" s="42" t="inlineStr">
        <is>
          <t>Jones</t>
        </is>
      </c>
      <c r="D724" s="42" t="inlineStr">
        <is>
          <t>Small town &amp; rural</t>
        </is>
      </c>
      <c r="E724" s="42" t="inlineStr"/>
      <c r="F724" s="43" t="n">
        <v>2007</v>
      </c>
      <c r="G724" s="43" t="n">
        <v>3409</v>
      </c>
      <c r="H724" s="43" t="n">
        <v>5458</v>
      </c>
      <c r="I724" s="43" t="n">
        <v>2197</v>
      </c>
      <c r="J724" s="43" t="n">
        <v>3280</v>
      </c>
      <c r="K724" s="42" t="inlineStr">
        <is>
          <t>US Senate</t>
        </is>
      </c>
      <c r="L724" s="43" t="n">
        <v>1397</v>
      </c>
      <c r="M724" s="43" t="n">
        <v>2382</v>
      </c>
      <c r="N724" s="43" t="n">
        <v>3873</v>
      </c>
      <c r="O724" s="44">
        <f>IFERROR((F724-G724)/(F724+G724),"")</f>
        <v/>
      </c>
      <c r="P724" s="44">
        <f>IFERROR((I724-J724)/(I724+J724),"")</f>
        <v/>
      </c>
      <c r="Q724" s="45">
        <f>IFERROR(O724-P724,"")</f>
        <v/>
      </c>
      <c r="R724" s="44">
        <f>IFERROR((L724-M724)/(L724+M724),"")</f>
        <v/>
      </c>
      <c r="S724" s="46">
        <f>H724/SUMIFS(Counties!$H$2:$H$1583,Counties!$A$2:$A$1583,$A724)</f>
        <v/>
      </c>
      <c r="T724" s="44">
        <f>O724+INDEX(Dashboard!$F$6:$F$22,MATCH($A724,Dashboard!$A$6:$A$22,0))</f>
        <v/>
      </c>
      <c r="U724" s="43">
        <f>AQ724*INDEX(Dashboard!$G$6:$G$22,MATCH($A724,Dashboard!$A$6:$A$22,0))</f>
        <v/>
      </c>
      <c r="V724" s="47" t="n"/>
      <c r="W724" s="47" t="n"/>
      <c r="X724" s="47" t="n"/>
      <c r="Y724" s="48" t="n"/>
      <c r="Z724" s="49" t="n"/>
      <c r="AA724" s="49" t="n"/>
      <c r="AB724" s="49" t="n"/>
      <c r="AC724" s="50" t="n"/>
      <c r="AD724" s="43">
        <f>IF(Z724&lt;&gt;"",Z724,N(V724))</f>
        <v/>
      </c>
      <c r="AE724" s="43">
        <f>IF(AA724&lt;&gt;"",AA724,N(W724))</f>
        <v/>
      </c>
      <c r="AF724" s="43">
        <f>AD724+AE724</f>
        <v/>
      </c>
      <c r="AG724" s="42">
        <f>IF(UPPER(AC724)="Y",1,IF(AF724=0,0,IF(AND(Z724="",Y724&lt;&gt;""),IF(Y724&gt;=0.999,1,0),IF(AF724&gt;=U724,1,0))))</f>
        <v/>
      </c>
      <c r="AH724" s="44">
        <f>IF(AF724&gt;0,(AD724-AE724)/AF724,"")</f>
        <v/>
      </c>
      <c r="AI724" s="45">
        <f>IF(AG724=1,AH724-O724,"")</f>
        <v/>
      </c>
      <c r="AJ724" s="44">
        <f>IF(AG724=1,AH724,MAX(-1,MIN(1,O724+INDEX(Types!$H:$H,MATCH($A724&amp;"|"&amp;$D724,Types!$A:$A,0)))))</f>
        <v/>
      </c>
      <c r="AK724" s="43">
        <f>IF(AG724=1,AF724,MAX(AQ724*AS724,AF724))</f>
        <v/>
      </c>
      <c r="AL724" s="43">
        <f>IF(AG724=1,AD724,AK724*(1+AJ724)/2)</f>
        <v/>
      </c>
      <c r="AM724" s="43">
        <f>IF(AG724=1,AE724,AK724*(1-AJ724)/2)</f>
        <v/>
      </c>
      <c r="AN724" s="45">
        <f>IF(AH724="","",AH724-T724)</f>
        <v/>
      </c>
      <c r="AO724" s="51">
        <f>IF(AG724=1,1,IF(U724&gt;0,MIN(AF724/U724,0.99),0))</f>
        <v/>
      </c>
      <c r="AP724" s="43">
        <f>IF(AG724=1,AI724*AF724,0)</f>
        <v/>
      </c>
      <c r="AQ724" s="43">
        <f>N724*(F724+G724)/H724</f>
        <v/>
      </c>
      <c r="AR724" s="43">
        <f>O724*AQ724</f>
        <v/>
      </c>
      <c r="AS724" s="52">
        <f>IF(AG724=1,IF(AQ724&gt;0,AF724/AQ724,1),IFERROR(INDEX(Types!$K:$K,MATCH($A724&amp;"|"&amp;$D724,Types!$A:$A,0)),INDEX(Dashboard!$X$6:$X$22,MATCH($A724,Dashboard!$A$6:$A$22,0))))</f>
        <v/>
      </c>
      <c r="AT724" s="43">
        <f>AQ724*INDEX(Dashboard!$Y$6:$Y$22,MATCH($A724,Dashboard!$A$6:$A$22,0))</f>
        <v/>
      </c>
      <c r="AU724" s="53">
        <f>IF(AND(AG724=1,AT724&gt;0,AF724&gt;0),100*AF724/AT724,"")</f>
        <v/>
      </c>
      <c r="AV724" s="44">
        <f>IF(AU724="","",T724/(AU724/100))</f>
        <v/>
      </c>
      <c r="AW724" s="53">
        <f>IF(AU724="","",IF(AND(ABS(AH724)&gt;=0.1,ABS(T724)&gt;=0.05,SIGN(AH724)=SIGN(T724)),100*T724/AH724,""))</f>
        <v/>
      </c>
      <c r="AX724" s="45">
        <f>IF(AU724="","",T724-AV724)</f>
        <v/>
      </c>
      <c r="AY724" s="45">
        <f>IF(AU724="","",AH724-AV724)</f>
        <v/>
      </c>
      <c r="AZ724" s="54">
        <f>(AL724-AM724)-T724*AT724</f>
        <v/>
      </c>
      <c r="BA724" s="43">
        <f>IF(AU724="",0,(AH724-T724)*AF724)</f>
        <v/>
      </c>
      <c r="BB724" s="43">
        <f>IF(AU724="",0,T724*(AF724-AT724))</f>
        <v/>
      </c>
      <c r="BC724" s="51" t="n">
        <v>0.273694287841719</v>
      </c>
      <c r="BD724" s="51" t="n">
        <v>0.05403680459525582</v>
      </c>
      <c r="BE724" s="51" t="n">
        <v>0.1785092807424594</v>
      </c>
      <c r="BF724" s="43" t="n">
        <v>9401</v>
      </c>
    </row>
    <row r="725">
      <c r="A725" s="42" t="inlineStr">
        <is>
          <t>NC</t>
        </is>
      </c>
      <c r="B725" s="42" t="inlineStr">
        <is>
          <t>37105</t>
        </is>
      </c>
      <c r="C725" s="42" t="inlineStr">
        <is>
          <t>Lee</t>
        </is>
      </c>
      <c r="D725" s="42" t="inlineStr">
        <is>
          <t>Small town &amp; rural</t>
        </is>
      </c>
      <c r="E725" s="42" t="inlineStr"/>
      <c r="F725" s="43" t="n">
        <v>12245</v>
      </c>
      <c r="G725" s="43" t="n">
        <v>17489</v>
      </c>
      <c r="H725" s="43" t="n">
        <v>30007</v>
      </c>
      <c r="I725" s="43" t="n">
        <v>12143</v>
      </c>
      <c r="J725" s="43" t="n">
        <v>16469</v>
      </c>
      <c r="K725" s="42" t="inlineStr">
        <is>
          <t>US Senate</t>
        </is>
      </c>
      <c r="L725" s="43" t="n">
        <v>7767</v>
      </c>
      <c r="M725" s="43" t="n">
        <v>11042</v>
      </c>
      <c r="N725" s="43" t="n">
        <v>19233</v>
      </c>
      <c r="O725" s="44">
        <f>IFERROR((F725-G725)/(F725+G725),"")</f>
        <v/>
      </c>
      <c r="P725" s="44">
        <f>IFERROR((I725-J725)/(I725+J725),"")</f>
        <v/>
      </c>
      <c r="Q725" s="45">
        <f>IFERROR(O725-P725,"")</f>
        <v/>
      </c>
      <c r="R725" s="44">
        <f>IFERROR((L725-M725)/(L725+M725),"")</f>
        <v/>
      </c>
      <c r="S725" s="46">
        <f>H725/SUMIFS(Counties!$H$2:$H$1583,Counties!$A$2:$A$1583,$A725)</f>
        <v/>
      </c>
      <c r="T725" s="44">
        <f>O725+INDEX(Dashboard!$F$6:$F$22,MATCH($A725,Dashboard!$A$6:$A$22,0))</f>
        <v/>
      </c>
      <c r="U725" s="43">
        <f>AQ725*INDEX(Dashboard!$G$6:$G$22,MATCH($A725,Dashboard!$A$6:$A$22,0))</f>
        <v/>
      </c>
      <c r="V725" s="47" t="n"/>
      <c r="W725" s="47" t="n"/>
      <c r="X725" s="47" t="n"/>
      <c r="Y725" s="48" t="n"/>
      <c r="Z725" s="49" t="n"/>
      <c r="AA725" s="49" t="n"/>
      <c r="AB725" s="49" t="n"/>
      <c r="AC725" s="50" t="n"/>
      <c r="AD725" s="43">
        <f>IF(Z725&lt;&gt;"",Z725,N(V725))</f>
        <v/>
      </c>
      <c r="AE725" s="43">
        <f>IF(AA725&lt;&gt;"",AA725,N(W725))</f>
        <v/>
      </c>
      <c r="AF725" s="43">
        <f>AD725+AE725</f>
        <v/>
      </c>
      <c r="AG725" s="42">
        <f>IF(UPPER(AC725)="Y",1,IF(AF725=0,0,IF(AND(Z725="",Y725&lt;&gt;""),IF(Y725&gt;=0.999,1,0),IF(AF725&gt;=U725,1,0))))</f>
        <v/>
      </c>
      <c r="AH725" s="44">
        <f>IF(AF725&gt;0,(AD725-AE725)/AF725,"")</f>
        <v/>
      </c>
      <c r="AI725" s="45">
        <f>IF(AG725=1,AH725-O725,"")</f>
        <v/>
      </c>
      <c r="AJ725" s="44">
        <f>IF(AG725=1,AH725,MAX(-1,MIN(1,O725+INDEX(Types!$H:$H,MATCH($A725&amp;"|"&amp;$D725,Types!$A:$A,0)))))</f>
        <v/>
      </c>
      <c r="AK725" s="43">
        <f>IF(AG725=1,AF725,MAX(AQ725*AS725,AF725))</f>
        <v/>
      </c>
      <c r="AL725" s="43">
        <f>IF(AG725=1,AD725,AK725*(1+AJ725)/2)</f>
        <v/>
      </c>
      <c r="AM725" s="43">
        <f>IF(AG725=1,AE725,AK725*(1-AJ725)/2)</f>
        <v/>
      </c>
      <c r="AN725" s="45">
        <f>IF(AH725="","",AH725-T725)</f>
        <v/>
      </c>
      <c r="AO725" s="51">
        <f>IF(AG725=1,1,IF(U725&gt;0,MIN(AF725/U725,0.99),0))</f>
        <v/>
      </c>
      <c r="AP725" s="43">
        <f>IF(AG725=1,AI725*AF725,0)</f>
        <v/>
      </c>
      <c r="AQ725" s="43">
        <f>N725*(F725+G725)/H725</f>
        <v/>
      </c>
      <c r="AR725" s="43">
        <f>O725*AQ725</f>
        <v/>
      </c>
      <c r="AS725" s="52">
        <f>IF(AG725=1,IF(AQ725&gt;0,AF725/AQ725,1),IFERROR(INDEX(Types!$K:$K,MATCH($A725&amp;"|"&amp;$D725,Types!$A:$A,0)),INDEX(Dashboard!$X$6:$X$22,MATCH($A725,Dashboard!$A$6:$A$22,0))))</f>
        <v/>
      </c>
      <c r="AT725" s="43">
        <f>AQ725*INDEX(Dashboard!$Y$6:$Y$22,MATCH($A725,Dashboard!$A$6:$A$22,0))</f>
        <v/>
      </c>
      <c r="AU725" s="53">
        <f>IF(AND(AG725=1,AT725&gt;0,AF725&gt;0),100*AF725/AT725,"")</f>
        <v/>
      </c>
      <c r="AV725" s="44">
        <f>IF(AU725="","",T725/(AU725/100))</f>
        <v/>
      </c>
      <c r="AW725" s="53">
        <f>IF(AU725="","",IF(AND(ABS(AH725)&gt;=0.1,ABS(T725)&gt;=0.05,SIGN(AH725)=SIGN(T725)),100*T725/AH725,""))</f>
        <v/>
      </c>
      <c r="AX725" s="45">
        <f>IF(AU725="","",T725-AV725)</f>
        <v/>
      </c>
      <c r="AY725" s="45">
        <f>IF(AU725="","",AH725-AV725)</f>
        <v/>
      </c>
      <c r="AZ725" s="54">
        <f>(AL725-AM725)-T725*AT725</f>
        <v/>
      </c>
      <c r="BA725" s="43">
        <f>IF(AU725="",0,(AH725-T725)*AF725)</f>
        <v/>
      </c>
      <c r="BB725" s="43">
        <f>IF(AU725="",0,T725*(AF725-AT725))</f>
        <v/>
      </c>
      <c r="BC725" s="51" t="n">
        <v>0.1777091814670663</v>
      </c>
      <c r="BD725" s="51" t="n">
        <v>0.2178380232332722</v>
      </c>
      <c r="BE725" s="51" t="n">
        <v>0.2161384601333455</v>
      </c>
      <c r="BF725" s="43" t="n">
        <v>67059</v>
      </c>
    </row>
    <row r="726">
      <c r="A726" s="42" t="inlineStr">
        <is>
          <t>NC</t>
        </is>
      </c>
      <c r="B726" s="42" t="inlineStr">
        <is>
          <t>37107</t>
        </is>
      </c>
      <c r="C726" s="42" t="inlineStr">
        <is>
          <t>Lenoir</t>
        </is>
      </c>
      <c r="D726" s="42" t="inlineStr">
        <is>
          <t>Black Belt</t>
        </is>
      </c>
      <c r="E726" s="42" t="inlineStr"/>
      <c r="F726" s="43" t="n">
        <v>12700</v>
      </c>
      <c r="G726" s="43" t="n">
        <v>14564</v>
      </c>
      <c r="H726" s="43" t="n">
        <v>27465</v>
      </c>
      <c r="I726" s="43" t="n">
        <v>13605</v>
      </c>
      <c r="J726" s="43" t="n">
        <v>14590</v>
      </c>
      <c r="K726" s="42" t="inlineStr">
        <is>
          <t>US Senate</t>
        </is>
      </c>
      <c r="L726" s="43" t="n">
        <v>7872</v>
      </c>
      <c r="M726" s="43" t="n">
        <v>10452</v>
      </c>
      <c r="N726" s="43" t="n">
        <v>18686</v>
      </c>
      <c r="O726" s="44">
        <f>IFERROR((F726-G726)/(F726+G726),"")</f>
        <v/>
      </c>
      <c r="P726" s="44">
        <f>IFERROR((I726-J726)/(I726+J726),"")</f>
        <v/>
      </c>
      <c r="Q726" s="45">
        <f>IFERROR(O726-P726,"")</f>
        <v/>
      </c>
      <c r="R726" s="44">
        <f>IFERROR((L726-M726)/(L726+M726),"")</f>
        <v/>
      </c>
      <c r="S726" s="46">
        <f>H726/SUMIFS(Counties!$H$2:$H$1583,Counties!$A$2:$A$1583,$A726)</f>
        <v/>
      </c>
      <c r="T726" s="44">
        <f>O726+INDEX(Dashboard!$F$6:$F$22,MATCH($A726,Dashboard!$A$6:$A$22,0))</f>
        <v/>
      </c>
      <c r="U726" s="43">
        <f>AQ726*INDEX(Dashboard!$G$6:$G$22,MATCH($A726,Dashboard!$A$6:$A$22,0))</f>
        <v/>
      </c>
      <c r="V726" s="47" t="n"/>
      <c r="W726" s="47" t="n"/>
      <c r="X726" s="47" t="n"/>
      <c r="Y726" s="48" t="n"/>
      <c r="Z726" s="49" t="n"/>
      <c r="AA726" s="49" t="n"/>
      <c r="AB726" s="49" t="n"/>
      <c r="AC726" s="50" t="n"/>
      <c r="AD726" s="43">
        <f>IF(Z726&lt;&gt;"",Z726,N(V726))</f>
        <v/>
      </c>
      <c r="AE726" s="43">
        <f>IF(AA726&lt;&gt;"",AA726,N(W726))</f>
        <v/>
      </c>
      <c r="AF726" s="43">
        <f>AD726+AE726</f>
        <v/>
      </c>
      <c r="AG726" s="42">
        <f>IF(UPPER(AC726)="Y",1,IF(AF726=0,0,IF(AND(Z726="",Y726&lt;&gt;""),IF(Y726&gt;=0.999,1,0),IF(AF726&gt;=U726,1,0))))</f>
        <v/>
      </c>
      <c r="AH726" s="44">
        <f>IF(AF726&gt;0,(AD726-AE726)/AF726,"")</f>
        <v/>
      </c>
      <c r="AI726" s="45">
        <f>IF(AG726=1,AH726-O726,"")</f>
        <v/>
      </c>
      <c r="AJ726" s="44">
        <f>IF(AG726=1,AH726,MAX(-1,MIN(1,O726+INDEX(Types!$H:$H,MATCH($A726&amp;"|"&amp;$D726,Types!$A:$A,0)))))</f>
        <v/>
      </c>
      <c r="AK726" s="43">
        <f>IF(AG726=1,AF726,MAX(AQ726*AS726,AF726))</f>
        <v/>
      </c>
      <c r="AL726" s="43">
        <f>IF(AG726=1,AD726,AK726*(1+AJ726)/2)</f>
        <v/>
      </c>
      <c r="AM726" s="43">
        <f>IF(AG726=1,AE726,AK726*(1-AJ726)/2)</f>
        <v/>
      </c>
      <c r="AN726" s="45">
        <f>IF(AH726="","",AH726-T726)</f>
        <v/>
      </c>
      <c r="AO726" s="51">
        <f>IF(AG726=1,1,IF(U726&gt;0,MIN(AF726/U726,0.99),0))</f>
        <v/>
      </c>
      <c r="AP726" s="43">
        <f>IF(AG726=1,AI726*AF726,0)</f>
        <v/>
      </c>
      <c r="AQ726" s="43">
        <f>N726*(F726+G726)/H726</f>
        <v/>
      </c>
      <c r="AR726" s="43">
        <f>O726*AQ726</f>
        <v/>
      </c>
      <c r="AS726" s="52">
        <f>IF(AG726=1,IF(AQ726&gt;0,AF726/AQ726,1),IFERROR(INDEX(Types!$K:$K,MATCH($A726&amp;"|"&amp;$D726,Types!$A:$A,0)),INDEX(Dashboard!$X$6:$X$22,MATCH($A726,Dashboard!$A$6:$A$22,0))))</f>
        <v/>
      </c>
      <c r="AT726" s="43">
        <f>AQ726*INDEX(Dashboard!$Y$6:$Y$22,MATCH($A726,Dashboard!$A$6:$A$22,0))</f>
        <v/>
      </c>
      <c r="AU726" s="53">
        <f>IF(AND(AG726=1,AT726&gt;0,AF726&gt;0),100*AF726/AT726,"")</f>
        <v/>
      </c>
      <c r="AV726" s="44">
        <f>IF(AU726="","",T726/(AU726/100))</f>
        <v/>
      </c>
      <c r="AW726" s="53">
        <f>IF(AU726="","",IF(AND(ABS(AH726)&gt;=0.1,ABS(T726)&gt;=0.05,SIGN(AH726)=SIGN(T726)),100*T726/AH726,""))</f>
        <v/>
      </c>
      <c r="AX726" s="45">
        <f>IF(AU726="","",T726-AV726)</f>
        <v/>
      </c>
      <c r="AY726" s="45">
        <f>IF(AU726="","",AH726-AV726)</f>
        <v/>
      </c>
      <c r="AZ726" s="54">
        <f>(AL726-AM726)-T726*AT726</f>
        <v/>
      </c>
      <c r="BA726" s="43">
        <f>IF(AU726="",0,(AH726-T726)*AF726)</f>
        <v/>
      </c>
      <c r="BB726" s="43">
        <f>IF(AU726="",0,T726*(AF726-AT726))</f>
        <v/>
      </c>
      <c r="BC726" s="51" t="n">
        <v>0.4061572092175972</v>
      </c>
      <c r="BD726" s="51" t="n">
        <v>0.09179342380909009</v>
      </c>
      <c r="BE726" s="51" t="n">
        <v>0.1581168575847335</v>
      </c>
      <c r="BF726" s="43" t="n">
        <v>54895</v>
      </c>
    </row>
    <row r="727">
      <c r="A727" s="42" t="inlineStr">
        <is>
          <t>NC</t>
        </is>
      </c>
      <c r="B727" s="42" t="inlineStr">
        <is>
          <t>37109</t>
        </is>
      </c>
      <c r="C727" s="42" t="inlineStr">
        <is>
          <t>Lincoln</t>
        </is>
      </c>
      <c r="D727" s="42" t="inlineStr">
        <is>
          <t>Small town &amp; rural</t>
        </is>
      </c>
      <c r="E727" s="42" t="inlineStr"/>
      <c r="F727" s="43" t="n">
        <v>14842</v>
      </c>
      <c r="G727" s="43" t="n">
        <v>40183</v>
      </c>
      <c r="H727" s="43" t="n">
        <v>55433</v>
      </c>
      <c r="I727" s="43" t="n">
        <v>13274</v>
      </c>
      <c r="J727" s="43" t="n">
        <v>36341</v>
      </c>
      <c r="K727" s="42" t="inlineStr">
        <is>
          <t>US Senate</t>
        </is>
      </c>
      <c r="L727" s="43" t="n">
        <v>9418</v>
      </c>
      <c r="M727" s="43" t="n">
        <v>26130</v>
      </c>
      <c r="N727" s="43" t="n">
        <v>36285</v>
      </c>
      <c r="O727" s="44">
        <f>IFERROR((F727-G727)/(F727+G727),"")</f>
        <v/>
      </c>
      <c r="P727" s="44">
        <f>IFERROR((I727-J727)/(I727+J727),"")</f>
        <v/>
      </c>
      <c r="Q727" s="45">
        <f>IFERROR(O727-P727,"")</f>
        <v/>
      </c>
      <c r="R727" s="44">
        <f>IFERROR((L727-M727)/(L727+M727),"")</f>
        <v/>
      </c>
      <c r="S727" s="46">
        <f>H727/SUMIFS(Counties!$H$2:$H$1583,Counties!$A$2:$A$1583,$A727)</f>
        <v/>
      </c>
      <c r="T727" s="44">
        <f>O727+INDEX(Dashboard!$F$6:$F$22,MATCH($A727,Dashboard!$A$6:$A$22,0))</f>
        <v/>
      </c>
      <c r="U727" s="43">
        <f>AQ727*INDEX(Dashboard!$G$6:$G$22,MATCH($A727,Dashboard!$A$6:$A$22,0))</f>
        <v/>
      </c>
      <c r="V727" s="47" t="n"/>
      <c r="W727" s="47" t="n"/>
      <c r="X727" s="47" t="n"/>
      <c r="Y727" s="48" t="n"/>
      <c r="Z727" s="49" t="n"/>
      <c r="AA727" s="49" t="n"/>
      <c r="AB727" s="49" t="n"/>
      <c r="AC727" s="50" t="n"/>
      <c r="AD727" s="43">
        <f>IF(Z727&lt;&gt;"",Z727,N(V727))</f>
        <v/>
      </c>
      <c r="AE727" s="43">
        <f>IF(AA727&lt;&gt;"",AA727,N(W727))</f>
        <v/>
      </c>
      <c r="AF727" s="43">
        <f>AD727+AE727</f>
        <v/>
      </c>
      <c r="AG727" s="42">
        <f>IF(UPPER(AC727)="Y",1,IF(AF727=0,0,IF(AND(Z727="",Y727&lt;&gt;""),IF(Y727&gt;=0.999,1,0),IF(AF727&gt;=U727,1,0))))</f>
        <v/>
      </c>
      <c r="AH727" s="44">
        <f>IF(AF727&gt;0,(AD727-AE727)/AF727,"")</f>
        <v/>
      </c>
      <c r="AI727" s="45">
        <f>IF(AG727=1,AH727-O727,"")</f>
        <v/>
      </c>
      <c r="AJ727" s="44">
        <f>IF(AG727=1,AH727,MAX(-1,MIN(1,O727+INDEX(Types!$H:$H,MATCH($A727&amp;"|"&amp;$D727,Types!$A:$A,0)))))</f>
        <v/>
      </c>
      <c r="AK727" s="43">
        <f>IF(AG727=1,AF727,MAX(AQ727*AS727,AF727))</f>
        <v/>
      </c>
      <c r="AL727" s="43">
        <f>IF(AG727=1,AD727,AK727*(1+AJ727)/2)</f>
        <v/>
      </c>
      <c r="AM727" s="43">
        <f>IF(AG727=1,AE727,AK727*(1-AJ727)/2)</f>
        <v/>
      </c>
      <c r="AN727" s="45">
        <f>IF(AH727="","",AH727-T727)</f>
        <v/>
      </c>
      <c r="AO727" s="51">
        <f>IF(AG727=1,1,IF(U727&gt;0,MIN(AF727/U727,0.99),0))</f>
        <v/>
      </c>
      <c r="AP727" s="43">
        <f>IF(AG727=1,AI727*AF727,0)</f>
        <v/>
      </c>
      <c r="AQ727" s="43">
        <f>N727*(F727+G727)/H727</f>
        <v/>
      </c>
      <c r="AR727" s="43">
        <f>O727*AQ727</f>
        <v/>
      </c>
      <c r="AS727" s="52">
        <f>IF(AG727=1,IF(AQ727&gt;0,AF727/AQ727,1),IFERROR(INDEX(Types!$K:$K,MATCH($A727&amp;"|"&amp;$D727,Types!$A:$A,0)),INDEX(Dashboard!$X$6:$X$22,MATCH($A727,Dashboard!$A$6:$A$22,0))))</f>
        <v/>
      </c>
      <c r="AT727" s="43">
        <f>AQ727*INDEX(Dashboard!$Y$6:$Y$22,MATCH($A727,Dashboard!$A$6:$A$22,0))</f>
        <v/>
      </c>
      <c r="AU727" s="53">
        <f>IF(AND(AG727=1,AT727&gt;0,AF727&gt;0),100*AF727/AT727,"")</f>
        <v/>
      </c>
      <c r="AV727" s="44">
        <f>IF(AU727="","",T727/(AU727/100))</f>
        <v/>
      </c>
      <c r="AW727" s="53">
        <f>IF(AU727="","",IF(AND(ABS(AH727)&gt;=0.1,ABS(T727)&gt;=0.05,SIGN(AH727)=SIGN(T727)),100*T727/AH727,""))</f>
        <v/>
      </c>
      <c r="AX727" s="45">
        <f>IF(AU727="","",T727-AV727)</f>
        <v/>
      </c>
      <c r="AY727" s="45">
        <f>IF(AU727="","",AH727-AV727)</f>
        <v/>
      </c>
      <c r="AZ727" s="54">
        <f>(AL727-AM727)-T727*AT727</f>
        <v/>
      </c>
      <c r="BA727" s="43">
        <f>IF(AU727="",0,(AH727-T727)*AF727)</f>
        <v/>
      </c>
      <c r="BB727" s="43">
        <f>IF(AU727="",0,T727*(AF727-AT727))</f>
        <v/>
      </c>
      <c r="BC727" s="51" t="n">
        <v>0.05981708910373661</v>
      </c>
      <c r="BD727" s="51" t="n">
        <v>0.08376273843741834</v>
      </c>
      <c r="BE727" s="51" t="n">
        <v>0.2702694408641748</v>
      </c>
      <c r="BF727" s="43" t="n">
        <v>95675</v>
      </c>
    </row>
    <row r="728">
      <c r="A728" s="42" t="inlineStr">
        <is>
          <t>NC</t>
        </is>
      </c>
      <c r="B728" s="42" t="inlineStr">
        <is>
          <t>37113</t>
        </is>
      </c>
      <c r="C728" s="42" t="inlineStr">
        <is>
          <t>Macon</t>
        </is>
      </c>
      <c r="D728" s="42" t="inlineStr">
        <is>
          <t>Small town &amp; rural</t>
        </is>
      </c>
      <c r="E728" s="42" t="inlineStr"/>
      <c r="F728" s="43" t="n">
        <v>6675</v>
      </c>
      <c r="G728" s="43" t="n">
        <v>14981</v>
      </c>
      <c r="H728" s="43" t="n">
        <v>21846</v>
      </c>
      <c r="I728" s="43" t="n">
        <v>6230</v>
      </c>
      <c r="J728" s="43" t="n">
        <v>14211</v>
      </c>
      <c r="K728" s="42" t="inlineStr">
        <is>
          <t>US Senate</t>
        </is>
      </c>
      <c r="L728" s="43" t="n">
        <v>4617</v>
      </c>
      <c r="M728" s="43" t="n">
        <v>10698</v>
      </c>
      <c r="N728" s="43" t="n">
        <v>15744</v>
      </c>
      <c r="O728" s="44">
        <f>IFERROR((F728-G728)/(F728+G728),"")</f>
        <v/>
      </c>
      <c r="P728" s="44">
        <f>IFERROR((I728-J728)/(I728+J728),"")</f>
        <v/>
      </c>
      <c r="Q728" s="45">
        <f>IFERROR(O728-P728,"")</f>
        <v/>
      </c>
      <c r="R728" s="44">
        <f>IFERROR((L728-M728)/(L728+M728),"")</f>
        <v/>
      </c>
      <c r="S728" s="46">
        <f>H728/SUMIFS(Counties!$H$2:$H$1583,Counties!$A$2:$A$1583,$A728)</f>
        <v/>
      </c>
      <c r="T728" s="44">
        <f>O728+INDEX(Dashboard!$F$6:$F$22,MATCH($A728,Dashboard!$A$6:$A$22,0))</f>
        <v/>
      </c>
      <c r="U728" s="43">
        <f>AQ728*INDEX(Dashboard!$G$6:$G$22,MATCH($A728,Dashboard!$A$6:$A$22,0))</f>
        <v/>
      </c>
      <c r="V728" s="47" t="n"/>
      <c r="W728" s="47" t="n"/>
      <c r="X728" s="47" t="n"/>
      <c r="Y728" s="48" t="n"/>
      <c r="Z728" s="49" t="n"/>
      <c r="AA728" s="49" t="n"/>
      <c r="AB728" s="49" t="n"/>
      <c r="AC728" s="50" t="n"/>
      <c r="AD728" s="43">
        <f>IF(Z728&lt;&gt;"",Z728,N(V728))</f>
        <v/>
      </c>
      <c r="AE728" s="43">
        <f>IF(AA728&lt;&gt;"",AA728,N(W728))</f>
        <v/>
      </c>
      <c r="AF728" s="43">
        <f>AD728+AE728</f>
        <v/>
      </c>
      <c r="AG728" s="42">
        <f>IF(UPPER(AC728)="Y",1,IF(AF728=0,0,IF(AND(Z728="",Y728&lt;&gt;""),IF(Y728&gt;=0.999,1,0),IF(AF728&gt;=U728,1,0))))</f>
        <v/>
      </c>
      <c r="AH728" s="44">
        <f>IF(AF728&gt;0,(AD728-AE728)/AF728,"")</f>
        <v/>
      </c>
      <c r="AI728" s="45">
        <f>IF(AG728=1,AH728-O728,"")</f>
        <v/>
      </c>
      <c r="AJ728" s="44">
        <f>IF(AG728=1,AH728,MAX(-1,MIN(1,O728+INDEX(Types!$H:$H,MATCH($A728&amp;"|"&amp;$D728,Types!$A:$A,0)))))</f>
        <v/>
      </c>
      <c r="AK728" s="43">
        <f>IF(AG728=1,AF728,MAX(AQ728*AS728,AF728))</f>
        <v/>
      </c>
      <c r="AL728" s="43">
        <f>IF(AG728=1,AD728,AK728*(1+AJ728)/2)</f>
        <v/>
      </c>
      <c r="AM728" s="43">
        <f>IF(AG728=1,AE728,AK728*(1-AJ728)/2)</f>
        <v/>
      </c>
      <c r="AN728" s="45">
        <f>IF(AH728="","",AH728-T728)</f>
        <v/>
      </c>
      <c r="AO728" s="51">
        <f>IF(AG728=1,1,IF(U728&gt;0,MIN(AF728/U728,0.99),0))</f>
        <v/>
      </c>
      <c r="AP728" s="43">
        <f>IF(AG728=1,AI728*AF728,0)</f>
        <v/>
      </c>
      <c r="AQ728" s="43">
        <f>N728*(F728+G728)/H728</f>
        <v/>
      </c>
      <c r="AR728" s="43">
        <f>O728*AQ728</f>
        <v/>
      </c>
      <c r="AS728" s="52">
        <f>IF(AG728=1,IF(AQ728&gt;0,AF728/AQ728,1),IFERROR(INDEX(Types!$K:$K,MATCH($A728&amp;"|"&amp;$D728,Types!$A:$A,0)),INDEX(Dashboard!$X$6:$X$22,MATCH($A728,Dashboard!$A$6:$A$22,0))))</f>
        <v/>
      </c>
      <c r="AT728" s="43">
        <f>AQ728*INDEX(Dashboard!$Y$6:$Y$22,MATCH($A728,Dashboard!$A$6:$A$22,0))</f>
        <v/>
      </c>
      <c r="AU728" s="53">
        <f>IF(AND(AG728=1,AT728&gt;0,AF728&gt;0),100*AF728/AT728,"")</f>
        <v/>
      </c>
      <c r="AV728" s="44">
        <f>IF(AU728="","",T728/(AU728/100))</f>
        <v/>
      </c>
      <c r="AW728" s="53">
        <f>IF(AU728="","",IF(AND(ABS(AH728)&gt;=0.1,ABS(T728)&gt;=0.05,SIGN(AH728)=SIGN(T728)),100*T728/AH728,""))</f>
        <v/>
      </c>
      <c r="AX728" s="45">
        <f>IF(AU728="","",T728-AV728)</f>
        <v/>
      </c>
      <c r="AY728" s="45">
        <f>IF(AU728="","",AH728-AV728)</f>
        <v/>
      </c>
      <c r="AZ728" s="54">
        <f>(AL728-AM728)-T728*AT728</f>
        <v/>
      </c>
      <c r="BA728" s="43">
        <f>IF(AU728="",0,(AH728-T728)*AF728)</f>
        <v/>
      </c>
      <c r="BB728" s="43">
        <f>IF(AU728="",0,T728*(AF728-AT728))</f>
        <v/>
      </c>
      <c r="BC728" s="51" t="n">
        <v>0.01413620743517651</v>
      </c>
      <c r="BD728" s="51" t="n">
        <v>0.1020514422576278</v>
      </c>
      <c r="BE728" s="51" t="n">
        <v>0.2456227404834479</v>
      </c>
      <c r="BF728" s="43" t="n">
        <v>38412</v>
      </c>
    </row>
    <row r="729">
      <c r="A729" s="42" t="inlineStr">
        <is>
          <t>NC</t>
        </is>
      </c>
      <c r="B729" s="42" t="inlineStr">
        <is>
          <t>37115</t>
        </is>
      </c>
      <c r="C729" s="42" t="inlineStr">
        <is>
          <t>Madison</t>
        </is>
      </c>
      <c r="D729" s="42" t="inlineStr">
        <is>
          <t>Small town &amp; rural</t>
        </is>
      </c>
      <c r="E729" s="42" t="inlineStr"/>
      <c r="F729" s="43" t="n">
        <v>5090</v>
      </c>
      <c r="G729" s="43" t="n">
        <v>8275</v>
      </c>
      <c r="H729" s="43" t="n">
        <v>13561</v>
      </c>
      <c r="I729" s="43" t="n">
        <v>4901</v>
      </c>
      <c r="J729" s="43" t="n">
        <v>7979</v>
      </c>
      <c r="K729" s="42" t="inlineStr">
        <is>
          <t>US Senate</t>
        </is>
      </c>
      <c r="L729" s="43" t="n">
        <v>3959</v>
      </c>
      <c r="M729" s="43" t="n">
        <v>5797</v>
      </c>
      <c r="N729" s="43" t="n">
        <v>10101</v>
      </c>
      <c r="O729" s="44">
        <f>IFERROR((F729-G729)/(F729+G729),"")</f>
        <v/>
      </c>
      <c r="P729" s="44">
        <f>IFERROR((I729-J729)/(I729+J729),"")</f>
        <v/>
      </c>
      <c r="Q729" s="45">
        <f>IFERROR(O729-P729,"")</f>
        <v/>
      </c>
      <c r="R729" s="44">
        <f>IFERROR((L729-M729)/(L729+M729),"")</f>
        <v/>
      </c>
      <c r="S729" s="46">
        <f>H729/SUMIFS(Counties!$H$2:$H$1583,Counties!$A$2:$A$1583,$A729)</f>
        <v/>
      </c>
      <c r="T729" s="44">
        <f>O729+INDEX(Dashboard!$F$6:$F$22,MATCH($A729,Dashboard!$A$6:$A$22,0))</f>
        <v/>
      </c>
      <c r="U729" s="43">
        <f>AQ729*INDEX(Dashboard!$G$6:$G$22,MATCH($A729,Dashboard!$A$6:$A$22,0))</f>
        <v/>
      </c>
      <c r="V729" s="47" t="n"/>
      <c r="W729" s="47" t="n"/>
      <c r="X729" s="47" t="n"/>
      <c r="Y729" s="48" t="n"/>
      <c r="Z729" s="49" t="n"/>
      <c r="AA729" s="49" t="n"/>
      <c r="AB729" s="49" t="n"/>
      <c r="AC729" s="50" t="n"/>
      <c r="AD729" s="43">
        <f>IF(Z729&lt;&gt;"",Z729,N(V729))</f>
        <v/>
      </c>
      <c r="AE729" s="43">
        <f>IF(AA729&lt;&gt;"",AA729,N(W729))</f>
        <v/>
      </c>
      <c r="AF729" s="43">
        <f>AD729+AE729</f>
        <v/>
      </c>
      <c r="AG729" s="42">
        <f>IF(UPPER(AC729)="Y",1,IF(AF729=0,0,IF(AND(Z729="",Y729&lt;&gt;""),IF(Y729&gt;=0.999,1,0),IF(AF729&gt;=U729,1,0))))</f>
        <v/>
      </c>
      <c r="AH729" s="44">
        <f>IF(AF729&gt;0,(AD729-AE729)/AF729,"")</f>
        <v/>
      </c>
      <c r="AI729" s="45">
        <f>IF(AG729=1,AH729-O729,"")</f>
        <v/>
      </c>
      <c r="AJ729" s="44">
        <f>IF(AG729=1,AH729,MAX(-1,MIN(1,O729+INDEX(Types!$H:$H,MATCH($A729&amp;"|"&amp;$D729,Types!$A:$A,0)))))</f>
        <v/>
      </c>
      <c r="AK729" s="43">
        <f>IF(AG729=1,AF729,MAX(AQ729*AS729,AF729))</f>
        <v/>
      </c>
      <c r="AL729" s="43">
        <f>IF(AG729=1,AD729,AK729*(1+AJ729)/2)</f>
        <v/>
      </c>
      <c r="AM729" s="43">
        <f>IF(AG729=1,AE729,AK729*(1-AJ729)/2)</f>
        <v/>
      </c>
      <c r="AN729" s="45">
        <f>IF(AH729="","",AH729-T729)</f>
        <v/>
      </c>
      <c r="AO729" s="51">
        <f>IF(AG729=1,1,IF(U729&gt;0,MIN(AF729/U729,0.99),0))</f>
        <v/>
      </c>
      <c r="AP729" s="43">
        <f>IF(AG729=1,AI729*AF729,0)</f>
        <v/>
      </c>
      <c r="AQ729" s="43">
        <f>N729*(F729+G729)/H729</f>
        <v/>
      </c>
      <c r="AR729" s="43">
        <f>O729*AQ729</f>
        <v/>
      </c>
      <c r="AS729" s="52">
        <f>IF(AG729=1,IF(AQ729&gt;0,AF729/AQ729,1),IFERROR(INDEX(Types!$K:$K,MATCH($A729&amp;"|"&amp;$D729,Types!$A:$A,0)),INDEX(Dashboard!$X$6:$X$22,MATCH($A729,Dashboard!$A$6:$A$22,0))))</f>
        <v/>
      </c>
      <c r="AT729" s="43">
        <f>AQ729*INDEX(Dashboard!$Y$6:$Y$22,MATCH($A729,Dashboard!$A$6:$A$22,0))</f>
        <v/>
      </c>
      <c r="AU729" s="53">
        <f>IF(AND(AG729=1,AT729&gt;0,AF729&gt;0),100*AF729/AT729,"")</f>
        <v/>
      </c>
      <c r="AV729" s="44">
        <f>IF(AU729="","",T729/(AU729/100))</f>
        <v/>
      </c>
      <c r="AW729" s="53">
        <f>IF(AU729="","",IF(AND(ABS(AH729)&gt;=0.1,ABS(T729)&gt;=0.05,SIGN(AH729)=SIGN(T729)),100*T729/AH729,""))</f>
        <v/>
      </c>
      <c r="AX729" s="45">
        <f>IF(AU729="","",T729-AV729)</f>
        <v/>
      </c>
      <c r="AY729" s="45">
        <f>IF(AU729="","",AH729-AV729)</f>
        <v/>
      </c>
      <c r="AZ729" s="54">
        <f>(AL729-AM729)-T729*AT729</f>
        <v/>
      </c>
      <c r="BA729" s="43">
        <f>IF(AU729="",0,(AH729-T729)*AF729)</f>
        <v/>
      </c>
      <c r="BB729" s="43">
        <f>IF(AU729="",0,T729*(AF729-AT729))</f>
        <v/>
      </c>
      <c r="BC729" s="51" t="n">
        <v>0.01549544651352453</v>
      </c>
      <c r="BD729" s="51" t="n">
        <v>0.03787775814417108</v>
      </c>
      <c r="BE729" s="51" t="n">
        <v>0.314703080342966</v>
      </c>
      <c r="BF729" s="43" t="n">
        <v>22071</v>
      </c>
    </row>
    <row r="730">
      <c r="A730" s="42" t="inlineStr">
        <is>
          <t>NC</t>
        </is>
      </c>
      <c r="B730" s="42" t="inlineStr">
        <is>
          <t>37117</t>
        </is>
      </c>
      <c r="C730" s="42" t="inlineStr">
        <is>
          <t>Martin</t>
        </is>
      </c>
      <c r="D730" s="42" t="inlineStr">
        <is>
          <t>Black Belt</t>
        </is>
      </c>
      <c r="E730" s="42" t="inlineStr"/>
      <c r="F730" s="43" t="n">
        <v>5360</v>
      </c>
      <c r="G730" s="43" t="n">
        <v>6601</v>
      </c>
      <c r="H730" s="43" t="n">
        <v>12028</v>
      </c>
      <c r="I730" s="43" t="n">
        <v>5911</v>
      </c>
      <c r="J730" s="43" t="n">
        <v>6532</v>
      </c>
      <c r="K730" s="42" t="inlineStr">
        <is>
          <t>US Senate</t>
        </is>
      </c>
      <c r="L730" s="43" t="n">
        <v>3841</v>
      </c>
      <c r="M730" s="43" t="n">
        <v>4717</v>
      </c>
      <c r="N730" s="43" t="n">
        <v>8746</v>
      </c>
      <c r="O730" s="44">
        <f>IFERROR((F730-G730)/(F730+G730),"")</f>
        <v/>
      </c>
      <c r="P730" s="44">
        <f>IFERROR((I730-J730)/(I730+J730),"")</f>
        <v/>
      </c>
      <c r="Q730" s="45">
        <f>IFERROR(O730-P730,"")</f>
        <v/>
      </c>
      <c r="R730" s="44">
        <f>IFERROR((L730-M730)/(L730+M730),"")</f>
        <v/>
      </c>
      <c r="S730" s="46">
        <f>H730/SUMIFS(Counties!$H$2:$H$1583,Counties!$A$2:$A$1583,$A730)</f>
        <v/>
      </c>
      <c r="T730" s="44">
        <f>O730+INDEX(Dashboard!$F$6:$F$22,MATCH($A730,Dashboard!$A$6:$A$22,0))</f>
        <v/>
      </c>
      <c r="U730" s="43">
        <f>AQ730*INDEX(Dashboard!$G$6:$G$22,MATCH($A730,Dashboard!$A$6:$A$22,0))</f>
        <v/>
      </c>
      <c r="V730" s="47" t="n"/>
      <c r="W730" s="47" t="n"/>
      <c r="X730" s="47" t="n"/>
      <c r="Y730" s="48" t="n"/>
      <c r="Z730" s="49" t="n"/>
      <c r="AA730" s="49" t="n"/>
      <c r="AB730" s="49" t="n"/>
      <c r="AC730" s="50" t="n"/>
      <c r="AD730" s="43">
        <f>IF(Z730&lt;&gt;"",Z730,N(V730))</f>
        <v/>
      </c>
      <c r="AE730" s="43">
        <f>IF(AA730&lt;&gt;"",AA730,N(W730))</f>
        <v/>
      </c>
      <c r="AF730" s="43">
        <f>AD730+AE730</f>
        <v/>
      </c>
      <c r="AG730" s="42">
        <f>IF(UPPER(AC730)="Y",1,IF(AF730=0,0,IF(AND(Z730="",Y730&lt;&gt;""),IF(Y730&gt;=0.999,1,0),IF(AF730&gt;=U730,1,0))))</f>
        <v/>
      </c>
      <c r="AH730" s="44">
        <f>IF(AF730&gt;0,(AD730-AE730)/AF730,"")</f>
        <v/>
      </c>
      <c r="AI730" s="45">
        <f>IF(AG730=1,AH730-O730,"")</f>
        <v/>
      </c>
      <c r="AJ730" s="44">
        <f>IF(AG730=1,AH730,MAX(-1,MIN(1,O730+INDEX(Types!$H:$H,MATCH($A730&amp;"|"&amp;$D730,Types!$A:$A,0)))))</f>
        <v/>
      </c>
      <c r="AK730" s="43">
        <f>IF(AG730=1,AF730,MAX(AQ730*AS730,AF730))</f>
        <v/>
      </c>
      <c r="AL730" s="43">
        <f>IF(AG730=1,AD730,AK730*(1+AJ730)/2)</f>
        <v/>
      </c>
      <c r="AM730" s="43">
        <f>IF(AG730=1,AE730,AK730*(1-AJ730)/2)</f>
        <v/>
      </c>
      <c r="AN730" s="45">
        <f>IF(AH730="","",AH730-T730)</f>
        <v/>
      </c>
      <c r="AO730" s="51">
        <f>IF(AG730=1,1,IF(U730&gt;0,MIN(AF730/U730,0.99),0))</f>
        <v/>
      </c>
      <c r="AP730" s="43">
        <f>IF(AG730=1,AI730*AF730,0)</f>
        <v/>
      </c>
      <c r="AQ730" s="43">
        <f>N730*(F730+G730)/H730</f>
        <v/>
      </c>
      <c r="AR730" s="43">
        <f>O730*AQ730</f>
        <v/>
      </c>
      <c r="AS730" s="52">
        <f>IF(AG730=1,IF(AQ730&gt;0,AF730/AQ730,1),IFERROR(INDEX(Types!$K:$K,MATCH($A730&amp;"|"&amp;$D730,Types!$A:$A,0)),INDEX(Dashboard!$X$6:$X$22,MATCH($A730,Dashboard!$A$6:$A$22,0))))</f>
        <v/>
      </c>
      <c r="AT730" s="43">
        <f>AQ730*INDEX(Dashboard!$Y$6:$Y$22,MATCH($A730,Dashboard!$A$6:$A$22,0))</f>
        <v/>
      </c>
      <c r="AU730" s="53">
        <f>IF(AND(AG730=1,AT730&gt;0,AF730&gt;0),100*AF730/AT730,"")</f>
        <v/>
      </c>
      <c r="AV730" s="44">
        <f>IF(AU730="","",T730/(AU730/100))</f>
        <v/>
      </c>
      <c r="AW730" s="53">
        <f>IF(AU730="","",IF(AND(ABS(AH730)&gt;=0.1,ABS(T730)&gt;=0.05,SIGN(AH730)=SIGN(T730)),100*T730/AH730,""))</f>
        <v/>
      </c>
      <c r="AX730" s="45">
        <f>IF(AU730="","",T730-AV730)</f>
        <v/>
      </c>
      <c r="AY730" s="45">
        <f>IF(AU730="","",AH730-AV730)</f>
        <v/>
      </c>
      <c r="AZ730" s="54">
        <f>(AL730-AM730)-T730*AT730</f>
        <v/>
      </c>
      <c r="BA730" s="43">
        <f>IF(AU730="",0,(AH730-T730)*AF730)</f>
        <v/>
      </c>
      <c r="BB730" s="43">
        <f>IF(AU730="",0,T730*(AF730-AT730))</f>
        <v/>
      </c>
      <c r="BC730" s="51" t="n">
        <v>0.408075721546137</v>
      </c>
      <c r="BD730" s="51" t="n">
        <v>0.04499463794470089</v>
      </c>
      <c r="BE730" s="51" t="n">
        <v>0.151492255383453</v>
      </c>
      <c r="BF730" s="43" t="n">
        <v>21447</v>
      </c>
    </row>
    <row r="731">
      <c r="A731" s="42" t="inlineStr">
        <is>
          <t>NC</t>
        </is>
      </c>
      <c r="B731" s="42" t="inlineStr">
        <is>
          <t>37111</t>
        </is>
      </c>
      <c r="C731" s="42" t="inlineStr">
        <is>
          <t>McDowell</t>
        </is>
      </c>
      <c r="D731" s="42" t="inlineStr">
        <is>
          <t>Small town &amp; rural</t>
        </is>
      </c>
      <c r="E731" s="42" t="inlineStr"/>
      <c r="F731" s="43" t="n">
        <v>5911</v>
      </c>
      <c r="G731" s="43" t="n">
        <v>17520</v>
      </c>
      <c r="H731" s="43" t="n">
        <v>23600</v>
      </c>
      <c r="I731" s="43" t="n">
        <v>5832</v>
      </c>
      <c r="J731" s="43" t="n">
        <v>16883</v>
      </c>
      <c r="K731" s="42" t="inlineStr">
        <is>
          <t>US Senate</t>
        </is>
      </c>
      <c r="L731" s="43" t="n">
        <v>3895</v>
      </c>
      <c r="M731" s="43" t="n">
        <v>11776</v>
      </c>
      <c r="N731" s="43" t="n">
        <v>16086</v>
      </c>
      <c r="O731" s="44">
        <f>IFERROR((F731-G731)/(F731+G731),"")</f>
        <v/>
      </c>
      <c r="P731" s="44">
        <f>IFERROR((I731-J731)/(I731+J731),"")</f>
        <v/>
      </c>
      <c r="Q731" s="45">
        <f>IFERROR(O731-P731,"")</f>
        <v/>
      </c>
      <c r="R731" s="44">
        <f>IFERROR((L731-M731)/(L731+M731),"")</f>
        <v/>
      </c>
      <c r="S731" s="46">
        <f>H731/SUMIFS(Counties!$H$2:$H$1583,Counties!$A$2:$A$1583,$A731)</f>
        <v/>
      </c>
      <c r="T731" s="44">
        <f>O731+INDEX(Dashboard!$F$6:$F$22,MATCH($A731,Dashboard!$A$6:$A$22,0))</f>
        <v/>
      </c>
      <c r="U731" s="43">
        <f>AQ731*INDEX(Dashboard!$G$6:$G$22,MATCH($A731,Dashboard!$A$6:$A$22,0))</f>
        <v/>
      </c>
      <c r="V731" s="47" t="n"/>
      <c r="W731" s="47" t="n"/>
      <c r="X731" s="47" t="n"/>
      <c r="Y731" s="48" t="n"/>
      <c r="Z731" s="49" t="n"/>
      <c r="AA731" s="49" t="n"/>
      <c r="AB731" s="49" t="n"/>
      <c r="AC731" s="50" t="n"/>
      <c r="AD731" s="43">
        <f>IF(Z731&lt;&gt;"",Z731,N(V731))</f>
        <v/>
      </c>
      <c r="AE731" s="43">
        <f>IF(AA731&lt;&gt;"",AA731,N(W731))</f>
        <v/>
      </c>
      <c r="AF731" s="43">
        <f>AD731+AE731</f>
        <v/>
      </c>
      <c r="AG731" s="42">
        <f>IF(UPPER(AC731)="Y",1,IF(AF731=0,0,IF(AND(Z731="",Y731&lt;&gt;""),IF(Y731&gt;=0.999,1,0),IF(AF731&gt;=U731,1,0))))</f>
        <v/>
      </c>
      <c r="AH731" s="44">
        <f>IF(AF731&gt;0,(AD731-AE731)/AF731,"")</f>
        <v/>
      </c>
      <c r="AI731" s="45">
        <f>IF(AG731=1,AH731-O731,"")</f>
        <v/>
      </c>
      <c r="AJ731" s="44">
        <f>IF(AG731=1,AH731,MAX(-1,MIN(1,O731+INDEX(Types!$H:$H,MATCH($A731&amp;"|"&amp;$D731,Types!$A:$A,0)))))</f>
        <v/>
      </c>
      <c r="AK731" s="43">
        <f>IF(AG731=1,AF731,MAX(AQ731*AS731,AF731))</f>
        <v/>
      </c>
      <c r="AL731" s="43">
        <f>IF(AG731=1,AD731,AK731*(1+AJ731)/2)</f>
        <v/>
      </c>
      <c r="AM731" s="43">
        <f>IF(AG731=1,AE731,AK731*(1-AJ731)/2)</f>
        <v/>
      </c>
      <c r="AN731" s="45">
        <f>IF(AH731="","",AH731-T731)</f>
        <v/>
      </c>
      <c r="AO731" s="51">
        <f>IF(AG731=1,1,IF(U731&gt;0,MIN(AF731/U731,0.99),0))</f>
        <v/>
      </c>
      <c r="AP731" s="43">
        <f>IF(AG731=1,AI731*AF731,0)</f>
        <v/>
      </c>
      <c r="AQ731" s="43">
        <f>N731*(F731+G731)/H731</f>
        <v/>
      </c>
      <c r="AR731" s="43">
        <f>O731*AQ731</f>
        <v/>
      </c>
      <c r="AS731" s="52">
        <f>IF(AG731=1,IF(AQ731&gt;0,AF731/AQ731,1),IFERROR(INDEX(Types!$K:$K,MATCH($A731&amp;"|"&amp;$D731,Types!$A:$A,0)),INDEX(Dashboard!$X$6:$X$22,MATCH($A731,Dashboard!$A$6:$A$22,0))))</f>
        <v/>
      </c>
      <c r="AT731" s="43">
        <f>AQ731*INDEX(Dashboard!$Y$6:$Y$22,MATCH($A731,Dashboard!$A$6:$A$22,0))</f>
        <v/>
      </c>
      <c r="AU731" s="53">
        <f>IF(AND(AG731=1,AT731&gt;0,AF731&gt;0),100*AF731/AT731,"")</f>
        <v/>
      </c>
      <c r="AV731" s="44">
        <f>IF(AU731="","",T731/(AU731/100))</f>
        <v/>
      </c>
      <c r="AW731" s="53">
        <f>IF(AU731="","",IF(AND(ABS(AH731)&gt;=0.1,ABS(T731)&gt;=0.05,SIGN(AH731)=SIGN(T731)),100*T731/AH731,""))</f>
        <v/>
      </c>
      <c r="AX731" s="45">
        <f>IF(AU731="","",T731-AV731)</f>
        <v/>
      </c>
      <c r="AY731" s="45">
        <f>IF(AU731="","",AH731-AV731)</f>
        <v/>
      </c>
      <c r="AZ731" s="54">
        <f>(AL731-AM731)-T731*AT731</f>
        <v/>
      </c>
      <c r="BA731" s="43">
        <f>IF(AU731="",0,(AH731-T731)*AF731)</f>
        <v/>
      </c>
      <c r="BB731" s="43">
        <f>IF(AU731="",0,T731*(AF731-AT731))</f>
        <v/>
      </c>
      <c r="BC731" s="51" t="n">
        <v>0.03900385360746664</v>
      </c>
      <c r="BD731" s="51" t="n">
        <v>0.07081282159802196</v>
      </c>
      <c r="BE731" s="51" t="n">
        <v>0.1755690161527166</v>
      </c>
      <c r="BF731" s="43" t="n">
        <v>44893</v>
      </c>
    </row>
    <row r="732">
      <c r="A732" s="42" t="inlineStr">
        <is>
          <t>NC</t>
        </is>
      </c>
      <c r="B732" s="42" t="inlineStr">
        <is>
          <t>37119</t>
        </is>
      </c>
      <c r="C732" s="42" t="inlineStr">
        <is>
          <t>Mecklenburg</t>
        </is>
      </c>
      <c r="D732" s="42" t="inlineStr">
        <is>
          <t>Big metro core</t>
        </is>
      </c>
      <c r="E732" s="42" t="inlineStr">
        <is>
          <t>★</t>
        </is>
      </c>
      <c r="F732" s="43" t="n">
        <v>376454</v>
      </c>
      <c r="G732" s="43" t="n">
        <v>187770</v>
      </c>
      <c r="H732" s="43" t="n">
        <v>573679</v>
      </c>
      <c r="I732" s="43" t="n">
        <v>378107</v>
      </c>
      <c r="J732" s="43" t="n">
        <v>179211</v>
      </c>
      <c r="K732" s="42" t="inlineStr">
        <is>
          <t>US Senate</t>
        </is>
      </c>
      <c r="L732" s="43" t="n">
        <v>234787</v>
      </c>
      <c r="M732" s="43" t="n">
        <v>117742</v>
      </c>
      <c r="N732" s="43" t="n">
        <v>360294</v>
      </c>
      <c r="O732" s="44">
        <f>IFERROR((F732-G732)/(F732+G732),"")</f>
        <v/>
      </c>
      <c r="P732" s="44">
        <f>IFERROR((I732-J732)/(I732+J732),"")</f>
        <v/>
      </c>
      <c r="Q732" s="45">
        <f>IFERROR(O732-P732,"")</f>
        <v/>
      </c>
      <c r="R732" s="44">
        <f>IFERROR((L732-M732)/(L732+M732),"")</f>
        <v/>
      </c>
      <c r="S732" s="46">
        <f>H732/SUMIFS(Counties!$H$2:$H$1583,Counties!$A$2:$A$1583,$A732)</f>
        <v/>
      </c>
      <c r="T732" s="44">
        <f>O732+INDEX(Dashboard!$F$6:$F$22,MATCH($A732,Dashboard!$A$6:$A$22,0))</f>
        <v/>
      </c>
      <c r="U732" s="43">
        <f>AQ732*INDEX(Dashboard!$G$6:$G$22,MATCH($A732,Dashboard!$A$6:$A$22,0))</f>
        <v/>
      </c>
      <c r="V732" s="47" t="n"/>
      <c r="W732" s="47" t="n"/>
      <c r="X732" s="47" t="n"/>
      <c r="Y732" s="48" t="n"/>
      <c r="Z732" s="49" t="n"/>
      <c r="AA732" s="49" t="n"/>
      <c r="AB732" s="49" t="n"/>
      <c r="AC732" s="50" t="n"/>
      <c r="AD732" s="43">
        <f>IF(Z732&lt;&gt;"",Z732,N(V732))</f>
        <v/>
      </c>
      <c r="AE732" s="43">
        <f>IF(AA732&lt;&gt;"",AA732,N(W732))</f>
        <v/>
      </c>
      <c r="AF732" s="43">
        <f>AD732+AE732</f>
        <v/>
      </c>
      <c r="AG732" s="42">
        <f>IF(UPPER(AC732)="Y",1,IF(AF732=0,0,IF(AND(Z732="",Y732&lt;&gt;""),IF(Y732&gt;=0.999,1,0),IF(AF732&gt;=U732,1,0))))</f>
        <v/>
      </c>
      <c r="AH732" s="44">
        <f>IF(AF732&gt;0,(AD732-AE732)/AF732,"")</f>
        <v/>
      </c>
      <c r="AI732" s="45">
        <f>IF(AG732=1,AH732-O732,"")</f>
        <v/>
      </c>
      <c r="AJ732" s="44">
        <f>IF(AG732=1,AH732,MAX(-1,MIN(1,O732+INDEX(Types!$H:$H,MATCH($A732&amp;"|"&amp;$D732,Types!$A:$A,0)))))</f>
        <v/>
      </c>
      <c r="AK732" s="43">
        <f>IF(AG732=1,AF732,MAX(AQ732*AS732,AF732))</f>
        <v/>
      </c>
      <c r="AL732" s="43">
        <f>IF(AG732=1,AD732,AK732*(1+AJ732)/2)</f>
        <v/>
      </c>
      <c r="AM732" s="43">
        <f>IF(AG732=1,AE732,AK732*(1-AJ732)/2)</f>
        <v/>
      </c>
      <c r="AN732" s="45">
        <f>IF(AH732="","",AH732-T732)</f>
        <v/>
      </c>
      <c r="AO732" s="51">
        <f>IF(AG732=1,1,IF(U732&gt;0,MIN(AF732/U732,0.99),0))</f>
        <v/>
      </c>
      <c r="AP732" s="43">
        <f>IF(AG732=1,AI732*AF732,0)</f>
        <v/>
      </c>
      <c r="AQ732" s="43">
        <f>N732*(F732+G732)/H732</f>
        <v/>
      </c>
      <c r="AR732" s="43">
        <f>O732*AQ732</f>
        <v/>
      </c>
      <c r="AS732" s="52">
        <f>IF(AG732=1,IF(AQ732&gt;0,AF732/AQ732,1),IFERROR(INDEX(Types!$K:$K,MATCH($A732&amp;"|"&amp;$D732,Types!$A:$A,0)),INDEX(Dashboard!$X$6:$X$22,MATCH($A732,Dashboard!$A$6:$A$22,0))))</f>
        <v/>
      </c>
      <c r="AT732" s="43">
        <f>AQ732*INDEX(Dashboard!$Y$6:$Y$22,MATCH($A732,Dashboard!$A$6:$A$22,0))</f>
        <v/>
      </c>
      <c r="AU732" s="53">
        <f>IF(AND(AG732=1,AT732&gt;0,AF732&gt;0),100*AF732/AT732,"")</f>
        <v/>
      </c>
      <c r="AV732" s="44">
        <f>IF(AU732="","",T732/(AU732/100))</f>
        <v/>
      </c>
      <c r="AW732" s="53">
        <f>IF(AU732="","",IF(AND(ABS(AH732)&gt;=0.1,ABS(T732)&gt;=0.05,SIGN(AH732)=SIGN(T732)),100*T732/AH732,""))</f>
        <v/>
      </c>
      <c r="AX732" s="45">
        <f>IF(AU732="","",T732-AV732)</f>
        <v/>
      </c>
      <c r="AY732" s="45">
        <f>IF(AU732="","",AH732-AV732)</f>
        <v/>
      </c>
      <c r="AZ732" s="54">
        <f>(AL732-AM732)-T732*AT732</f>
        <v/>
      </c>
      <c r="BA732" s="43">
        <f>IF(AU732="",0,(AH732-T732)*AF732)</f>
        <v/>
      </c>
      <c r="BB732" s="43">
        <f>IF(AU732="",0,T732*(AF732-AT732))</f>
        <v/>
      </c>
      <c r="BC732" s="51" t="n">
        <v>0.3099473146452568</v>
      </c>
      <c r="BD732" s="51" t="n">
        <v>0.1594473150749204</v>
      </c>
      <c r="BE732" s="51" t="n">
        <v>0.4860848327741535</v>
      </c>
      <c r="BF732" s="43" t="n">
        <v>1163701</v>
      </c>
    </row>
    <row r="733">
      <c r="A733" s="42" t="inlineStr">
        <is>
          <t>NC</t>
        </is>
      </c>
      <c r="B733" s="42" t="inlineStr">
        <is>
          <t>37121</t>
        </is>
      </c>
      <c r="C733" s="42" t="inlineStr">
        <is>
          <t>Mitchell</t>
        </is>
      </c>
      <c r="D733" s="42" t="inlineStr">
        <is>
          <t>Small town &amp; rural</t>
        </is>
      </c>
      <c r="E733" s="42" t="inlineStr"/>
      <c r="F733" s="43" t="n">
        <v>1915</v>
      </c>
      <c r="G733" s="43" t="n">
        <v>6843</v>
      </c>
      <c r="H733" s="43" t="n">
        <v>8821</v>
      </c>
      <c r="I733" s="43" t="n">
        <v>1867</v>
      </c>
      <c r="J733" s="43" t="n">
        <v>7090</v>
      </c>
      <c r="K733" s="42" t="inlineStr">
        <is>
          <t>US Senate</t>
        </is>
      </c>
      <c r="L733" s="43" t="n">
        <v>1353</v>
      </c>
      <c r="M733" s="43" t="n">
        <v>5024</v>
      </c>
      <c r="N733" s="43" t="n">
        <v>6532</v>
      </c>
      <c r="O733" s="44">
        <f>IFERROR((F733-G733)/(F733+G733),"")</f>
        <v/>
      </c>
      <c r="P733" s="44">
        <f>IFERROR((I733-J733)/(I733+J733),"")</f>
        <v/>
      </c>
      <c r="Q733" s="45">
        <f>IFERROR(O733-P733,"")</f>
        <v/>
      </c>
      <c r="R733" s="44">
        <f>IFERROR((L733-M733)/(L733+M733),"")</f>
        <v/>
      </c>
      <c r="S733" s="46">
        <f>H733/SUMIFS(Counties!$H$2:$H$1583,Counties!$A$2:$A$1583,$A733)</f>
        <v/>
      </c>
      <c r="T733" s="44">
        <f>O733+INDEX(Dashboard!$F$6:$F$22,MATCH($A733,Dashboard!$A$6:$A$22,0))</f>
        <v/>
      </c>
      <c r="U733" s="43">
        <f>AQ733*INDEX(Dashboard!$G$6:$G$22,MATCH($A733,Dashboard!$A$6:$A$22,0))</f>
        <v/>
      </c>
      <c r="V733" s="47" t="n"/>
      <c r="W733" s="47" t="n"/>
      <c r="X733" s="47" t="n"/>
      <c r="Y733" s="48" t="n"/>
      <c r="Z733" s="49" t="n"/>
      <c r="AA733" s="49" t="n"/>
      <c r="AB733" s="49" t="n"/>
      <c r="AC733" s="50" t="n"/>
      <c r="AD733" s="43">
        <f>IF(Z733&lt;&gt;"",Z733,N(V733))</f>
        <v/>
      </c>
      <c r="AE733" s="43">
        <f>IF(AA733&lt;&gt;"",AA733,N(W733))</f>
        <v/>
      </c>
      <c r="AF733" s="43">
        <f>AD733+AE733</f>
        <v/>
      </c>
      <c r="AG733" s="42">
        <f>IF(UPPER(AC733)="Y",1,IF(AF733=0,0,IF(AND(Z733="",Y733&lt;&gt;""),IF(Y733&gt;=0.999,1,0),IF(AF733&gt;=U733,1,0))))</f>
        <v/>
      </c>
      <c r="AH733" s="44">
        <f>IF(AF733&gt;0,(AD733-AE733)/AF733,"")</f>
        <v/>
      </c>
      <c r="AI733" s="45">
        <f>IF(AG733=1,AH733-O733,"")</f>
        <v/>
      </c>
      <c r="AJ733" s="44">
        <f>IF(AG733=1,AH733,MAX(-1,MIN(1,O733+INDEX(Types!$H:$H,MATCH($A733&amp;"|"&amp;$D733,Types!$A:$A,0)))))</f>
        <v/>
      </c>
      <c r="AK733" s="43">
        <f>IF(AG733=1,AF733,MAX(AQ733*AS733,AF733))</f>
        <v/>
      </c>
      <c r="AL733" s="43">
        <f>IF(AG733=1,AD733,AK733*(1+AJ733)/2)</f>
        <v/>
      </c>
      <c r="AM733" s="43">
        <f>IF(AG733=1,AE733,AK733*(1-AJ733)/2)</f>
        <v/>
      </c>
      <c r="AN733" s="45">
        <f>IF(AH733="","",AH733-T733)</f>
        <v/>
      </c>
      <c r="AO733" s="51">
        <f>IF(AG733=1,1,IF(U733&gt;0,MIN(AF733/U733,0.99),0))</f>
        <v/>
      </c>
      <c r="AP733" s="43">
        <f>IF(AG733=1,AI733*AF733,0)</f>
        <v/>
      </c>
      <c r="AQ733" s="43">
        <f>N733*(F733+G733)/H733</f>
        <v/>
      </c>
      <c r="AR733" s="43">
        <f>O733*AQ733</f>
        <v/>
      </c>
      <c r="AS733" s="52">
        <f>IF(AG733=1,IF(AQ733&gt;0,AF733/AQ733,1),IFERROR(INDEX(Types!$K:$K,MATCH($A733&amp;"|"&amp;$D733,Types!$A:$A,0)),INDEX(Dashboard!$X$6:$X$22,MATCH($A733,Dashboard!$A$6:$A$22,0))))</f>
        <v/>
      </c>
      <c r="AT733" s="43">
        <f>AQ733*INDEX(Dashboard!$Y$6:$Y$22,MATCH($A733,Dashboard!$A$6:$A$22,0))</f>
        <v/>
      </c>
      <c r="AU733" s="53">
        <f>IF(AND(AG733=1,AT733&gt;0,AF733&gt;0),100*AF733/AT733,"")</f>
        <v/>
      </c>
      <c r="AV733" s="44">
        <f>IF(AU733="","",T733/(AU733/100))</f>
        <v/>
      </c>
      <c r="AW733" s="53">
        <f>IF(AU733="","",IF(AND(ABS(AH733)&gt;=0.1,ABS(T733)&gt;=0.05,SIGN(AH733)=SIGN(T733)),100*T733/AH733,""))</f>
        <v/>
      </c>
      <c r="AX733" s="45">
        <f>IF(AU733="","",T733-AV733)</f>
        <v/>
      </c>
      <c r="AY733" s="45">
        <f>IF(AU733="","",AH733-AV733)</f>
        <v/>
      </c>
      <c r="AZ733" s="54">
        <f>(AL733-AM733)-T733*AT733</f>
        <v/>
      </c>
      <c r="BA733" s="43">
        <f>IF(AU733="",0,(AH733-T733)*AF733)</f>
        <v/>
      </c>
      <c r="BB733" s="43">
        <f>IF(AU733="",0,T733*(AF733-AT733))</f>
        <v/>
      </c>
      <c r="BC733" s="51" t="n">
        <v>0.00800053336889126</v>
      </c>
      <c r="BD733" s="51" t="n">
        <v>0.0579371958130542</v>
      </c>
      <c r="BE733" s="51" t="n">
        <v>0.2309619686800895</v>
      </c>
      <c r="BF733" s="43" t="n">
        <v>14999</v>
      </c>
    </row>
    <row r="734">
      <c r="A734" s="42" t="inlineStr">
        <is>
          <t>NC</t>
        </is>
      </c>
      <c r="B734" s="42" t="inlineStr">
        <is>
          <t>37123</t>
        </is>
      </c>
      <c r="C734" s="42" t="inlineStr">
        <is>
          <t>Montgomery</t>
        </is>
      </c>
      <c r="D734" s="42" t="inlineStr">
        <is>
          <t>Small town &amp; rural</t>
        </is>
      </c>
      <c r="E734" s="42" t="inlineStr"/>
      <c r="F734" s="43" t="n">
        <v>4055</v>
      </c>
      <c r="G734" s="43" t="n">
        <v>9044</v>
      </c>
      <c r="H734" s="43" t="n">
        <v>13188</v>
      </c>
      <c r="I734" s="43" t="n">
        <v>4327</v>
      </c>
      <c r="J734" s="43" t="n">
        <v>8411</v>
      </c>
      <c r="K734" s="42" t="inlineStr">
        <is>
          <t>US Senate</t>
        </is>
      </c>
      <c r="L734" s="43" t="n">
        <v>2667</v>
      </c>
      <c r="M734" s="43" t="n">
        <v>5834</v>
      </c>
      <c r="N734" s="43" t="n">
        <v>8684</v>
      </c>
      <c r="O734" s="44">
        <f>IFERROR((F734-G734)/(F734+G734),"")</f>
        <v/>
      </c>
      <c r="P734" s="44">
        <f>IFERROR((I734-J734)/(I734+J734),"")</f>
        <v/>
      </c>
      <c r="Q734" s="45">
        <f>IFERROR(O734-P734,"")</f>
        <v/>
      </c>
      <c r="R734" s="44">
        <f>IFERROR((L734-M734)/(L734+M734),"")</f>
        <v/>
      </c>
      <c r="S734" s="46">
        <f>H734/SUMIFS(Counties!$H$2:$H$1583,Counties!$A$2:$A$1583,$A734)</f>
        <v/>
      </c>
      <c r="T734" s="44">
        <f>O734+INDEX(Dashboard!$F$6:$F$22,MATCH($A734,Dashboard!$A$6:$A$22,0))</f>
        <v/>
      </c>
      <c r="U734" s="43">
        <f>AQ734*INDEX(Dashboard!$G$6:$G$22,MATCH($A734,Dashboard!$A$6:$A$22,0))</f>
        <v/>
      </c>
      <c r="V734" s="47" t="n"/>
      <c r="W734" s="47" t="n"/>
      <c r="X734" s="47" t="n"/>
      <c r="Y734" s="48" t="n"/>
      <c r="Z734" s="49" t="n"/>
      <c r="AA734" s="49" t="n"/>
      <c r="AB734" s="49" t="n"/>
      <c r="AC734" s="50" t="n"/>
      <c r="AD734" s="43">
        <f>IF(Z734&lt;&gt;"",Z734,N(V734))</f>
        <v/>
      </c>
      <c r="AE734" s="43">
        <f>IF(AA734&lt;&gt;"",AA734,N(W734))</f>
        <v/>
      </c>
      <c r="AF734" s="43">
        <f>AD734+AE734</f>
        <v/>
      </c>
      <c r="AG734" s="42">
        <f>IF(UPPER(AC734)="Y",1,IF(AF734=0,0,IF(AND(Z734="",Y734&lt;&gt;""),IF(Y734&gt;=0.999,1,0),IF(AF734&gt;=U734,1,0))))</f>
        <v/>
      </c>
      <c r="AH734" s="44">
        <f>IF(AF734&gt;0,(AD734-AE734)/AF734,"")</f>
        <v/>
      </c>
      <c r="AI734" s="45">
        <f>IF(AG734=1,AH734-O734,"")</f>
        <v/>
      </c>
      <c r="AJ734" s="44">
        <f>IF(AG734=1,AH734,MAX(-1,MIN(1,O734+INDEX(Types!$H:$H,MATCH($A734&amp;"|"&amp;$D734,Types!$A:$A,0)))))</f>
        <v/>
      </c>
      <c r="AK734" s="43">
        <f>IF(AG734=1,AF734,MAX(AQ734*AS734,AF734))</f>
        <v/>
      </c>
      <c r="AL734" s="43">
        <f>IF(AG734=1,AD734,AK734*(1+AJ734)/2)</f>
        <v/>
      </c>
      <c r="AM734" s="43">
        <f>IF(AG734=1,AE734,AK734*(1-AJ734)/2)</f>
        <v/>
      </c>
      <c r="AN734" s="45">
        <f>IF(AH734="","",AH734-T734)</f>
        <v/>
      </c>
      <c r="AO734" s="51">
        <f>IF(AG734=1,1,IF(U734&gt;0,MIN(AF734/U734,0.99),0))</f>
        <v/>
      </c>
      <c r="AP734" s="43">
        <f>IF(AG734=1,AI734*AF734,0)</f>
        <v/>
      </c>
      <c r="AQ734" s="43">
        <f>N734*(F734+G734)/H734</f>
        <v/>
      </c>
      <c r="AR734" s="43">
        <f>O734*AQ734</f>
        <v/>
      </c>
      <c r="AS734" s="52">
        <f>IF(AG734=1,IF(AQ734&gt;0,AF734/AQ734,1),IFERROR(INDEX(Types!$K:$K,MATCH($A734&amp;"|"&amp;$D734,Types!$A:$A,0)),INDEX(Dashboard!$X$6:$X$22,MATCH($A734,Dashboard!$A$6:$A$22,0))))</f>
        <v/>
      </c>
      <c r="AT734" s="43">
        <f>AQ734*INDEX(Dashboard!$Y$6:$Y$22,MATCH($A734,Dashboard!$A$6:$A$22,0))</f>
        <v/>
      </c>
      <c r="AU734" s="53">
        <f>IF(AND(AG734=1,AT734&gt;0,AF734&gt;0),100*AF734/AT734,"")</f>
        <v/>
      </c>
      <c r="AV734" s="44">
        <f>IF(AU734="","",T734/(AU734/100))</f>
        <v/>
      </c>
      <c r="AW734" s="53">
        <f>IF(AU734="","",IF(AND(ABS(AH734)&gt;=0.1,ABS(T734)&gt;=0.05,SIGN(AH734)=SIGN(T734)),100*T734/AH734,""))</f>
        <v/>
      </c>
      <c r="AX734" s="45">
        <f>IF(AU734="","",T734-AV734)</f>
        <v/>
      </c>
      <c r="AY734" s="45">
        <f>IF(AU734="","",AH734-AV734)</f>
        <v/>
      </c>
      <c r="AZ734" s="54">
        <f>(AL734-AM734)-T734*AT734</f>
        <v/>
      </c>
      <c r="BA734" s="43">
        <f>IF(AU734="",0,(AH734-T734)*AF734)</f>
        <v/>
      </c>
      <c r="BB734" s="43">
        <f>IF(AU734="",0,T734*(AF734-AT734))</f>
        <v/>
      </c>
      <c r="BC734" s="51" t="n">
        <v>0.1672608778991758</v>
      </c>
      <c r="BD734" s="51" t="n">
        <v>0.1590952654782442</v>
      </c>
      <c r="BE734" s="51" t="n">
        <v>0.1930653212387956</v>
      </c>
      <c r="BF734" s="43" t="n">
        <v>26085</v>
      </c>
    </row>
    <row r="735">
      <c r="A735" s="42" t="inlineStr">
        <is>
          <t>NC</t>
        </is>
      </c>
      <c r="B735" s="42" t="inlineStr">
        <is>
          <t>37125</t>
        </is>
      </c>
      <c r="C735" s="42" t="inlineStr">
        <is>
          <t>Moore</t>
        </is>
      </c>
      <c r="D735" s="42" t="inlineStr">
        <is>
          <t>College suburb/metro</t>
        </is>
      </c>
      <c r="E735" s="42" t="inlineStr"/>
      <c r="F735" s="43" t="n">
        <v>21436</v>
      </c>
      <c r="G735" s="43" t="n">
        <v>39617</v>
      </c>
      <c r="H735" s="43" t="n">
        <v>61590</v>
      </c>
      <c r="I735" s="43" t="n">
        <v>20779</v>
      </c>
      <c r="J735" s="43" t="n">
        <v>36764</v>
      </c>
      <c r="K735" s="42" t="inlineStr">
        <is>
          <t>US Senate</t>
        </is>
      </c>
      <c r="L735" s="43" t="n">
        <v>14586</v>
      </c>
      <c r="M735" s="43" t="n">
        <v>26874</v>
      </c>
      <c r="N735" s="43" t="n">
        <v>42316</v>
      </c>
      <c r="O735" s="44">
        <f>IFERROR((F735-G735)/(F735+G735),"")</f>
        <v/>
      </c>
      <c r="P735" s="44">
        <f>IFERROR((I735-J735)/(I735+J735),"")</f>
        <v/>
      </c>
      <c r="Q735" s="45">
        <f>IFERROR(O735-P735,"")</f>
        <v/>
      </c>
      <c r="R735" s="44">
        <f>IFERROR((L735-M735)/(L735+M735),"")</f>
        <v/>
      </c>
      <c r="S735" s="46">
        <f>H735/SUMIFS(Counties!$H$2:$H$1583,Counties!$A$2:$A$1583,$A735)</f>
        <v/>
      </c>
      <c r="T735" s="44">
        <f>O735+INDEX(Dashboard!$F$6:$F$22,MATCH($A735,Dashboard!$A$6:$A$22,0))</f>
        <v/>
      </c>
      <c r="U735" s="43">
        <f>AQ735*INDEX(Dashboard!$G$6:$G$22,MATCH($A735,Dashboard!$A$6:$A$22,0))</f>
        <v/>
      </c>
      <c r="V735" s="47" t="n"/>
      <c r="W735" s="47" t="n"/>
      <c r="X735" s="47" t="n"/>
      <c r="Y735" s="48" t="n"/>
      <c r="Z735" s="49" t="n"/>
      <c r="AA735" s="49" t="n"/>
      <c r="AB735" s="49" t="n"/>
      <c r="AC735" s="50" t="n"/>
      <c r="AD735" s="43">
        <f>IF(Z735&lt;&gt;"",Z735,N(V735))</f>
        <v/>
      </c>
      <c r="AE735" s="43">
        <f>IF(AA735&lt;&gt;"",AA735,N(W735))</f>
        <v/>
      </c>
      <c r="AF735" s="43">
        <f>AD735+AE735</f>
        <v/>
      </c>
      <c r="AG735" s="42">
        <f>IF(UPPER(AC735)="Y",1,IF(AF735=0,0,IF(AND(Z735="",Y735&lt;&gt;""),IF(Y735&gt;=0.999,1,0),IF(AF735&gt;=U735,1,0))))</f>
        <v/>
      </c>
      <c r="AH735" s="44">
        <f>IF(AF735&gt;0,(AD735-AE735)/AF735,"")</f>
        <v/>
      </c>
      <c r="AI735" s="45">
        <f>IF(AG735=1,AH735-O735,"")</f>
        <v/>
      </c>
      <c r="AJ735" s="44">
        <f>IF(AG735=1,AH735,MAX(-1,MIN(1,O735+INDEX(Types!$H:$H,MATCH($A735&amp;"|"&amp;$D735,Types!$A:$A,0)))))</f>
        <v/>
      </c>
      <c r="AK735" s="43">
        <f>IF(AG735=1,AF735,MAX(AQ735*AS735,AF735))</f>
        <v/>
      </c>
      <c r="AL735" s="43">
        <f>IF(AG735=1,AD735,AK735*(1+AJ735)/2)</f>
        <v/>
      </c>
      <c r="AM735" s="43">
        <f>IF(AG735=1,AE735,AK735*(1-AJ735)/2)</f>
        <v/>
      </c>
      <c r="AN735" s="45">
        <f>IF(AH735="","",AH735-T735)</f>
        <v/>
      </c>
      <c r="AO735" s="51">
        <f>IF(AG735=1,1,IF(U735&gt;0,MIN(AF735/U735,0.99),0))</f>
        <v/>
      </c>
      <c r="AP735" s="43">
        <f>IF(AG735=1,AI735*AF735,0)</f>
        <v/>
      </c>
      <c r="AQ735" s="43">
        <f>N735*(F735+G735)/H735</f>
        <v/>
      </c>
      <c r="AR735" s="43">
        <f>O735*AQ735</f>
        <v/>
      </c>
      <c r="AS735" s="52">
        <f>IF(AG735=1,IF(AQ735&gt;0,AF735/AQ735,1),IFERROR(INDEX(Types!$K:$K,MATCH($A735&amp;"|"&amp;$D735,Types!$A:$A,0)),INDEX(Dashboard!$X$6:$X$22,MATCH($A735,Dashboard!$A$6:$A$22,0))))</f>
        <v/>
      </c>
      <c r="AT735" s="43">
        <f>AQ735*INDEX(Dashboard!$Y$6:$Y$22,MATCH($A735,Dashboard!$A$6:$A$22,0))</f>
        <v/>
      </c>
      <c r="AU735" s="53">
        <f>IF(AND(AG735=1,AT735&gt;0,AF735&gt;0),100*AF735/AT735,"")</f>
        <v/>
      </c>
      <c r="AV735" s="44">
        <f>IF(AU735="","",T735/(AU735/100))</f>
        <v/>
      </c>
      <c r="AW735" s="53">
        <f>IF(AU735="","",IF(AND(ABS(AH735)&gt;=0.1,ABS(T735)&gt;=0.05,SIGN(AH735)=SIGN(T735)),100*T735/AH735,""))</f>
        <v/>
      </c>
      <c r="AX735" s="45">
        <f>IF(AU735="","",T735-AV735)</f>
        <v/>
      </c>
      <c r="AY735" s="45">
        <f>IF(AU735="","",AH735-AV735)</f>
        <v/>
      </c>
      <c r="AZ735" s="54">
        <f>(AL735-AM735)-T735*AT735</f>
        <v/>
      </c>
      <c r="BA735" s="43">
        <f>IF(AU735="",0,(AH735-T735)*AF735)</f>
        <v/>
      </c>
      <c r="BB735" s="43">
        <f>IF(AU735="",0,T735*(AF735-AT735))</f>
        <v/>
      </c>
      <c r="BC735" s="51" t="n">
        <v>0.1036689180340137</v>
      </c>
      <c r="BD735" s="51" t="n">
        <v>0.07815861849613651</v>
      </c>
      <c r="BE735" s="51" t="n">
        <v>0.4091314452491622</v>
      </c>
      <c r="BF735" s="43" t="n">
        <v>106898</v>
      </c>
    </row>
    <row r="736">
      <c r="A736" s="42" t="inlineStr">
        <is>
          <t>NC</t>
        </is>
      </c>
      <c r="B736" s="42" t="inlineStr">
        <is>
          <t>37127</t>
        </is>
      </c>
      <c r="C736" s="42" t="inlineStr">
        <is>
          <t>Nash</t>
        </is>
      </c>
      <c r="D736" s="42" t="inlineStr">
        <is>
          <t>Black Belt</t>
        </is>
      </c>
      <c r="E736" s="42" t="inlineStr"/>
      <c r="F736" s="43" t="n">
        <v>25508</v>
      </c>
      <c r="G736" s="43" t="n">
        <v>26431</v>
      </c>
      <c r="H736" s="43" t="n">
        <v>52364</v>
      </c>
      <c r="I736" s="43" t="n">
        <v>25947</v>
      </c>
      <c r="J736" s="43" t="n">
        <v>25827</v>
      </c>
      <c r="K736" s="42" t="inlineStr">
        <is>
          <t>US Senate</t>
        </is>
      </c>
      <c r="L736" s="43" t="n">
        <v>16401</v>
      </c>
      <c r="M736" s="43" t="n">
        <v>18796</v>
      </c>
      <c r="N736" s="43" t="n">
        <v>35739</v>
      </c>
      <c r="O736" s="44">
        <f>IFERROR((F736-G736)/(F736+G736),"")</f>
        <v/>
      </c>
      <c r="P736" s="44">
        <f>IFERROR((I736-J736)/(I736+J736),"")</f>
        <v/>
      </c>
      <c r="Q736" s="45">
        <f>IFERROR(O736-P736,"")</f>
        <v/>
      </c>
      <c r="R736" s="44">
        <f>IFERROR((L736-M736)/(L736+M736),"")</f>
        <v/>
      </c>
      <c r="S736" s="46">
        <f>H736/SUMIFS(Counties!$H$2:$H$1583,Counties!$A$2:$A$1583,$A736)</f>
        <v/>
      </c>
      <c r="T736" s="44">
        <f>O736+INDEX(Dashboard!$F$6:$F$22,MATCH($A736,Dashboard!$A$6:$A$22,0))</f>
        <v/>
      </c>
      <c r="U736" s="43">
        <f>AQ736*INDEX(Dashboard!$G$6:$G$22,MATCH($A736,Dashboard!$A$6:$A$22,0))</f>
        <v/>
      </c>
      <c r="V736" s="47" t="n"/>
      <c r="W736" s="47" t="n"/>
      <c r="X736" s="47" t="n"/>
      <c r="Y736" s="48" t="n"/>
      <c r="Z736" s="49" t="n"/>
      <c r="AA736" s="49" t="n"/>
      <c r="AB736" s="49" t="n"/>
      <c r="AC736" s="50" t="n"/>
      <c r="AD736" s="43">
        <f>IF(Z736&lt;&gt;"",Z736,N(V736))</f>
        <v/>
      </c>
      <c r="AE736" s="43">
        <f>IF(AA736&lt;&gt;"",AA736,N(W736))</f>
        <v/>
      </c>
      <c r="AF736" s="43">
        <f>AD736+AE736</f>
        <v/>
      </c>
      <c r="AG736" s="42">
        <f>IF(UPPER(AC736)="Y",1,IF(AF736=0,0,IF(AND(Z736="",Y736&lt;&gt;""),IF(Y736&gt;=0.999,1,0),IF(AF736&gt;=U736,1,0))))</f>
        <v/>
      </c>
      <c r="AH736" s="44">
        <f>IF(AF736&gt;0,(AD736-AE736)/AF736,"")</f>
        <v/>
      </c>
      <c r="AI736" s="45">
        <f>IF(AG736=1,AH736-O736,"")</f>
        <v/>
      </c>
      <c r="AJ736" s="44">
        <f>IF(AG736=1,AH736,MAX(-1,MIN(1,O736+INDEX(Types!$H:$H,MATCH($A736&amp;"|"&amp;$D736,Types!$A:$A,0)))))</f>
        <v/>
      </c>
      <c r="AK736" s="43">
        <f>IF(AG736=1,AF736,MAX(AQ736*AS736,AF736))</f>
        <v/>
      </c>
      <c r="AL736" s="43">
        <f>IF(AG736=1,AD736,AK736*(1+AJ736)/2)</f>
        <v/>
      </c>
      <c r="AM736" s="43">
        <f>IF(AG736=1,AE736,AK736*(1-AJ736)/2)</f>
        <v/>
      </c>
      <c r="AN736" s="45">
        <f>IF(AH736="","",AH736-T736)</f>
        <v/>
      </c>
      <c r="AO736" s="51">
        <f>IF(AG736=1,1,IF(U736&gt;0,MIN(AF736/U736,0.99),0))</f>
        <v/>
      </c>
      <c r="AP736" s="43">
        <f>IF(AG736=1,AI736*AF736,0)</f>
        <v/>
      </c>
      <c r="AQ736" s="43">
        <f>N736*(F736+G736)/H736</f>
        <v/>
      </c>
      <c r="AR736" s="43">
        <f>O736*AQ736</f>
        <v/>
      </c>
      <c r="AS736" s="52">
        <f>IF(AG736=1,IF(AQ736&gt;0,AF736/AQ736,1),IFERROR(INDEX(Types!$K:$K,MATCH($A736&amp;"|"&amp;$D736,Types!$A:$A,0)),INDEX(Dashboard!$X$6:$X$22,MATCH($A736,Dashboard!$A$6:$A$22,0))))</f>
        <v/>
      </c>
      <c r="AT736" s="43">
        <f>AQ736*INDEX(Dashboard!$Y$6:$Y$22,MATCH($A736,Dashboard!$A$6:$A$22,0))</f>
        <v/>
      </c>
      <c r="AU736" s="53">
        <f>IF(AND(AG736=1,AT736&gt;0,AF736&gt;0),100*AF736/AT736,"")</f>
        <v/>
      </c>
      <c r="AV736" s="44">
        <f>IF(AU736="","",T736/(AU736/100))</f>
        <v/>
      </c>
      <c r="AW736" s="53">
        <f>IF(AU736="","",IF(AND(ABS(AH736)&gt;=0.1,ABS(T736)&gt;=0.05,SIGN(AH736)=SIGN(T736)),100*T736/AH736,""))</f>
        <v/>
      </c>
      <c r="AX736" s="45">
        <f>IF(AU736="","",T736-AV736)</f>
        <v/>
      </c>
      <c r="AY736" s="45">
        <f>IF(AU736="","",AH736-AV736)</f>
        <v/>
      </c>
      <c r="AZ736" s="54">
        <f>(AL736-AM736)-T736*AT736</f>
        <v/>
      </c>
      <c r="BA736" s="43">
        <f>IF(AU736="",0,(AH736-T736)*AF736)</f>
        <v/>
      </c>
      <c r="BB736" s="43">
        <f>IF(AU736="",0,T736*(AF736-AT736))</f>
        <v/>
      </c>
      <c r="BC736" s="51" t="n">
        <v>0.4135120299116529</v>
      </c>
      <c r="BD736" s="51" t="n">
        <v>0.08355169806630693</v>
      </c>
      <c r="BE736" s="51" t="n">
        <v>0.2172325721153846</v>
      </c>
      <c r="BF736" s="43" t="n">
        <v>96551</v>
      </c>
    </row>
    <row r="737">
      <c r="A737" s="42" t="inlineStr">
        <is>
          <t>NC</t>
        </is>
      </c>
      <c r="B737" s="42" t="inlineStr">
        <is>
          <t>37129</t>
        </is>
      </c>
      <c r="C737" s="42" t="inlineStr">
        <is>
          <t>New Hanover</t>
        </is>
      </c>
      <c r="D737" s="42" t="inlineStr">
        <is>
          <t>College suburb/metro</t>
        </is>
      </c>
      <c r="E737" s="42" t="inlineStr">
        <is>
          <t>★</t>
        </is>
      </c>
      <c r="F737" s="43" t="n">
        <v>68814</v>
      </c>
      <c r="G737" s="43" t="n">
        <v>67949</v>
      </c>
      <c r="H737" s="43" t="n">
        <v>138243</v>
      </c>
      <c r="I737" s="43" t="n">
        <v>66138</v>
      </c>
      <c r="J737" s="43" t="n">
        <v>63331</v>
      </c>
      <c r="K737" s="42" t="inlineStr">
        <is>
          <t>US Senate</t>
        </is>
      </c>
      <c r="L737" s="43" t="n">
        <v>46785</v>
      </c>
      <c r="M737" s="43" t="n">
        <v>45012</v>
      </c>
      <c r="N737" s="43" t="n">
        <v>94017</v>
      </c>
      <c r="O737" s="44">
        <f>IFERROR((F737-G737)/(F737+G737),"")</f>
        <v/>
      </c>
      <c r="P737" s="44">
        <f>IFERROR((I737-J737)/(I737+J737),"")</f>
        <v/>
      </c>
      <c r="Q737" s="45">
        <f>IFERROR(O737-P737,"")</f>
        <v/>
      </c>
      <c r="R737" s="44">
        <f>IFERROR((L737-M737)/(L737+M737),"")</f>
        <v/>
      </c>
      <c r="S737" s="46">
        <f>H737/SUMIFS(Counties!$H$2:$H$1583,Counties!$A$2:$A$1583,$A737)</f>
        <v/>
      </c>
      <c r="T737" s="44">
        <f>O737+INDEX(Dashboard!$F$6:$F$22,MATCH($A737,Dashboard!$A$6:$A$22,0))</f>
        <v/>
      </c>
      <c r="U737" s="43">
        <f>AQ737*INDEX(Dashboard!$G$6:$G$22,MATCH($A737,Dashboard!$A$6:$A$22,0))</f>
        <v/>
      </c>
      <c r="V737" s="47" t="n"/>
      <c r="W737" s="47" t="n"/>
      <c r="X737" s="47" t="n"/>
      <c r="Y737" s="48" t="n"/>
      <c r="Z737" s="49" t="n"/>
      <c r="AA737" s="49" t="n"/>
      <c r="AB737" s="49" t="n"/>
      <c r="AC737" s="50" t="n"/>
      <c r="AD737" s="43">
        <f>IF(Z737&lt;&gt;"",Z737,N(V737))</f>
        <v/>
      </c>
      <c r="AE737" s="43">
        <f>IF(AA737&lt;&gt;"",AA737,N(W737))</f>
        <v/>
      </c>
      <c r="AF737" s="43">
        <f>AD737+AE737</f>
        <v/>
      </c>
      <c r="AG737" s="42">
        <f>IF(UPPER(AC737)="Y",1,IF(AF737=0,0,IF(AND(Z737="",Y737&lt;&gt;""),IF(Y737&gt;=0.999,1,0),IF(AF737&gt;=U737,1,0))))</f>
        <v/>
      </c>
      <c r="AH737" s="44">
        <f>IF(AF737&gt;0,(AD737-AE737)/AF737,"")</f>
        <v/>
      </c>
      <c r="AI737" s="45">
        <f>IF(AG737=1,AH737-O737,"")</f>
        <v/>
      </c>
      <c r="AJ737" s="44">
        <f>IF(AG737=1,AH737,MAX(-1,MIN(1,O737+INDEX(Types!$H:$H,MATCH($A737&amp;"|"&amp;$D737,Types!$A:$A,0)))))</f>
        <v/>
      </c>
      <c r="AK737" s="43">
        <f>IF(AG737=1,AF737,MAX(AQ737*AS737,AF737))</f>
        <v/>
      </c>
      <c r="AL737" s="43">
        <f>IF(AG737=1,AD737,AK737*(1+AJ737)/2)</f>
        <v/>
      </c>
      <c r="AM737" s="43">
        <f>IF(AG737=1,AE737,AK737*(1-AJ737)/2)</f>
        <v/>
      </c>
      <c r="AN737" s="45">
        <f>IF(AH737="","",AH737-T737)</f>
        <v/>
      </c>
      <c r="AO737" s="51">
        <f>IF(AG737=1,1,IF(U737&gt;0,MIN(AF737/U737,0.99),0))</f>
        <v/>
      </c>
      <c r="AP737" s="43">
        <f>IF(AG737=1,AI737*AF737,0)</f>
        <v/>
      </c>
      <c r="AQ737" s="43">
        <f>N737*(F737+G737)/H737</f>
        <v/>
      </c>
      <c r="AR737" s="43">
        <f>O737*AQ737</f>
        <v/>
      </c>
      <c r="AS737" s="52">
        <f>IF(AG737=1,IF(AQ737&gt;0,AF737/AQ737,1),IFERROR(INDEX(Types!$K:$K,MATCH($A737&amp;"|"&amp;$D737,Types!$A:$A,0)),INDEX(Dashboard!$X$6:$X$22,MATCH($A737,Dashboard!$A$6:$A$22,0))))</f>
        <v/>
      </c>
      <c r="AT737" s="43">
        <f>AQ737*INDEX(Dashboard!$Y$6:$Y$22,MATCH($A737,Dashboard!$A$6:$A$22,0))</f>
        <v/>
      </c>
      <c r="AU737" s="53">
        <f>IF(AND(AG737=1,AT737&gt;0,AF737&gt;0),100*AF737/AT737,"")</f>
        <v/>
      </c>
      <c r="AV737" s="44">
        <f>IF(AU737="","",T737/(AU737/100))</f>
        <v/>
      </c>
      <c r="AW737" s="53">
        <f>IF(AU737="","",IF(AND(ABS(AH737)&gt;=0.1,ABS(T737)&gt;=0.05,SIGN(AH737)=SIGN(T737)),100*T737/AH737,""))</f>
        <v/>
      </c>
      <c r="AX737" s="45">
        <f>IF(AU737="","",T737-AV737)</f>
        <v/>
      </c>
      <c r="AY737" s="45">
        <f>IF(AU737="","",AH737-AV737)</f>
        <v/>
      </c>
      <c r="AZ737" s="54">
        <f>(AL737-AM737)-T737*AT737</f>
        <v/>
      </c>
      <c r="BA737" s="43">
        <f>IF(AU737="",0,(AH737-T737)*AF737)</f>
        <v/>
      </c>
      <c r="BB737" s="43">
        <f>IF(AU737="",0,T737*(AF737-AT737))</f>
        <v/>
      </c>
      <c r="BC737" s="51" t="n">
        <v>0.1175330330078877</v>
      </c>
      <c r="BD737" s="51" t="n">
        <v>0.0791954850702527</v>
      </c>
      <c r="BE737" s="51" t="n">
        <v>0.4476682844481958</v>
      </c>
      <c r="BF737" s="43" t="n">
        <v>238852</v>
      </c>
    </row>
    <row r="738">
      <c r="A738" s="42" t="inlineStr">
        <is>
          <t>NC</t>
        </is>
      </c>
      <c r="B738" s="42" t="inlineStr">
        <is>
          <t>37131</t>
        </is>
      </c>
      <c r="C738" s="42" t="inlineStr">
        <is>
          <t>Northampton</t>
        </is>
      </c>
      <c r="D738" s="42" t="inlineStr">
        <is>
          <t>Black Belt</t>
        </is>
      </c>
      <c r="E738" s="42" t="inlineStr"/>
      <c r="F738" s="43" t="n">
        <v>5239</v>
      </c>
      <c r="G738" s="43" t="n">
        <v>3905</v>
      </c>
      <c r="H738" s="43" t="n">
        <v>9197</v>
      </c>
      <c r="I738" s="43" t="n">
        <v>6069</v>
      </c>
      <c r="J738" s="43" t="n">
        <v>3989</v>
      </c>
      <c r="K738" s="42" t="inlineStr">
        <is>
          <t>US Senate</t>
        </is>
      </c>
      <c r="L738" s="43" t="n">
        <v>3718</v>
      </c>
      <c r="M738" s="43" t="n">
        <v>2962</v>
      </c>
      <c r="N738" s="43" t="n">
        <v>6777</v>
      </c>
      <c r="O738" s="44">
        <f>IFERROR((F738-G738)/(F738+G738),"")</f>
        <v/>
      </c>
      <c r="P738" s="44">
        <f>IFERROR((I738-J738)/(I738+J738),"")</f>
        <v/>
      </c>
      <c r="Q738" s="45">
        <f>IFERROR(O738-P738,"")</f>
        <v/>
      </c>
      <c r="R738" s="44">
        <f>IFERROR((L738-M738)/(L738+M738),"")</f>
        <v/>
      </c>
      <c r="S738" s="46">
        <f>H738/SUMIFS(Counties!$H$2:$H$1583,Counties!$A$2:$A$1583,$A738)</f>
        <v/>
      </c>
      <c r="T738" s="44">
        <f>O738+INDEX(Dashboard!$F$6:$F$22,MATCH($A738,Dashboard!$A$6:$A$22,0))</f>
        <v/>
      </c>
      <c r="U738" s="43">
        <f>AQ738*INDEX(Dashboard!$G$6:$G$22,MATCH($A738,Dashboard!$A$6:$A$22,0))</f>
        <v/>
      </c>
      <c r="V738" s="47" t="n"/>
      <c r="W738" s="47" t="n"/>
      <c r="X738" s="47" t="n"/>
      <c r="Y738" s="48" t="n"/>
      <c r="Z738" s="49" t="n"/>
      <c r="AA738" s="49" t="n"/>
      <c r="AB738" s="49" t="n"/>
      <c r="AC738" s="50" t="n"/>
      <c r="AD738" s="43">
        <f>IF(Z738&lt;&gt;"",Z738,N(V738))</f>
        <v/>
      </c>
      <c r="AE738" s="43">
        <f>IF(AA738&lt;&gt;"",AA738,N(W738))</f>
        <v/>
      </c>
      <c r="AF738" s="43">
        <f>AD738+AE738</f>
        <v/>
      </c>
      <c r="AG738" s="42">
        <f>IF(UPPER(AC738)="Y",1,IF(AF738=0,0,IF(AND(Z738="",Y738&lt;&gt;""),IF(Y738&gt;=0.999,1,0),IF(AF738&gt;=U738,1,0))))</f>
        <v/>
      </c>
      <c r="AH738" s="44">
        <f>IF(AF738&gt;0,(AD738-AE738)/AF738,"")</f>
        <v/>
      </c>
      <c r="AI738" s="45">
        <f>IF(AG738=1,AH738-O738,"")</f>
        <v/>
      </c>
      <c r="AJ738" s="44">
        <f>IF(AG738=1,AH738,MAX(-1,MIN(1,O738+INDEX(Types!$H:$H,MATCH($A738&amp;"|"&amp;$D738,Types!$A:$A,0)))))</f>
        <v/>
      </c>
      <c r="AK738" s="43">
        <f>IF(AG738=1,AF738,MAX(AQ738*AS738,AF738))</f>
        <v/>
      </c>
      <c r="AL738" s="43">
        <f>IF(AG738=1,AD738,AK738*(1+AJ738)/2)</f>
        <v/>
      </c>
      <c r="AM738" s="43">
        <f>IF(AG738=1,AE738,AK738*(1-AJ738)/2)</f>
        <v/>
      </c>
      <c r="AN738" s="45">
        <f>IF(AH738="","",AH738-T738)</f>
        <v/>
      </c>
      <c r="AO738" s="51">
        <f>IF(AG738=1,1,IF(U738&gt;0,MIN(AF738/U738,0.99),0))</f>
        <v/>
      </c>
      <c r="AP738" s="43">
        <f>IF(AG738=1,AI738*AF738,0)</f>
        <v/>
      </c>
      <c r="AQ738" s="43">
        <f>N738*(F738+G738)/H738</f>
        <v/>
      </c>
      <c r="AR738" s="43">
        <f>O738*AQ738</f>
        <v/>
      </c>
      <c r="AS738" s="52">
        <f>IF(AG738=1,IF(AQ738&gt;0,AF738/AQ738,1),IFERROR(INDEX(Types!$K:$K,MATCH($A738&amp;"|"&amp;$D738,Types!$A:$A,0)),INDEX(Dashboard!$X$6:$X$22,MATCH($A738,Dashboard!$A$6:$A$22,0))))</f>
        <v/>
      </c>
      <c r="AT738" s="43">
        <f>AQ738*INDEX(Dashboard!$Y$6:$Y$22,MATCH($A738,Dashboard!$A$6:$A$22,0))</f>
        <v/>
      </c>
      <c r="AU738" s="53">
        <f>IF(AND(AG738=1,AT738&gt;0,AF738&gt;0),100*AF738/AT738,"")</f>
        <v/>
      </c>
      <c r="AV738" s="44">
        <f>IF(AU738="","",T738/(AU738/100))</f>
        <v/>
      </c>
      <c r="AW738" s="53">
        <f>IF(AU738="","",IF(AND(ABS(AH738)&gt;=0.1,ABS(T738)&gt;=0.05,SIGN(AH738)=SIGN(T738)),100*T738/AH738,""))</f>
        <v/>
      </c>
      <c r="AX738" s="45">
        <f>IF(AU738="","",T738-AV738)</f>
        <v/>
      </c>
      <c r="AY738" s="45">
        <f>IF(AU738="","",AH738-AV738)</f>
        <v/>
      </c>
      <c r="AZ738" s="54">
        <f>(AL738-AM738)-T738*AT738</f>
        <v/>
      </c>
      <c r="BA738" s="43">
        <f>IF(AU738="",0,(AH738-T738)*AF738)</f>
        <v/>
      </c>
      <c r="BB738" s="43">
        <f>IF(AU738="",0,T738*(AF738-AT738))</f>
        <v/>
      </c>
      <c r="BC738" s="51" t="n">
        <v>0.5480705952737063</v>
      </c>
      <c r="BD738" s="51" t="n">
        <v>0.02704157941968292</v>
      </c>
      <c r="BE738" s="51" t="n">
        <v>0.1904395942207193</v>
      </c>
      <c r="BF738" s="43" t="n">
        <v>16715</v>
      </c>
    </row>
    <row r="739">
      <c r="A739" s="42" t="inlineStr">
        <is>
          <t>NC</t>
        </is>
      </c>
      <c r="B739" s="42" t="inlineStr">
        <is>
          <t>37133</t>
        </is>
      </c>
      <c r="C739" s="42" t="inlineStr">
        <is>
          <t>Onslow</t>
        </is>
      </c>
      <c r="D739" s="42" t="inlineStr">
        <is>
          <t>Mid-size/working metro</t>
        </is>
      </c>
      <c r="E739" s="42" t="inlineStr"/>
      <c r="F739" s="43" t="n">
        <v>25684</v>
      </c>
      <c r="G739" s="43" t="n">
        <v>54960</v>
      </c>
      <c r="H739" s="43" t="n">
        <v>81476</v>
      </c>
      <c r="I739" s="43" t="n">
        <v>24266</v>
      </c>
      <c r="J739" s="43" t="n">
        <v>46078</v>
      </c>
      <c r="K739" s="42" t="inlineStr">
        <is>
          <t>US Senate</t>
        </is>
      </c>
      <c r="L739" s="43" t="n">
        <v>13544</v>
      </c>
      <c r="M739" s="43" t="n">
        <v>29106</v>
      </c>
      <c r="N739" s="43" t="n">
        <v>44013</v>
      </c>
      <c r="O739" s="44">
        <f>IFERROR((F739-G739)/(F739+G739),"")</f>
        <v/>
      </c>
      <c r="P739" s="44">
        <f>IFERROR((I739-J739)/(I739+J739),"")</f>
        <v/>
      </c>
      <c r="Q739" s="45">
        <f>IFERROR(O739-P739,"")</f>
        <v/>
      </c>
      <c r="R739" s="44">
        <f>IFERROR((L739-M739)/(L739+M739),"")</f>
        <v/>
      </c>
      <c r="S739" s="46">
        <f>H739/SUMIFS(Counties!$H$2:$H$1583,Counties!$A$2:$A$1583,$A739)</f>
        <v/>
      </c>
      <c r="T739" s="44">
        <f>O739+INDEX(Dashboard!$F$6:$F$22,MATCH($A739,Dashboard!$A$6:$A$22,0))</f>
        <v/>
      </c>
      <c r="U739" s="43">
        <f>AQ739*INDEX(Dashboard!$G$6:$G$22,MATCH($A739,Dashboard!$A$6:$A$22,0))</f>
        <v/>
      </c>
      <c r="V739" s="47" t="n"/>
      <c r="W739" s="47" t="n"/>
      <c r="X739" s="47" t="n"/>
      <c r="Y739" s="48" t="n"/>
      <c r="Z739" s="49" t="n"/>
      <c r="AA739" s="49" t="n"/>
      <c r="AB739" s="49" t="n"/>
      <c r="AC739" s="50" t="n"/>
      <c r="AD739" s="43">
        <f>IF(Z739&lt;&gt;"",Z739,N(V739))</f>
        <v/>
      </c>
      <c r="AE739" s="43">
        <f>IF(AA739&lt;&gt;"",AA739,N(W739))</f>
        <v/>
      </c>
      <c r="AF739" s="43">
        <f>AD739+AE739</f>
        <v/>
      </c>
      <c r="AG739" s="42">
        <f>IF(UPPER(AC739)="Y",1,IF(AF739=0,0,IF(AND(Z739="",Y739&lt;&gt;""),IF(Y739&gt;=0.999,1,0),IF(AF739&gt;=U739,1,0))))</f>
        <v/>
      </c>
      <c r="AH739" s="44">
        <f>IF(AF739&gt;0,(AD739-AE739)/AF739,"")</f>
        <v/>
      </c>
      <c r="AI739" s="45">
        <f>IF(AG739=1,AH739-O739,"")</f>
        <v/>
      </c>
      <c r="AJ739" s="44">
        <f>IF(AG739=1,AH739,MAX(-1,MIN(1,O739+INDEX(Types!$H:$H,MATCH($A739&amp;"|"&amp;$D739,Types!$A:$A,0)))))</f>
        <v/>
      </c>
      <c r="AK739" s="43">
        <f>IF(AG739=1,AF739,MAX(AQ739*AS739,AF739))</f>
        <v/>
      </c>
      <c r="AL739" s="43">
        <f>IF(AG739=1,AD739,AK739*(1+AJ739)/2)</f>
        <v/>
      </c>
      <c r="AM739" s="43">
        <f>IF(AG739=1,AE739,AK739*(1-AJ739)/2)</f>
        <v/>
      </c>
      <c r="AN739" s="45">
        <f>IF(AH739="","",AH739-T739)</f>
        <v/>
      </c>
      <c r="AO739" s="51">
        <f>IF(AG739=1,1,IF(U739&gt;0,MIN(AF739/U739,0.99),0))</f>
        <v/>
      </c>
      <c r="AP739" s="43">
        <f>IF(AG739=1,AI739*AF739,0)</f>
        <v/>
      </c>
      <c r="AQ739" s="43">
        <f>N739*(F739+G739)/H739</f>
        <v/>
      </c>
      <c r="AR739" s="43">
        <f>O739*AQ739</f>
        <v/>
      </c>
      <c r="AS739" s="52">
        <f>IF(AG739=1,IF(AQ739&gt;0,AF739/AQ739,1),IFERROR(INDEX(Types!$K:$K,MATCH($A739&amp;"|"&amp;$D739,Types!$A:$A,0)),INDEX(Dashboard!$X$6:$X$22,MATCH($A739,Dashboard!$A$6:$A$22,0))))</f>
        <v/>
      </c>
      <c r="AT739" s="43">
        <f>AQ739*INDEX(Dashboard!$Y$6:$Y$22,MATCH($A739,Dashboard!$A$6:$A$22,0))</f>
        <v/>
      </c>
      <c r="AU739" s="53">
        <f>IF(AND(AG739=1,AT739&gt;0,AF739&gt;0),100*AF739/AT739,"")</f>
        <v/>
      </c>
      <c r="AV739" s="44">
        <f>IF(AU739="","",T739/(AU739/100))</f>
        <v/>
      </c>
      <c r="AW739" s="53">
        <f>IF(AU739="","",IF(AND(ABS(AH739)&gt;=0.1,ABS(T739)&gt;=0.05,SIGN(AH739)=SIGN(T739)),100*T739/AH739,""))</f>
        <v/>
      </c>
      <c r="AX739" s="45">
        <f>IF(AU739="","",T739-AV739)</f>
        <v/>
      </c>
      <c r="AY739" s="45">
        <f>IF(AU739="","",AH739-AV739)</f>
        <v/>
      </c>
      <c r="AZ739" s="54">
        <f>(AL739-AM739)-T739*AT739</f>
        <v/>
      </c>
      <c r="BA739" s="43">
        <f>IF(AU739="",0,(AH739-T739)*AF739)</f>
        <v/>
      </c>
      <c r="BB739" s="43">
        <f>IF(AU739="",0,T739*(AF739-AT739))</f>
        <v/>
      </c>
      <c r="BC739" s="51" t="n">
        <v>0.1374744940938617</v>
      </c>
      <c r="BD739" s="51" t="n">
        <v>0.1424727157004062</v>
      </c>
      <c r="BE739" s="51" t="n">
        <v>0.2605734703624432</v>
      </c>
      <c r="BF739" s="43" t="n">
        <v>213676</v>
      </c>
    </row>
    <row r="740">
      <c r="A740" s="42" t="inlineStr">
        <is>
          <t>NC</t>
        </is>
      </c>
      <c r="B740" s="42" t="inlineStr">
        <is>
          <t>37135</t>
        </is>
      </c>
      <c r="C740" s="42" t="inlineStr">
        <is>
          <t>Orange</t>
        </is>
      </c>
      <c r="D740" s="42" t="inlineStr">
        <is>
          <t>College suburb/metro</t>
        </is>
      </c>
      <c r="E740" s="42" t="inlineStr"/>
      <c r="F740" s="43" t="n">
        <v>65444</v>
      </c>
      <c r="G740" s="43" t="n">
        <v>20806</v>
      </c>
      <c r="H740" s="43" t="n">
        <v>87426</v>
      </c>
      <c r="I740" s="43" t="n">
        <v>63594</v>
      </c>
      <c r="J740" s="43" t="n">
        <v>20176</v>
      </c>
      <c r="K740" s="42" t="inlineStr">
        <is>
          <t>US Senate</t>
        </is>
      </c>
      <c r="L740" s="43" t="n">
        <v>51125</v>
      </c>
      <c r="M740" s="43" t="n">
        <v>14213</v>
      </c>
      <c r="N740" s="43" t="n">
        <v>66553</v>
      </c>
      <c r="O740" s="44">
        <f>IFERROR((F740-G740)/(F740+G740),"")</f>
        <v/>
      </c>
      <c r="P740" s="44">
        <f>IFERROR((I740-J740)/(I740+J740),"")</f>
        <v/>
      </c>
      <c r="Q740" s="45">
        <f>IFERROR(O740-P740,"")</f>
        <v/>
      </c>
      <c r="R740" s="44">
        <f>IFERROR((L740-M740)/(L740+M740),"")</f>
        <v/>
      </c>
      <c r="S740" s="46">
        <f>H740/SUMIFS(Counties!$H$2:$H$1583,Counties!$A$2:$A$1583,$A740)</f>
        <v/>
      </c>
      <c r="T740" s="44">
        <f>O740+INDEX(Dashboard!$F$6:$F$22,MATCH($A740,Dashboard!$A$6:$A$22,0))</f>
        <v/>
      </c>
      <c r="U740" s="43">
        <f>AQ740*INDEX(Dashboard!$G$6:$G$22,MATCH($A740,Dashboard!$A$6:$A$22,0))</f>
        <v/>
      </c>
      <c r="V740" s="47" t="n"/>
      <c r="W740" s="47" t="n"/>
      <c r="X740" s="47" t="n"/>
      <c r="Y740" s="48" t="n"/>
      <c r="Z740" s="49" t="n"/>
      <c r="AA740" s="49" t="n"/>
      <c r="AB740" s="49" t="n"/>
      <c r="AC740" s="50" t="n"/>
      <c r="AD740" s="43">
        <f>IF(Z740&lt;&gt;"",Z740,N(V740))</f>
        <v/>
      </c>
      <c r="AE740" s="43">
        <f>IF(AA740&lt;&gt;"",AA740,N(W740))</f>
        <v/>
      </c>
      <c r="AF740" s="43">
        <f>AD740+AE740</f>
        <v/>
      </c>
      <c r="AG740" s="42">
        <f>IF(UPPER(AC740)="Y",1,IF(AF740=0,0,IF(AND(Z740="",Y740&lt;&gt;""),IF(Y740&gt;=0.999,1,0),IF(AF740&gt;=U740,1,0))))</f>
        <v/>
      </c>
      <c r="AH740" s="44">
        <f>IF(AF740&gt;0,(AD740-AE740)/AF740,"")</f>
        <v/>
      </c>
      <c r="AI740" s="45">
        <f>IF(AG740=1,AH740-O740,"")</f>
        <v/>
      </c>
      <c r="AJ740" s="44">
        <f>IF(AG740=1,AH740,MAX(-1,MIN(1,O740+INDEX(Types!$H:$H,MATCH($A740&amp;"|"&amp;$D740,Types!$A:$A,0)))))</f>
        <v/>
      </c>
      <c r="AK740" s="43">
        <f>IF(AG740=1,AF740,MAX(AQ740*AS740,AF740))</f>
        <v/>
      </c>
      <c r="AL740" s="43">
        <f>IF(AG740=1,AD740,AK740*(1+AJ740)/2)</f>
        <v/>
      </c>
      <c r="AM740" s="43">
        <f>IF(AG740=1,AE740,AK740*(1-AJ740)/2)</f>
        <v/>
      </c>
      <c r="AN740" s="45">
        <f>IF(AH740="","",AH740-T740)</f>
        <v/>
      </c>
      <c r="AO740" s="51">
        <f>IF(AG740=1,1,IF(U740&gt;0,MIN(AF740/U740,0.99),0))</f>
        <v/>
      </c>
      <c r="AP740" s="43">
        <f>IF(AG740=1,AI740*AF740,0)</f>
        <v/>
      </c>
      <c r="AQ740" s="43">
        <f>N740*(F740+G740)/H740</f>
        <v/>
      </c>
      <c r="AR740" s="43">
        <f>O740*AQ740</f>
        <v/>
      </c>
      <c r="AS740" s="52">
        <f>IF(AG740=1,IF(AQ740&gt;0,AF740/AQ740,1),IFERROR(INDEX(Types!$K:$K,MATCH($A740&amp;"|"&amp;$D740,Types!$A:$A,0)),INDEX(Dashboard!$X$6:$X$22,MATCH($A740,Dashboard!$A$6:$A$22,0))))</f>
        <v/>
      </c>
      <c r="AT740" s="43">
        <f>AQ740*INDEX(Dashboard!$Y$6:$Y$22,MATCH($A740,Dashboard!$A$6:$A$22,0))</f>
        <v/>
      </c>
      <c r="AU740" s="53">
        <f>IF(AND(AG740=1,AT740&gt;0,AF740&gt;0),100*AF740/AT740,"")</f>
        <v/>
      </c>
      <c r="AV740" s="44">
        <f>IF(AU740="","",T740/(AU740/100))</f>
        <v/>
      </c>
      <c r="AW740" s="53">
        <f>IF(AU740="","",IF(AND(ABS(AH740)&gt;=0.1,ABS(T740)&gt;=0.05,SIGN(AH740)=SIGN(T740)),100*T740/AH740,""))</f>
        <v/>
      </c>
      <c r="AX740" s="45">
        <f>IF(AU740="","",T740-AV740)</f>
        <v/>
      </c>
      <c r="AY740" s="45">
        <f>IF(AU740="","",AH740-AV740)</f>
        <v/>
      </c>
      <c r="AZ740" s="54">
        <f>(AL740-AM740)-T740*AT740</f>
        <v/>
      </c>
      <c r="BA740" s="43">
        <f>IF(AU740="",0,(AH740-T740)*AF740)</f>
        <v/>
      </c>
      <c r="BB740" s="43">
        <f>IF(AU740="",0,T740*(AF740-AT740))</f>
        <v/>
      </c>
      <c r="BC740" s="51" t="n">
        <v>0.1131013238086386</v>
      </c>
      <c r="BD740" s="51" t="n">
        <v>0.1051677665210521</v>
      </c>
      <c r="BE740" s="51" t="n">
        <v>0.6182293732380023</v>
      </c>
      <c r="BF740" s="43" t="n">
        <v>150626</v>
      </c>
    </row>
    <row r="741">
      <c r="A741" s="42" t="inlineStr">
        <is>
          <t>NC</t>
        </is>
      </c>
      <c r="B741" s="42" t="inlineStr">
        <is>
          <t>37137</t>
        </is>
      </c>
      <c r="C741" s="42" t="inlineStr">
        <is>
          <t>Pamlico</t>
        </is>
      </c>
      <c r="D741" s="42" t="inlineStr">
        <is>
          <t>Small town &amp; rural</t>
        </is>
      </c>
      <c r="E741" s="42" t="inlineStr"/>
      <c r="F741" s="43" t="n">
        <v>2676</v>
      </c>
      <c r="G741" s="43" t="n">
        <v>5229</v>
      </c>
      <c r="H741" s="43" t="n">
        <v>7961</v>
      </c>
      <c r="I741" s="43" t="n">
        <v>2713</v>
      </c>
      <c r="J741" s="43" t="n">
        <v>4849</v>
      </c>
      <c r="K741" s="42" t="inlineStr">
        <is>
          <t>US Senate</t>
        </is>
      </c>
      <c r="L741" s="43" t="n">
        <v>2091</v>
      </c>
      <c r="M741" s="43" t="n">
        <v>3908</v>
      </c>
      <c r="N741" s="43" t="n">
        <v>6141</v>
      </c>
      <c r="O741" s="44">
        <f>IFERROR((F741-G741)/(F741+G741),"")</f>
        <v/>
      </c>
      <c r="P741" s="44">
        <f>IFERROR((I741-J741)/(I741+J741),"")</f>
        <v/>
      </c>
      <c r="Q741" s="45">
        <f>IFERROR(O741-P741,"")</f>
        <v/>
      </c>
      <c r="R741" s="44">
        <f>IFERROR((L741-M741)/(L741+M741),"")</f>
        <v/>
      </c>
      <c r="S741" s="46">
        <f>H741/SUMIFS(Counties!$H$2:$H$1583,Counties!$A$2:$A$1583,$A741)</f>
        <v/>
      </c>
      <c r="T741" s="44">
        <f>O741+INDEX(Dashboard!$F$6:$F$22,MATCH($A741,Dashboard!$A$6:$A$22,0))</f>
        <v/>
      </c>
      <c r="U741" s="43">
        <f>AQ741*INDEX(Dashboard!$G$6:$G$22,MATCH($A741,Dashboard!$A$6:$A$22,0))</f>
        <v/>
      </c>
      <c r="V741" s="47" t="n"/>
      <c r="W741" s="47" t="n"/>
      <c r="X741" s="47" t="n"/>
      <c r="Y741" s="48" t="n"/>
      <c r="Z741" s="49" t="n"/>
      <c r="AA741" s="49" t="n"/>
      <c r="AB741" s="49" t="n"/>
      <c r="AC741" s="50" t="n"/>
      <c r="AD741" s="43">
        <f>IF(Z741&lt;&gt;"",Z741,N(V741))</f>
        <v/>
      </c>
      <c r="AE741" s="43">
        <f>IF(AA741&lt;&gt;"",AA741,N(W741))</f>
        <v/>
      </c>
      <c r="AF741" s="43">
        <f>AD741+AE741</f>
        <v/>
      </c>
      <c r="AG741" s="42">
        <f>IF(UPPER(AC741)="Y",1,IF(AF741=0,0,IF(AND(Z741="",Y741&lt;&gt;""),IF(Y741&gt;=0.999,1,0),IF(AF741&gt;=U741,1,0))))</f>
        <v/>
      </c>
      <c r="AH741" s="44">
        <f>IF(AF741&gt;0,(AD741-AE741)/AF741,"")</f>
        <v/>
      </c>
      <c r="AI741" s="45">
        <f>IF(AG741=1,AH741-O741,"")</f>
        <v/>
      </c>
      <c r="AJ741" s="44">
        <f>IF(AG741=1,AH741,MAX(-1,MIN(1,O741+INDEX(Types!$H:$H,MATCH($A741&amp;"|"&amp;$D741,Types!$A:$A,0)))))</f>
        <v/>
      </c>
      <c r="AK741" s="43">
        <f>IF(AG741=1,AF741,MAX(AQ741*AS741,AF741))</f>
        <v/>
      </c>
      <c r="AL741" s="43">
        <f>IF(AG741=1,AD741,AK741*(1+AJ741)/2)</f>
        <v/>
      </c>
      <c r="AM741" s="43">
        <f>IF(AG741=1,AE741,AK741*(1-AJ741)/2)</f>
        <v/>
      </c>
      <c r="AN741" s="45">
        <f>IF(AH741="","",AH741-T741)</f>
        <v/>
      </c>
      <c r="AO741" s="51">
        <f>IF(AG741=1,1,IF(U741&gt;0,MIN(AF741/U741,0.99),0))</f>
        <v/>
      </c>
      <c r="AP741" s="43">
        <f>IF(AG741=1,AI741*AF741,0)</f>
        <v/>
      </c>
      <c r="AQ741" s="43">
        <f>N741*(F741+G741)/H741</f>
        <v/>
      </c>
      <c r="AR741" s="43">
        <f>O741*AQ741</f>
        <v/>
      </c>
      <c r="AS741" s="52">
        <f>IF(AG741=1,IF(AQ741&gt;0,AF741/AQ741,1),IFERROR(INDEX(Types!$K:$K,MATCH($A741&amp;"|"&amp;$D741,Types!$A:$A,0)),INDEX(Dashboard!$X$6:$X$22,MATCH($A741,Dashboard!$A$6:$A$22,0))))</f>
        <v/>
      </c>
      <c r="AT741" s="43">
        <f>AQ741*INDEX(Dashboard!$Y$6:$Y$22,MATCH($A741,Dashboard!$A$6:$A$22,0))</f>
        <v/>
      </c>
      <c r="AU741" s="53">
        <f>IF(AND(AG741=1,AT741&gt;0,AF741&gt;0),100*AF741/AT741,"")</f>
        <v/>
      </c>
      <c r="AV741" s="44">
        <f>IF(AU741="","",T741/(AU741/100))</f>
        <v/>
      </c>
      <c r="AW741" s="53">
        <f>IF(AU741="","",IF(AND(ABS(AH741)&gt;=0.1,ABS(T741)&gt;=0.05,SIGN(AH741)=SIGN(T741)),100*T741/AH741,""))</f>
        <v/>
      </c>
      <c r="AX741" s="45">
        <f>IF(AU741="","",T741-AV741)</f>
        <v/>
      </c>
      <c r="AY741" s="45">
        <f>IF(AU741="","",AH741-AV741)</f>
        <v/>
      </c>
      <c r="AZ741" s="54">
        <f>(AL741-AM741)-T741*AT741</f>
        <v/>
      </c>
      <c r="BA741" s="43">
        <f>IF(AU741="",0,(AH741-T741)*AF741)</f>
        <v/>
      </c>
      <c r="BB741" s="43">
        <f>IF(AU741="",0,T741*(AF741-AT741))</f>
        <v/>
      </c>
      <c r="BC741" s="51" t="n">
        <v>0.1687998068099493</v>
      </c>
      <c r="BD741" s="51" t="n">
        <v>0.05272478467358931</v>
      </c>
      <c r="BE741" s="51" t="n">
        <v>0.2537678207739307</v>
      </c>
      <c r="BF741" s="43" t="n">
        <v>12423</v>
      </c>
    </row>
    <row r="742">
      <c r="A742" s="42" t="inlineStr">
        <is>
          <t>NC</t>
        </is>
      </c>
      <c r="B742" s="42" t="inlineStr">
        <is>
          <t>37139</t>
        </is>
      </c>
      <c r="C742" s="42" t="inlineStr">
        <is>
          <t>Pasquotank</t>
        </is>
      </c>
      <c r="D742" s="42" t="inlineStr">
        <is>
          <t>Small town &amp; rural</t>
        </is>
      </c>
      <c r="E742" s="42" t="inlineStr"/>
      <c r="F742" s="43" t="n">
        <v>9549</v>
      </c>
      <c r="G742" s="43" t="n">
        <v>10537</v>
      </c>
      <c r="H742" s="43" t="n">
        <v>20277</v>
      </c>
      <c r="I742" s="43" t="n">
        <v>9832</v>
      </c>
      <c r="J742" s="43" t="n">
        <v>9770</v>
      </c>
      <c r="K742" s="42" t="inlineStr">
        <is>
          <t>US Senate</t>
        </is>
      </c>
      <c r="L742" s="43" t="n">
        <v>6468</v>
      </c>
      <c r="M742" s="43" t="n">
        <v>7304</v>
      </c>
      <c r="N742" s="43" t="n">
        <v>14161</v>
      </c>
      <c r="O742" s="44">
        <f>IFERROR((F742-G742)/(F742+G742),"")</f>
        <v/>
      </c>
      <c r="P742" s="44">
        <f>IFERROR((I742-J742)/(I742+J742),"")</f>
        <v/>
      </c>
      <c r="Q742" s="45">
        <f>IFERROR(O742-P742,"")</f>
        <v/>
      </c>
      <c r="R742" s="44">
        <f>IFERROR((L742-M742)/(L742+M742),"")</f>
        <v/>
      </c>
      <c r="S742" s="46">
        <f>H742/SUMIFS(Counties!$H$2:$H$1583,Counties!$A$2:$A$1583,$A742)</f>
        <v/>
      </c>
      <c r="T742" s="44">
        <f>O742+INDEX(Dashboard!$F$6:$F$22,MATCH($A742,Dashboard!$A$6:$A$22,0))</f>
        <v/>
      </c>
      <c r="U742" s="43">
        <f>AQ742*INDEX(Dashboard!$G$6:$G$22,MATCH($A742,Dashboard!$A$6:$A$22,0))</f>
        <v/>
      </c>
      <c r="V742" s="47" t="n"/>
      <c r="W742" s="47" t="n"/>
      <c r="X742" s="47" t="n"/>
      <c r="Y742" s="48" t="n"/>
      <c r="Z742" s="49" t="n"/>
      <c r="AA742" s="49" t="n"/>
      <c r="AB742" s="49" t="n"/>
      <c r="AC742" s="50" t="n"/>
      <c r="AD742" s="43">
        <f>IF(Z742&lt;&gt;"",Z742,N(V742))</f>
        <v/>
      </c>
      <c r="AE742" s="43">
        <f>IF(AA742&lt;&gt;"",AA742,N(W742))</f>
        <v/>
      </c>
      <c r="AF742" s="43">
        <f>AD742+AE742</f>
        <v/>
      </c>
      <c r="AG742" s="42">
        <f>IF(UPPER(AC742)="Y",1,IF(AF742=0,0,IF(AND(Z742="",Y742&lt;&gt;""),IF(Y742&gt;=0.999,1,0),IF(AF742&gt;=U742,1,0))))</f>
        <v/>
      </c>
      <c r="AH742" s="44">
        <f>IF(AF742&gt;0,(AD742-AE742)/AF742,"")</f>
        <v/>
      </c>
      <c r="AI742" s="45">
        <f>IF(AG742=1,AH742-O742,"")</f>
        <v/>
      </c>
      <c r="AJ742" s="44">
        <f>IF(AG742=1,AH742,MAX(-1,MIN(1,O742+INDEX(Types!$H:$H,MATCH($A742&amp;"|"&amp;$D742,Types!$A:$A,0)))))</f>
        <v/>
      </c>
      <c r="AK742" s="43">
        <f>IF(AG742=1,AF742,MAX(AQ742*AS742,AF742))</f>
        <v/>
      </c>
      <c r="AL742" s="43">
        <f>IF(AG742=1,AD742,AK742*(1+AJ742)/2)</f>
        <v/>
      </c>
      <c r="AM742" s="43">
        <f>IF(AG742=1,AE742,AK742*(1-AJ742)/2)</f>
        <v/>
      </c>
      <c r="AN742" s="45">
        <f>IF(AH742="","",AH742-T742)</f>
        <v/>
      </c>
      <c r="AO742" s="51">
        <f>IF(AG742=1,1,IF(U742&gt;0,MIN(AF742/U742,0.99),0))</f>
        <v/>
      </c>
      <c r="AP742" s="43">
        <f>IF(AG742=1,AI742*AF742,0)</f>
        <v/>
      </c>
      <c r="AQ742" s="43">
        <f>N742*(F742+G742)/H742</f>
        <v/>
      </c>
      <c r="AR742" s="43">
        <f>O742*AQ742</f>
        <v/>
      </c>
      <c r="AS742" s="52">
        <f>IF(AG742=1,IF(AQ742&gt;0,AF742/AQ742,1),IFERROR(INDEX(Types!$K:$K,MATCH($A742&amp;"|"&amp;$D742,Types!$A:$A,0)),INDEX(Dashboard!$X$6:$X$22,MATCH($A742,Dashboard!$A$6:$A$22,0))))</f>
        <v/>
      </c>
      <c r="AT742" s="43">
        <f>AQ742*INDEX(Dashboard!$Y$6:$Y$22,MATCH($A742,Dashboard!$A$6:$A$22,0))</f>
        <v/>
      </c>
      <c r="AU742" s="53">
        <f>IF(AND(AG742=1,AT742&gt;0,AF742&gt;0),100*AF742/AT742,"")</f>
        <v/>
      </c>
      <c r="AV742" s="44">
        <f>IF(AU742="","",T742/(AU742/100))</f>
        <v/>
      </c>
      <c r="AW742" s="53">
        <f>IF(AU742="","",IF(AND(ABS(AH742)&gt;=0.1,ABS(T742)&gt;=0.05,SIGN(AH742)=SIGN(T742)),100*T742/AH742,""))</f>
        <v/>
      </c>
      <c r="AX742" s="45">
        <f>IF(AU742="","",T742-AV742)</f>
        <v/>
      </c>
      <c r="AY742" s="45">
        <f>IF(AU742="","",AH742-AV742)</f>
        <v/>
      </c>
      <c r="AZ742" s="54">
        <f>(AL742-AM742)-T742*AT742</f>
        <v/>
      </c>
      <c r="BA742" s="43">
        <f>IF(AU742="",0,(AH742-T742)*AF742)</f>
        <v/>
      </c>
      <c r="BB742" s="43">
        <f>IF(AU742="",0,T742*(AF742-AT742))</f>
        <v/>
      </c>
      <c r="BC742" s="51" t="n">
        <v>0.3485184827719332</v>
      </c>
      <c r="BD742" s="51" t="n">
        <v>0.06189074413666634</v>
      </c>
      <c r="BE742" s="51" t="n">
        <v>0.2685548967783413</v>
      </c>
      <c r="BF742" s="43" t="n">
        <v>41444</v>
      </c>
    </row>
    <row r="743">
      <c r="A743" s="42" t="inlineStr">
        <is>
          <t>NC</t>
        </is>
      </c>
      <c r="B743" s="42" t="inlineStr">
        <is>
          <t>37141</t>
        </is>
      </c>
      <c r="C743" s="42" t="inlineStr">
        <is>
          <t>Pender</t>
        </is>
      </c>
      <c r="D743" s="42" t="inlineStr">
        <is>
          <t>Small town &amp; rural</t>
        </is>
      </c>
      <c r="E743" s="42" t="inlineStr"/>
      <c r="F743" s="43" t="n">
        <v>12460</v>
      </c>
      <c r="G743" s="43" t="n">
        <v>26042</v>
      </c>
      <c r="H743" s="43" t="n">
        <v>38837</v>
      </c>
      <c r="I743" s="43" t="n">
        <v>11723</v>
      </c>
      <c r="J743" s="43" t="n">
        <v>21956</v>
      </c>
      <c r="K743" s="42" t="inlineStr">
        <is>
          <t>US Senate</t>
        </is>
      </c>
      <c r="L743" s="43" t="n">
        <v>7548</v>
      </c>
      <c r="M743" s="43" t="n">
        <v>15466</v>
      </c>
      <c r="N743" s="43" t="n">
        <v>23525</v>
      </c>
      <c r="O743" s="44">
        <f>IFERROR((F743-G743)/(F743+G743),"")</f>
        <v/>
      </c>
      <c r="P743" s="44">
        <f>IFERROR((I743-J743)/(I743+J743),"")</f>
        <v/>
      </c>
      <c r="Q743" s="45">
        <f>IFERROR(O743-P743,"")</f>
        <v/>
      </c>
      <c r="R743" s="44">
        <f>IFERROR((L743-M743)/(L743+M743),"")</f>
        <v/>
      </c>
      <c r="S743" s="46">
        <f>H743/SUMIFS(Counties!$H$2:$H$1583,Counties!$A$2:$A$1583,$A743)</f>
        <v/>
      </c>
      <c r="T743" s="44">
        <f>O743+INDEX(Dashboard!$F$6:$F$22,MATCH($A743,Dashboard!$A$6:$A$22,0))</f>
        <v/>
      </c>
      <c r="U743" s="43">
        <f>AQ743*INDEX(Dashboard!$G$6:$G$22,MATCH($A743,Dashboard!$A$6:$A$22,0))</f>
        <v/>
      </c>
      <c r="V743" s="47" t="n"/>
      <c r="W743" s="47" t="n"/>
      <c r="X743" s="47" t="n"/>
      <c r="Y743" s="48" t="n"/>
      <c r="Z743" s="49" t="n"/>
      <c r="AA743" s="49" t="n"/>
      <c r="AB743" s="49" t="n"/>
      <c r="AC743" s="50" t="n"/>
      <c r="AD743" s="43">
        <f>IF(Z743&lt;&gt;"",Z743,N(V743))</f>
        <v/>
      </c>
      <c r="AE743" s="43">
        <f>IF(AA743&lt;&gt;"",AA743,N(W743))</f>
        <v/>
      </c>
      <c r="AF743" s="43">
        <f>AD743+AE743</f>
        <v/>
      </c>
      <c r="AG743" s="42">
        <f>IF(UPPER(AC743)="Y",1,IF(AF743=0,0,IF(AND(Z743="",Y743&lt;&gt;""),IF(Y743&gt;=0.999,1,0),IF(AF743&gt;=U743,1,0))))</f>
        <v/>
      </c>
      <c r="AH743" s="44">
        <f>IF(AF743&gt;0,(AD743-AE743)/AF743,"")</f>
        <v/>
      </c>
      <c r="AI743" s="45">
        <f>IF(AG743=1,AH743-O743,"")</f>
        <v/>
      </c>
      <c r="AJ743" s="44">
        <f>IF(AG743=1,AH743,MAX(-1,MIN(1,O743+INDEX(Types!$H:$H,MATCH($A743&amp;"|"&amp;$D743,Types!$A:$A,0)))))</f>
        <v/>
      </c>
      <c r="AK743" s="43">
        <f>IF(AG743=1,AF743,MAX(AQ743*AS743,AF743))</f>
        <v/>
      </c>
      <c r="AL743" s="43">
        <f>IF(AG743=1,AD743,AK743*(1+AJ743)/2)</f>
        <v/>
      </c>
      <c r="AM743" s="43">
        <f>IF(AG743=1,AE743,AK743*(1-AJ743)/2)</f>
        <v/>
      </c>
      <c r="AN743" s="45">
        <f>IF(AH743="","",AH743-T743)</f>
        <v/>
      </c>
      <c r="AO743" s="51">
        <f>IF(AG743=1,1,IF(U743&gt;0,MIN(AF743/U743,0.99),0))</f>
        <v/>
      </c>
      <c r="AP743" s="43">
        <f>IF(AG743=1,AI743*AF743,0)</f>
        <v/>
      </c>
      <c r="AQ743" s="43">
        <f>N743*(F743+G743)/H743</f>
        <v/>
      </c>
      <c r="AR743" s="43">
        <f>O743*AQ743</f>
        <v/>
      </c>
      <c r="AS743" s="52">
        <f>IF(AG743=1,IF(AQ743&gt;0,AF743/AQ743,1),IFERROR(INDEX(Types!$K:$K,MATCH($A743&amp;"|"&amp;$D743,Types!$A:$A,0)),INDEX(Dashboard!$X$6:$X$22,MATCH($A743,Dashboard!$A$6:$A$22,0))))</f>
        <v/>
      </c>
      <c r="AT743" s="43">
        <f>AQ743*INDEX(Dashboard!$Y$6:$Y$22,MATCH($A743,Dashboard!$A$6:$A$22,0))</f>
        <v/>
      </c>
      <c r="AU743" s="53">
        <f>IF(AND(AG743=1,AT743&gt;0,AF743&gt;0),100*AF743/AT743,"")</f>
        <v/>
      </c>
      <c r="AV743" s="44">
        <f>IF(AU743="","",T743/(AU743/100))</f>
        <v/>
      </c>
      <c r="AW743" s="53">
        <f>IF(AU743="","",IF(AND(ABS(AH743)&gt;=0.1,ABS(T743)&gt;=0.05,SIGN(AH743)=SIGN(T743)),100*T743/AH743,""))</f>
        <v/>
      </c>
      <c r="AX743" s="45">
        <f>IF(AU743="","",T743-AV743)</f>
        <v/>
      </c>
      <c r="AY743" s="45">
        <f>IF(AU743="","",AH743-AV743)</f>
        <v/>
      </c>
      <c r="AZ743" s="54">
        <f>(AL743-AM743)-T743*AT743</f>
        <v/>
      </c>
      <c r="BA743" s="43">
        <f>IF(AU743="",0,(AH743-T743)*AF743)</f>
        <v/>
      </c>
      <c r="BB743" s="43">
        <f>IF(AU743="",0,T743*(AF743-AT743))</f>
        <v/>
      </c>
      <c r="BC743" s="51" t="n">
        <v>0.1196567475664395</v>
      </c>
      <c r="BD743" s="51" t="n">
        <v>0.08836706994935858</v>
      </c>
      <c r="BE743" s="51" t="n">
        <v>0.2982589795872639</v>
      </c>
      <c r="BF743" s="43" t="n">
        <v>68521</v>
      </c>
    </row>
    <row r="744">
      <c r="A744" s="42" t="inlineStr">
        <is>
          <t>NC</t>
        </is>
      </c>
      <c r="B744" s="42" t="inlineStr">
        <is>
          <t>37143</t>
        </is>
      </c>
      <c r="C744" s="42" t="inlineStr">
        <is>
          <t>Perquimans</t>
        </is>
      </c>
      <c r="D744" s="42" t="inlineStr">
        <is>
          <t>Small town &amp; rural</t>
        </is>
      </c>
      <c r="E744" s="42" t="inlineStr"/>
      <c r="F744" s="43" t="n">
        <v>2269</v>
      </c>
      <c r="G744" s="43" t="n">
        <v>5278</v>
      </c>
      <c r="H744" s="43" t="n">
        <v>7640</v>
      </c>
      <c r="I744" s="43" t="n">
        <v>2492</v>
      </c>
      <c r="J744" s="43" t="n">
        <v>4903</v>
      </c>
      <c r="K744" s="42" t="inlineStr">
        <is>
          <t>US Senate</t>
        </is>
      </c>
      <c r="L744" s="43" t="n">
        <v>1557</v>
      </c>
      <c r="M744" s="43" t="n">
        <v>3813</v>
      </c>
      <c r="N744" s="43" t="n">
        <v>5468</v>
      </c>
      <c r="O744" s="44">
        <f>IFERROR((F744-G744)/(F744+G744),"")</f>
        <v/>
      </c>
      <c r="P744" s="44">
        <f>IFERROR((I744-J744)/(I744+J744),"")</f>
        <v/>
      </c>
      <c r="Q744" s="45">
        <f>IFERROR(O744-P744,"")</f>
        <v/>
      </c>
      <c r="R744" s="44">
        <f>IFERROR((L744-M744)/(L744+M744),"")</f>
        <v/>
      </c>
      <c r="S744" s="46">
        <f>H744/SUMIFS(Counties!$H$2:$H$1583,Counties!$A$2:$A$1583,$A744)</f>
        <v/>
      </c>
      <c r="T744" s="44">
        <f>O744+INDEX(Dashboard!$F$6:$F$22,MATCH($A744,Dashboard!$A$6:$A$22,0))</f>
        <v/>
      </c>
      <c r="U744" s="43">
        <f>AQ744*INDEX(Dashboard!$G$6:$G$22,MATCH($A744,Dashboard!$A$6:$A$22,0))</f>
        <v/>
      </c>
      <c r="V744" s="47" t="n"/>
      <c r="W744" s="47" t="n"/>
      <c r="X744" s="47" t="n"/>
      <c r="Y744" s="48" t="n"/>
      <c r="Z744" s="49" t="n"/>
      <c r="AA744" s="49" t="n"/>
      <c r="AB744" s="49" t="n"/>
      <c r="AC744" s="50" t="n"/>
      <c r="AD744" s="43">
        <f>IF(Z744&lt;&gt;"",Z744,N(V744))</f>
        <v/>
      </c>
      <c r="AE744" s="43">
        <f>IF(AA744&lt;&gt;"",AA744,N(W744))</f>
        <v/>
      </c>
      <c r="AF744" s="43">
        <f>AD744+AE744</f>
        <v/>
      </c>
      <c r="AG744" s="42">
        <f>IF(UPPER(AC744)="Y",1,IF(AF744=0,0,IF(AND(Z744="",Y744&lt;&gt;""),IF(Y744&gt;=0.999,1,0),IF(AF744&gt;=U744,1,0))))</f>
        <v/>
      </c>
      <c r="AH744" s="44">
        <f>IF(AF744&gt;0,(AD744-AE744)/AF744,"")</f>
        <v/>
      </c>
      <c r="AI744" s="45">
        <f>IF(AG744=1,AH744-O744,"")</f>
        <v/>
      </c>
      <c r="AJ744" s="44">
        <f>IF(AG744=1,AH744,MAX(-1,MIN(1,O744+INDEX(Types!$H:$H,MATCH($A744&amp;"|"&amp;$D744,Types!$A:$A,0)))))</f>
        <v/>
      </c>
      <c r="AK744" s="43">
        <f>IF(AG744=1,AF744,MAX(AQ744*AS744,AF744))</f>
        <v/>
      </c>
      <c r="AL744" s="43">
        <f>IF(AG744=1,AD744,AK744*(1+AJ744)/2)</f>
        <v/>
      </c>
      <c r="AM744" s="43">
        <f>IF(AG744=1,AE744,AK744*(1-AJ744)/2)</f>
        <v/>
      </c>
      <c r="AN744" s="45">
        <f>IF(AH744="","",AH744-T744)</f>
        <v/>
      </c>
      <c r="AO744" s="51">
        <f>IF(AG744=1,1,IF(U744&gt;0,MIN(AF744/U744,0.99),0))</f>
        <v/>
      </c>
      <c r="AP744" s="43">
        <f>IF(AG744=1,AI744*AF744,0)</f>
        <v/>
      </c>
      <c r="AQ744" s="43">
        <f>N744*(F744+G744)/H744</f>
        <v/>
      </c>
      <c r="AR744" s="43">
        <f>O744*AQ744</f>
        <v/>
      </c>
      <c r="AS744" s="52">
        <f>IF(AG744=1,IF(AQ744&gt;0,AF744/AQ744,1),IFERROR(INDEX(Types!$K:$K,MATCH($A744&amp;"|"&amp;$D744,Types!$A:$A,0)),INDEX(Dashboard!$X$6:$X$22,MATCH($A744,Dashboard!$A$6:$A$22,0))))</f>
        <v/>
      </c>
      <c r="AT744" s="43">
        <f>AQ744*INDEX(Dashboard!$Y$6:$Y$22,MATCH($A744,Dashboard!$A$6:$A$22,0))</f>
        <v/>
      </c>
      <c r="AU744" s="53">
        <f>IF(AND(AG744=1,AT744&gt;0,AF744&gt;0),100*AF744/AT744,"")</f>
        <v/>
      </c>
      <c r="AV744" s="44">
        <f>IF(AU744="","",T744/(AU744/100))</f>
        <v/>
      </c>
      <c r="AW744" s="53">
        <f>IF(AU744="","",IF(AND(ABS(AH744)&gt;=0.1,ABS(T744)&gt;=0.05,SIGN(AH744)=SIGN(T744)),100*T744/AH744,""))</f>
        <v/>
      </c>
      <c r="AX744" s="45">
        <f>IF(AU744="","",T744-AV744)</f>
        <v/>
      </c>
      <c r="AY744" s="45">
        <f>IF(AU744="","",AH744-AV744)</f>
        <v/>
      </c>
      <c r="AZ744" s="54">
        <f>(AL744-AM744)-T744*AT744</f>
        <v/>
      </c>
      <c r="BA744" s="43">
        <f>IF(AU744="",0,(AH744-T744)*AF744)</f>
        <v/>
      </c>
      <c r="BB744" s="43">
        <f>IF(AU744="",0,T744*(AF744-AT744))</f>
        <v/>
      </c>
      <c r="BC744" s="51" t="n">
        <v>0.2058010017193691</v>
      </c>
      <c r="BD744" s="51" t="n">
        <v>0.03401360544217687</v>
      </c>
      <c r="BE744" s="51" t="n">
        <v>0.2040565457897972</v>
      </c>
      <c r="BF744" s="43" t="n">
        <v>13377</v>
      </c>
    </row>
    <row r="745">
      <c r="A745" s="42" t="inlineStr">
        <is>
          <t>NC</t>
        </is>
      </c>
      <c r="B745" s="42" t="inlineStr">
        <is>
          <t>37145</t>
        </is>
      </c>
      <c r="C745" s="42" t="inlineStr">
        <is>
          <t>Person</t>
        </is>
      </c>
      <c r="D745" s="42" t="inlineStr">
        <is>
          <t>Small town &amp; rural</t>
        </is>
      </c>
      <c r="E745" s="42" t="inlineStr"/>
      <c r="F745" s="43" t="n">
        <v>8295</v>
      </c>
      <c r="G745" s="43" t="n">
        <v>13509</v>
      </c>
      <c r="H745" s="43" t="n">
        <v>21993</v>
      </c>
      <c r="I745" s="43" t="n">
        <v>8465</v>
      </c>
      <c r="J745" s="43" t="n">
        <v>13184</v>
      </c>
      <c r="K745" s="42" t="inlineStr">
        <is>
          <t>US Senate</t>
        </is>
      </c>
      <c r="L745" s="43" t="n">
        <v>5905</v>
      </c>
      <c r="M745" s="43" t="n">
        <v>9201</v>
      </c>
      <c r="N745" s="43" t="n">
        <v>15438</v>
      </c>
      <c r="O745" s="44">
        <f>IFERROR((F745-G745)/(F745+G745),"")</f>
        <v/>
      </c>
      <c r="P745" s="44">
        <f>IFERROR((I745-J745)/(I745+J745),"")</f>
        <v/>
      </c>
      <c r="Q745" s="45">
        <f>IFERROR(O745-P745,"")</f>
        <v/>
      </c>
      <c r="R745" s="44">
        <f>IFERROR((L745-M745)/(L745+M745),"")</f>
        <v/>
      </c>
      <c r="S745" s="46">
        <f>H745/SUMIFS(Counties!$H$2:$H$1583,Counties!$A$2:$A$1583,$A745)</f>
        <v/>
      </c>
      <c r="T745" s="44">
        <f>O745+INDEX(Dashboard!$F$6:$F$22,MATCH($A745,Dashboard!$A$6:$A$22,0))</f>
        <v/>
      </c>
      <c r="U745" s="43">
        <f>AQ745*INDEX(Dashboard!$G$6:$G$22,MATCH($A745,Dashboard!$A$6:$A$22,0))</f>
        <v/>
      </c>
      <c r="V745" s="47" t="n"/>
      <c r="W745" s="47" t="n"/>
      <c r="X745" s="47" t="n"/>
      <c r="Y745" s="48" t="n"/>
      <c r="Z745" s="49" t="n"/>
      <c r="AA745" s="49" t="n"/>
      <c r="AB745" s="49" t="n"/>
      <c r="AC745" s="50" t="n"/>
      <c r="AD745" s="43">
        <f>IF(Z745&lt;&gt;"",Z745,N(V745))</f>
        <v/>
      </c>
      <c r="AE745" s="43">
        <f>IF(AA745&lt;&gt;"",AA745,N(W745))</f>
        <v/>
      </c>
      <c r="AF745" s="43">
        <f>AD745+AE745</f>
        <v/>
      </c>
      <c r="AG745" s="42">
        <f>IF(UPPER(AC745)="Y",1,IF(AF745=0,0,IF(AND(Z745="",Y745&lt;&gt;""),IF(Y745&gt;=0.999,1,0),IF(AF745&gt;=U745,1,0))))</f>
        <v/>
      </c>
      <c r="AH745" s="44">
        <f>IF(AF745&gt;0,(AD745-AE745)/AF745,"")</f>
        <v/>
      </c>
      <c r="AI745" s="45">
        <f>IF(AG745=1,AH745-O745,"")</f>
        <v/>
      </c>
      <c r="AJ745" s="44">
        <f>IF(AG745=1,AH745,MAX(-1,MIN(1,O745+INDEX(Types!$H:$H,MATCH($A745&amp;"|"&amp;$D745,Types!$A:$A,0)))))</f>
        <v/>
      </c>
      <c r="AK745" s="43">
        <f>IF(AG745=1,AF745,MAX(AQ745*AS745,AF745))</f>
        <v/>
      </c>
      <c r="AL745" s="43">
        <f>IF(AG745=1,AD745,AK745*(1+AJ745)/2)</f>
        <v/>
      </c>
      <c r="AM745" s="43">
        <f>IF(AG745=1,AE745,AK745*(1-AJ745)/2)</f>
        <v/>
      </c>
      <c r="AN745" s="45">
        <f>IF(AH745="","",AH745-T745)</f>
        <v/>
      </c>
      <c r="AO745" s="51">
        <f>IF(AG745=1,1,IF(U745&gt;0,MIN(AF745/U745,0.99),0))</f>
        <v/>
      </c>
      <c r="AP745" s="43">
        <f>IF(AG745=1,AI745*AF745,0)</f>
        <v/>
      </c>
      <c r="AQ745" s="43">
        <f>N745*(F745+G745)/H745</f>
        <v/>
      </c>
      <c r="AR745" s="43">
        <f>O745*AQ745</f>
        <v/>
      </c>
      <c r="AS745" s="52">
        <f>IF(AG745=1,IF(AQ745&gt;0,AF745/AQ745,1),IFERROR(INDEX(Types!$K:$K,MATCH($A745&amp;"|"&amp;$D745,Types!$A:$A,0)),INDEX(Dashboard!$X$6:$X$22,MATCH($A745,Dashboard!$A$6:$A$22,0))))</f>
        <v/>
      </c>
      <c r="AT745" s="43">
        <f>AQ745*INDEX(Dashboard!$Y$6:$Y$22,MATCH($A745,Dashboard!$A$6:$A$22,0))</f>
        <v/>
      </c>
      <c r="AU745" s="53">
        <f>IF(AND(AG745=1,AT745&gt;0,AF745&gt;0),100*AF745/AT745,"")</f>
        <v/>
      </c>
      <c r="AV745" s="44">
        <f>IF(AU745="","",T745/(AU745/100))</f>
        <v/>
      </c>
      <c r="AW745" s="53">
        <f>IF(AU745="","",IF(AND(ABS(AH745)&gt;=0.1,ABS(T745)&gt;=0.05,SIGN(AH745)=SIGN(T745)),100*T745/AH745,""))</f>
        <v/>
      </c>
      <c r="AX745" s="45">
        <f>IF(AU745="","",T745-AV745)</f>
        <v/>
      </c>
      <c r="AY745" s="45">
        <f>IF(AU745="","",AH745-AV745)</f>
        <v/>
      </c>
      <c r="AZ745" s="54">
        <f>(AL745-AM745)-T745*AT745</f>
        <v/>
      </c>
      <c r="BA745" s="43">
        <f>IF(AU745="",0,(AH745-T745)*AF745)</f>
        <v/>
      </c>
      <c r="BB745" s="43">
        <f>IF(AU745="",0,T745*(AF745-AT745))</f>
        <v/>
      </c>
      <c r="BC745" s="51" t="n">
        <v>0.2578453330649017</v>
      </c>
      <c r="BD745" s="51" t="n">
        <v>0.06517854895940811</v>
      </c>
      <c r="BE745" s="51" t="n">
        <v>0.1983214285714286</v>
      </c>
      <c r="BF745" s="43" t="n">
        <v>39737</v>
      </c>
    </row>
    <row r="746">
      <c r="A746" s="42" t="inlineStr">
        <is>
          <t>NC</t>
        </is>
      </c>
      <c r="B746" s="42" t="inlineStr">
        <is>
          <t>37147</t>
        </is>
      </c>
      <c r="C746" s="42" t="inlineStr">
        <is>
          <t>Pitt</t>
        </is>
      </c>
      <c r="D746" s="42" t="inlineStr">
        <is>
          <t>Mid-size/working metro</t>
        </is>
      </c>
      <c r="E746" s="42" t="inlineStr"/>
      <c r="F746" s="43" t="n">
        <v>45595</v>
      </c>
      <c r="G746" s="43" t="n">
        <v>40403</v>
      </c>
      <c r="H746" s="43" t="n">
        <v>86924</v>
      </c>
      <c r="I746" s="43" t="n">
        <v>47252</v>
      </c>
      <c r="J746" s="43" t="n">
        <v>38982</v>
      </c>
      <c r="K746" s="42" t="inlineStr">
        <is>
          <t>US Senate</t>
        </is>
      </c>
      <c r="L746" s="43" t="n">
        <v>27705</v>
      </c>
      <c r="M746" s="43" t="n">
        <v>26160</v>
      </c>
      <c r="N746" s="43" t="n">
        <v>55026</v>
      </c>
      <c r="O746" s="44">
        <f>IFERROR((F746-G746)/(F746+G746),"")</f>
        <v/>
      </c>
      <c r="P746" s="44">
        <f>IFERROR((I746-J746)/(I746+J746),"")</f>
        <v/>
      </c>
      <c r="Q746" s="45">
        <f>IFERROR(O746-P746,"")</f>
        <v/>
      </c>
      <c r="R746" s="44">
        <f>IFERROR((L746-M746)/(L746+M746),"")</f>
        <v/>
      </c>
      <c r="S746" s="46">
        <f>H746/SUMIFS(Counties!$H$2:$H$1583,Counties!$A$2:$A$1583,$A746)</f>
        <v/>
      </c>
      <c r="T746" s="44">
        <f>O746+INDEX(Dashboard!$F$6:$F$22,MATCH($A746,Dashboard!$A$6:$A$22,0))</f>
        <v/>
      </c>
      <c r="U746" s="43">
        <f>AQ746*INDEX(Dashboard!$G$6:$G$22,MATCH($A746,Dashboard!$A$6:$A$22,0))</f>
        <v/>
      </c>
      <c r="V746" s="47" t="n"/>
      <c r="W746" s="47" t="n"/>
      <c r="X746" s="47" t="n"/>
      <c r="Y746" s="48" t="n"/>
      <c r="Z746" s="49" t="n"/>
      <c r="AA746" s="49" t="n"/>
      <c r="AB746" s="49" t="n"/>
      <c r="AC746" s="50" t="n"/>
      <c r="AD746" s="43">
        <f>IF(Z746&lt;&gt;"",Z746,N(V746))</f>
        <v/>
      </c>
      <c r="AE746" s="43">
        <f>IF(AA746&lt;&gt;"",AA746,N(W746))</f>
        <v/>
      </c>
      <c r="AF746" s="43">
        <f>AD746+AE746</f>
        <v/>
      </c>
      <c r="AG746" s="42">
        <f>IF(UPPER(AC746)="Y",1,IF(AF746=0,0,IF(AND(Z746="",Y746&lt;&gt;""),IF(Y746&gt;=0.999,1,0),IF(AF746&gt;=U746,1,0))))</f>
        <v/>
      </c>
      <c r="AH746" s="44">
        <f>IF(AF746&gt;0,(AD746-AE746)/AF746,"")</f>
        <v/>
      </c>
      <c r="AI746" s="45">
        <f>IF(AG746=1,AH746-O746,"")</f>
        <v/>
      </c>
      <c r="AJ746" s="44">
        <f>IF(AG746=1,AH746,MAX(-1,MIN(1,O746+INDEX(Types!$H:$H,MATCH($A746&amp;"|"&amp;$D746,Types!$A:$A,0)))))</f>
        <v/>
      </c>
      <c r="AK746" s="43">
        <f>IF(AG746=1,AF746,MAX(AQ746*AS746,AF746))</f>
        <v/>
      </c>
      <c r="AL746" s="43">
        <f>IF(AG746=1,AD746,AK746*(1+AJ746)/2)</f>
        <v/>
      </c>
      <c r="AM746" s="43">
        <f>IF(AG746=1,AE746,AK746*(1-AJ746)/2)</f>
        <v/>
      </c>
      <c r="AN746" s="45">
        <f>IF(AH746="","",AH746-T746)</f>
        <v/>
      </c>
      <c r="AO746" s="51">
        <f>IF(AG746=1,1,IF(U746&gt;0,MIN(AF746/U746,0.99),0))</f>
        <v/>
      </c>
      <c r="AP746" s="43">
        <f>IF(AG746=1,AI746*AF746,0)</f>
        <v/>
      </c>
      <c r="AQ746" s="43">
        <f>N746*(F746+G746)/H746</f>
        <v/>
      </c>
      <c r="AR746" s="43">
        <f>O746*AQ746</f>
        <v/>
      </c>
      <c r="AS746" s="52">
        <f>IF(AG746=1,IF(AQ746&gt;0,AF746/AQ746,1),IFERROR(INDEX(Types!$K:$K,MATCH($A746&amp;"|"&amp;$D746,Types!$A:$A,0)),INDEX(Dashboard!$X$6:$X$22,MATCH($A746,Dashboard!$A$6:$A$22,0))))</f>
        <v/>
      </c>
      <c r="AT746" s="43">
        <f>AQ746*INDEX(Dashboard!$Y$6:$Y$22,MATCH($A746,Dashboard!$A$6:$A$22,0))</f>
        <v/>
      </c>
      <c r="AU746" s="53">
        <f>IF(AND(AG746=1,AT746&gt;0,AF746&gt;0),100*AF746/AT746,"")</f>
        <v/>
      </c>
      <c r="AV746" s="44">
        <f>IF(AU746="","",T746/(AU746/100))</f>
        <v/>
      </c>
      <c r="AW746" s="53">
        <f>IF(AU746="","",IF(AND(ABS(AH746)&gt;=0.1,ABS(T746)&gt;=0.05,SIGN(AH746)=SIGN(T746)),100*T746/AH746,""))</f>
        <v/>
      </c>
      <c r="AX746" s="45">
        <f>IF(AU746="","",T746-AV746)</f>
        <v/>
      </c>
      <c r="AY746" s="45">
        <f>IF(AU746="","",AH746-AV746)</f>
        <v/>
      </c>
      <c r="AZ746" s="54">
        <f>(AL746-AM746)-T746*AT746</f>
        <v/>
      </c>
      <c r="BA746" s="43">
        <f>IF(AU746="",0,(AH746-T746)*AF746)</f>
        <v/>
      </c>
      <c r="BB746" s="43">
        <f>IF(AU746="",0,T746*(AF746-AT746))</f>
        <v/>
      </c>
      <c r="BC746" s="51" t="n">
        <v>0.3551356506147249</v>
      </c>
      <c r="BD746" s="51" t="n">
        <v>0.08037391716489929</v>
      </c>
      <c r="BE746" s="51" t="n">
        <v>0.3386605783866058</v>
      </c>
      <c r="BF746" s="43" t="n">
        <v>175119</v>
      </c>
    </row>
    <row r="747">
      <c r="A747" s="42" t="inlineStr">
        <is>
          <t>NC</t>
        </is>
      </c>
      <c r="B747" s="42" t="inlineStr">
        <is>
          <t>37149</t>
        </is>
      </c>
      <c r="C747" s="42" t="inlineStr">
        <is>
          <t>Polk</t>
        </is>
      </c>
      <c r="D747" s="42" t="inlineStr">
        <is>
          <t>Small town &amp; rural</t>
        </is>
      </c>
      <c r="E747" s="42" t="inlineStr"/>
      <c r="F747" s="43" t="n">
        <v>4827</v>
      </c>
      <c r="G747" s="43" t="n">
        <v>8107</v>
      </c>
      <c r="H747" s="43" t="n">
        <v>13032</v>
      </c>
      <c r="I747" s="43" t="n">
        <v>4518</v>
      </c>
      <c r="J747" s="43" t="n">
        <v>7689</v>
      </c>
      <c r="K747" s="42" t="inlineStr">
        <is>
          <t>US Senate</t>
        </is>
      </c>
      <c r="L747" s="43" t="n">
        <v>3635</v>
      </c>
      <c r="M747" s="43" t="n">
        <v>5686</v>
      </c>
      <c r="N747" s="43" t="n">
        <v>9552</v>
      </c>
      <c r="O747" s="44">
        <f>IFERROR((F747-G747)/(F747+G747),"")</f>
        <v/>
      </c>
      <c r="P747" s="44">
        <f>IFERROR((I747-J747)/(I747+J747),"")</f>
        <v/>
      </c>
      <c r="Q747" s="45">
        <f>IFERROR(O747-P747,"")</f>
        <v/>
      </c>
      <c r="R747" s="44">
        <f>IFERROR((L747-M747)/(L747+M747),"")</f>
        <v/>
      </c>
      <c r="S747" s="46">
        <f>H747/SUMIFS(Counties!$H$2:$H$1583,Counties!$A$2:$A$1583,$A747)</f>
        <v/>
      </c>
      <c r="T747" s="44">
        <f>O747+INDEX(Dashboard!$F$6:$F$22,MATCH($A747,Dashboard!$A$6:$A$22,0))</f>
        <v/>
      </c>
      <c r="U747" s="43">
        <f>AQ747*INDEX(Dashboard!$G$6:$G$22,MATCH($A747,Dashboard!$A$6:$A$22,0))</f>
        <v/>
      </c>
      <c r="V747" s="47" t="n"/>
      <c r="W747" s="47" t="n"/>
      <c r="X747" s="47" t="n"/>
      <c r="Y747" s="48" t="n"/>
      <c r="Z747" s="49" t="n"/>
      <c r="AA747" s="49" t="n"/>
      <c r="AB747" s="49" t="n"/>
      <c r="AC747" s="50" t="n"/>
      <c r="AD747" s="43">
        <f>IF(Z747&lt;&gt;"",Z747,N(V747))</f>
        <v/>
      </c>
      <c r="AE747" s="43">
        <f>IF(AA747&lt;&gt;"",AA747,N(W747))</f>
        <v/>
      </c>
      <c r="AF747" s="43">
        <f>AD747+AE747</f>
        <v/>
      </c>
      <c r="AG747" s="42">
        <f>IF(UPPER(AC747)="Y",1,IF(AF747=0,0,IF(AND(Z747="",Y747&lt;&gt;""),IF(Y747&gt;=0.999,1,0),IF(AF747&gt;=U747,1,0))))</f>
        <v/>
      </c>
      <c r="AH747" s="44">
        <f>IF(AF747&gt;0,(AD747-AE747)/AF747,"")</f>
        <v/>
      </c>
      <c r="AI747" s="45">
        <f>IF(AG747=1,AH747-O747,"")</f>
        <v/>
      </c>
      <c r="AJ747" s="44">
        <f>IF(AG747=1,AH747,MAX(-1,MIN(1,O747+INDEX(Types!$H:$H,MATCH($A747&amp;"|"&amp;$D747,Types!$A:$A,0)))))</f>
        <v/>
      </c>
      <c r="AK747" s="43">
        <f>IF(AG747=1,AF747,MAX(AQ747*AS747,AF747))</f>
        <v/>
      </c>
      <c r="AL747" s="43">
        <f>IF(AG747=1,AD747,AK747*(1+AJ747)/2)</f>
        <v/>
      </c>
      <c r="AM747" s="43">
        <f>IF(AG747=1,AE747,AK747*(1-AJ747)/2)</f>
        <v/>
      </c>
      <c r="AN747" s="45">
        <f>IF(AH747="","",AH747-T747)</f>
        <v/>
      </c>
      <c r="AO747" s="51">
        <f>IF(AG747=1,1,IF(U747&gt;0,MIN(AF747/U747,0.99),0))</f>
        <v/>
      </c>
      <c r="AP747" s="43">
        <f>IF(AG747=1,AI747*AF747,0)</f>
        <v/>
      </c>
      <c r="AQ747" s="43">
        <f>N747*(F747+G747)/H747</f>
        <v/>
      </c>
      <c r="AR747" s="43">
        <f>O747*AQ747</f>
        <v/>
      </c>
      <c r="AS747" s="52">
        <f>IF(AG747=1,IF(AQ747&gt;0,AF747/AQ747,1),IFERROR(INDEX(Types!$K:$K,MATCH($A747&amp;"|"&amp;$D747,Types!$A:$A,0)),INDEX(Dashboard!$X$6:$X$22,MATCH($A747,Dashboard!$A$6:$A$22,0))))</f>
        <v/>
      </c>
      <c r="AT747" s="43">
        <f>AQ747*INDEX(Dashboard!$Y$6:$Y$22,MATCH($A747,Dashboard!$A$6:$A$22,0))</f>
        <v/>
      </c>
      <c r="AU747" s="53">
        <f>IF(AND(AG747=1,AT747&gt;0,AF747&gt;0),100*AF747/AT747,"")</f>
        <v/>
      </c>
      <c r="AV747" s="44">
        <f>IF(AU747="","",T747/(AU747/100))</f>
        <v/>
      </c>
      <c r="AW747" s="53">
        <f>IF(AU747="","",IF(AND(ABS(AH747)&gt;=0.1,ABS(T747)&gt;=0.05,SIGN(AH747)=SIGN(T747)),100*T747/AH747,""))</f>
        <v/>
      </c>
      <c r="AX747" s="45">
        <f>IF(AU747="","",T747-AV747)</f>
        <v/>
      </c>
      <c r="AY747" s="45">
        <f>IF(AU747="","",AH747-AV747)</f>
        <v/>
      </c>
      <c r="AZ747" s="54">
        <f>(AL747-AM747)-T747*AT747</f>
        <v/>
      </c>
      <c r="BA747" s="43">
        <f>IF(AU747="",0,(AH747-T747)*AF747)</f>
        <v/>
      </c>
      <c r="BB747" s="43">
        <f>IF(AU747="",0,T747*(AF747-AT747))</f>
        <v/>
      </c>
      <c r="BC747" s="51" t="n">
        <v>0.04002991026919242</v>
      </c>
      <c r="BD747" s="51" t="n">
        <v>0.05807577268195414</v>
      </c>
      <c r="BE747" s="51" t="n">
        <v>0.3290504946678658</v>
      </c>
      <c r="BF747" s="43" t="n">
        <v>20060</v>
      </c>
    </row>
    <row r="748">
      <c r="A748" s="42" t="inlineStr">
        <is>
          <t>NC</t>
        </is>
      </c>
      <c r="B748" s="42" t="inlineStr">
        <is>
          <t>37151</t>
        </is>
      </c>
      <c r="C748" s="42" t="inlineStr">
        <is>
          <t>Randolph</t>
        </is>
      </c>
      <c r="D748" s="42" t="inlineStr">
        <is>
          <t>Mid-size/working metro</t>
        </is>
      </c>
      <c r="E748" s="42" t="inlineStr">
        <is>
          <t>★</t>
        </is>
      </c>
      <c r="F748" s="43" t="n">
        <v>15951</v>
      </c>
      <c r="G748" s="43" t="n">
        <v>59357</v>
      </c>
      <c r="H748" s="43" t="n">
        <v>75841</v>
      </c>
      <c r="I748" s="43" t="n">
        <v>15618</v>
      </c>
      <c r="J748" s="43" t="n">
        <v>56894</v>
      </c>
      <c r="K748" s="42" t="inlineStr">
        <is>
          <t>US Senate</t>
        </is>
      </c>
      <c r="L748" s="43" t="n">
        <v>9313</v>
      </c>
      <c r="M748" s="43" t="n">
        <v>38030</v>
      </c>
      <c r="N748" s="43" t="n">
        <v>48346</v>
      </c>
      <c r="O748" s="44">
        <f>IFERROR((F748-G748)/(F748+G748),"")</f>
        <v/>
      </c>
      <c r="P748" s="44">
        <f>IFERROR((I748-J748)/(I748+J748),"")</f>
        <v/>
      </c>
      <c r="Q748" s="45">
        <f>IFERROR(O748-P748,"")</f>
        <v/>
      </c>
      <c r="R748" s="44">
        <f>IFERROR((L748-M748)/(L748+M748),"")</f>
        <v/>
      </c>
      <c r="S748" s="46">
        <f>H748/SUMIFS(Counties!$H$2:$H$1583,Counties!$A$2:$A$1583,$A748)</f>
        <v/>
      </c>
      <c r="T748" s="44">
        <f>O748+INDEX(Dashboard!$F$6:$F$22,MATCH($A748,Dashboard!$A$6:$A$22,0))</f>
        <v/>
      </c>
      <c r="U748" s="43">
        <f>AQ748*INDEX(Dashboard!$G$6:$G$22,MATCH($A748,Dashboard!$A$6:$A$22,0))</f>
        <v/>
      </c>
      <c r="V748" s="47" t="n"/>
      <c r="W748" s="47" t="n"/>
      <c r="X748" s="47" t="n"/>
      <c r="Y748" s="48" t="n"/>
      <c r="Z748" s="49" t="n"/>
      <c r="AA748" s="49" t="n"/>
      <c r="AB748" s="49" t="n"/>
      <c r="AC748" s="50" t="n"/>
      <c r="AD748" s="43">
        <f>IF(Z748&lt;&gt;"",Z748,N(V748))</f>
        <v/>
      </c>
      <c r="AE748" s="43">
        <f>IF(AA748&lt;&gt;"",AA748,N(W748))</f>
        <v/>
      </c>
      <c r="AF748" s="43">
        <f>AD748+AE748</f>
        <v/>
      </c>
      <c r="AG748" s="42">
        <f>IF(UPPER(AC748)="Y",1,IF(AF748=0,0,IF(AND(Z748="",Y748&lt;&gt;""),IF(Y748&gt;=0.999,1,0),IF(AF748&gt;=U748,1,0))))</f>
        <v/>
      </c>
      <c r="AH748" s="44">
        <f>IF(AF748&gt;0,(AD748-AE748)/AF748,"")</f>
        <v/>
      </c>
      <c r="AI748" s="45">
        <f>IF(AG748=1,AH748-O748,"")</f>
        <v/>
      </c>
      <c r="AJ748" s="44">
        <f>IF(AG748=1,AH748,MAX(-1,MIN(1,O748+INDEX(Types!$H:$H,MATCH($A748&amp;"|"&amp;$D748,Types!$A:$A,0)))))</f>
        <v/>
      </c>
      <c r="AK748" s="43">
        <f>IF(AG748=1,AF748,MAX(AQ748*AS748,AF748))</f>
        <v/>
      </c>
      <c r="AL748" s="43">
        <f>IF(AG748=1,AD748,AK748*(1+AJ748)/2)</f>
        <v/>
      </c>
      <c r="AM748" s="43">
        <f>IF(AG748=1,AE748,AK748*(1-AJ748)/2)</f>
        <v/>
      </c>
      <c r="AN748" s="45">
        <f>IF(AH748="","",AH748-T748)</f>
        <v/>
      </c>
      <c r="AO748" s="51">
        <f>IF(AG748=1,1,IF(U748&gt;0,MIN(AF748/U748,0.99),0))</f>
        <v/>
      </c>
      <c r="AP748" s="43">
        <f>IF(AG748=1,AI748*AF748,0)</f>
        <v/>
      </c>
      <c r="AQ748" s="43">
        <f>N748*(F748+G748)/H748</f>
        <v/>
      </c>
      <c r="AR748" s="43">
        <f>O748*AQ748</f>
        <v/>
      </c>
      <c r="AS748" s="52">
        <f>IF(AG748=1,IF(AQ748&gt;0,AF748/AQ748,1),IFERROR(INDEX(Types!$K:$K,MATCH($A748&amp;"|"&amp;$D748,Types!$A:$A,0)),INDEX(Dashboard!$X$6:$X$22,MATCH($A748,Dashboard!$A$6:$A$22,0))))</f>
        <v/>
      </c>
      <c r="AT748" s="43">
        <f>AQ748*INDEX(Dashboard!$Y$6:$Y$22,MATCH($A748,Dashboard!$A$6:$A$22,0))</f>
        <v/>
      </c>
      <c r="AU748" s="53">
        <f>IF(AND(AG748=1,AT748&gt;0,AF748&gt;0),100*AF748/AT748,"")</f>
        <v/>
      </c>
      <c r="AV748" s="44">
        <f>IF(AU748="","",T748/(AU748/100))</f>
        <v/>
      </c>
      <c r="AW748" s="53">
        <f>IF(AU748="","",IF(AND(ABS(AH748)&gt;=0.1,ABS(T748)&gt;=0.05,SIGN(AH748)=SIGN(T748)),100*T748/AH748,""))</f>
        <v/>
      </c>
      <c r="AX748" s="45">
        <f>IF(AU748="","",T748-AV748)</f>
        <v/>
      </c>
      <c r="AY748" s="45">
        <f>IF(AU748="","",AH748-AV748)</f>
        <v/>
      </c>
      <c r="AZ748" s="54">
        <f>(AL748-AM748)-T748*AT748</f>
        <v/>
      </c>
      <c r="BA748" s="43">
        <f>IF(AU748="",0,(AH748-T748)*AF748)</f>
        <v/>
      </c>
      <c r="BB748" s="43">
        <f>IF(AU748="",0,T748*(AF748-AT748))</f>
        <v/>
      </c>
      <c r="BC748" s="51" t="n">
        <v>0.06801936822688494</v>
      </c>
      <c r="BD748" s="51" t="n">
        <v>0.1425219384502706</v>
      </c>
      <c r="BE748" s="51" t="n">
        <v>0.1763013807332169</v>
      </c>
      <c r="BF748" s="43" t="n">
        <v>147458</v>
      </c>
    </row>
    <row r="749">
      <c r="A749" s="42" t="inlineStr">
        <is>
          <t>NC</t>
        </is>
      </c>
      <c r="B749" s="42" t="inlineStr">
        <is>
          <t>37153</t>
        </is>
      </c>
      <c r="C749" s="42" t="inlineStr">
        <is>
          <t>Richmond</t>
        </is>
      </c>
      <c r="D749" s="42" t="inlineStr">
        <is>
          <t>Small town &amp; rural</t>
        </is>
      </c>
      <c r="E749" s="42" t="inlineStr"/>
      <c r="F749" s="43" t="n">
        <v>7787</v>
      </c>
      <c r="G749" s="43" t="n">
        <v>11931</v>
      </c>
      <c r="H749" s="43" t="n">
        <v>19848</v>
      </c>
      <c r="I749" s="43" t="n">
        <v>8754</v>
      </c>
      <c r="J749" s="43" t="n">
        <v>11830</v>
      </c>
      <c r="K749" s="42" t="inlineStr">
        <is>
          <t>US Senate</t>
        </is>
      </c>
      <c r="L749" s="43" t="n">
        <v>5016</v>
      </c>
      <c r="M749" s="43" t="n">
        <v>7317</v>
      </c>
      <c r="N749" s="43" t="n">
        <v>12596</v>
      </c>
      <c r="O749" s="44">
        <f>IFERROR((F749-G749)/(F749+G749),"")</f>
        <v/>
      </c>
      <c r="P749" s="44">
        <f>IFERROR((I749-J749)/(I749+J749),"")</f>
        <v/>
      </c>
      <c r="Q749" s="45">
        <f>IFERROR(O749-P749,"")</f>
        <v/>
      </c>
      <c r="R749" s="44">
        <f>IFERROR((L749-M749)/(L749+M749),"")</f>
        <v/>
      </c>
      <c r="S749" s="46">
        <f>H749/SUMIFS(Counties!$H$2:$H$1583,Counties!$A$2:$A$1583,$A749)</f>
        <v/>
      </c>
      <c r="T749" s="44">
        <f>O749+INDEX(Dashboard!$F$6:$F$22,MATCH($A749,Dashboard!$A$6:$A$22,0))</f>
        <v/>
      </c>
      <c r="U749" s="43">
        <f>AQ749*INDEX(Dashboard!$G$6:$G$22,MATCH($A749,Dashboard!$A$6:$A$22,0))</f>
        <v/>
      </c>
      <c r="V749" s="47" t="n"/>
      <c r="W749" s="47" t="n"/>
      <c r="X749" s="47" t="n"/>
      <c r="Y749" s="48" t="n"/>
      <c r="Z749" s="49" t="n"/>
      <c r="AA749" s="49" t="n"/>
      <c r="AB749" s="49" t="n"/>
      <c r="AC749" s="50" t="n"/>
      <c r="AD749" s="43">
        <f>IF(Z749&lt;&gt;"",Z749,N(V749))</f>
        <v/>
      </c>
      <c r="AE749" s="43">
        <f>IF(AA749&lt;&gt;"",AA749,N(W749))</f>
        <v/>
      </c>
      <c r="AF749" s="43">
        <f>AD749+AE749</f>
        <v/>
      </c>
      <c r="AG749" s="42">
        <f>IF(UPPER(AC749)="Y",1,IF(AF749=0,0,IF(AND(Z749="",Y749&lt;&gt;""),IF(Y749&gt;=0.999,1,0),IF(AF749&gt;=U749,1,0))))</f>
        <v/>
      </c>
      <c r="AH749" s="44">
        <f>IF(AF749&gt;0,(AD749-AE749)/AF749,"")</f>
        <v/>
      </c>
      <c r="AI749" s="45">
        <f>IF(AG749=1,AH749-O749,"")</f>
        <v/>
      </c>
      <c r="AJ749" s="44">
        <f>IF(AG749=1,AH749,MAX(-1,MIN(1,O749+INDEX(Types!$H:$H,MATCH($A749&amp;"|"&amp;$D749,Types!$A:$A,0)))))</f>
        <v/>
      </c>
      <c r="AK749" s="43">
        <f>IF(AG749=1,AF749,MAX(AQ749*AS749,AF749))</f>
        <v/>
      </c>
      <c r="AL749" s="43">
        <f>IF(AG749=1,AD749,AK749*(1+AJ749)/2)</f>
        <v/>
      </c>
      <c r="AM749" s="43">
        <f>IF(AG749=1,AE749,AK749*(1-AJ749)/2)</f>
        <v/>
      </c>
      <c r="AN749" s="45">
        <f>IF(AH749="","",AH749-T749)</f>
        <v/>
      </c>
      <c r="AO749" s="51">
        <f>IF(AG749=1,1,IF(U749&gt;0,MIN(AF749/U749,0.99),0))</f>
        <v/>
      </c>
      <c r="AP749" s="43">
        <f>IF(AG749=1,AI749*AF749,0)</f>
        <v/>
      </c>
      <c r="AQ749" s="43">
        <f>N749*(F749+G749)/H749</f>
        <v/>
      </c>
      <c r="AR749" s="43">
        <f>O749*AQ749</f>
        <v/>
      </c>
      <c r="AS749" s="52">
        <f>IF(AG749=1,IF(AQ749&gt;0,AF749/AQ749,1),IFERROR(INDEX(Types!$K:$K,MATCH($A749&amp;"|"&amp;$D749,Types!$A:$A,0)),INDEX(Dashboard!$X$6:$X$22,MATCH($A749,Dashboard!$A$6:$A$22,0))))</f>
        <v/>
      </c>
      <c r="AT749" s="43">
        <f>AQ749*INDEX(Dashboard!$Y$6:$Y$22,MATCH($A749,Dashboard!$A$6:$A$22,0))</f>
        <v/>
      </c>
      <c r="AU749" s="53">
        <f>IF(AND(AG749=1,AT749&gt;0,AF749&gt;0),100*AF749/AT749,"")</f>
        <v/>
      </c>
      <c r="AV749" s="44">
        <f>IF(AU749="","",T749/(AU749/100))</f>
        <v/>
      </c>
      <c r="AW749" s="53">
        <f>IF(AU749="","",IF(AND(ABS(AH749)&gt;=0.1,ABS(T749)&gt;=0.05,SIGN(AH749)=SIGN(T749)),100*T749/AH749,""))</f>
        <v/>
      </c>
      <c r="AX749" s="45">
        <f>IF(AU749="","",T749-AV749)</f>
        <v/>
      </c>
      <c r="AY749" s="45">
        <f>IF(AU749="","",AH749-AV749)</f>
        <v/>
      </c>
      <c r="AZ749" s="54">
        <f>(AL749-AM749)-T749*AT749</f>
        <v/>
      </c>
      <c r="BA749" s="43">
        <f>IF(AU749="",0,(AH749-T749)*AF749)</f>
        <v/>
      </c>
      <c r="BB749" s="43">
        <f>IF(AU749="",0,T749*(AF749-AT749))</f>
        <v/>
      </c>
      <c r="BC749" s="51" t="n">
        <v>0.311265475852944</v>
      </c>
      <c r="BD749" s="51" t="n">
        <v>0.080427180795766</v>
      </c>
      <c r="BE749" s="51" t="n">
        <v>0.161861841199945</v>
      </c>
      <c r="BF749" s="43" t="n">
        <v>42324</v>
      </c>
    </row>
    <row r="750">
      <c r="A750" s="42" t="inlineStr">
        <is>
          <t>NC</t>
        </is>
      </c>
      <c r="B750" s="42" t="inlineStr">
        <is>
          <t>37155</t>
        </is>
      </c>
      <c r="C750" s="42" t="inlineStr">
        <is>
          <t>Robeson</t>
        </is>
      </c>
      <c r="D750" s="42" t="inlineStr">
        <is>
          <t>Native American</t>
        </is>
      </c>
      <c r="E750" s="42" t="inlineStr">
        <is>
          <t>★</t>
        </is>
      </c>
      <c r="F750" s="43" t="n">
        <v>16728</v>
      </c>
      <c r="G750" s="43" t="n">
        <v>29647</v>
      </c>
      <c r="H750" s="43" t="n">
        <v>46677</v>
      </c>
      <c r="I750" s="43" t="n">
        <v>19020</v>
      </c>
      <c r="J750" s="43" t="n">
        <v>27806</v>
      </c>
      <c r="K750" s="42" t="inlineStr">
        <is>
          <t>US Senate</t>
        </is>
      </c>
      <c r="L750" s="43" t="n">
        <v>10586</v>
      </c>
      <c r="M750" s="43" t="n">
        <v>15555</v>
      </c>
      <c r="N750" s="43" t="n">
        <v>26713</v>
      </c>
      <c r="O750" s="44">
        <f>IFERROR((F750-G750)/(F750+G750),"")</f>
        <v/>
      </c>
      <c r="P750" s="44">
        <f>IFERROR((I750-J750)/(I750+J750),"")</f>
        <v/>
      </c>
      <c r="Q750" s="45">
        <f>IFERROR(O750-P750,"")</f>
        <v/>
      </c>
      <c r="R750" s="44">
        <f>IFERROR((L750-M750)/(L750+M750),"")</f>
        <v/>
      </c>
      <c r="S750" s="46">
        <f>H750/SUMIFS(Counties!$H$2:$H$1583,Counties!$A$2:$A$1583,$A750)</f>
        <v/>
      </c>
      <c r="T750" s="44">
        <f>O750+INDEX(Dashboard!$F$6:$F$22,MATCH($A750,Dashboard!$A$6:$A$22,0))</f>
        <v/>
      </c>
      <c r="U750" s="43">
        <f>AQ750*INDEX(Dashboard!$G$6:$G$22,MATCH($A750,Dashboard!$A$6:$A$22,0))</f>
        <v/>
      </c>
      <c r="V750" s="47" t="n"/>
      <c r="W750" s="47" t="n"/>
      <c r="X750" s="47" t="n"/>
      <c r="Y750" s="48" t="n"/>
      <c r="Z750" s="49" t="n"/>
      <c r="AA750" s="49" t="n"/>
      <c r="AB750" s="49" t="n"/>
      <c r="AC750" s="50" t="n"/>
      <c r="AD750" s="43">
        <f>IF(Z750&lt;&gt;"",Z750,N(V750))</f>
        <v/>
      </c>
      <c r="AE750" s="43">
        <f>IF(AA750&lt;&gt;"",AA750,N(W750))</f>
        <v/>
      </c>
      <c r="AF750" s="43">
        <f>AD750+AE750</f>
        <v/>
      </c>
      <c r="AG750" s="42">
        <f>IF(UPPER(AC750)="Y",1,IF(AF750=0,0,IF(AND(Z750="",Y750&lt;&gt;""),IF(Y750&gt;=0.999,1,0),IF(AF750&gt;=U750,1,0))))</f>
        <v/>
      </c>
      <c r="AH750" s="44">
        <f>IF(AF750&gt;0,(AD750-AE750)/AF750,"")</f>
        <v/>
      </c>
      <c r="AI750" s="45">
        <f>IF(AG750=1,AH750-O750,"")</f>
        <v/>
      </c>
      <c r="AJ750" s="44">
        <f>IF(AG750=1,AH750,MAX(-1,MIN(1,O750+INDEX(Types!$H:$H,MATCH($A750&amp;"|"&amp;$D750,Types!$A:$A,0)))))</f>
        <v/>
      </c>
      <c r="AK750" s="43">
        <f>IF(AG750=1,AF750,MAX(AQ750*AS750,AF750))</f>
        <v/>
      </c>
      <c r="AL750" s="43">
        <f>IF(AG750=1,AD750,AK750*(1+AJ750)/2)</f>
        <v/>
      </c>
      <c r="AM750" s="43">
        <f>IF(AG750=1,AE750,AK750*(1-AJ750)/2)</f>
        <v/>
      </c>
      <c r="AN750" s="45">
        <f>IF(AH750="","",AH750-T750)</f>
        <v/>
      </c>
      <c r="AO750" s="51">
        <f>IF(AG750=1,1,IF(U750&gt;0,MIN(AF750/U750,0.99),0))</f>
        <v/>
      </c>
      <c r="AP750" s="43">
        <f>IF(AG750=1,AI750*AF750,0)</f>
        <v/>
      </c>
      <c r="AQ750" s="43">
        <f>N750*(F750+G750)/H750</f>
        <v/>
      </c>
      <c r="AR750" s="43">
        <f>O750*AQ750</f>
        <v/>
      </c>
      <c r="AS750" s="52">
        <f>IF(AG750=1,IF(AQ750&gt;0,AF750/AQ750,1),IFERROR(INDEX(Types!$K:$K,MATCH($A750&amp;"|"&amp;$D750,Types!$A:$A,0)),INDEX(Dashboard!$X$6:$X$22,MATCH($A750,Dashboard!$A$6:$A$22,0))))</f>
        <v/>
      </c>
      <c r="AT750" s="43">
        <f>AQ750*INDEX(Dashboard!$Y$6:$Y$22,MATCH($A750,Dashboard!$A$6:$A$22,0))</f>
        <v/>
      </c>
      <c r="AU750" s="53">
        <f>IF(AND(AG750=1,AT750&gt;0,AF750&gt;0),100*AF750/AT750,"")</f>
        <v/>
      </c>
      <c r="AV750" s="44">
        <f>IF(AU750="","",T750/(AU750/100))</f>
        <v/>
      </c>
      <c r="AW750" s="53">
        <f>IF(AU750="","",IF(AND(ABS(AH750)&gt;=0.1,ABS(T750)&gt;=0.05,SIGN(AH750)=SIGN(T750)),100*T750/AH750,""))</f>
        <v/>
      </c>
      <c r="AX750" s="45">
        <f>IF(AU750="","",T750-AV750)</f>
        <v/>
      </c>
      <c r="AY750" s="45">
        <f>IF(AU750="","",AH750-AV750)</f>
        <v/>
      </c>
      <c r="AZ750" s="54">
        <f>(AL750-AM750)-T750*AT750</f>
        <v/>
      </c>
      <c r="BA750" s="43">
        <f>IF(AU750="",0,(AH750-T750)*AF750)</f>
        <v/>
      </c>
      <c r="BB750" s="43">
        <f>IF(AU750="",0,T750*(AF750-AT750))</f>
        <v/>
      </c>
      <c r="BC750" s="51" t="n">
        <v>0.2285349124526051</v>
      </c>
      <c r="BD750" s="51" t="n">
        <v>0.111421633365995</v>
      </c>
      <c r="BE750" s="51" t="n">
        <v>0.1455930040933496</v>
      </c>
      <c r="BF750" s="43" t="n">
        <v>117365</v>
      </c>
    </row>
    <row r="751">
      <c r="A751" s="42" t="inlineStr">
        <is>
          <t>NC</t>
        </is>
      </c>
      <c r="B751" s="42" t="inlineStr">
        <is>
          <t>37157</t>
        </is>
      </c>
      <c r="C751" s="42" t="inlineStr">
        <is>
          <t>Rockingham</t>
        </is>
      </c>
      <c r="D751" s="42" t="inlineStr">
        <is>
          <t>Small town &amp; rural</t>
        </is>
      </c>
      <c r="E751" s="42" t="inlineStr"/>
      <c r="F751" s="43" t="n">
        <v>15676</v>
      </c>
      <c r="G751" s="43" t="n">
        <v>33447</v>
      </c>
      <c r="H751" s="43" t="n">
        <v>49492</v>
      </c>
      <c r="I751" s="43" t="n">
        <v>15992</v>
      </c>
      <c r="J751" s="43" t="n">
        <v>31301</v>
      </c>
      <c r="K751" s="42" t="inlineStr">
        <is>
          <t>US Senate</t>
        </is>
      </c>
      <c r="L751" s="43" t="n">
        <v>10110</v>
      </c>
      <c r="M751" s="43" t="n">
        <v>21617</v>
      </c>
      <c r="N751" s="43" t="n">
        <v>32566</v>
      </c>
      <c r="O751" s="44">
        <f>IFERROR((F751-G751)/(F751+G751),"")</f>
        <v/>
      </c>
      <c r="P751" s="44">
        <f>IFERROR((I751-J751)/(I751+J751),"")</f>
        <v/>
      </c>
      <c r="Q751" s="45">
        <f>IFERROR(O751-P751,"")</f>
        <v/>
      </c>
      <c r="R751" s="44">
        <f>IFERROR((L751-M751)/(L751+M751),"")</f>
        <v/>
      </c>
      <c r="S751" s="46">
        <f>H751/SUMIFS(Counties!$H$2:$H$1583,Counties!$A$2:$A$1583,$A751)</f>
        <v/>
      </c>
      <c r="T751" s="44">
        <f>O751+INDEX(Dashboard!$F$6:$F$22,MATCH($A751,Dashboard!$A$6:$A$22,0))</f>
        <v/>
      </c>
      <c r="U751" s="43">
        <f>AQ751*INDEX(Dashboard!$G$6:$G$22,MATCH($A751,Dashboard!$A$6:$A$22,0))</f>
        <v/>
      </c>
      <c r="V751" s="47" t="n"/>
      <c r="W751" s="47" t="n"/>
      <c r="X751" s="47" t="n"/>
      <c r="Y751" s="48" t="n"/>
      <c r="Z751" s="49" t="n"/>
      <c r="AA751" s="49" t="n"/>
      <c r="AB751" s="49" t="n"/>
      <c r="AC751" s="50" t="n"/>
      <c r="AD751" s="43">
        <f>IF(Z751&lt;&gt;"",Z751,N(V751))</f>
        <v/>
      </c>
      <c r="AE751" s="43">
        <f>IF(AA751&lt;&gt;"",AA751,N(W751))</f>
        <v/>
      </c>
      <c r="AF751" s="43">
        <f>AD751+AE751</f>
        <v/>
      </c>
      <c r="AG751" s="42">
        <f>IF(UPPER(AC751)="Y",1,IF(AF751=0,0,IF(AND(Z751="",Y751&lt;&gt;""),IF(Y751&gt;=0.999,1,0),IF(AF751&gt;=U751,1,0))))</f>
        <v/>
      </c>
      <c r="AH751" s="44">
        <f>IF(AF751&gt;0,(AD751-AE751)/AF751,"")</f>
        <v/>
      </c>
      <c r="AI751" s="45">
        <f>IF(AG751=1,AH751-O751,"")</f>
        <v/>
      </c>
      <c r="AJ751" s="44">
        <f>IF(AG751=1,AH751,MAX(-1,MIN(1,O751+INDEX(Types!$H:$H,MATCH($A751&amp;"|"&amp;$D751,Types!$A:$A,0)))))</f>
        <v/>
      </c>
      <c r="AK751" s="43">
        <f>IF(AG751=1,AF751,MAX(AQ751*AS751,AF751))</f>
        <v/>
      </c>
      <c r="AL751" s="43">
        <f>IF(AG751=1,AD751,AK751*(1+AJ751)/2)</f>
        <v/>
      </c>
      <c r="AM751" s="43">
        <f>IF(AG751=1,AE751,AK751*(1-AJ751)/2)</f>
        <v/>
      </c>
      <c r="AN751" s="45">
        <f>IF(AH751="","",AH751-T751)</f>
        <v/>
      </c>
      <c r="AO751" s="51">
        <f>IF(AG751=1,1,IF(U751&gt;0,MIN(AF751/U751,0.99),0))</f>
        <v/>
      </c>
      <c r="AP751" s="43">
        <f>IF(AG751=1,AI751*AF751,0)</f>
        <v/>
      </c>
      <c r="AQ751" s="43">
        <f>N751*(F751+G751)/H751</f>
        <v/>
      </c>
      <c r="AR751" s="43">
        <f>O751*AQ751</f>
        <v/>
      </c>
      <c r="AS751" s="52">
        <f>IF(AG751=1,IF(AQ751&gt;0,AF751/AQ751,1),IFERROR(INDEX(Types!$K:$K,MATCH($A751&amp;"|"&amp;$D751,Types!$A:$A,0)),INDEX(Dashboard!$X$6:$X$22,MATCH($A751,Dashboard!$A$6:$A$22,0))))</f>
        <v/>
      </c>
      <c r="AT751" s="43">
        <f>AQ751*INDEX(Dashboard!$Y$6:$Y$22,MATCH($A751,Dashboard!$A$6:$A$22,0))</f>
        <v/>
      </c>
      <c r="AU751" s="53">
        <f>IF(AND(AG751=1,AT751&gt;0,AF751&gt;0),100*AF751/AT751,"")</f>
        <v/>
      </c>
      <c r="AV751" s="44">
        <f>IF(AU751="","",T751/(AU751/100))</f>
        <v/>
      </c>
      <c r="AW751" s="53">
        <f>IF(AU751="","",IF(AND(ABS(AH751)&gt;=0.1,ABS(T751)&gt;=0.05,SIGN(AH751)=SIGN(T751)),100*T751/AH751,""))</f>
        <v/>
      </c>
      <c r="AX751" s="45">
        <f>IF(AU751="","",T751-AV751)</f>
        <v/>
      </c>
      <c r="AY751" s="45">
        <f>IF(AU751="","",AH751-AV751)</f>
        <v/>
      </c>
      <c r="AZ751" s="54">
        <f>(AL751-AM751)-T751*AT751</f>
        <v/>
      </c>
      <c r="BA751" s="43">
        <f>IF(AU751="",0,(AH751-T751)*AF751)</f>
        <v/>
      </c>
      <c r="BB751" s="43">
        <f>IF(AU751="",0,T751*(AF751-AT751))</f>
        <v/>
      </c>
      <c r="BC751" s="51" t="n">
        <v>0.1850342636027584</v>
      </c>
      <c r="BD751" s="51" t="n">
        <v>0.07301281912708878</v>
      </c>
      <c r="BE751" s="51" t="n">
        <v>0.161282043539962</v>
      </c>
      <c r="BF751" s="43" t="n">
        <v>92518</v>
      </c>
    </row>
    <row r="752">
      <c r="A752" s="42" t="inlineStr">
        <is>
          <t>NC</t>
        </is>
      </c>
      <c r="B752" s="42" t="inlineStr">
        <is>
          <t>37159</t>
        </is>
      </c>
      <c r="C752" s="42" t="inlineStr">
        <is>
          <t>Rowan</t>
        </is>
      </c>
      <c r="D752" s="42" t="inlineStr">
        <is>
          <t>Mid-size/working metro</t>
        </is>
      </c>
      <c r="E752" s="42" t="inlineStr"/>
      <c r="F752" s="43" t="n">
        <v>23788</v>
      </c>
      <c r="G752" s="43" t="n">
        <v>50807</v>
      </c>
      <c r="H752" s="43" t="n">
        <v>75236</v>
      </c>
      <c r="I752" s="43" t="n">
        <v>23114</v>
      </c>
      <c r="J752" s="43" t="n">
        <v>49297</v>
      </c>
      <c r="K752" s="42" t="inlineStr">
        <is>
          <t>US Senate</t>
        </is>
      </c>
      <c r="L752" s="43" t="n">
        <v>14282</v>
      </c>
      <c r="M752" s="43" t="n">
        <v>32766</v>
      </c>
      <c r="N752" s="43" t="n">
        <v>48197</v>
      </c>
      <c r="O752" s="44">
        <f>IFERROR((F752-G752)/(F752+G752),"")</f>
        <v/>
      </c>
      <c r="P752" s="44">
        <f>IFERROR((I752-J752)/(I752+J752),"")</f>
        <v/>
      </c>
      <c r="Q752" s="45">
        <f>IFERROR(O752-P752,"")</f>
        <v/>
      </c>
      <c r="R752" s="44">
        <f>IFERROR((L752-M752)/(L752+M752),"")</f>
        <v/>
      </c>
      <c r="S752" s="46">
        <f>H752/SUMIFS(Counties!$H$2:$H$1583,Counties!$A$2:$A$1583,$A752)</f>
        <v/>
      </c>
      <c r="T752" s="44">
        <f>O752+INDEX(Dashboard!$F$6:$F$22,MATCH($A752,Dashboard!$A$6:$A$22,0))</f>
        <v/>
      </c>
      <c r="U752" s="43">
        <f>AQ752*INDEX(Dashboard!$G$6:$G$22,MATCH($A752,Dashboard!$A$6:$A$22,0))</f>
        <v/>
      </c>
      <c r="V752" s="47" t="n"/>
      <c r="W752" s="47" t="n"/>
      <c r="X752" s="47" t="n"/>
      <c r="Y752" s="48" t="n"/>
      <c r="Z752" s="49" t="n"/>
      <c r="AA752" s="49" t="n"/>
      <c r="AB752" s="49" t="n"/>
      <c r="AC752" s="50" t="n"/>
      <c r="AD752" s="43">
        <f>IF(Z752&lt;&gt;"",Z752,N(V752))</f>
        <v/>
      </c>
      <c r="AE752" s="43">
        <f>IF(AA752&lt;&gt;"",AA752,N(W752))</f>
        <v/>
      </c>
      <c r="AF752" s="43">
        <f>AD752+AE752</f>
        <v/>
      </c>
      <c r="AG752" s="42">
        <f>IF(UPPER(AC752)="Y",1,IF(AF752=0,0,IF(AND(Z752="",Y752&lt;&gt;""),IF(Y752&gt;=0.999,1,0),IF(AF752&gt;=U752,1,0))))</f>
        <v/>
      </c>
      <c r="AH752" s="44">
        <f>IF(AF752&gt;0,(AD752-AE752)/AF752,"")</f>
        <v/>
      </c>
      <c r="AI752" s="45">
        <f>IF(AG752=1,AH752-O752,"")</f>
        <v/>
      </c>
      <c r="AJ752" s="44">
        <f>IF(AG752=1,AH752,MAX(-1,MIN(1,O752+INDEX(Types!$H:$H,MATCH($A752&amp;"|"&amp;$D752,Types!$A:$A,0)))))</f>
        <v/>
      </c>
      <c r="AK752" s="43">
        <f>IF(AG752=1,AF752,MAX(AQ752*AS752,AF752))</f>
        <v/>
      </c>
      <c r="AL752" s="43">
        <f>IF(AG752=1,AD752,AK752*(1+AJ752)/2)</f>
        <v/>
      </c>
      <c r="AM752" s="43">
        <f>IF(AG752=1,AE752,AK752*(1-AJ752)/2)</f>
        <v/>
      </c>
      <c r="AN752" s="45">
        <f>IF(AH752="","",AH752-T752)</f>
        <v/>
      </c>
      <c r="AO752" s="51">
        <f>IF(AG752=1,1,IF(U752&gt;0,MIN(AF752/U752,0.99),0))</f>
        <v/>
      </c>
      <c r="AP752" s="43">
        <f>IF(AG752=1,AI752*AF752,0)</f>
        <v/>
      </c>
      <c r="AQ752" s="43">
        <f>N752*(F752+G752)/H752</f>
        <v/>
      </c>
      <c r="AR752" s="43">
        <f>O752*AQ752</f>
        <v/>
      </c>
      <c r="AS752" s="52">
        <f>IF(AG752=1,IF(AQ752&gt;0,AF752/AQ752,1),IFERROR(INDEX(Types!$K:$K,MATCH($A752&amp;"|"&amp;$D752,Types!$A:$A,0)),INDEX(Dashboard!$X$6:$X$22,MATCH($A752,Dashboard!$A$6:$A$22,0))))</f>
        <v/>
      </c>
      <c r="AT752" s="43">
        <f>AQ752*INDEX(Dashboard!$Y$6:$Y$22,MATCH($A752,Dashboard!$A$6:$A$22,0))</f>
        <v/>
      </c>
      <c r="AU752" s="53">
        <f>IF(AND(AG752=1,AT752&gt;0,AF752&gt;0),100*AF752/AT752,"")</f>
        <v/>
      </c>
      <c r="AV752" s="44">
        <f>IF(AU752="","",T752/(AU752/100))</f>
        <v/>
      </c>
      <c r="AW752" s="53">
        <f>IF(AU752="","",IF(AND(ABS(AH752)&gt;=0.1,ABS(T752)&gt;=0.05,SIGN(AH752)=SIGN(T752)),100*T752/AH752,""))</f>
        <v/>
      </c>
      <c r="AX752" s="45">
        <f>IF(AU752="","",T752-AV752)</f>
        <v/>
      </c>
      <c r="AY752" s="45">
        <f>IF(AU752="","",AH752-AV752)</f>
        <v/>
      </c>
      <c r="AZ752" s="54">
        <f>(AL752-AM752)-T752*AT752</f>
        <v/>
      </c>
      <c r="BA752" s="43">
        <f>IF(AU752="",0,(AH752-T752)*AF752)</f>
        <v/>
      </c>
      <c r="BB752" s="43">
        <f>IF(AU752="",0,T752*(AF752-AT752))</f>
        <v/>
      </c>
      <c r="BC752" s="51" t="n">
        <v>0.1635094058459327</v>
      </c>
      <c r="BD752" s="51" t="n">
        <v>0.1215342111683294</v>
      </c>
      <c r="BE752" s="51" t="n">
        <v>0.2152160752992638</v>
      </c>
      <c r="BF752" s="43" t="n">
        <v>151661</v>
      </c>
    </row>
    <row r="753">
      <c r="A753" s="42" t="inlineStr">
        <is>
          <t>NC</t>
        </is>
      </c>
      <c r="B753" s="42" t="inlineStr">
        <is>
          <t>37161</t>
        </is>
      </c>
      <c r="C753" s="42" t="inlineStr">
        <is>
          <t>Rutherford</t>
        </is>
      </c>
      <c r="D753" s="42" t="inlineStr">
        <is>
          <t>Small town &amp; rural</t>
        </is>
      </c>
      <c r="E753" s="42" t="inlineStr"/>
      <c r="F753" s="43" t="n">
        <v>8914</v>
      </c>
      <c r="G753" s="43" t="n">
        <v>25456</v>
      </c>
      <c r="H753" s="43" t="n">
        <v>34600</v>
      </c>
      <c r="I753" s="43" t="n">
        <v>9135</v>
      </c>
      <c r="J753" s="43" t="n">
        <v>24891</v>
      </c>
      <c r="K753" s="42" t="inlineStr">
        <is>
          <t>US Senate</t>
        </is>
      </c>
      <c r="L753" s="43" t="n">
        <v>5538</v>
      </c>
      <c r="M753" s="43" t="n">
        <v>17330</v>
      </c>
      <c r="N753" s="43" t="n">
        <v>23441</v>
      </c>
      <c r="O753" s="44">
        <f>IFERROR((F753-G753)/(F753+G753),"")</f>
        <v/>
      </c>
      <c r="P753" s="44">
        <f>IFERROR((I753-J753)/(I753+J753),"")</f>
        <v/>
      </c>
      <c r="Q753" s="45">
        <f>IFERROR(O753-P753,"")</f>
        <v/>
      </c>
      <c r="R753" s="44">
        <f>IFERROR((L753-M753)/(L753+M753),"")</f>
        <v/>
      </c>
      <c r="S753" s="46">
        <f>H753/SUMIFS(Counties!$H$2:$H$1583,Counties!$A$2:$A$1583,$A753)</f>
        <v/>
      </c>
      <c r="T753" s="44">
        <f>O753+INDEX(Dashboard!$F$6:$F$22,MATCH($A753,Dashboard!$A$6:$A$22,0))</f>
        <v/>
      </c>
      <c r="U753" s="43">
        <f>AQ753*INDEX(Dashboard!$G$6:$G$22,MATCH($A753,Dashboard!$A$6:$A$22,0))</f>
        <v/>
      </c>
      <c r="V753" s="47" t="n"/>
      <c r="W753" s="47" t="n"/>
      <c r="X753" s="47" t="n"/>
      <c r="Y753" s="48" t="n"/>
      <c r="Z753" s="49" t="n"/>
      <c r="AA753" s="49" t="n"/>
      <c r="AB753" s="49" t="n"/>
      <c r="AC753" s="50" t="n"/>
      <c r="AD753" s="43">
        <f>IF(Z753&lt;&gt;"",Z753,N(V753))</f>
        <v/>
      </c>
      <c r="AE753" s="43">
        <f>IF(AA753&lt;&gt;"",AA753,N(W753))</f>
        <v/>
      </c>
      <c r="AF753" s="43">
        <f>AD753+AE753</f>
        <v/>
      </c>
      <c r="AG753" s="42">
        <f>IF(UPPER(AC753)="Y",1,IF(AF753=0,0,IF(AND(Z753="",Y753&lt;&gt;""),IF(Y753&gt;=0.999,1,0),IF(AF753&gt;=U753,1,0))))</f>
        <v/>
      </c>
      <c r="AH753" s="44">
        <f>IF(AF753&gt;0,(AD753-AE753)/AF753,"")</f>
        <v/>
      </c>
      <c r="AI753" s="45">
        <f>IF(AG753=1,AH753-O753,"")</f>
        <v/>
      </c>
      <c r="AJ753" s="44">
        <f>IF(AG753=1,AH753,MAX(-1,MIN(1,O753+INDEX(Types!$H:$H,MATCH($A753&amp;"|"&amp;$D753,Types!$A:$A,0)))))</f>
        <v/>
      </c>
      <c r="AK753" s="43">
        <f>IF(AG753=1,AF753,MAX(AQ753*AS753,AF753))</f>
        <v/>
      </c>
      <c r="AL753" s="43">
        <f>IF(AG753=1,AD753,AK753*(1+AJ753)/2)</f>
        <v/>
      </c>
      <c r="AM753" s="43">
        <f>IF(AG753=1,AE753,AK753*(1-AJ753)/2)</f>
        <v/>
      </c>
      <c r="AN753" s="45">
        <f>IF(AH753="","",AH753-T753)</f>
        <v/>
      </c>
      <c r="AO753" s="51">
        <f>IF(AG753=1,1,IF(U753&gt;0,MIN(AF753/U753,0.99),0))</f>
        <v/>
      </c>
      <c r="AP753" s="43">
        <f>IF(AG753=1,AI753*AF753,0)</f>
        <v/>
      </c>
      <c r="AQ753" s="43">
        <f>N753*(F753+G753)/H753</f>
        <v/>
      </c>
      <c r="AR753" s="43">
        <f>O753*AQ753</f>
        <v/>
      </c>
      <c r="AS753" s="52">
        <f>IF(AG753=1,IF(AQ753&gt;0,AF753/AQ753,1),IFERROR(INDEX(Types!$K:$K,MATCH($A753&amp;"|"&amp;$D753,Types!$A:$A,0)),INDEX(Dashboard!$X$6:$X$22,MATCH($A753,Dashboard!$A$6:$A$22,0))))</f>
        <v/>
      </c>
      <c r="AT753" s="43">
        <f>AQ753*INDEX(Dashboard!$Y$6:$Y$22,MATCH($A753,Dashboard!$A$6:$A$22,0))</f>
        <v/>
      </c>
      <c r="AU753" s="53">
        <f>IF(AND(AG753=1,AT753&gt;0,AF753&gt;0),100*AF753/AT753,"")</f>
        <v/>
      </c>
      <c r="AV753" s="44">
        <f>IF(AU753="","",T753/(AU753/100))</f>
        <v/>
      </c>
      <c r="AW753" s="53">
        <f>IF(AU753="","",IF(AND(ABS(AH753)&gt;=0.1,ABS(T753)&gt;=0.05,SIGN(AH753)=SIGN(T753)),100*T753/AH753,""))</f>
        <v/>
      </c>
      <c r="AX753" s="45">
        <f>IF(AU753="","",T753-AV753)</f>
        <v/>
      </c>
      <c r="AY753" s="45">
        <f>IF(AU753="","",AH753-AV753)</f>
        <v/>
      </c>
      <c r="AZ753" s="54">
        <f>(AL753-AM753)-T753*AT753</f>
        <v/>
      </c>
      <c r="BA753" s="43">
        <f>IF(AU753="",0,(AH753-T753)*AF753)</f>
        <v/>
      </c>
      <c r="BB753" s="43">
        <f>IF(AU753="",0,T753*(AF753-AT753))</f>
        <v/>
      </c>
      <c r="BC753" s="51" t="n">
        <v>0.0921886210633978</v>
      </c>
      <c r="BD753" s="51" t="n">
        <v>0.0595050910589708</v>
      </c>
      <c r="BE753" s="51" t="n">
        <v>0.2068416020397323</v>
      </c>
      <c r="BF753" s="43" t="n">
        <v>65507</v>
      </c>
    </row>
    <row r="754">
      <c r="A754" s="42" t="inlineStr">
        <is>
          <t>NC</t>
        </is>
      </c>
      <c r="B754" s="42" t="inlineStr">
        <is>
          <t>37163</t>
        </is>
      </c>
      <c r="C754" s="42" t="inlineStr">
        <is>
          <t>Sampson</t>
        </is>
      </c>
      <c r="D754" s="42" t="inlineStr">
        <is>
          <t>Small town &amp; rural</t>
        </is>
      </c>
      <c r="E754" s="42" t="inlineStr"/>
      <c r="F754" s="43" t="n">
        <v>9797</v>
      </c>
      <c r="G754" s="43" t="n">
        <v>18178</v>
      </c>
      <c r="H754" s="43" t="n">
        <v>28138</v>
      </c>
      <c r="I754" s="43" t="n">
        <v>10966</v>
      </c>
      <c r="J754" s="43" t="n">
        <v>17411</v>
      </c>
      <c r="K754" s="42" t="inlineStr">
        <is>
          <t>US Senate</t>
        </is>
      </c>
      <c r="L754" s="43" t="n">
        <v>6045</v>
      </c>
      <c r="M754" s="43" t="n">
        <v>11574</v>
      </c>
      <c r="N754" s="43" t="n">
        <v>17879</v>
      </c>
      <c r="O754" s="44">
        <f>IFERROR((F754-G754)/(F754+G754),"")</f>
        <v/>
      </c>
      <c r="P754" s="44">
        <f>IFERROR((I754-J754)/(I754+J754),"")</f>
        <v/>
      </c>
      <c r="Q754" s="45">
        <f>IFERROR(O754-P754,"")</f>
        <v/>
      </c>
      <c r="R754" s="44">
        <f>IFERROR((L754-M754)/(L754+M754),"")</f>
        <v/>
      </c>
      <c r="S754" s="46">
        <f>H754/SUMIFS(Counties!$H$2:$H$1583,Counties!$A$2:$A$1583,$A754)</f>
        <v/>
      </c>
      <c r="T754" s="44">
        <f>O754+INDEX(Dashboard!$F$6:$F$22,MATCH($A754,Dashboard!$A$6:$A$22,0))</f>
        <v/>
      </c>
      <c r="U754" s="43">
        <f>AQ754*INDEX(Dashboard!$G$6:$G$22,MATCH($A754,Dashboard!$A$6:$A$22,0))</f>
        <v/>
      </c>
      <c r="V754" s="47" t="n"/>
      <c r="W754" s="47" t="n"/>
      <c r="X754" s="47" t="n"/>
      <c r="Y754" s="48" t="n"/>
      <c r="Z754" s="49" t="n"/>
      <c r="AA754" s="49" t="n"/>
      <c r="AB754" s="49" t="n"/>
      <c r="AC754" s="50" t="n"/>
      <c r="AD754" s="43">
        <f>IF(Z754&lt;&gt;"",Z754,N(V754))</f>
        <v/>
      </c>
      <c r="AE754" s="43">
        <f>IF(AA754&lt;&gt;"",AA754,N(W754))</f>
        <v/>
      </c>
      <c r="AF754" s="43">
        <f>AD754+AE754</f>
        <v/>
      </c>
      <c r="AG754" s="42">
        <f>IF(UPPER(AC754)="Y",1,IF(AF754=0,0,IF(AND(Z754="",Y754&lt;&gt;""),IF(Y754&gt;=0.999,1,0),IF(AF754&gt;=U754,1,0))))</f>
        <v/>
      </c>
      <c r="AH754" s="44">
        <f>IF(AF754&gt;0,(AD754-AE754)/AF754,"")</f>
        <v/>
      </c>
      <c r="AI754" s="45">
        <f>IF(AG754=1,AH754-O754,"")</f>
        <v/>
      </c>
      <c r="AJ754" s="44">
        <f>IF(AG754=1,AH754,MAX(-1,MIN(1,O754+INDEX(Types!$H:$H,MATCH($A754&amp;"|"&amp;$D754,Types!$A:$A,0)))))</f>
        <v/>
      </c>
      <c r="AK754" s="43">
        <f>IF(AG754=1,AF754,MAX(AQ754*AS754,AF754))</f>
        <v/>
      </c>
      <c r="AL754" s="43">
        <f>IF(AG754=1,AD754,AK754*(1+AJ754)/2)</f>
        <v/>
      </c>
      <c r="AM754" s="43">
        <f>IF(AG754=1,AE754,AK754*(1-AJ754)/2)</f>
        <v/>
      </c>
      <c r="AN754" s="45">
        <f>IF(AH754="","",AH754-T754)</f>
        <v/>
      </c>
      <c r="AO754" s="51">
        <f>IF(AG754=1,1,IF(U754&gt;0,MIN(AF754/U754,0.99),0))</f>
        <v/>
      </c>
      <c r="AP754" s="43">
        <f>IF(AG754=1,AI754*AF754,0)</f>
        <v/>
      </c>
      <c r="AQ754" s="43">
        <f>N754*(F754+G754)/H754</f>
        <v/>
      </c>
      <c r="AR754" s="43">
        <f>O754*AQ754</f>
        <v/>
      </c>
      <c r="AS754" s="52">
        <f>IF(AG754=1,IF(AQ754&gt;0,AF754/AQ754,1),IFERROR(INDEX(Types!$K:$K,MATCH($A754&amp;"|"&amp;$D754,Types!$A:$A,0)),INDEX(Dashboard!$X$6:$X$22,MATCH($A754,Dashboard!$A$6:$A$22,0))))</f>
        <v/>
      </c>
      <c r="AT754" s="43">
        <f>AQ754*INDEX(Dashboard!$Y$6:$Y$22,MATCH($A754,Dashboard!$A$6:$A$22,0))</f>
        <v/>
      </c>
      <c r="AU754" s="53">
        <f>IF(AND(AG754=1,AT754&gt;0,AF754&gt;0),100*AF754/AT754,"")</f>
        <v/>
      </c>
      <c r="AV754" s="44">
        <f>IF(AU754="","",T754/(AU754/100))</f>
        <v/>
      </c>
      <c r="AW754" s="53">
        <f>IF(AU754="","",IF(AND(ABS(AH754)&gt;=0.1,ABS(T754)&gt;=0.05,SIGN(AH754)=SIGN(T754)),100*T754/AH754,""))</f>
        <v/>
      </c>
      <c r="AX754" s="45">
        <f>IF(AU754="","",T754-AV754)</f>
        <v/>
      </c>
      <c r="AY754" s="45">
        <f>IF(AU754="","",AH754-AV754)</f>
        <v/>
      </c>
      <c r="AZ754" s="54">
        <f>(AL754-AM754)-T754*AT754</f>
        <v/>
      </c>
      <c r="BA754" s="43">
        <f>IF(AU754="",0,(AH754-T754)*AF754)</f>
        <v/>
      </c>
      <c r="BB754" s="43">
        <f>IF(AU754="",0,T754*(AF754-AT754))</f>
        <v/>
      </c>
      <c r="BC754" s="51" t="n">
        <v>0.2400798644318048</v>
      </c>
      <c r="BD754" s="51" t="n">
        <v>0.2243754299424506</v>
      </c>
      <c r="BE754" s="51" t="n">
        <v>0.1582048957388939</v>
      </c>
      <c r="BF754" s="43" t="n">
        <v>59601</v>
      </c>
    </row>
    <row r="755">
      <c r="A755" s="42" t="inlineStr">
        <is>
          <t>NC</t>
        </is>
      </c>
      <c r="B755" s="42" t="inlineStr">
        <is>
          <t>37165</t>
        </is>
      </c>
      <c r="C755" s="42" t="inlineStr">
        <is>
          <t>Scotland</t>
        </is>
      </c>
      <c r="D755" s="42" t="inlineStr">
        <is>
          <t>Small town &amp; rural</t>
        </is>
      </c>
      <c r="E755" s="42" t="inlineStr"/>
      <c r="F755" s="43" t="n">
        <v>6754</v>
      </c>
      <c r="G755" s="43" t="n">
        <v>7767</v>
      </c>
      <c r="H755" s="43" t="n">
        <v>14613</v>
      </c>
      <c r="I755" s="43" t="n">
        <v>7186</v>
      </c>
      <c r="J755" s="43" t="n">
        <v>7473</v>
      </c>
      <c r="K755" s="42" t="inlineStr">
        <is>
          <t>US Senate</t>
        </is>
      </c>
      <c r="L755" s="43" t="n">
        <v>4359</v>
      </c>
      <c r="M755" s="43" t="n">
        <v>4922</v>
      </c>
      <c r="N755" s="43" t="n">
        <v>9519</v>
      </c>
      <c r="O755" s="44">
        <f>IFERROR((F755-G755)/(F755+G755),"")</f>
        <v/>
      </c>
      <c r="P755" s="44">
        <f>IFERROR((I755-J755)/(I755+J755),"")</f>
        <v/>
      </c>
      <c r="Q755" s="45">
        <f>IFERROR(O755-P755,"")</f>
        <v/>
      </c>
      <c r="R755" s="44">
        <f>IFERROR((L755-M755)/(L755+M755),"")</f>
        <v/>
      </c>
      <c r="S755" s="46">
        <f>H755/SUMIFS(Counties!$H$2:$H$1583,Counties!$A$2:$A$1583,$A755)</f>
        <v/>
      </c>
      <c r="T755" s="44">
        <f>O755+INDEX(Dashboard!$F$6:$F$22,MATCH($A755,Dashboard!$A$6:$A$22,0))</f>
        <v/>
      </c>
      <c r="U755" s="43">
        <f>AQ755*INDEX(Dashboard!$G$6:$G$22,MATCH($A755,Dashboard!$A$6:$A$22,0))</f>
        <v/>
      </c>
      <c r="V755" s="47" t="n"/>
      <c r="W755" s="47" t="n"/>
      <c r="X755" s="47" t="n"/>
      <c r="Y755" s="48" t="n"/>
      <c r="Z755" s="49" t="n"/>
      <c r="AA755" s="49" t="n"/>
      <c r="AB755" s="49" t="n"/>
      <c r="AC755" s="50" t="n"/>
      <c r="AD755" s="43">
        <f>IF(Z755&lt;&gt;"",Z755,N(V755))</f>
        <v/>
      </c>
      <c r="AE755" s="43">
        <f>IF(AA755&lt;&gt;"",AA755,N(W755))</f>
        <v/>
      </c>
      <c r="AF755" s="43">
        <f>AD755+AE755</f>
        <v/>
      </c>
      <c r="AG755" s="42">
        <f>IF(UPPER(AC755)="Y",1,IF(AF755=0,0,IF(AND(Z755="",Y755&lt;&gt;""),IF(Y755&gt;=0.999,1,0),IF(AF755&gt;=U755,1,0))))</f>
        <v/>
      </c>
      <c r="AH755" s="44">
        <f>IF(AF755&gt;0,(AD755-AE755)/AF755,"")</f>
        <v/>
      </c>
      <c r="AI755" s="45">
        <f>IF(AG755=1,AH755-O755,"")</f>
        <v/>
      </c>
      <c r="AJ755" s="44">
        <f>IF(AG755=1,AH755,MAX(-1,MIN(1,O755+INDEX(Types!$H:$H,MATCH($A755&amp;"|"&amp;$D755,Types!$A:$A,0)))))</f>
        <v/>
      </c>
      <c r="AK755" s="43">
        <f>IF(AG755=1,AF755,MAX(AQ755*AS755,AF755))</f>
        <v/>
      </c>
      <c r="AL755" s="43">
        <f>IF(AG755=1,AD755,AK755*(1+AJ755)/2)</f>
        <v/>
      </c>
      <c r="AM755" s="43">
        <f>IF(AG755=1,AE755,AK755*(1-AJ755)/2)</f>
        <v/>
      </c>
      <c r="AN755" s="45">
        <f>IF(AH755="","",AH755-T755)</f>
        <v/>
      </c>
      <c r="AO755" s="51">
        <f>IF(AG755=1,1,IF(U755&gt;0,MIN(AF755/U755,0.99),0))</f>
        <v/>
      </c>
      <c r="AP755" s="43">
        <f>IF(AG755=1,AI755*AF755,0)</f>
        <v/>
      </c>
      <c r="AQ755" s="43">
        <f>N755*(F755+G755)/H755</f>
        <v/>
      </c>
      <c r="AR755" s="43">
        <f>O755*AQ755</f>
        <v/>
      </c>
      <c r="AS755" s="52">
        <f>IF(AG755=1,IF(AQ755&gt;0,AF755/AQ755,1),IFERROR(INDEX(Types!$K:$K,MATCH($A755&amp;"|"&amp;$D755,Types!$A:$A,0)),INDEX(Dashboard!$X$6:$X$22,MATCH($A755,Dashboard!$A$6:$A$22,0))))</f>
        <v/>
      </c>
      <c r="AT755" s="43">
        <f>AQ755*INDEX(Dashboard!$Y$6:$Y$22,MATCH($A755,Dashboard!$A$6:$A$22,0))</f>
        <v/>
      </c>
      <c r="AU755" s="53">
        <f>IF(AND(AG755=1,AT755&gt;0,AF755&gt;0),100*AF755/AT755,"")</f>
        <v/>
      </c>
      <c r="AV755" s="44">
        <f>IF(AU755="","",T755/(AU755/100))</f>
        <v/>
      </c>
      <c r="AW755" s="53">
        <f>IF(AU755="","",IF(AND(ABS(AH755)&gt;=0.1,ABS(T755)&gt;=0.05,SIGN(AH755)=SIGN(T755)),100*T755/AH755,""))</f>
        <v/>
      </c>
      <c r="AX755" s="45">
        <f>IF(AU755="","",T755-AV755)</f>
        <v/>
      </c>
      <c r="AY755" s="45">
        <f>IF(AU755="","",AH755-AV755)</f>
        <v/>
      </c>
      <c r="AZ755" s="54">
        <f>(AL755-AM755)-T755*AT755</f>
        <v/>
      </c>
      <c r="BA755" s="43">
        <f>IF(AU755="",0,(AH755-T755)*AF755)</f>
        <v/>
      </c>
      <c r="BB755" s="43">
        <f>IF(AU755="",0,T755*(AF755-AT755))</f>
        <v/>
      </c>
      <c r="BC755" s="51" t="n">
        <v>0.3899232022341168</v>
      </c>
      <c r="BD755" s="51" t="n">
        <v>0.04319874330928555</v>
      </c>
      <c r="BE755" s="51" t="n">
        <v>0.1481179799365515</v>
      </c>
      <c r="BF755" s="43" t="n">
        <v>34376</v>
      </c>
    </row>
    <row r="756">
      <c r="A756" s="42" t="inlineStr">
        <is>
          <t>NC</t>
        </is>
      </c>
      <c r="B756" s="42" t="inlineStr">
        <is>
          <t>37167</t>
        </is>
      </c>
      <c r="C756" s="42" t="inlineStr">
        <is>
          <t>Stanly</t>
        </is>
      </c>
      <c r="D756" s="42" t="inlineStr">
        <is>
          <t>Small town &amp; rural</t>
        </is>
      </c>
      <c r="E756" s="42" t="inlineStr"/>
      <c r="F756" s="43" t="n">
        <v>8881</v>
      </c>
      <c r="G756" s="43" t="n">
        <v>27518</v>
      </c>
      <c r="H756" s="43" t="n">
        <v>36651</v>
      </c>
      <c r="I756" s="43" t="n">
        <v>8129</v>
      </c>
      <c r="J756" s="43" t="n">
        <v>25458</v>
      </c>
      <c r="K756" s="42" t="inlineStr">
        <is>
          <t>US Senate</t>
        </is>
      </c>
      <c r="L756" s="43" t="n">
        <v>5163</v>
      </c>
      <c r="M756" s="43" t="n">
        <v>17927</v>
      </c>
      <c r="N756" s="43" t="n">
        <v>23626</v>
      </c>
      <c r="O756" s="44">
        <f>IFERROR((F756-G756)/(F756+G756),"")</f>
        <v/>
      </c>
      <c r="P756" s="44">
        <f>IFERROR((I756-J756)/(I756+J756),"")</f>
        <v/>
      </c>
      <c r="Q756" s="45">
        <f>IFERROR(O756-P756,"")</f>
        <v/>
      </c>
      <c r="R756" s="44">
        <f>IFERROR((L756-M756)/(L756+M756),"")</f>
        <v/>
      </c>
      <c r="S756" s="46">
        <f>H756/SUMIFS(Counties!$H$2:$H$1583,Counties!$A$2:$A$1583,$A756)</f>
        <v/>
      </c>
      <c r="T756" s="44">
        <f>O756+INDEX(Dashboard!$F$6:$F$22,MATCH($A756,Dashboard!$A$6:$A$22,0))</f>
        <v/>
      </c>
      <c r="U756" s="43">
        <f>AQ756*INDEX(Dashboard!$G$6:$G$22,MATCH($A756,Dashboard!$A$6:$A$22,0))</f>
        <v/>
      </c>
      <c r="V756" s="47" t="n"/>
      <c r="W756" s="47" t="n"/>
      <c r="X756" s="47" t="n"/>
      <c r="Y756" s="48" t="n"/>
      <c r="Z756" s="49" t="n"/>
      <c r="AA756" s="49" t="n"/>
      <c r="AB756" s="49" t="n"/>
      <c r="AC756" s="50" t="n"/>
      <c r="AD756" s="43">
        <f>IF(Z756&lt;&gt;"",Z756,N(V756))</f>
        <v/>
      </c>
      <c r="AE756" s="43">
        <f>IF(AA756&lt;&gt;"",AA756,N(W756))</f>
        <v/>
      </c>
      <c r="AF756" s="43">
        <f>AD756+AE756</f>
        <v/>
      </c>
      <c r="AG756" s="42">
        <f>IF(UPPER(AC756)="Y",1,IF(AF756=0,0,IF(AND(Z756="",Y756&lt;&gt;""),IF(Y756&gt;=0.999,1,0),IF(AF756&gt;=U756,1,0))))</f>
        <v/>
      </c>
      <c r="AH756" s="44">
        <f>IF(AF756&gt;0,(AD756-AE756)/AF756,"")</f>
        <v/>
      </c>
      <c r="AI756" s="45">
        <f>IF(AG756=1,AH756-O756,"")</f>
        <v/>
      </c>
      <c r="AJ756" s="44">
        <f>IF(AG756=1,AH756,MAX(-1,MIN(1,O756+INDEX(Types!$H:$H,MATCH($A756&amp;"|"&amp;$D756,Types!$A:$A,0)))))</f>
        <v/>
      </c>
      <c r="AK756" s="43">
        <f>IF(AG756=1,AF756,MAX(AQ756*AS756,AF756))</f>
        <v/>
      </c>
      <c r="AL756" s="43">
        <f>IF(AG756=1,AD756,AK756*(1+AJ756)/2)</f>
        <v/>
      </c>
      <c r="AM756" s="43">
        <f>IF(AG756=1,AE756,AK756*(1-AJ756)/2)</f>
        <v/>
      </c>
      <c r="AN756" s="45">
        <f>IF(AH756="","",AH756-T756)</f>
        <v/>
      </c>
      <c r="AO756" s="51">
        <f>IF(AG756=1,1,IF(U756&gt;0,MIN(AF756/U756,0.99),0))</f>
        <v/>
      </c>
      <c r="AP756" s="43">
        <f>IF(AG756=1,AI756*AF756,0)</f>
        <v/>
      </c>
      <c r="AQ756" s="43">
        <f>N756*(F756+G756)/H756</f>
        <v/>
      </c>
      <c r="AR756" s="43">
        <f>O756*AQ756</f>
        <v/>
      </c>
      <c r="AS756" s="52">
        <f>IF(AG756=1,IF(AQ756&gt;0,AF756/AQ756,1),IFERROR(INDEX(Types!$K:$K,MATCH($A756&amp;"|"&amp;$D756,Types!$A:$A,0)),INDEX(Dashboard!$X$6:$X$22,MATCH($A756,Dashboard!$A$6:$A$22,0))))</f>
        <v/>
      </c>
      <c r="AT756" s="43">
        <f>AQ756*INDEX(Dashboard!$Y$6:$Y$22,MATCH($A756,Dashboard!$A$6:$A$22,0))</f>
        <v/>
      </c>
      <c r="AU756" s="53">
        <f>IF(AND(AG756=1,AT756&gt;0,AF756&gt;0),100*AF756/AT756,"")</f>
        <v/>
      </c>
      <c r="AV756" s="44">
        <f>IF(AU756="","",T756/(AU756/100))</f>
        <v/>
      </c>
      <c r="AW756" s="53">
        <f>IF(AU756="","",IF(AND(ABS(AH756)&gt;=0.1,ABS(T756)&gt;=0.05,SIGN(AH756)=SIGN(T756)),100*T756/AH756,""))</f>
        <v/>
      </c>
      <c r="AX756" s="45">
        <f>IF(AU756="","",T756-AV756)</f>
        <v/>
      </c>
      <c r="AY756" s="45">
        <f>IF(AU756="","",AH756-AV756)</f>
        <v/>
      </c>
      <c r="AZ756" s="54">
        <f>(AL756-AM756)-T756*AT756</f>
        <v/>
      </c>
      <c r="BA756" s="43">
        <f>IF(AU756="",0,(AH756-T756)*AF756)</f>
        <v/>
      </c>
      <c r="BB756" s="43">
        <f>IF(AU756="",0,T756*(AF756-AT756))</f>
        <v/>
      </c>
      <c r="BC756" s="51" t="n">
        <v>0.1167749889648244</v>
      </c>
      <c r="BD756" s="51" t="n">
        <v>0.05955950623297158</v>
      </c>
      <c r="BE756" s="51" t="n">
        <v>0.1969853072925999</v>
      </c>
      <c r="BF756" s="43" t="n">
        <v>65699</v>
      </c>
    </row>
    <row r="757">
      <c r="A757" s="42" t="inlineStr">
        <is>
          <t>NC</t>
        </is>
      </c>
      <c r="B757" s="42" t="inlineStr">
        <is>
          <t>37169</t>
        </is>
      </c>
      <c r="C757" s="42" t="inlineStr">
        <is>
          <t>Stokes</t>
        </is>
      </c>
      <c r="D757" s="42" t="inlineStr">
        <is>
          <t>Small town &amp; rural</t>
        </is>
      </c>
      <c r="E757" s="42" t="inlineStr"/>
      <c r="F757" s="43" t="n">
        <v>5380</v>
      </c>
      <c r="G757" s="43" t="n">
        <v>21548</v>
      </c>
      <c r="H757" s="43" t="n">
        <v>27127</v>
      </c>
      <c r="I757" s="43" t="n">
        <v>5286</v>
      </c>
      <c r="J757" s="43" t="n">
        <v>20142</v>
      </c>
      <c r="K757" s="42" t="inlineStr">
        <is>
          <t>US Senate</t>
        </is>
      </c>
      <c r="L757" s="43" t="n">
        <v>3803</v>
      </c>
      <c r="M757" s="43" t="n">
        <v>13915</v>
      </c>
      <c r="N757" s="43" t="n">
        <v>18205</v>
      </c>
      <c r="O757" s="44">
        <f>IFERROR((F757-G757)/(F757+G757),"")</f>
        <v/>
      </c>
      <c r="P757" s="44">
        <f>IFERROR((I757-J757)/(I757+J757),"")</f>
        <v/>
      </c>
      <c r="Q757" s="45">
        <f>IFERROR(O757-P757,"")</f>
        <v/>
      </c>
      <c r="R757" s="44">
        <f>IFERROR((L757-M757)/(L757+M757),"")</f>
        <v/>
      </c>
      <c r="S757" s="46">
        <f>H757/SUMIFS(Counties!$H$2:$H$1583,Counties!$A$2:$A$1583,$A757)</f>
        <v/>
      </c>
      <c r="T757" s="44">
        <f>O757+INDEX(Dashboard!$F$6:$F$22,MATCH($A757,Dashboard!$A$6:$A$22,0))</f>
        <v/>
      </c>
      <c r="U757" s="43">
        <f>AQ757*INDEX(Dashboard!$G$6:$G$22,MATCH($A757,Dashboard!$A$6:$A$22,0))</f>
        <v/>
      </c>
      <c r="V757" s="47" t="n"/>
      <c r="W757" s="47" t="n"/>
      <c r="X757" s="47" t="n"/>
      <c r="Y757" s="48" t="n"/>
      <c r="Z757" s="49" t="n"/>
      <c r="AA757" s="49" t="n"/>
      <c r="AB757" s="49" t="n"/>
      <c r="AC757" s="50" t="n"/>
      <c r="AD757" s="43">
        <f>IF(Z757&lt;&gt;"",Z757,N(V757))</f>
        <v/>
      </c>
      <c r="AE757" s="43">
        <f>IF(AA757&lt;&gt;"",AA757,N(W757))</f>
        <v/>
      </c>
      <c r="AF757" s="43">
        <f>AD757+AE757</f>
        <v/>
      </c>
      <c r="AG757" s="42">
        <f>IF(UPPER(AC757)="Y",1,IF(AF757=0,0,IF(AND(Z757="",Y757&lt;&gt;""),IF(Y757&gt;=0.999,1,0),IF(AF757&gt;=U757,1,0))))</f>
        <v/>
      </c>
      <c r="AH757" s="44">
        <f>IF(AF757&gt;0,(AD757-AE757)/AF757,"")</f>
        <v/>
      </c>
      <c r="AI757" s="45">
        <f>IF(AG757=1,AH757-O757,"")</f>
        <v/>
      </c>
      <c r="AJ757" s="44">
        <f>IF(AG757=1,AH757,MAX(-1,MIN(1,O757+INDEX(Types!$H:$H,MATCH($A757&amp;"|"&amp;$D757,Types!$A:$A,0)))))</f>
        <v/>
      </c>
      <c r="AK757" s="43">
        <f>IF(AG757=1,AF757,MAX(AQ757*AS757,AF757))</f>
        <v/>
      </c>
      <c r="AL757" s="43">
        <f>IF(AG757=1,AD757,AK757*(1+AJ757)/2)</f>
        <v/>
      </c>
      <c r="AM757" s="43">
        <f>IF(AG757=1,AE757,AK757*(1-AJ757)/2)</f>
        <v/>
      </c>
      <c r="AN757" s="45">
        <f>IF(AH757="","",AH757-T757)</f>
        <v/>
      </c>
      <c r="AO757" s="51">
        <f>IF(AG757=1,1,IF(U757&gt;0,MIN(AF757/U757,0.99),0))</f>
        <v/>
      </c>
      <c r="AP757" s="43">
        <f>IF(AG757=1,AI757*AF757,0)</f>
        <v/>
      </c>
      <c r="AQ757" s="43">
        <f>N757*(F757+G757)/H757</f>
        <v/>
      </c>
      <c r="AR757" s="43">
        <f>O757*AQ757</f>
        <v/>
      </c>
      <c r="AS757" s="52">
        <f>IF(AG757=1,IF(AQ757&gt;0,AF757/AQ757,1),IFERROR(INDEX(Types!$K:$K,MATCH($A757&amp;"|"&amp;$D757,Types!$A:$A,0)),INDEX(Dashboard!$X$6:$X$22,MATCH($A757,Dashboard!$A$6:$A$22,0))))</f>
        <v/>
      </c>
      <c r="AT757" s="43">
        <f>AQ757*INDEX(Dashboard!$Y$6:$Y$22,MATCH($A757,Dashboard!$A$6:$A$22,0))</f>
        <v/>
      </c>
      <c r="AU757" s="53">
        <f>IF(AND(AG757=1,AT757&gt;0,AF757&gt;0),100*AF757/AT757,"")</f>
        <v/>
      </c>
      <c r="AV757" s="44">
        <f>IF(AU757="","",T757/(AU757/100))</f>
        <v/>
      </c>
      <c r="AW757" s="53">
        <f>IF(AU757="","",IF(AND(ABS(AH757)&gt;=0.1,ABS(T757)&gt;=0.05,SIGN(AH757)=SIGN(T757)),100*T757/AH757,""))</f>
        <v/>
      </c>
      <c r="AX757" s="45">
        <f>IF(AU757="","",T757-AV757)</f>
        <v/>
      </c>
      <c r="AY757" s="45">
        <f>IF(AU757="","",AH757-AV757)</f>
        <v/>
      </c>
      <c r="AZ757" s="54">
        <f>(AL757-AM757)-T757*AT757</f>
        <v/>
      </c>
      <c r="BA757" s="43">
        <f>IF(AU757="",0,(AH757-T757)*AF757)</f>
        <v/>
      </c>
      <c r="BB757" s="43">
        <f>IF(AU757="",0,T757*(AF757-AT757))</f>
        <v/>
      </c>
      <c r="BC757" s="51" t="n">
        <v>0.0420144074497057</v>
      </c>
      <c r="BD757" s="51" t="n">
        <v>0.04098216638847404</v>
      </c>
      <c r="BE757" s="51" t="n">
        <v>0.1848954415525801</v>
      </c>
      <c r="BF757" s="43" t="n">
        <v>45532</v>
      </c>
    </row>
    <row r="758">
      <c r="A758" s="42" t="inlineStr">
        <is>
          <t>NC</t>
        </is>
      </c>
      <c r="B758" s="42" t="inlineStr">
        <is>
          <t>37171</t>
        </is>
      </c>
      <c r="C758" s="42" t="inlineStr">
        <is>
          <t>Surry</t>
        </is>
      </c>
      <c r="D758" s="42" t="inlineStr">
        <is>
          <t>Small town &amp; rural</t>
        </is>
      </c>
      <c r="E758" s="42" t="inlineStr"/>
      <c r="F758" s="43" t="n">
        <v>8613</v>
      </c>
      <c r="G758" s="43" t="n">
        <v>28565</v>
      </c>
      <c r="H758" s="43" t="n">
        <v>37424</v>
      </c>
      <c r="I758" s="43" t="n">
        <v>8721</v>
      </c>
      <c r="J758" s="43" t="n">
        <v>27538</v>
      </c>
      <c r="K758" s="42" t="inlineStr">
        <is>
          <t>US Senate</t>
        </is>
      </c>
      <c r="L758" s="43" t="n">
        <v>5828</v>
      </c>
      <c r="M758" s="43" t="n">
        <v>18303</v>
      </c>
      <c r="N758" s="43" t="n">
        <v>24704</v>
      </c>
      <c r="O758" s="44">
        <f>IFERROR((F758-G758)/(F758+G758),"")</f>
        <v/>
      </c>
      <c r="P758" s="44">
        <f>IFERROR((I758-J758)/(I758+J758),"")</f>
        <v/>
      </c>
      <c r="Q758" s="45">
        <f>IFERROR(O758-P758,"")</f>
        <v/>
      </c>
      <c r="R758" s="44">
        <f>IFERROR((L758-M758)/(L758+M758),"")</f>
        <v/>
      </c>
      <c r="S758" s="46">
        <f>H758/SUMIFS(Counties!$H$2:$H$1583,Counties!$A$2:$A$1583,$A758)</f>
        <v/>
      </c>
      <c r="T758" s="44">
        <f>O758+INDEX(Dashboard!$F$6:$F$22,MATCH($A758,Dashboard!$A$6:$A$22,0))</f>
        <v/>
      </c>
      <c r="U758" s="43">
        <f>AQ758*INDEX(Dashboard!$G$6:$G$22,MATCH($A758,Dashboard!$A$6:$A$22,0))</f>
        <v/>
      </c>
      <c r="V758" s="47" t="n"/>
      <c r="W758" s="47" t="n"/>
      <c r="X758" s="47" t="n"/>
      <c r="Y758" s="48" t="n"/>
      <c r="Z758" s="49" t="n"/>
      <c r="AA758" s="49" t="n"/>
      <c r="AB758" s="49" t="n"/>
      <c r="AC758" s="50" t="n"/>
      <c r="AD758" s="43">
        <f>IF(Z758&lt;&gt;"",Z758,N(V758))</f>
        <v/>
      </c>
      <c r="AE758" s="43">
        <f>IF(AA758&lt;&gt;"",AA758,N(W758))</f>
        <v/>
      </c>
      <c r="AF758" s="43">
        <f>AD758+AE758</f>
        <v/>
      </c>
      <c r="AG758" s="42">
        <f>IF(UPPER(AC758)="Y",1,IF(AF758=0,0,IF(AND(Z758="",Y758&lt;&gt;""),IF(Y758&gt;=0.999,1,0),IF(AF758&gt;=U758,1,0))))</f>
        <v/>
      </c>
      <c r="AH758" s="44">
        <f>IF(AF758&gt;0,(AD758-AE758)/AF758,"")</f>
        <v/>
      </c>
      <c r="AI758" s="45">
        <f>IF(AG758=1,AH758-O758,"")</f>
        <v/>
      </c>
      <c r="AJ758" s="44">
        <f>IF(AG758=1,AH758,MAX(-1,MIN(1,O758+INDEX(Types!$H:$H,MATCH($A758&amp;"|"&amp;$D758,Types!$A:$A,0)))))</f>
        <v/>
      </c>
      <c r="AK758" s="43">
        <f>IF(AG758=1,AF758,MAX(AQ758*AS758,AF758))</f>
        <v/>
      </c>
      <c r="AL758" s="43">
        <f>IF(AG758=1,AD758,AK758*(1+AJ758)/2)</f>
        <v/>
      </c>
      <c r="AM758" s="43">
        <f>IF(AG758=1,AE758,AK758*(1-AJ758)/2)</f>
        <v/>
      </c>
      <c r="AN758" s="45">
        <f>IF(AH758="","",AH758-T758)</f>
        <v/>
      </c>
      <c r="AO758" s="51">
        <f>IF(AG758=1,1,IF(U758&gt;0,MIN(AF758/U758,0.99),0))</f>
        <v/>
      </c>
      <c r="AP758" s="43">
        <f>IF(AG758=1,AI758*AF758,0)</f>
        <v/>
      </c>
      <c r="AQ758" s="43">
        <f>N758*(F758+G758)/H758</f>
        <v/>
      </c>
      <c r="AR758" s="43">
        <f>O758*AQ758</f>
        <v/>
      </c>
      <c r="AS758" s="52">
        <f>IF(AG758=1,IF(AQ758&gt;0,AF758/AQ758,1),IFERROR(INDEX(Types!$K:$K,MATCH($A758&amp;"|"&amp;$D758,Types!$A:$A,0)),INDEX(Dashboard!$X$6:$X$22,MATCH($A758,Dashboard!$A$6:$A$22,0))))</f>
        <v/>
      </c>
      <c r="AT758" s="43">
        <f>AQ758*INDEX(Dashboard!$Y$6:$Y$22,MATCH($A758,Dashboard!$A$6:$A$22,0))</f>
        <v/>
      </c>
      <c r="AU758" s="53">
        <f>IF(AND(AG758=1,AT758&gt;0,AF758&gt;0),100*AF758/AT758,"")</f>
        <v/>
      </c>
      <c r="AV758" s="44">
        <f>IF(AU758="","",T758/(AU758/100))</f>
        <v/>
      </c>
      <c r="AW758" s="53">
        <f>IF(AU758="","",IF(AND(ABS(AH758)&gt;=0.1,ABS(T758)&gt;=0.05,SIGN(AH758)=SIGN(T758)),100*T758/AH758,""))</f>
        <v/>
      </c>
      <c r="AX758" s="45">
        <f>IF(AU758="","",T758-AV758)</f>
        <v/>
      </c>
      <c r="AY758" s="45">
        <f>IF(AU758="","",AH758-AV758)</f>
        <v/>
      </c>
      <c r="AZ758" s="54">
        <f>(AL758-AM758)-T758*AT758</f>
        <v/>
      </c>
      <c r="BA758" s="43">
        <f>IF(AU758="",0,(AH758-T758)*AF758)</f>
        <v/>
      </c>
      <c r="BB758" s="43">
        <f>IF(AU758="",0,T758*(AF758-AT758))</f>
        <v/>
      </c>
      <c r="BC758" s="51" t="n">
        <v>0.03627102516022501</v>
      </c>
      <c r="BD758" s="51" t="n">
        <v>0.1261509613500882</v>
      </c>
      <c r="BE758" s="51" t="n">
        <v>0.1940127790486708</v>
      </c>
      <c r="BF758" s="43" t="n">
        <v>71462</v>
      </c>
    </row>
    <row r="759">
      <c r="A759" s="42" t="inlineStr">
        <is>
          <t>NC</t>
        </is>
      </c>
      <c r="B759" s="42" t="inlineStr">
        <is>
          <t>37173</t>
        </is>
      </c>
      <c r="C759" s="42" t="inlineStr">
        <is>
          <t>Swain</t>
        </is>
      </c>
      <c r="D759" s="42" t="inlineStr">
        <is>
          <t>Small town &amp; rural</t>
        </is>
      </c>
      <c r="E759" s="42" t="inlineStr"/>
      <c r="F759" s="43" t="n">
        <v>2643</v>
      </c>
      <c r="G759" s="43" t="n">
        <v>4311</v>
      </c>
      <c r="H759" s="43" t="n">
        <v>7036</v>
      </c>
      <c r="I759" s="43" t="n">
        <v>2780</v>
      </c>
      <c r="J759" s="43" t="n">
        <v>4161</v>
      </c>
      <c r="K759" s="42" t="inlineStr">
        <is>
          <t>US Senate</t>
        </is>
      </c>
      <c r="L759" s="43" t="n">
        <v>1708</v>
      </c>
      <c r="M759" s="43" t="n">
        <v>2884</v>
      </c>
      <c r="N759" s="43" t="n">
        <v>4776</v>
      </c>
      <c r="O759" s="44">
        <f>IFERROR((F759-G759)/(F759+G759),"")</f>
        <v/>
      </c>
      <c r="P759" s="44">
        <f>IFERROR((I759-J759)/(I759+J759),"")</f>
        <v/>
      </c>
      <c r="Q759" s="45">
        <f>IFERROR(O759-P759,"")</f>
        <v/>
      </c>
      <c r="R759" s="44">
        <f>IFERROR((L759-M759)/(L759+M759),"")</f>
        <v/>
      </c>
      <c r="S759" s="46">
        <f>H759/SUMIFS(Counties!$H$2:$H$1583,Counties!$A$2:$A$1583,$A759)</f>
        <v/>
      </c>
      <c r="T759" s="44">
        <f>O759+INDEX(Dashboard!$F$6:$F$22,MATCH($A759,Dashboard!$A$6:$A$22,0))</f>
        <v/>
      </c>
      <c r="U759" s="43">
        <f>AQ759*INDEX(Dashboard!$G$6:$G$22,MATCH($A759,Dashboard!$A$6:$A$22,0))</f>
        <v/>
      </c>
      <c r="V759" s="47" t="n"/>
      <c r="W759" s="47" t="n"/>
      <c r="X759" s="47" t="n"/>
      <c r="Y759" s="48" t="n"/>
      <c r="Z759" s="49" t="n"/>
      <c r="AA759" s="49" t="n"/>
      <c r="AB759" s="49" t="n"/>
      <c r="AC759" s="50" t="n"/>
      <c r="AD759" s="43">
        <f>IF(Z759&lt;&gt;"",Z759,N(V759))</f>
        <v/>
      </c>
      <c r="AE759" s="43">
        <f>IF(AA759&lt;&gt;"",AA759,N(W759))</f>
        <v/>
      </c>
      <c r="AF759" s="43">
        <f>AD759+AE759</f>
        <v/>
      </c>
      <c r="AG759" s="42">
        <f>IF(UPPER(AC759)="Y",1,IF(AF759=0,0,IF(AND(Z759="",Y759&lt;&gt;""),IF(Y759&gt;=0.999,1,0),IF(AF759&gt;=U759,1,0))))</f>
        <v/>
      </c>
      <c r="AH759" s="44">
        <f>IF(AF759&gt;0,(AD759-AE759)/AF759,"")</f>
        <v/>
      </c>
      <c r="AI759" s="45">
        <f>IF(AG759=1,AH759-O759,"")</f>
        <v/>
      </c>
      <c r="AJ759" s="44">
        <f>IF(AG759=1,AH759,MAX(-1,MIN(1,O759+INDEX(Types!$H:$H,MATCH($A759&amp;"|"&amp;$D759,Types!$A:$A,0)))))</f>
        <v/>
      </c>
      <c r="AK759" s="43">
        <f>IF(AG759=1,AF759,MAX(AQ759*AS759,AF759))</f>
        <v/>
      </c>
      <c r="AL759" s="43">
        <f>IF(AG759=1,AD759,AK759*(1+AJ759)/2)</f>
        <v/>
      </c>
      <c r="AM759" s="43">
        <f>IF(AG759=1,AE759,AK759*(1-AJ759)/2)</f>
        <v/>
      </c>
      <c r="AN759" s="45">
        <f>IF(AH759="","",AH759-T759)</f>
        <v/>
      </c>
      <c r="AO759" s="51">
        <f>IF(AG759=1,1,IF(U759&gt;0,MIN(AF759/U759,0.99),0))</f>
        <v/>
      </c>
      <c r="AP759" s="43">
        <f>IF(AG759=1,AI759*AF759,0)</f>
        <v/>
      </c>
      <c r="AQ759" s="43">
        <f>N759*(F759+G759)/H759</f>
        <v/>
      </c>
      <c r="AR759" s="43">
        <f>O759*AQ759</f>
        <v/>
      </c>
      <c r="AS759" s="52">
        <f>IF(AG759=1,IF(AQ759&gt;0,AF759/AQ759,1),IFERROR(INDEX(Types!$K:$K,MATCH($A759&amp;"|"&amp;$D759,Types!$A:$A,0)),INDEX(Dashboard!$X$6:$X$22,MATCH($A759,Dashboard!$A$6:$A$22,0))))</f>
        <v/>
      </c>
      <c r="AT759" s="43">
        <f>AQ759*INDEX(Dashboard!$Y$6:$Y$22,MATCH($A759,Dashboard!$A$6:$A$22,0))</f>
        <v/>
      </c>
      <c r="AU759" s="53">
        <f>IF(AND(AG759=1,AT759&gt;0,AF759&gt;0),100*AF759/AT759,"")</f>
        <v/>
      </c>
      <c r="AV759" s="44">
        <f>IF(AU759="","",T759/(AU759/100))</f>
        <v/>
      </c>
      <c r="AW759" s="53">
        <f>IF(AU759="","",IF(AND(ABS(AH759)&gt;=0.1,ABS(T759)&gt;=0.05,SIGN(AH759)=SIGN(T759)),100*T759/AH759,""))</f>
        <v/>
      </c>
      <c r="AX759" s="45">
        <f>IF(AU759="","",T759-AV759)</f>
        <v/>
      </c>
      <c r="AY759" s="45">
        <f>IF(AU759="","",AH759-AV759)</f>
        <v/>
      </c>
      <c r="AZ759" s="54">
        <f>(AL759-AM759)-T759*AT759</f>
        <v/>
      </c>
      <c r="BA759" s="43">
        <f>IF(AU759="",0,(AH759-T759)*AF759)</f>
        <v/>
      </c>
      <c r="BB759" s="43">
        <f>IF(AU759="",0,T759*(AF759-AT759))</f>
        <v/>
      </c>
      <c r="BC759" s="51" t="n">
        <v>0.01997700488646163</v>
      </c>
      <c r="BD759" s="51" t="n">
        <v>0.06029031330842196</v>
      </c>
      <c r="BE759" s="51" t="n">
        <v>0.2127310061601643</v>
      </c>
      <c r="BF759" s="43" t="n">
        <v>13916</v>
      </c>
    </row>
    <row r="760">
      <c r="A760" s="42" t="inlineStr">
        <is>
          <t>NC</t>
        </is>
      </c>
      <c r="B760" s="42" t="inlineStr">
        <is>
          <t>37175</t>
        </is>
      </c>
      <c r="C760" s="42" t="inlineStr">
        <is>
          <t>Transylvania</t>
        </is>
      </c>
      <c r="D760" s="42" t="inlineStr">
        <is>
          <t>Small town &amp; rural</t>
        </is>
      </c>
      <c r="E760" s="42" t="inlineStr"/>
      <c r="F760" s="43" t="n">
        <v>8972</v>
      </c>
      <c r="G760" s="43" t="n">
        <v>11492</v>
      </c>
      <c r="H760" s="43" t="n">
        <v>20706</v>
      </c>
      <c r="I760" s="43" t="n">
        <v>8444</v>
      </c>
      <c r="J760" s="43" t="n">
        <v>11636</v>
      </c>
      <c r="K760" s="42" t="inlineStr">
        <is>
          <t>US Senate</t>
        </is>
      </c>
      <c r="L760" s="43" t="n">
        <v>6867</v>
      </c>
      <c r="M760" s="43" t="n">
        <v>8832</v>
      </c>
      <c r="N760" s="43" t="n">
        <v>16170</v>
      </c>
      <c r="O760" s="44">
        <f>IFERROR((F760-G760)/(F760+G760),"")</f>
        <v/>
      </c>
      <c r="P760" s="44">
        <f>IFERROR((I760-J760)/(I760+J760),"")</f>
        <v/>
      </c>
      <c r="Q760" s="45">
        <f>IFERROR(O760-P760,"")</f>
        <v/>
      </c>
      <c r="R760" s="44">
        <f>IFERROR((L760-M760)/(L760+M760),"")</f>
        <v/>
      </c>
      <c r="S760" s="46">
        <f>H760/SUMIFS(Counties!$H$2:$H$1583,Counties!$A$2:$A$1583,$A760)</f>
        <v/>
      </c>
      <c r="T760" s="44">
        <f>O760+INDEX(Dashboard!$F$6:$F$22,MATCH($A760,Dashboard!$A$6:$A$22,0))</f>
        <v/>
      </c>
      <c r="U760" s="43">
        <f>AQ760*INDEX(Dashboard!$G$6:$G$22,MATCH($A760,Dashboard!$A$6:$A$22,0))</f>
        <v/>
      </c>
      <c r="V760" s="47" t="n"/>
      <c r="W760" s="47" t="n"/>
      <c r="X760" s="47" t="n"/>
      <c r="Y760" s="48" t="n"/>
      <c r="Z760" s="49" t="n"/>
      <c r="AA760" s="49" t="n"/>
      <c r="AB760" s="49" t="n"/>
      <c r="AC760" s="50" t="n"/>
      <c r="AD760" s="43">
        <f>IF(Z760&lt;&gt;"",Z760,N(V760))</f>
        <v/>
      </c>
      <c r="AE760" s="43">
        <f>IF(AA760&lt;&gt;"",AA760,N(W760))</f>
        <v/>
      </c>
      <c r="AF760" s="43">
        <f>AD760+AE760</f>
        <v/>
      </c>
      <c r="AG760" s="42">
        <f>IF(UPPER(AC760)="Y",1,IF(AF760=0,0,IF(AND(Z760="",Y760&lt;&gt;""),IF(Y760&gt;=0.999,1,0),IF(AF760&gt;=U760,1,0))))</f>
        <v/>
      </c>
      <c r="AH760" s="44">
        <f>IF(AF760&gt;0,(AD760-AE760)/AF760,"")</f>
        <v/>
      </c>
      <c r="AI760" s="45">
        <f>IF(AG760=1,AH760-O760,"")</f>
        <v/>
      </c>
      <c r="AJ760" s="44">
        <f>IF(AG760=1,AH760,MAX(-1,MIN(1,O760+INDEX(Types!$H:$H,MATCH($A760&amp;"|"&amp;$D760,Types!$A:$A,0)))))</f>
        <v/>
      </c>
      <c r="AK760" s="43">
        <f>IF(AG760=1,AF760,MAX(AQ760*AS760,AF760))</f>
        <v/>
      </c>
      <c r="AL760" s="43">
        <f>IF(AG760=1,AD760,AK760*(1+AJ760)/2)</f>
        <v/>
      </c>
      <c r="AM760" s="43">
        <f>IF(AG760=1,AE760,AK760*(1-AJ760)/2)</f>
        <v/>
      </c>
      <c r="AN760" s="45">
        <f>IF(AH760="","",AH760-T760)</f>
        <v/>
      </c>
      <c r="AO760" s="51">
        <f>IF(AG760=1,1,IF(U760&gt;0,MIN(AF760/U760,0.99),0))</f>
        <v/>
      </c>
      <c r="AP760" s="43">
        <f>IF(AG760=1,AI760*AF760,0)</f>
        <v/>
      </c>
      <c r="AQ760" s="43">
        <f>N760*(F760+G760)/H760</f>
        <v/>
      </c>
      <c r="AR760" s="43">
        <f>O760*AQ760</f>
        <v/>
      </c>
      <c r="AS760" s="52">
        <f>IF(AG760=1,IF(AQ760&gt;0,AF760/AQ760,1),IFERROR(INDEX(Types!$K:$K,MATCH($A760&amp;"|"&amp;$D760,Types!$A:$A,0)),INDEX(Dashboard!$X$6:$X$22,MATCH($A760,Dashboard!$A$6:$A$22,0))))</f>
        <v/>
      </c>
      <c r="AT760" s="43">
        <f>AQ760*INDEX(Dashboard!$Y$6:$Y$22,MATCH($A760,Dashboard!$A$6:$A$22,0))</f>
        <v/>
      </c>
      <c r="AU760" s="53">
        <f>IF(AND(AG760=1,AT760&gt;0,AF760&gt;0),100*AF760/AT760,"")</f>
        <v/>
      </c>
      <c r="AV760" s="44">
        <f>IF(AU760="","",T760/(AU760/100))</f>
        <v/>
      </c>
      <c r="AW760" s="53">
        <f>IF(AU760="","",IF(AND(ABS(AH760)&gt;=0.1,ABS(T760)&gt;=0.05,SIGN(AH760)=SIGN(T760)),100*T760/AH760,""))</f>
        <v/>
      </c>
      <c r="AX760" s="45">
        <f>IF(AU760="","",T760-AV760)</f>
        <v/>
      </c>
      <c r="AY760" s="45">
        <f>IF(AU760="","",AH760-AV760)</f>
        <v/>
      </c>
      <c r="AZ760" s="54">
        <f>(AL760-AM760)-T760*AT760</f>
        <v/>
      </c>
      <c r="BA760" s="43">
        <f>IF(AU760="",0,(AH760-T760)*AF760)</f>
        <v/>
      </c>
      <c r="BB760" s="43">
        <f>IF(AU760="",0,T760*(AF760-AT760))</f>
        <v/>
      </c>
      <c r="BC760" s="51" t="n">
        <v>0.03082059077766848</v>
      </c>
      <c r="BD760" s="51" t="n">
        <v>0.05079137977286954</v>
      </c>
      <c r="BE760" s="51" t="n">
        <v>0.3864019112521051</v>
      </c>
      <c r="BF760" s="43" t="n">
        <v>33549</v>
      </c>
    </row>
    <row r="761">
      <c r="A761" s="42" t="inlineStr">
        <is>
          <t>NC</t>
        </is>
      </c>
      <c r="B761" s="42" t="inlineStr">
        <is>
          <t>37177</t>
        </is>
      </c>
      <c r="C761" s="42" t="inlineStr">
        <is>
          <t>Tyrrell</t>
        </is>
      </c>
      <c r="D761" s="42" t="inlineStr">
        <is>
          <t>Small town &amp; rural</t>
        </is>
      </c>
      <c r="E761" s="42" t="inlineStr"/>
      <c r="F761" s="43" t="n">
        <v>680</v>
      </c>
      <c r="G761" s="43" t="n">
        <v>1057</v>
      </c>
      <c r="H761" s="43" t="n">
        <v>1752</v>
      </c>
      <c r="I761" s="43" t="n">
        <v>758</v>
      </c>
      <c r="J761" s="43" t="n">
        <v>1044</v>
      </c>
      <c r="K761" s="42" t="inlineStr">
        <is>
          <t>US Senate</t>
        </is>
      </c>
      <c r="L761" s="43" t="n">
        <v>481</v>
      </c>
      <c r="M761" s="43" t="n">
        <v>770</v>
      </c>
      <c r="N761" s="43" t="n">
        <v>1280</v>
      </c>
      <c r="O761" s="44">
        <f>IFERROR((F761-G761)/(F761+G761),"")</f>
        <v/>
      </c>
      <c r="P761" s="44">
        <f>IFERROR((I761-J761)/(I761+J761),"")</f>
        <v/>
      </c>
      <c r="Q761" s="45">
        <f>IFERROR(O761-P761,"")</f>
        <v/>
      </c>
      <c r="R761" s="44">
        <f>IFERROR((L761-M761)/(L761+M761),"")</f>
        <v/>
      </c>
      <c r="S761" s="46">
        <f>H761/SUMIFS(Counties!$H$2:$H$1583,Counties!$A$2:$A$1583,$A761)</f>
        <v/>
      </c>
      <c r="T761" s="44">
        <f>O761+INDEX(Dashboard!$F$6:$F$22,MATCH($A761,Dashboard!$A$6:$A$22,0))</f>
        <v/>
      </c>
      <c r="U761" s="43">
        <f>AQ761*INDEX(Dashboard!$G$6:$G$22,MATCH($A761,Dashboard!$A$6:$A$22,0))</f>
        <v/>
      </c>
      <c r="V761" s="47" t="n"/>
      <c r="W761" s="47" t="n"/>
      <c r="X761" s="47" t="n"/>
      <c r="Y761" s="48" t="n"/>
      <c r="Z761" s="49" t="n"/>
      <c r="AA761" s="49" t="n"/>
      <c r="AB761" s="49" t="n"/>
      <c r="AC761" s="50" t="n"/>
      <c r="AD761" s="43">
        <f>IF(Z761&lt;&gt;"",Z761,N(V761))</f>
        <v/>
      </c>
      <c r="AE761" s="43">
        <f>IF(AA761&lt;&gt;"",AA761,N(W761))</f>
        <v/>
      </c>
      <c r="AF761" s="43">
        <f>AD761+AE761</f>
        <v/>
      </c>
      <c r="AG761" s="42">
        <f>IF(UPPER(AC761)="Y",1,IF(AF761=0,0,IF(AND(Z761="",Y761&lt;&gt;""),IF(Y761&gt;=0.999,1,0),IF(AF761&gt;=U761,1,0))))</f>
        <v/>
      </c>
      <c r="AH761" s="44">
        <f>IF(AF761&gt;0,(AD761-AE761)/AF761,"")</f>
        <v/>
      </c>
      <c r="AI761" s="45">
        <f>IF(AG761=1,AH761-O761,"")</f>
        <v/>
      </c>
      <c r="AJ761" s="44">
        <f>IF(AG761=1,AH761,MAX(-1,MIN(1,O761+INDEX(Types!$H:$H,MATCH($A761&amp;"|"&amp;$D761,Types!$A:$A,0)))))</f>
        <v/>
      </c>
      <c r="AK761" s="43">
        <f>IF(AG761=1,AF761,MAX(AQ761*AS761,AF761))</f>
        <v/>
      </c>
      <c r="AL761" s="43">
        <f>IF(AG761=1,AD761,AK761*(1+AJ761)/2)</f>
        <v/>
      </c>
      <c r="AM761" s="43">
        <f>IF(AG761=1,AE761,AK761*(1-AJ761)/2)</f>
        <v/>
      </c>
      <c r="AN761" s="45">
        <f>IF(AH761="","",AH761-T761)</f>
        <v/>
      </c>
      <c r="AO761" s="51">
        <f>IF(AG761=1,1,IF(U761&gt;0,MIN(AF761/U761,0.99),0))</f>
        <v/>
      </c>
      <c r="AP761" s="43">
        <f>IF(AG761=1,AI761*AF761,0)</f>
        <v/>
      </c>
      <c r="AQ761" s="43">
        <f>N761*(F761+G761)/H761</f>
        <v/>
      </c>
      <c r="AR761" s="43">
        <f>O761*AQ761</f>
        <v/>
      </c>
      <c r="AS761" s="52">
        <f>IF(AG761=1,IF(AQ761&gt;0,AF761/AQ761,1),IFERROR(INDEX(Types!$K:$K,MATCH($A761&amp;"|"&amp;$D761,Types!$A:$A,0)),INDEX(Dashboard!$X$6:$X$22,MATCH($A761,Dashboard!$A$6:$A$22,0))))</f>
        <v/>
      </c>
      <c r="AT761" s="43">
        <f>AQ761*INDEX(Dashboard!$Y$6:$Y$22,MATCH($A761,Dashboard!$A$6:$A$22,0))</f>
        <v/>
      </c>
      <c r="AU761" s="53">
        <f>IF(AND(AG761=1,AT761&gt;0,AF761&gt;0),100*AF761/AT761,"")</f>
        <v/>
      </c>
      <c r="AV761" s="44">
        <f>IF(AU761="","",T761/(AU761/100))</f>
        <v/>
      </c>
      <c r="AW761" s="53">
        <f>IF(AU761="","",IF(AND(ABS(AH761)&gt;=0.1,ABS(T761)&gt;=0.05,SIGN(AH761)=SIGN(T761)),100*T761/AH761,""))</f>
        <v/>
      </c>
      <c r="AX761" s="45">
        <f>IF(AU761="","",T761-AV761)</f>
        <v/>
      </c>
      <c r="AY761" s="45">
        <f>IF(AU761="","",AH761-AV761)</f>
        <v/>
      </c>
      <c r="AZ761" s="54">
        <f>(AL761-AM761)-T761*AT761</f>
        <v/>
      </c>
      <c r="BA761" s="43">
        <f>IF(AU761="",0,(AH761-T761)*AF761)</f>
        <v/>
      </c>
      <c r="BB761" s="43">
        <f>IF(AU761="",0,T761*(AF761-AT761))</f>
        <v/>
      </c>
      <c r="BC761" s="51" t="n">
        <v>0.3022247905229702</v>
      </c>
      <c r="BD761" s="51" t="n">
        <v>0.1095059231436001</v>
      </c>
      <c r="BE761" s="51" t="n">
        <v>0.1472536034281262</v>
      </c>
      <c r="BF761" s="43" t="n">
        <v>3461</v>
      </c>
    </row>
    <row r="762">
      <c r="A762" s="42" t="inlineStr">
        <is>
          <t>NC</t>
        </is>
      </c>
      <c r="B762" s="42" t="inlineStr">
        <is>
          <t>37179</t>
        </is>
      </c>
      <c r="C762" s="42" t="inlineStr">
        <is>
          <t>Union</t>
        </is>
      </c>
      <c r="D762" s="42" t="inlineStr">
        <is>
          <t>Mid-size/working metro</t>
        </is>
      </c>
      <c r="E762" s="42" t="inlineStr">
        <is>
          <t>★</t>
        </is>
      </c>
      <c r="F762" s="43" t="n">
        <v>51168</v>
      </c>
      <c r="G762" s="43" t="n">
        <v>86271</v>
      </c>
      <c r="H762" s="43" t="n">
        <v>138875</v>
      </c>
      <c r="I762" s="43" t="n">
        <v>48725</v>
      </c>
      <c r="J762" s="43" t="n">
        <v>80382</v>
      </c>
      <c r="K762" s="42" t="inlineStr">
        <is>
          <t>US Senate</t>
        </is>
      </c>
      <c r="L762" s="43" t="n">
        <v>31354</v>
      </c>
      <c r="M762" s="43" t="n">
        <v>56882</v>
      </c>
      <c r="N762" s="43" t="n">
        <v>90103</v>
      </c>
      <c r="O762" s="44">
        <f>IFERROR((F762-G762)/(F762+G762),"")</f>
        <v/>
      </c>
      <c r="P762" s="44">
        <f>IFERROR((I762-J762)/(I762+J762),"")</f>
        <v/>
      </c>
      <c r="Q762" s="45">
        <f>IFERROR(O762-P762,"")</f>
        <v/>
      </c>
      <c r="R762" s="44">
        <f>IFERROR((L762-M762)/(L762+M762),"")</f>
        <v/>
      </c>
      <c r="S762" s="46">
        <f>H762/SUMIFS(Counties!$H$2:$H$1583,Counties!$A$2:$A$1583,$A762)</f>
        <v/>
      </c>
      <c r="T762" s="44">
        <f>O762+INDEX(Dashboard!$F$6:$F$22,MATCH($A762,Dashboard!$A$6:$A$22,0))</f>
        <v/>
      </c>
      <c r="U762" s="43">
        <f>AQ762*INDEX(Dashboard!$G$6:$G$22,MATCH($A762,Dashboard!$A$6:$A$22,0))</f>
        <v/>
      </c>
      <c r="V762" s="47" t="n"/>
      <c r="W762" s="47" t="n"/>
      <c r="X762" s="47" t="n"/>
      <c r="Y762" s="48" t="n"/>
      <c r="Z762" s="49" t="n"/>
      <c r="AA762" s="49" t="n"/>
      <c r="AB762" s="49" t="n"/>
      <c r="AC762" s="50" t="n"/>
      <c r="AD762" s="43">
        <f>IF(Z762&lt;&gt;"",Z762,N(V762))</f>
        <v/>
      </c>
      <c r="AE762" s="43">
        <f>IF(AA762&lt;&gt;"",AA762,N(W762))</f>
        <v/>
      </c>
      <c r="AF762" s="43">
        <f>AD762+AE762</f>
        <v/>
      </c>
      <c r="AG762" s="42">
        <f>IF(UPPER(AC762)="Y",1,IF(AF762=0,0,IF(AND(Z762="",Y762&lt;&gt;""),IF(Y762&gt;=0.999,1,0),IF(AF762&gt;=U762,1,0))))</f>
        <v/>
      </c>
      <c r="AH762" s="44">
        <f>IF(AF762&gt;0,(AD762-AE762)/AF762,"")</f>
        <v/>
      </c>
      <c r="AI762" s="45">
        <f>IF(AG762=1,AH762-O762,"")</f>
        <v/>
      </c>
      <c r="AJ762" s="44">
        <f>IF(AG762=1,AH762,MAX(-1,MIN(1,O762+INDEX(Types!$H:$H,MATCH($A762&amp;"|"&amp;$D762,Types!$A:$A,0)))))</f>
        <v/>
      </c>
      <c r="AK762" s="43">
        <f>IF(AG762=1,AF762,MAX(AQ762*AS762,AF762))</f>
        <v/>
      </c>
      <c r="AL762" s="43">
        <f>IF(AG762=1,AD762,AK762*(1+AJ762)/2)</f>
        <v/>
      </c>
      <c r="AM762" s="43">
        <f>IF(AG762=1,AE762,AK762*(1-AJ762)/2)</f>
        <v/>
      </c>
      <c r="AN762" s="45">
        <f>IF(AH762="","",AH762-T762)</f>
        <v/>
      </c>
      <c r="AO762" s="51">
        <f>IF(AG762=1,1,IF(U762&gt;0,MIN(AF762/U762,0.99),0))</f>
        <v/>
      </c>
      <c r="AP762" s="43">
        <f>IF(AG762=1,AI762*AF762,0)</f>
        <v/>
      </c>
      <c r="AQ762" s="43">
        <f>N762*(F762+G762)/H762</f>
        <v/>
      </c>
      <c r="AR762" s="43">
        <f>O762*AQ762</f>
        <v/>
      </c>
      <c r="AS762" s="52">
        <f>IF(AG762=1,IF(AQ762&gt;0,AF762/AQ762,1),IFERROR(INDEX(Types!$K:$K,MATCH($A762&amp;"|"&amp;$D762,Types!$A:$A,0)),INDEX(Dashboard!$X$6:$X$22,MATCH($A762,Dashboard!$A$6:$A$22,0))))</f>
        <v/>
      </c>
      <c r="AT762" s="43">
        <f>AQ762*INDEX(Dashboard!$Y$6:$Y$22,MATCH($A762,Dashboard!$A$6:$A$22,0))</f>
        <v/>
      </c>
      <c r="AU762" s="53">
        <f>IF(AND(AG762=1,AT762&gt;0,AF762&gt;0),100*AF762/AT762,"")</f>
        <v/>
      </c>
      <c r="AV762" s="44">
        <f>IF(AU762="","",T762/(AU762/100))</f>
        <v/>
      </c>
      <c r="AW762" s="53">
        <f>IF(AU762="","",IF(AND(ABS(AH762)&gt;=0.1,ABS(T762)&gt;=0.05,SIGN(AH762)=SIGN(T762)),100*T762/AH762,""))</f>
        <v/>
      </c>
      <c r="AX762" s="45">
        <f>IF(AU762="","",T762-AV762)</f>
        <v/>
      </c>
      <c r="AY762" s="45">
        <f>IF(AU762="","",AH762-AV762)</f>
        <v/>
      </c>
      <c r="AZ762" s="54">
        <f>(AL762-AM762)-T762*AT762</f>
        <v/>
      </c>
      <c r="BA762" s="43">
        <f>IF(AU762="",0,(AH762-T762)*AF762)</f>
        <v/>
      </c>
      <c r="BB762" s="43">
        <f>IF(AU762="",0,T762*(AF762-AT762))</f>
        <v/>
      </c>
      <c r="BC762" s="51" t="n">
        <v>0.1200302590738228</v>
      </c>
      <c r="BD762" s="51" t="n">
        <v>0.1357953925100994</v>
      </c>
      <c r="BE762" s="51" t="n">
        <v>0.3902742590708929</v>
      </c>
      <c r="BF762" s="43" t="n">
        <v>256452</v>
      </c>
    </row>
    <row r="763">
      <c r="A763" s="42" t="inlineStr">
        <is>
          <t>NC</t>
        </is>
      </c>
      <c r="B763" s="42" t="inlineStr">
        <is>
          <t>37181</t>
        </is>
      </c>
      <c r="C763" s="42" t="inlineStr">
        <is>
          <t>Vance</t>
        </is>
      </c>
      <c r="D763" s="42" t="inlineStr">
        <is>
          <t>Black Belt</t>
        </is>
      </c>
      <c r="E763" s="42" t="inlineStr"/>
      <c r="F763" s="43" t="n">
        <v>11292</v>
      </c>
      <c r="G763" s="43" t="n">
        <v>8614</v>
      </c>
      <c r="H763" s="43" t="n">
        <v>20059</v>
      </c>
      <c r="I763" s="43" t="n">
        <v>12431</v>
      </c>
      <c r="J763" s="43" t="n">
        <v>8391</v>
      </c>
      <c r="K763" s="42" t="inlineStr">
        <is>
          <t>US Senate</t>
        </is>
      </c>
      <c r="L763" s="43" t="n">
        <v>7097</v>
      </c>
      <c r="M763" s="43" t="n">
        <v>5620</v>
      </c>
      <c r="N763" s="43" t="n">
        <v>12967</v>
      </c>
      <c r="O763" s="44">
        <f>IFERROR((F763-G763)/(F763+G763),"")</f>
        <v/>
      </c>
      <c r="P763" s="44">
        <f>IFERROR((I763-J763)/(I763+J763),"")</f>
        <v/>
      </c>
      <c r="Q763" s="45">
        <f>IFERROR(O763-P763,"")</f>
        <v/>
      </c>
      <c r="R763" s="44">
        <f>IFERROR((L763-M763)/(L763+M763),"")</f>
        <v/>
      </c>
      <c r="S763" s="46">
        <f>H763/SUMIFS(Counties!$H$2:$H$1583,Counties!$A$2:$A$1583,$A763)</f>
        <v/>
      </c>
      <c r="T763" s="44">
        <f>O763+INDEX(Dashboard!$F$6:$F$22,MATCH($A763,Dashboard!$A$6:$A$22,0))</f>
        <v/>
      </c>
      <c r="U763" s="43">
        <f>AQ763*INDEX(Dashboard!$G$6:$G$22,MATCH($A763,Dashboard!$A$6:$A$22,0))</f>
        <v/>
      </c>
      <c r="V763" s="47" t="n"/>
      <c r="W763" s="47" t="n"/>
      <c r="X763" s="47" t="n"/>
      <c r="Y763" s="48" t="n"/>
      <c r="Z763" s="49" t="n"/>
      <c r="AA763" s="49" t="n"/>
      <c r="AB763" s="49" t="n"/>
      <c r="AC763" s="50" t="n"/>
      <c r="AD763" s="43">
        <f>IF(Z763&lt;&gt;"",Z763,N(V763))</f>
        <v/>
      </c>
      <c r="AE763" s="43">
        <f>IF(AA763&lt;&gt;"",AA763,N(W763))</f>
        <v/>
      </c>
      <c r="AF763" s="43">
        <f>AD763+AE763</f>
        <v/>
      </c>
      <c r="AG763" s="42">
        <f>IF(UPPER(AC763)="Y",1,IF(AF763=0,0,IF(AND(Z763="",Y763&lt;&gt;""),IF(Y763&gt;=0.999,1,0),IF(AF763&gt;=U763,1,0))))</f>
        <v/>
      </c>
      <c r="AH763" s="44">
        <f>IF(AF763&gt;0,(AD763-AE763)/AF763,"")</f>
        <v/>
      </c>
      <c r="AI763" s="45">
        <f>IF(AG763=1,AH763-O763,"")</f>
        <v/>
      </c>
      <c r="AJ763" s="44">
        <f>IF(AG763=1,AH763,MAX(-1,MIN(1,O763+INDEX(Types!$H:$H,MATCH($A763&amp;"|"&amp;$D763,Types!$A:$A,0)))))</f>
        <v/>
      </c>
      <c r="AK763" s="43">
        <f>IF(AG763=1,AF763,MAX(AQ763*AS763,AF763))</f>
        <v/>
      </c>
      <c r="AL763" s="43">
        <f>IF(AG763=1,AD763,AK763*(1+AJ763)/2)</f>
        <v/>
      </c>
      <c r="AM763" s="43">
        <f>IF(AG763=1,AE763,AK763*(1-AJ763)/2)</f>
        <v/>
      </c>
      <c r="AN763" s="45">
        <f>IF(AH763="","",AH763-T763)</f>
        <v/>
      </c>
      <c r="AO763" s="51">
        <f>IF(AG763=1,1,IF(U763&gt;0,MIN(AF763/U763,0.99),0))</f>
        <v/>
      </c>
      <c r="AP763" s="43">
        <f>IF(AG763=1,AI763*AF763,0)</f>
        <v/>
      </c>
      <c r="AQ763" s="43">
        <f>N763*(F763+G763)/H763</f>
        <v/>
      </c>
      <c r="AR763" s="43">
        <f>O763*AQ763</f>
        <v/>
      </c>
      <c r="AS763" s="52">
        <f>IF(AG763=1,IF(AQ763&gt;0,AF763/AQ763,1),IFERROR(INDEX(Types!$K:$K,MATCH($A763&amp;"|"&amp;$D763,Types!$A:$A,0)),INDEX(Dashboard!$X$6:$X$22,MATCH($A763,Dashboard!$A$6:$A$22,0))))</f>
        <v/>
      </c>
      <c r="AT763" s="43">
        <f>AQ763*INDEX(Dashboard!$Y$6:$Y$22,MATCH($A763,Dashboard!$A$6:$A$22,0))</f>
        <v/>
      </c>
      <c r="AU763" s="53">
        <f>IF(AND(AG763=1,AT763&gt;0,AF763&gt;0),100*AF763/AT763,"")</f>
        <v/>
      </c>
      <c r="AV763" s="44">
        <f>IF(AU763="","",T763/(AU763/100))</f>
        <v/>
      </c>
      <c r="AW763" s="53">
        <f>IF(AU763="","",IF(AND(ABS(AH763)&gt;=0.1,ABS(T763)&gt;=0.05,SIGN(AH763)=SIGN(T763)),100*T763/AH763,""))</f>
        <v/>
      </c>
      <c r="AX763" s="45">
        <f>IF(AU763="","",T763-AV763)</f>
        <v/>
      </c>
      <c r="AY763" s="45">
        <f>IF(AU763="","",AH763-AV763)</f>
        <v/>
      </c>
      <c r="AZ763" s="54">
        <f>(AL763-AM763)-T763*AT763</f>
        <v/>
      </c>
      <c r="BA763" s="43">
        <f>IF(AU763="",0,(AH763-T763)*AF763)</f>
        <v/>
      </c>
      <c r="BB763" s="43">
        <f>IF(AU763="",0,T763*(AF763-AT763))</f>
        <v/>
      </c>
      <c r="BC763" s="51" t="n">
        <v>0.5005319023190941</v>
      </c>
      <c r="BD763" s="51" t="n">
        <v>0.09841374908394601</v>
      </c>
      <c r="BE763" s="51" t="n">
        <v>0.1847496073983598</v>
      </c>
      <c r="BF763" s="43" t="n">
        <v>42301</v>
      </c>
    </row>
    <row r="764">
      <c r="A764" s="42" t="inlineStr">
        <is>
          <t>NC</t>
        </is>
      </c>
      <c r="B764" s="42" t="inlineStr">
        <is>
          <t>37183</t>
        </is>
      </c>
      <c r="C764" s="42" t="inlineStr">
        <is>
          <t>Wake</t>
        </is>
      </c>
      <c r="D764" s="42" t="inlineStr">
        <is>
          <t>Big metro core</t>
        </is>
      </c>
      <c r="E764" s="42" t="inlineStr">
        <is>
          <t>★</t>
        </is>
      </c>
      <c r="F764" s="43" t="n">
        <v>402984</v>
      </c>
      <c r="G764" s="43" t="n">
        <v>236735</v>
      </c>
      <c r="H764" s="43" t="n">
        <v>650796</v>
      </c>
      <c r="I764" s="43" t="n">
        <v>393336</v>
      </c>
      <c r="J764" s="43" t="n">
        <v>226197</v>
      </c>
      <c r="K764" s="42" t="inlineStr">
        <is>
          <t>US Senate</t>
        </is>
      </c>
      <c r="L764" s="43" t="n">
        <v>281367</v>
      </c>
      <c r="M764" s="43" t="n">
        <v>160818</v>
      </c>
      <c r="N764" s="43" t="n">
        <v>453170</v>
      </c>
      <c r="O764" s="44">
        <f>IFERROR((F764-G764)/(F764+G764),"")</f>
        <v/>
      </c>
      <c r="P764" s="44">
        <f>IFERROR((I764-J764)/(I764+J764),"")</f>
        <v/>
      </c>
      <c r="Q764" s="45">
        <f>IFERROR(O764-P764,"")</f>
        <v/>
      </c>
      <c r="R764" s="44">
        <f>IFERROR((L764-M764)/(L764+M764),"")</f>
        <v/>
      </c>
      <c r="S764" s="46">
        <f>H764/SUMIFS(Counties!$H$2:$H$1583,Counties!$A$2:$A$1583,$A764)</f>
        <v/>
      </c>
      <c r="T764" s="44">
        <f>O764+INDEX(Dashboard!$F$6:$F$22,MATCH($A764,Dashboard!$A$6:$A$22,0))</f>
        <v/>
      </c>
      <c r="U764" s="43">
        <f>AQ764*INDEX(Dashboard!$G$6:$G$22,MATCH($A764,Dashboard!$A$6:$A$22,0))</f>
        <v/>
      </c>
      <c r="V764" s="47" t="n"/>
      <c r="W764" s="47" t="n"/>
      <c r="X764" s="47" t="n"/>
      <c r="Y764" s="48" t="n"/>
      <c r="Z764" s="49" t="n"/>
      <c r="AA764" s="49" t="n"/>
      <c r="AB764" s="49" t="n"/>
      <c r="AC764" s="50" t="n"/>
      <c r="AD764" s="43">
        <f>IF(Z764&lt;&gt;"",Z764,N(V764))</f>
        <v/>
      </c>
      <c r="AE764" s="43">
        <f>IF(AA764&lt;&gt;"",AA764,N(W764))</f>
        <v/>
      </c>
      <c r="AF764" s="43">
        <f>AD764+AE764</f>
        <v/>
      </c>
      <c r="AG764" s="42">
        <f>IF(UPPER(AC764)="Y",1,IF(AF764=0,0,IF(AND(Z764="",Y764&lt;&gt;""),IF(Y764&gt;=0.999,1,0),IF(AF764&gt;=U764,1,0))))</f>
        <v/>
      </c>
      <c r="AH764" s="44">
        <f>IF(AF764&gt;0,(AD764-AE764)/AF764,"")</f>
        <v/>
      </c>
      <c r="AI764" s="45">
        <f>IF(AG764=1,AH764-O764,"")</f>
        <v/>
      </c>
      <c r="AJ764" s="44">
        <f>IF(AG764=1,AH764,MAX(-1,MIN(1,O764+INDEX(Types!$H:$H,MATCH($A764&amp;"|"&amp;$D764,Types!$A:$A,0)))))</f>
        <v/>
      </c>
      <c r="AK764" s="43">
        <f>IF(AG764=1,AF764,MAX(AQ764*AS764,AF764))</f>
        <v/>
      </c>
      <c r="AL764" s="43">
        <f>IF(AG764=1,AD764,AK764*(1+AJ764)/2)</f>
        <v/>
      </c>
      <c r="AM764" s="43">
        <f>IF(AG764=1,AE764,AK764*(1-AJ764)/2)</f>
        <v/>
      </c>
      <c r="AN764" s="45">
        <f>IF(AH764="","",AH764-T764)</f>
        <v/>
      </c>
      <c r="AO764" s="51">
        <f>IF(AG764=1,1,IF(U764&gt;0,MIN(AF764/U764,0.99),0))</f>
        <v/>
      </c>
      <c r="AP764" s="43">
        <f>IF(AG764=1,AI764*AF764,0)</f>
        <v/>
      </c>
      <c r="AQ764" s="43">
        <f>N764*(F764+G764)/H764</f>
        <v/>
      </c>
      <c r="AR764" s="43">
        <f>O764*AQ764</f>
        <v/>
      </c>
      <c r="AS764" s="52">
        <f>IF(AG764=1,IF(AQ764&gt;0,AF764/AQ764,1),IFERROR(INDEX(Types!$K:$K,MATCH($A764&amp;"|"&amp;$D764,Types!$A:$A,0)),INDEX(Dashboard!$X$6:$X$22,MATCH($A764,Dashboard!$A$6:$A$22,0))))</f>
        <v/>
      </c>
      <c r="AT764" s="43">
        <f>AQ764*INDEX(Dashboard!$Y$6:$Y$22,MATCH($A764,Dashboard!$A$6:$A$22,0))</f>
        <v/>
      </c>
      <c r="AU764" s="53">
        <f>IF(AND(AG764=1,AT764&gt;0,AF764&gt;0),100*AF764/AT764,"")</f>
        <v/>
      </c>
      <c r="AV764" s="44">
        <f>IF(AU764="","",T764/(AU764/100))</f>
        <v/>
      </c>
      <c r="AW764" s="53">
        <f>IF(AU764="","",IF(AND(ABS(AH764)&gt;=0.1,ABS(T764)&gt;=0.05,SIGN(AH764)=SIGN(T764)),100*T764/AH764,""))</f>
        <v/>
      </c>
      <c r="AX764" s="45">
        <f>IF(AU764="","",T764-AV764)</f>
        <v/>
      </c>
      <c r="AY764" s="45">
        <f>IF(AU764="","",AH764-AV764)</f>
        <v/>
      </c>
      <c r="AZ764" s="54">
        <f>(AL764-AM764)-T764*AT764</f>
        <v/>
      </c>
      <c r="BA764" s="43">
        <f>IF(AU764="",0,(AH764-T764)*AF764)</f>
        <v/>
      </c>
      <c r="BB764" s="43">
        <f>IF(AU764="",0,T764*(AF764-AT764))</f>
        <v/>
      </c>
      <c r="BC764" s="51" t="n">
        <v>0.1934099262775409</v>
      </c>
      <c r="BD764" s="51" t="n">
        <v>0.1154472705887295</v>
      </c>
      <c r="BE764" s="51" t="n">
        <v>0.5627691000220144</v>
      </c>
      <c r="BF764" s="43" t="n">
        <v>1190275</v>
      </c>
    </row>
    <row r="765">
      <c r="A765" s="42" t="inlineStr">
        <is>
          <t>NC</t>
        </is>
      </c>
      <c r="B765" s="42" t="inlineStr">
        <is>
          <t>37185</t>
        </is>
      </c>
      <c r="C765" s="42" t="inlineStr">
        <is>
          <t>Warren</t>
        </is>
      </c>
      <c r="D765" s="42" t="inlineStr">
        <is>
          <t>Black Belt</t>
        </is>
      </c>
      <c r="E765" s="42" t="inlineStr"/>
      <c r="F765" s="43" t="n">
        <v>5872</v>
      </c>
      <c r="G765" s="43" t="n">
        <v>3976</v>
      </c>
      <c r="H765" s="43" t="n">
        <v>9985</v>
      </c>
      <c r="I765" s="43" t="n">
        <v>6400</v>
      </c>
      <c r="J765" s="43" t="n">
        <v>3752</v>
      </c>
      <c r="K765" s="42" t="inlineStr">
        <is>
          <t>US Senate</t>
        </is>
      </c>
      <c r="L765" s="43" t="n">
        <v>4344</v>
      </c>
      <c r="M765" s="43" t="n">
        <v>2753</v>
      </c>
      <c r="N765" s="43" t="n">
        <v>7183</v>
      </c>
      <c r="O765" s="44">
        <f>IFERROR((F765-G765)/(F765+G765),"")</f>
        <v/>
      </c>
      <c r="P765" s="44">
        <f>IFERROR((I765-J765)/(I765+J765),"")</f>
        <v/>
      </c>
      <c r="Q765" s="45">
        <f>IFERROR(O765-P765,"")</f>
        <v/>
      </c>
      <c r="R765" s="44">
        <f>IFERROR((L765-M765)/(L765+M765),"")</f>
        <v/>
      </c>
      <c r="S765" s="46">
        <f>H765/SUMIFS(Counties!$H$2:$H$1583,Counties!$A$2:$A$1583,$A765)</f>
        <v/>
      </c>
      <c r="T765" s="44">
        <f>O765+INDEX(Dashboard!$F$6:$F$22,MATCH($A765,Dashboard!$A$6:$A$22,0))</f>
        <v/>
      </c>
      <c r="U765" s="43">
        <f>AQ765*INDEX(Dashboard!$G$6:$G$22,MATCH($A765,Dashboard!$A$6:$A$22,0))</f>
        <v/>
      </c>
      <c r="V765" s="47" t="n"/>
      <c r="W765" s="47" t="n"/>
      <c r="X765" s="47" t="n"/>
      <c r="Y765" s="48" t="n"/>
      <c r="Z765" s="49" t="n"/>
      <c r="AA765" s="49" t="n"/>
      <c r="AB765" s="49" t="n"/>
      <c r="AC765" s="50" t="n"/>
      <c r="AD765" s="43">
        <f>IF(Z765&lt;&gt;"",Z765,N(V765))</f>
        <v/>
      </c>
      <c r="AE765" s="43">
        <f>IF(AA765&lt;&gt;"",AA765,N(W765))</f>
        <v/>
      </c>
      <c r="AF765" s="43">
        <f>AD765+AE765</f>
        <v/>
      </c>
      <c r="AG765" s="42">
        <f>IF(UPPER(AC765)="Y",1,IF(AF765=0,0,IF(AND(Z765="",Y765&lt;&gt;""),IF(Y765&gt;=0.999,1,0),IF(AF765&gt;=U765,1,0))))</f>
        <v/>
      </c>
      <c r="AH765" s="44">
        <f>IF(AF765&gt;0,(AD765-AE765)/AF765,"")</f>
        <v/>
      </c>
      <c r="AI765" s="45">
        <f>IF(AG765=1,AH765-O765,"")</f>
        <v/>
      </c>
      <c r="AJ765" s="44">
        <f>IF(AG765=1,AH765,MAX(-1,MIN(1,O765+INDEX(Types!$H:$H,MATCH($A765&amp;"|"&amp;$D765,Types!$A:$A,0)))))</f>
        <v/>
      </c>
      <c r="AK765" s="43">
        <f>IF(AG765=1,AF765,MAX(AQ765*AS765,AF765))</f>
        <v/>
      </c>
      <c r="AL765" s="43">
        <f>IF(AG765=1,AD765,AK765*(1+AJ765)/2)</f>
        <v/>
      </c>
      <c r="AM765" s="43">
        <f>IF(AG765=1,AE765,AK765*(1-AJ765)/2)</f>
        <v/>
      </c>
      <c r="AN765" s="45">
        <f>IF(AH765="","",AH765-T765)</f>
        <v/>
      </c>
      <c r="AO765" s="51">
        <f>IF(AG765=1,1,IF(U765&gt;0,MIN(AF765/U765,0.99),0))</f>
        <v/>
      </c>
      <c r="AP765" s="43">
        <f>IF(AG765=1,AI765*AF765,0)</f>
        <v/>
      </c>
      <c r="AQ765" s="43">
        <f>N765*(F765+G765)/H765</f>
        <v/>
      </c>
      <c r="AR765" s="43">
        <f>O765*AQ765</f>
        <v/>
      </c>
      <c r="AS765" s="52">
        <f>IF(AG765=1,IF(AQ765&gt;0,AF765/AQ765,1),IFERROR(INDEX(Types!$K:$K,MATCH($A765&amp;"|"&amp;$D765,Types!$A:$A,0)),INDEX(Dashboard!$X$6:$X$22,MATCH($A765,Dashboard!$A$6:$A$22,0))))</f>
        <v/>
      </c>
      <c r="AT765" s="43">
        <f>AQ765*INDEX(Dashboard!$Y$6:$Y$22,MATCH($A765,Dashboard!$A$6:$A$22,0))</f>
        <v/>
      </c>
      <c r="AU765" s="53">
        <f>IF(AND(AG765=1,AT765&gt;0,AF765&gt;0),100*AF765/AT765,"")</f>
        <v/>
      </c>
      <c r="AV765" s="44">
        <f>IF(AU765="","",T765/(AU765/100))</f>
        <v/>
      </c>
      <c r="AW765" s="53">
        <f>IF(AU765="","",IF(AND(ABS(AH765)&gt;=0.1,ABS(T765)&gt;=0.05,SIGN(AH765)=SIGN(T765)),100*T765/AH765,""))</f>
        <v/>
      </c>
      <c r="AX765" s="45">
        <f>IF(AU765="","",T765-AV765)</f>
        <v/>
      </c>
      <c r="AY765" s="45">
        <f>IF(AU765="","",AH765-AV765)</f>
        <v/>
      </c>
      <c r="AZ765" s="54">
        <f>(AL765-AM765)-T765*AT765</f>
        <v/>
      </c>
      <c r="BA765" s="43">
        <f>IF(AU765="",0,(AH765-T765)*AF765)</f>
        <v/>
      </c>
      <c r="BB765" s="43">
        <f>IF(AU765="",0,T765*(AF765-AT765))</f>
        <v/>
      </c>
      <c r="BC765" s="51" t="n">
        <v>0.4811000212359312</v>
      </c>
      <c r="BD765" s="51" t="n">
        <v>0.04809938415799533</v>
      </c>
      <c r="BE765" s="51" t="n">
        <v>0.1904761904761905</v>
      </c>
      <c r="BF765" s="43" t="n">
        <v>18836</v>
      </c>
    </row>
    <row r="766">
      <c r="A766" s="42" t="inlineStr">
        <is>
          <t>NC</t>
        </is>
      </c>
      <c r="B766" s="42" t="inlineStr">
        <is>
          <t>37187</t>
        </is>
      </c>
      <c r="C766" s="42" t="inlineStr">
        <is>
          <t>Washington</t>
        </is>
      </c>
      <c r="D766" s="42" t="inlineStr">
        <is>
          <t>Black Belt</t>
        </is>
      </c>
      <c r="E766" s="42" t="inlineStr"/>
      <c r="F766" s="43" t="n">
        <v>3138</v>
      </c>
      <c r="G766" s="43" t="n">
        <v>2768</v>
      </c>
      <c r="H766" s="43" t="n">
        <v>5939</v>
      </c>
      <c r="I766" s="43" t="n">
        <v>3396</v>
      </c>
      <c r="J766" s="43" t="n">
        <v>2781</v>
      </c>
      <c r="K766" s="42" t="inlineStr">
        <is>
          <t>US Senate</t>
        </is>
      </c>
      <c r="L766" s="43" t="n">
        <v>2002</v>
      </c>
      <c r="M766" s="43" t="n">
        <v>1996</v>
      </c>
      <c r="N766" s="43" t="n">
        <v>4075</v>
      </c>
      <c r="O766" s="44">
        <f>IFERROR((F766-G766)/(F766+G766),"")</f>
        <v/>
      </c>
      <c r="P766" s="44">
        <f>IFERROR((I766-J766)/(I766+J766),"")</f>
        <v/>
      </c>
      <c r="Q766" s="45">
        <f>IFERROR(O766-P766,"")</f>
        <v/>
      </c>
      <c r="R766" s="44">
        <f>IFERROR((L766-M766)/(L766+M766),"")</f>
        <v/>
      </c>
      <c r="S766" s="46">
        <f>H766/SUMIFS(Counties!$H$2:$H$1583,Counties!$A$2:$A$1583,$A766)</f>
        <v/>
      </c>
      <c r="T766" s="44">
        <f>O766+INDEX(Dashboard!$F$6:$F$22,MATCH($A766,Dashboard!$A$6:$A$22,0))</f>
        <v/>
      </c>
      <c r="U766" s="43">
        <f>AQ766*INDEX(Dashboard!$G$6:$G$22,MATCH($A766,Dashboard!$A$6:$A$22,0))</f>
        <v/>
      </c>
      <c r="V766" s="47" t="n"/>
      <c r="W766" s="47" t="n"/>
      <c r="X766" s="47" t="n"/>
      <c r="Y766" s="48" t="n"/>
      <c r="Z766" s="49" t="n"/>
      <c r="AA766" s="49" t="n"/>
      <c r="AB766" s="49" t="n"/>
      <c r="AC766" s="50" t="n"/>
      <c r="AD766" s="43">
        <f>IF(Z766&lt;&gt;"",Z766,N(V766))</f>
        <v/>
      </c>
      <c r="AE766" s="43">
        <f>IF(AA766&lt;&gt;"",AA766,N(W766))</f>
        <v/>
      </c>
      <c r="AF766" s="43">
        <f>AD766+AE766</f>
        <v/>
      </c>
      <c r="AG766" s="42">
        <f>IF(UPPER(AC766)="Y",1,IF(AF766=0,0,IF(AND(Z766="",Y766&lt;&gt;""),IF(Y766&gt;=0.999,1,0),IF(AF766&gt;=U766,1,0))))</f>
        <v/>
      </c>
      <c r="AH766" s="44">
        <f>IF(AF766&gt;0,(AD766-AE766)/AF766,"")</f>
        <v/>
      </c>
      <c r="AI766" s="45">
        <f>IF(AG766=1,AH766-O766,"")</f>
        <v/>
      </c>
      <c r="AJ766" s="44">
        <f>IF(AG766=1,AH766,MAX(-1,MIN(1,O766+INDEX(Types!$H:$H,MATCH($A766&amp;"|"&amp;$D766,Types!$A:$A,0)))))</f>
        <v/>
      </c>
      <c r="AK766" s="43">
        <f>IF(AG766=1,AF766,MAX(AQ766*AS766,AF766))</f>
        <v/>
      </c>
      <c r="AL766" s="43">
        <f>IF(AG766=1,AD766,AK766*(1+AJ766)/2)</f>
        <v/>
      </c>
      <c r="AM766" s="43">
        <f>IF(AG766=1,AE766,AK766*(1-AJ766)/2)</f>
        <v/>
      </c>
      <c r="AN766" s="45">
        <f>IF(AH766="","",AH766-T766)</f>
        <v/>
      </c>
      <c r="AO766" s="51">
        <f>IF(AG766=1,1,IF(U766&gt;0,MIN(AF766/U766,0.99),0))</f>
        <v/>
      </c>
      <c r="AP766" s="43">
        <f>IF(AG766=1,AI766*AF766,0)</f>
        <v/>
      </c>
      <c r="AQ766" s="43">
        <f>N766*(F766+G766)/H766</f>
        <v/>
      </c>
      <c r="AR766" s="43">
        <f>O766*AQ766</f>
        <v/>
      </c>
      <c r="AS766" s="52">
        <f>IF(AG766=1,IF(AQ766&gt;0,AF766/AQ766,1),IFERROR(INDEX(Types!$K:$K,MATCH($A766&amp;"|"&amp;$D766,Types!$A:$A,0)),INDEX(Dashboard!$X$6:$X$22,MATCH($A766,Dashboard!$A$6:$A$22,0))))</f>
        <v/>
      </c>
      <c r="AT766" s="43">
        <f>AQ766*INDEX(Dashboard!$Y$6:$Y$22,MATCH($A766,Dashboard!$A$6:$A$22,0))</f>
        <v/>
      </c>
      <c r="AU766" s="53">
        <f>IF(AND(AG766=1,AT766&gt;0,AF766&gt;0),100*AF766/AT766,"")</f>
        <v/>
      </c>
      <c r="AV766" s="44">
        <f>IF(AU766="","",T766/(AU766/100))</f>
        <v/>
      </c>
      <c r="AW766" s="53">
        <f>IF(AU766="","",IF(AND(ABS(AH766)&gt;=0.1,ABS(T766)&gt;=0.05,SIGN(AH766)=SIGN(T766)),100*T766/AH766,""))</f>
        <v/>
      </c>
      <c r="AX766" s="45">
        <f>IF(AU766="","",T766-AV766)</f>
        <v/>
      </c>
      <c r="AY766" s="45">
        <f>IF(AU766="","",AH766-AV766)</f>
        <v/>
      </c>
      <c r="AZ766" s="54">
        <f>(AL766-AM766)-T766*AT766</f>
        <v/>
      </c>
      <c r="BA766" s="43">
        <f>IF(AU766="",0,(AH766-T766)*AF766)</f>
        <v/>
      </c>
      <c r="BB766" s="43">
        <f>IF(AU766="",0,T766*(AF766-AT766))</f>
        <v/>
      </c>
      <c r="BC766" s="51" t="n">
        <v>0.4740035470923177</v>
      </c>
      <c r="BD766" s="51" t="n">
        <v>0.04433865397180995</v>
      </c>
      <c r="BE766" s="51" t="n">
        <v>0.1217610062893082</v>
      </c>
      <c r="BF766" s="43" t="n">
        <v>10713</v>
      </c>
    </row>
    <row r="767">
      <c r="A767" s="42" t="inlineStr">
        <is>
          <t>NC</t>
        </is>
      </c>
      <c r="B767" s="42" t="inlineStr">
        <is>
          <t>37189</t>
        </is>
      </c>
      <c r="C767" s="42" t="inlineStr">
        <is>
          <t>Watauga</t>
        </is>
      </c>
      <c r="D767" s="42" t="inlineStr">
        <is>
          <t>Small town &amp; rural</t>
        </is>
      </c>
      <c r="E767" s="42" t="inlineStr"/>
      <c r="F767" s="43" t="n">
        <v>17225</v>
      </c>
      <c r="G767" s="43" t="n">
        <v>15254</v>
      </c>
      <c r="H767" s="43" t="n">
        <v>32934</v>
      </c>
      <c r="I767" s="43" t="n">
        <v>17122</v>
      </c>
      <c r="J767" s="43" t="n">
        <v>14451</v>
      </c>
      <c r="K767" s="42" t="inlineStr">
        <is>
          <t>US Senate</t>
        </is>
      </c>
      <c r="L767" s="43" t="n">
        <v>11677</v>
      </c>
      <c r="M767" s="43" t="n">
        <v>10455</v>
      </c>
      <c r="N767" s="43" t="n">
        <v>22786</v>
      </c>
      <c r="O767" s="44">
        <f>IFERROR((F767-G767)/(F767+G767),"")</f>
        <v/>
      </c>
      <c r="P767" s="44">
        <f>IFERROR((I767-J767)/(I767+J767),"")</f>
        <v/>
      </c>
      <c r="Q767" s="45">
        <f>IFERROR(O767-P767,"")</f>
        <v/>
      </c>
      <c r="R767" s="44">
        <f>IFERROR((L767-M767)/(L767+M767),"")</f>
        <v/>
      </c>
      <c r="S767" s="46">
        <f>H767/SUMIFS(Counties!$H$2:$H$1583,Counties!$A$2:$A$1583,$A767)</f>
        <v/>
      </c>
      <c r="T767" s="44">
        <f>O767+INDEX(Dashboard!$F$6:$F$22,MATCH($A767,Dashboard!$A$6:$A$22,0))</f>
        <v/>
      </c>
      <c r="U767" s="43">
        <f>AQ767*INDEX(Dashboard!$G$6:$G$22,MATCH($A767,Dashboard!$A$6:$A$22,0))</f>
        <v/>
      </c>
      <c r="V767" s="47" t="n"/>
      <c r="W767" s="47" t="n"/>
      <c r="X767" s="47" t="n"/>
      <c r="Y767" s="48" t="n"/>
      <c r="Z767" s="49" t="n"/>
      <c r="AA767" s="49" t="n"/>
      <c r="AB767" s="49" t="n"/>
      <c r="AC767" s="50" t="n"/>
      <c r="AD767" s="43">
        <f>IF(Z767&lt;&gt;"",Z767,N(V767))</f>
        <v/>
      </c>
      <c r="AE767" s="43">
        <f>IF(AA767&lt;&gt;"",AA767,N(W767))</f>
        <v/>
      </c>
      <c r="AF767" s="43">
        <f>AD767+AE767</f>
        <v/>
      </c>
      <c r="AG767" s="42">
        <f>IF(UPPER(AC767)="Y",1,IF(AF767=0,0,IF(AND(Z767="",Y767&lt;&gt;""),IF(Y767&gt;=0.999,1,0),IF(AF767&gt;=U767,1,0))))</f>
        <v/>
      </c>
      <c r="AH767" s="44">
        <f>IF(AF767&gt;0,(AD767-AE767)/AF767,"")</f>
        <v/>
      </c>
      <c r="AI767" s="45">
        <f>IF(AG767=1,AH767-O767,"")</f>
        <v/>
      </c>
      <c r="AJ767" s="44">
        <f>IF(AG767=1,AH767,MAX(-1,MIN(1,O767+INDEX(Types!$H:$H,MATCH($A767&amp;"|"&amp;$D767,Types!$A:$A,0)))))</f>
        <v/>
      </c>
      <c r="AK767" s="43">
        <f>IF(AG767=1,AF767,MAX(AQ767*AS767,AF767))</f>
        <v/>
      </c>
      <c r="AL767" s="43">
        <f>IF(AG767=1,AD767,AK767*(1+AJ767)/2)</f>
        <v/>
      </c>
      <c r="AM767" s="43">
        <f>IF(AG767=1,AE767,AK767*(1-AJ767)/2)</f>
        <v/>
      </c>
      <c r="AN767" s="45">
        <f>IF(AH767="","",AH767-T767)</f>
        <v/>
      </c>
      <c r="AO767" s="51">
        <f>IF(AG767=1,1,IF(U767&gt;0,MIN(AF767/U767,0.99),0))</f>
        <v/>
      </c>
      <c r="AP767" s="43">
        <f>IF(AG767=1,AI767*AF767,0)</f>
        <v/>
      </c>
      <c r="AQ767" s="43">
        <f>N767*(F767+G767)/H767</f>
        <v/>
      </c>
      <c r="AR767" s="43">
        <f>O767*AQ767</f>
        <v/>
      </c>
      <c r="AS767" s="52">
        <f>IF(AG767=1,IF(AQ767&gt;0,AF767/AQ767,1),IFERROR(INDEX(Types!$K:$K,MATCH($A767&amp;"|"&amp;$D767,Types!$A:$A,0)),INDEX(Dashboard!$X$6:$X$22,MATCH($A767,Dashboard!$A$6:$A$22,0))))</f>
        <v/>
      </c>
      <c r="AT767" s="43">
        <f>AQ767*INDEX(Dashboard!$Y$6:$Y$22,MATCH($A767,Dashboard!$A$6:$A$22,0))</f>
        <v/>
      </c>
      <c r="AU767" s="53">
        <f>IF(AND(AG767=1,AT767&gt;0,AF767&gt;0),100*AF767/AT767,"")</f>
        <v/>
      </c>
      <c r="AV767" s="44">
        <f>IF(AU767="","",T767/(AU767/100))</f>
        <v/>
      </c>
      <c r="AW767" s="53">
        <f>IF(AU767="","",IF(AND(ABS(AH767)&gt;=0.1,ABS(T767)&gt;=0.05,SIGN(AH767)=SIGN(T767)),100*T767/AH767,""))</f>
        <v/>
      </c>
      <c r="AX767" s="45">
        <f>IF(AU767="","",T767-AV767)</f>
        <v/>
      </c>
      <c r="AY767" s="45">
        <f>IF(AU767="","",AH767-AV767)</f>
        <v/>
      </c>
      <c r="AZ767" s="54">
        <f>(AL767-AM767)-T767*AT767</f>
        <v/>
      </c>
      <c r="BA767" s="43">
        <f>IF(AU767="",0,(AH767-T767)*AF767)</f>
        <v/>
      </c>
      <c r="BB767" s="43">
        <f>IF(AU767="",0,T767*(AF767-AT767))</f>
        <v/>
      </c>
      <c r="BC767" s="51" t="n">
        <v>0.0178454007452327</v>
      </c>
      <c r="BD767" s="51" t="n">
        <v>0.05828523416380507</v>
      </c>
      <c r="BE767" s="51" t="n">
        <v>0.4766468985414329</v>
      </c>
      <c r="BF767" s="43" t="n">
        <v>54748</v>
      </c>
    </row>
    <row r="768">
      <c r="A768" s="42" t="inlineStr">
        <is>
          <t>NC</t>
        </is>
      </c>
      <c r="B768" s="42" t="inlineStr">
        <is>
          <t>37191</t>
        </is>
      </c>
      <c r="C768" s="42" t="inlineStr">
        <is>
          <t>Wayne</t>
        </is>
      </c>
      <c r="D768" s="42" t="inlineStr">
        <is>
          <t>Mid-size/working metro</t>
        </is>
      </c>
      <c r="E768" s="42" t="inlineStr"/>
      <c r="F768" s="43" t="n">
        <v>22618</v>
      </c>
      <c r="G768" s="43" t="n">
        <v>31580</v>
      </c>
      <c r="H768" s="43" t="n">
        <v>54667</v>
      </c>
      <c r="I768" s="43" t="n">
        <v>24215</v>
      </c>
      <c r="J768" s="43" t="n">
        <v>30709</v>
      </c>
      <c r="K768" s="42" t="inlineStr">
        <is>
          <t>US Senate</t>
        </is>
      </c>
      <c r="L768" s="43" t="n">
        <v>13990</v>
      </c>
      <c r="M768" s="43" t="n">
        <v>20723</v>
      </c>
      <c r="N768" s="43" t="n">
        <v>35328</v>
      </c>
      <c r="O768" s="44">
        <f>IFERROR((F768-G768)/(F768+G768),"")</f>
        <v/>
      </c>
      <c r="P768" s="44">
        <f>IFERROR((I768-J768)/(I768+J768),"")</f>
        <v/>
      </c>
      <c r="Q768" s="45">
        <f>IFERROR(O768-P768,"")</f>
        <v/>
      </c>
      <c r="R768" s="44">
        <f>IFERROR((L768-M768)/(L768+M768),"")</f>
        <v/>
      </c>
      <c r="S768" s="46">
        <f>H768/SUMIFS(Counties!$H$2:$H$1583,Counties!$A$2:$A$1583,$A768)</f>
        <v/>
      </c>
      <c r="T768" s="44">
        <f>O768+INDEX(Dashboard!$F$6:$F$22,MATCH($A768,Dashboard!$A$6:$A$22,0))</f>
        <v/>
      </c>
      <c r="U768" s="43">
        <f>AQ768*INDEX(Dashboard!$G$6:$G$22,MATCH($A768,Dashboard!$A$6:$A$22,0))</f>
        <v/>
      </c>
      <c r="V768" s="47" t="n"/>
      <c r="W768" s="47" t="n"/>
      <c r="X768" s="47" t="n"/>
      <c r="Y768" s="48" t="n"/>
      <c r="Z768" s="49" t="n"/>
      <c r="AA768" s="49" t="n"/>
      <c r="AB768" s="49" t="n"/>
      <c r="AC768" s="50" t="n"/>
      <c r="AD768" s="43">
        <f>IF(Z768&lt;&gt;"",Z768,N(V768))</f>
        <v/>
      </c>
      <c r="AE768" s="43">
        <f>IF(AA768&lt;&gt;"",AA768,N(W768))</f>
        <v/>
      </c>
      <c r="AF768" s="43">
        <f>AD768+AE768</f>
        <v/>
      </c>
      <c r="AG768" s="42">
        <f>IF(UPPER(AC768)="Y",1,IF(AF768=0,0,IF(AND(Z768="",Y768&lt;&gt;""),IF(Y768&gt;=0.999,1,0),IF(AF768&gt;=U768,1,0))))</f>
        <v/>
      </c>
      <c r="AH768" s="44">
        <f>IF(AF768&gt;0,(AD768-AE768)/AF768,"")</f>
        <v/>
      </c>
      <c r="AI768" s="45">
        <f>IF(AG768=1,AH768-O768,"")</f>
        <v/>
      </c>
      <c r="AJ768" s="44">
        <f>IF(AG768=1,AH768,MAX(-1,MIN(1,O768+INDEX(Types!$H:$H,MATCH($A768&amp;"|"&amp;$D768,Types!$A:$A,0)))))</f>
        <v/>
      </c>
      <c r="AK768" s="43">
        <f>IF(AG768=1,AF768,MAX(AQ768*AS768,AF768))</f>
        <v/>
      </c>
      <c r="AL768" s="43">
        <f>IF(AG768=1,AD768,AK768*(1+AJ768)/2)</f>
        <v/>
      </c>
      <c r="AM768" s="43">
        <f>IF(AG768=1,AE768,AK768*(1-AJ768)/2)</f>
        <v/>
      </c>
      <c r="AN768" s="45">
        <f>IF(AH768="","",AH768-T768)</f>
        <v/>
      </c>
      <c r="AO768" s="51">
        <f>IF(AG768=1,1,IF(U768&gt;0,MIN(AF768/U768,0.99),0))</f>
        <v/>
      </c>
      <c r="AP768" s="43">
        <f>IF(AG768=1,AI768*AF768,0)</f>
        <v/>
      </c>
      <c r="AQ768" s="43">
        <f>N768*(F768+G768)/H768</f>
        <v/>
      </c>
      <c r="AR768" s="43">
        <f>O768*AQ768</f>
        <v/>
      </c>
      <c r="AS768" s="52">
        <f>IF(AG768=1,IF(AQ768&gt;0,AF768/AQ768,1),IFERROR(INDEX(Types!$K:$K,MATCH($A768&amp;"|"&amp;$D768,Types!$A:$A,0)),INDEX(Dashboard!$X$6:$X$22,MATCH($A768,Dashboard!$A$6:$A$22,0))))</f>
        <v/>
      </c>
      <c r="AT768" s="43">
        <f>AQ768*INDEX(Dashboard!$Y$6:$Y$22,MATCH($A768,Dashboard!$A$6:$A$22,0))</f>
        <v/>
      </c>
      <c r="AU768" s="53">
        <f>IF(AND(AG768=1,AT768&gt;0,AF768&gt;0),100*AF768/AT768,"")</f>
        <v/>
      </c>
      <c r="AV768" s="44">
        <f>IF(AU768="","",T768/(AU768/100))</f>
        <v/>
      </c>
      <c r="AW768" s="53">
        <f>IF(AU768="","",IF(AND(ABS(AH768)&gt;=0.1,ABS(T768)&gt;=0.05,SIGN(AH768)=SIGN(T768)),100*T768/AH768,""))</f>
        <v/>
      </c>
      <c r="AX768" s="45">
        <f>IF(AU768="","",T768-AV768)</f>
        <v/>
      </c>
      <c r="AY768" s="45">
        <f>IF(AU768="","",AH768-AV768)</f>
        <v/>
      </c>
      <c r="AZ768" s="54">
        <f>(AL768-AM768)-T768*AT768</f>
        <v/>
      </c>
      <c r="BA768" s="43">
        <f>IF(AU768="",0,(AH768-T768)*AF768)</f>
        <v/>
      </c>
      <c r="BB768" s="43">
        <f>IF(AU768="",0,T768*(AF768-AT768))</f>
        <v/>
      </c>
      <c r="BC768" s="51" t="n">
        <v>0.3080565525841296</v>
      </c>
      <c r="BD768" s="51" t="n">
        <v>0.1396205112650186</v>
      </c>
      <c r="BE768" s="51" t="n">
        <v>0.2133420052541638</v>
      </c>
      <c r="BF768" s="43" t="n">
        <v>118686</v>
      </c>
    </row>
    <row r="769">
      <c r="A769" s="42" t="inlineStr">
        <is>
          <t>NC</t>
        </is>
      </c>
      <c r="B769" s="42" t="inlineStr">
        <is>
          <t>37193</t>
        </is>
      </c>
      <c r="C769" s="42" t="inlineStr">
        <is>
          <t>Wilkes</t>
        </is>
      </c>
      <c r="D769" s="42" t="inlineStr">
        <is>
          <t>Small town &amp; rural</t>
        </is>
      </c>
      <c r="E769" s="42" t="inlineStr"/>
      <c r="F769" s="43" t="n">
        <v>7194</v>
      </c>
      <c r="G769" s="43" t="n">
        <v>28812</v>
      </c>
      <c r="H769" s="43" t="n">
        <v>36240</v>
      </c>
      <c r="I769" s="43" t="n">
        <v>7511</v>
      </c>
      <c r="J769" s="43" t="n">
        <v>27592</v>
      </c>
      <c r="K769" s="42" t="inlineStr">
        <is>
          <t>US Senate</t>
        </is>
      </c>
      <c r="L769" s="43" t="n">
        <v>4770</v>
      </c>
      <c r="M769" s="43" t="n">
        <v>19294</v>
      </c>
      <c r="N769" s="43" t="n">
        <v>24546</v>
      </c>
      <c r="O769" s="44">
        <f>IFERROR((F769-G769)/(F769+G769),"")</f>
        <v/>
      </c>
      <c r="P769" s="44">
        <f>IFERROR((I769-J769)/(I769+J769),"")</f>
        <v/>
      </c>
      <c r="Q769" s="45">
        <f>IFERROR(O769-P769,"")</f>
        <v/>
      </c>
      <c r="R769" s="44">
        <f>IFERROR((L769-M769)/(L769+M769),"")</f>
        <v/>
      </c>
      <c r="S769" s="46">
        <f>H769/SUMIFS(Counties!$H$2:$H$1583,Counties!$A$2:$A$1583,$A769)</f>
        <v/>
      </c>
      <c r="T769" s="44">
        <f>O769+INDEX(Dashboard!$F$6:$F$22,MATCH($A769,Dashboard!$A$6:$A$22,0))</f>
        <v/>
      </c>
      <c r="U769" s="43">
        <f>AQ769*INDEX(Dashboard!$G$6:$G$22,MATCH($A769,Dashboard!$A$6:$A$22,0))</f>
        <v/>
      </c>
      <c r="V769" s="47" t="n"/>
      <c r="W769" s="47" t="n"/>
      <c r="X769" s="47" t="n"/>
      <c r="Y769" s="48" t="n"/>
      <c r="Z769" s="49" t="n"/>
      <c r="AA769" s="49" t="n"/>
      <c r="AB769" s="49" t="n"/>
      <c r="AC769" s="50" t="n"/>
      <c r="AD769" s="43">
        <f>IF(Z769&lt;&gt;"",Z769,N(V769))</f>
        <v/>
      </c>
      <c r="AE769" s="43">
        <f>IF(AA769&lt;&gt;"",AA769,N(W769))</f>
        <v/>
      </c>
      <c r="AF769" s="43">
        <f>AD769+AE769</f>
        <v/>
      </c>
      <c r="AG769" s="42">
        <f>IF(UPPER(AC769)="Y",1,IF(AF769=0,0,IF(AND(Z769="",Y769&lt;&gt;""),IF(Y769&gt;=0.999,1,0),IF(AF769&gt;=U769,1,0))))</f>
        <v/>
      </c>
      <c r="AH769" s="44">
        <f>IF(AF769&gt;0,(AD769-AE769)/AF769,"")</f>
        <v/>
      </c>
      <c r="AI769" s="45">
        <f>IF(AG769=1,AH769-O769,"")</f>
        <v/>
      </c>
      <c r="AJ769" s="44">
        <f>IF(AG769=1,AH769,MAX(-1,MIN(1,O769+INDEX(Types!$H:$H,MATCH($A769&amp;"|"&amp;$D769,Types!$A:$A,0)))))</f>
        <v/>
      </c>
      <c r="AK769" s="43">
        <f>IF(AG769=1,AF769,MAX(AQ769*AS769,AF769))</f>
        <v/>
      </c>
      <c r="AL769" s="43">
        <f>IF(AG769=1,AD769,AK769*(1+AJ769)/2)</f>
        <v/>
      </c>
      <c r="AM769" s="43">
        <f>IF(AG769=1,AE769,AK769*(1-AJ769)/2)</f>
        <v/>
      </c>
      <c r="AN769" s="45">
        <f>IF(AH769="","",AH769-T769)</f>
        <v/>
      </c>
      <c r="AO769" s="51">
        <f>IF(AG769=1,1,IF(U769&gt;0,MIN(AF769/U769,0.99),0))</f>
        <v/>
      </c>
      <c r="AP769" s="43">
        <f>IF(AG769=1,AI769*AF769,0)</f>
        <v/>
      </c>
      <c r="AQ769" s="43">
        <f>N769*(F769+G769)/H769</f>
        <v/>
      </c>
      <c r="AR769" s="43">
        <f>O769*AQ769</f>
        <v/>
      </c>
      <c r="AS769" s="52">
        <f>IF(AG769=1,IF(AQ769&gt;0,AF769/AQ769,1),IFERROR(INDEX(Types!$K:$K,MATCH($A769&amp;"|"&amp;$D769,Types!$A:$A,0)),INDEX(Dashboard!$X$6:$X$22,MATCH($A769,Dashboard!$A$6:$A$22,0))))</f>
        <v/>
      </c>
      <c r="AT769" s="43">
        <f>AQ769*INDEX(Dashboard!$Y$6:$Y$22,MATCH($A769,Dashboard!$A$6:$A$22,0))</f>
        <v/>
      </c>
      <c r="AU769" s="53">
        <f>IF(AND(AG769=1,AT769&gt;0,AF769&gt;0),100*AF769/AT769,"")</f>
        <v/>
      </c>
      <c r="AV769" s="44">
        <f>IF(AU769="","",T769/(AU769/100))</f>
        <v/>
      </c>
      <c r="AW769" s="53">
        <f>IF(AU769="","",IF(AND(ABS(AH769)&gt;=0.1,ABS(T769)&gt;=0.05,SIGN(AH769)=SIGN(T769)),100*T769/AH769,""))</f>
        <v/>
      </c>
      <c r="AX769" s="45">
        <f>IF(AU769="","",T769-AV769)</f>
        <v/>
      </c>
      <c r="AY769" s="45">
        <f>IF(AU769="","",AH769-AV769)</f>
        <v/>
      </c>
      <c r="AZ769" s="54">
        <f>(AL769-AM769)-T769*AT769</f>
        <v/>
      </c>
      <c r="BA769" s="43">
        <f>IF(AU769="",0,(AH769-T769)*AF769)</f>
        <v/>
      </c>
      <c r="BB769" s="43">
        <f>IF(AU769="",0,T769*(AF769-AT769))</f>
        <v/>
      </c>
      <c r="BC769" s="51" t="n">
        <v>0.04393074091466832</v>
      </c>
      <c r="BD769" s="51" t="n">
        <v>0.07609107297047552</v>
      </c>
      <c r="BE769" s="51" t="n">
        <v>0.1666771508251033</v>
      </c>
      <c r="BF769" s="43" t="n">
        <v>66013</v>
      </c>
    </row>
    <row r="770">
      <c r="A770" s="42" t="inlineStr">
        <is>
          <t>NC</t>
        </is>
      </c>
      <c r="B770" s="42" t="inlineStr">
        <is>
          <t>37195</t>
        </is>
      </c>
      <c r="C770" s="42" t="inlineStr">
        <is>
          <t>Wilson</t>
        </is>
      </c>
      <c r="D770" s="42" t="inlineStr">
        <is>
          <t>Small town &amp; rural</t>
        </is>
      </c>
      <c r="E770" s="42" t="inlineStr"/>
      <c r="F770" s="43" t="n">
        <v>19909</v>
      </c>
      <c r="G770" s="43" t="n">
        <v>19750</v>
      </c>
      <c r="H770" s="43" t="n">
        <v>39978</v>
      </c>
      <c r="I770" s="43" t="n">
        <v>20754</v>
      </c>
      <c r="J770" s="43" t="n">
        <v>19581</v>
      </c>
      <c r="K770" s="42" t="inlineStr">
        <is>
          <t>US Senate</t>
        </is>
      </c>
      <c r="L770" s="43" t="n">
        <v>12503</v>
      </c>
      <c r="M770" s="43" t="n">
        <v>13310</v>
      </c>
      <c r="N770" s="43" t="n">
        <v>26249</v>
      </c>
      <c r="O770" s="44">
        <f>IFERROR((F770-G770)/(F770+G770),"")</f>
        <v/>
      </c>
      <c r="P770" s="44">
        <f>IFERROR((I770-J770)/(I770+J770),"")</f>
        <v/>
      </c>
      <c r="Q770" s="45">
        <f>IFERROR(O770-P770,"")</f>
        <v/>
      </c>
      <c r="R770" s="44">
        <f>IFERROR((L770-M770)/(L770+M770),"")</f>
        <v/>
      </c>
      <c r="S770" s="46">
        <f>H770/SUMIFS(Counties!$H$2:$H$1583,Counties!$A$2:$A$1583,$A770)</f>
        <v/>
      </c>
      <c r="T770" s="44">
        <f>O770+INDEX(Dashboard!$F$6:$F$22,MATCH($A770,Dashboard!$A$6:$A$22,0))</f>
        <v/>
      </c>
      <c r="U770" s="43">
        <f>AQ770*INDEX(Dashboard!$G$6:$G$22,MATCH($A770,Dashboard!$A$6:$A$22,0))</f>
        <v/>
      </c>
      <c r="V770" s="47" t="n"/>
      <c r="W770" s="47" t="n"/>
      <c r="X770" s="47" t="n"/>
      <c r="Y770" s="48" t="n"/>
      <c r="Z770" s="49" t="n"/>
      <c r="AA770" s="49" t="n"/>
      <c r="AB770" s="49" t="n"/>
      <c r="AC770" s="50" t="n"/>
      <c r="AD770" s="43">
        <f>IF(Z770&lt;&gt;"",Z770,N(V770))</f>
        <v/>
      </c>
      <c r="AE770" s="43">
        <f>IF(AA770&lt;&gt;"",AA770,N(W770))</f>
        <v/>
      </c>
      <c r="AF770" s="43">
        <f>AD770+AE770</f>
        <v/>
      </c>
      <c r="AG770" s="42">
        <f>IF(UPPER(AC770)="Y",1,IF(AF770=0,0,IF(AND(Z770="",Y770&lt;&gt;""),IF(Y770&gt;=0.999,1,0),IF(AF770&gt;=U770,1,0))))</f>
        <v/>
      </c>
      <c r="AH770" s="44">
        <f>IF(AF770&gt;0,(AD770-AE770)/AF770,"")</f>
        <v/>
      </c>
      <c r="AI770" s="45">
        <f>IF(AG770=1,AH770-O770,"")</f>
        <v/>
      </c>
      <c r="AJ770" s="44">
        <f>IF(AG770=1,AH770,MAX(-1,MIN(1,O770+INDEX(Types!$H:$H,MATCH($A770&amp;"|"&amp;$D770,Types!$A:$A,0)))))</f>
        <v/>
      </c>
      <c r="AK770" s="43">
        <f>IF(AG770=1,AF770,MAX(AQ770*AS770,AF770))</f>
        <v/>
      </c>
      <c r="AL770" s="43">
        <f>IF(AG770=1,AD770,AK770*(1+AJ770)/2)</f>
        <v/>
      </c>
      <c r="AM770" s="43">
        <f>IF(AG770=1,AE770,AK770*(1-AJ770)/2)</f>
        <v/>
      </c>
      <c r="AN770" s="45">
        <f>IF(AH770="","",AH770-T770)</f>
        <v/>
      </c>
      <c r="AO770" s="51">
        <f>IF(AG770=1,1,IF(U770&gt;0,MIN(AF770/U770,0.99),0))</f>
        <v/>
      </c>
      <c r="AP770" s="43">
        <f>IF(AG770=1,AI770*AF770,0)</f>
        <v/>
      </c>
      <c r="AQ770" s="43">
        <f>N770*(F770+G770)/H770</f>
        <v/>
      </c>
      <c r="AR770" s="43">
        <f>O770*AQ770</f>
        <v/>
      </c>
      <c r="AS770" s="52">
        <f>IF(AG770=1,IF(AQ770&gt;0,AF770/AQ770,1),IFERROR(INDEX(Types!$K:$K,MATCH($A770&amp;"|"&amp;$D770,Types!$A:$A,0)),INDEX(Dashboard!$X$6:$X$22,MATCH($A770,Dashboard!$A$6:$A$22,0))))</f>
        <v/>
      </c>
      <c r="AT770" s="43">
        <f>AQ770*INDEX(Dashboard!$Y$6:$Y$22,MATCH($A770,Dashboard!$A$6:$A$22,0))</f>
        <v/>
      </c>
      <c r="AU770" s="53">
        <f>IF(AND(AG770=1,AT770&gt;0,AF770&gt;0),100*AF770/AT770,"")</f>
        <v/>
      </c>
      <c r="AV770" s="44">
        <f>IF(AU770="","",T770/(AU770/100))</f>
        <v/>
      </c>
      <c r="AW770" s="53">
        <f>IF(AU770="","",IF(AND(ABS(AH770)&gt;=0.1,ABS(T770)&gt;=0.05,SIGN(AH770)=SIGN(T770)),100*T770/AH770,""))</f>
        <v/>
      </c>
      <c r="AX770" s="45">
        <f>IF(AU770="","",T770-AV770)</f>
        <v/>
      </c>
      <c r="AY770" s="45">
        <f>IF(AU770="","",AH770-AV770)</f>
        <v/>
      </c>
      <c r="AZ770" s="54">
        <f>(AL770-AM770)-T770*AT770</f>
        <v/>
      </c>
      <c r="BA770" s="43">
        <f>IF(AU770="",0,(AH770-T770)*AF770)</f>
        <v/>
      </c>
      <c r="BB770" s="43">
        <f>IF(AU770="",0,T770*(AF770-AT770))</f>
        <v/>
      </c>
      <c r="BC770" s="51" t="n">
        <v>0.3876662023553248</v>
      </c>
      <c r="BD770" s="51" t="n">
        <v>0.1267696593643156</v>
      </c>
      <c r="BE770" s="51" t="n">
        <v>0.2026385321778977</v>
      </c>
      <c r="BF770" s="43" t="n">
        <v>78970</v>
      </c>
    </row>
    <row r="771">
      <c r="A771" s="42" t="inlineStr">
        <is>
          <t>NC</t>
        </is>
      </c>
      <c r="B771" s="42" t="inlineStr">
        <is>
          <t>37197</t>
        </is>
      </c>
      <c r="C771" s="42" t="inlineStr">
        <is>
          <t>Yadkin</t>
        </is>
      </c>
      <c r="D771" s="42" t="inlineStr">
        <is>
          <t>Small town &amp; rural</t>
        </is>
      </c>
      <c r="E771" s="42" t="inlineStr"/>
      <c r="F771" s="43" t="n">
        <v>3739</v>
      </c>
      <c r="G771" s="43" t="n">
        <v>16439</v>
      </c>
      <c r="H771" s="43" t="n">
        <v>20346</v>
      </c>
      <c r="I771" s="43" t="n">
        <v>3763</v>
      </c>
      <c r="J771" s="43" t="n">
        <v>15933</v>
      </c>
      <c r="K771" s="42" t="inlineStr">
        <is>
          <t>US Senate</t>
        </is>
      </c>
      <c r="L771" s="43" t="n">
        <v>2400</v>
      </c>
      <c r="M771" s="43" t="n">
        <v>11117</v>
      </c>
      <c r="N771" s="43" t="n">
        <v>13870</v>
      </c>
      <c r="O771" s="44">
        <f>IFERROR((F771-G771)/(F771+G771),"")</f>
        <v/>
      </c>
      <c r="P771" s="44">
        <f>IFERROR((I771-J771)/(I771+J771),"")</f>
        <v/>
      </c>
      <c r="Q771" s="45">
        <f>IFERROR(O771-P771,"")</f>
        <v/>
      </c>
      <c r="R771" s="44">
        <f>IFERROR((L771-M771)/(L771+M771),"")</f>
        <v/>
      </c>
      <c r="S771" s="46">
        <f>H771/SUMIFS(Counties!$H$2:$H$1583,Counties!$A$2:$A$1583,$A771)</f>
        <v/>
      </c>
      <c r="T771" s="44">
        <f>O771+INDEX(Dashboard!$F$6:$F$22,MATCH($A771,Dashboard!$A$6:$A$22,0))</f>
        <v/>
      </c>
      <c r="U771" s="43">
        <f>AQ771*INDEX(Dashboard!$G$6:$G$22,MATCH($A771,Dashboard!$A$6:$A$22,0))</f>
        <v/>
      </c>
      <c r="V771" s="47" t="n"/>
      <c r="W771" s="47" t="n"/>
      <c r="X771" s="47" t="n"/>
      <c r="Y771" s="48" t="n"/>
      <c r="Z771" s="49" t="n"/>
      <c r="AA771" s="49" t="n"/>
      <c r="AB771" s="49" t="n"/>
      <c r="AC771" s="50" t="n"/>
      <c r="AD771" s="43">
        <f>IF(Z771&lt;&gt;"",Z771,N(V771))</f>
        <v/>
      </c>
      <c r="AE771" s="43">
        <f>IF(AA771&lt;&gt;"",AA771,N(W771))</f>
        <v/>
      </c>
      <c r="AF771" s="43">
        <f>AD771+AE771</f>
        <v/>
      </c>
      <c r="AG771" s="42">
        <f>IF(UPPER(AC771)="Y",1,IF(AF771=0,0,IF(AND(Z771="",Y771&lt;&gt;""),IF(Y771&gt;=0.999,1,0),IF(AF771&gt;=U771,1,0))))</f>
        <v/>
      </c>
      <c r="AH771" s="44">
        <f>IF(AF771&gt;0,(AD771-AE771)/AF771,"")</f>
        <v/>
      </c>
      <c r="AI771" s="45">
        <f>IF(AG771=1,AH771-O771,"")</f>
        <v/>
      </c>
      <c r="AJ771" s="44">
        <f>IF(AG771=1,AH771,MAX(-1,MIN(1,O771+INDEX(Types!$H:$H,MATCH($A771&amp;"|"&amp;$D771,Types!$A:$A,0)))))</f>
        <v/>
      </c>
      <c r="AK771" s="43">
        <f>IF(AG771=1,AF771,MAX(AQ771*AS771,AF771))</f>
        <v/>
      </c>
      <c r="AL771" s="43">
        <f>IF(AG771=1,AD771,AK771*(1+AJ771)/2)</f>
        <v/>
      </c>
      <c r="AM771" s="43">
        <f>IF(AG771=1,AE771,AK771*(1-AJ771)/2)</f>
        <v/>
      </c>
      <c r="AN771" s="45">
        <f>IF(AH771="","",AH771-T771)</f>
        <v/>
      </c>
      <c r="AO771" s="51">
        <f>IF(AG771=1,1,IF(U771&gt;0,MIN(AF771/U771,0.99),0))</f>
        <v/>
      </c>
      <c r="AP771" s="43">
        <f>IF(AG771=1,AI771*AF771,0)</f>
        <v/>
      </c>
      <c r="AQ771" s="43">
        <f>N771*(F771+G771)/H771</f>
        <v/>
      </c>
      <c r="AR771" s="43">
        <f>O771*AQ771</f>
        <v/>
      </c>
      <c r="AS771" s="52">
        <f>IF(AG771=1,IF(AQ771&gt;0,AF771/AQ771,1),IFERROR(INDEX(Types!$K:$K,MATCH($A771&amp;"|"&amp;$D771,Types!$A:$A,0)),INDEX(Dashboard!$X$6:$X$22,MATCH($A771,Dashboard!$A$6:$A$22,0))))</f>
        <v/>
      </c>
      <c r="AT771" s="43">
        <f>AQ771*INDEX(Dashboard!$Y$6:$Y$22,MATCH($A771,Dashboard!$A$6:$A$22,0))</f>
        <v/>
      </c>
      <c r="AU771" s="53">
        <f>IF(AND(AG771=1,AT771&gt;0,AF771&gt;0),100*AF771/AT771,"")</f>
        <v/>
      </c>
      <c r="AV771" s="44">
        <f>IF(AU771="","",T771/(AU771/100))</f>
        <v/>
      </c>
      <c r="AW771" s="53">
        <f>IF(AU771="","",IF(AND(ABS(AH771)&gt;=0.1,ABS(T771)&gt;=0.05,SIGN(AH771)=SIGN(T771)),100*T771/AH771,""))</f>
        <v/>
      </c>
      <c r="AX771" s="45">
        <f>IF(AU771="","",T771-AV771)</f>
        <v/>
      </c>
      <c r="AY771" s="45">
        <f>IF(AU771="","",AH771-AV771)</f>
        <v/>
      </c>
      <c r="AZ771" s="54">
        <f>(AL771-AM771)-T771*AT771</f>
        <v/>
      </c>
      <c r="BA771" s="43">
        <f>IF(AU771="",0,(AH771-T771)*AF771)</f>
        <v/>
      </c>
      <c r="BB771" s="43">
        <f>IF(AU771="",0,T771*(AF771-AT771))</f>
        <v/>
      </c>
      <c r="BC771" s="51" t="n">
        <v>0.03216498120400275</v>
      </c>
      <c r="BD771" s="51" t="n">
        <v>0.1263832265579499</v>
      </c>
      <c r="BE771" s="51" t="n">
        <v>0.1575186141355184</v>
      </c>
      <c r="BF771" s="43" t="n">
        <v>37774</v>
      </c>
    </row>
    <row r="772">
      <c r="A772" s="42" t="inlineStr">
        <is>
          <t>NC</t>
        </is>
      </c>
      <c r="B772" s="42" t="inlineStr">
        <is>
          <t>37199</t>
        </is>
      </c>
      <c r="C772" s="42" t="inlineStr">
        <is>
          <t>Yancey</t>
        </is>
      </c>
      <c r="D772" s="42" t="inlineStr">
        <is>
          <t>Small town &amp; rural</t>
        </is>
      </c>
      <c r="E772" s="42" t="inlineStr"/>
      <c r="F772" s="43" t="n">
        <v>3635</v>
      </c>
      <c r="G772" s="43" t="n">
        <v>7509</v>
      </c>
      <c r="H772" s="43" t="n">
        <v>11247</v>
      </c>
      <c r="I772" s="43" t="n">
        <v>3688</v>
      </c>
      <c r="J772" s="43" t="n">
        <v>7516</v>
      </c>
      <c r="K772" s="42" t="inlineStr">
        <is>
          <t>US Senate</t>
        </is>
      </c>
      <c r="L772" s="43" t="n">
        <v>2940</v>
      </c>
      <c r="M772" s="43" t="n">
        <v>5705</v>
      </c>
      <c r="N772" s="43" t="n">
        <v>8879</v>
      </c>
      <c r="O772" s="44">
        <f>IFERROR((F772-G772)/(F772+G772),"")</f>
        <v/>
      </c>
      <c r="P772" s="44">
        <f>IFERROR((I772-J772)/(I772+J772),"")</f>
        <v/>
      </c>
      <c r="Q772" s="45">
        <f>IFERROR(O772-P772,"")</f>
        <v/>
      </c>
      <c r="R772" s="44">
        <f>IFERROR((L772-M772)/(L772+M772),"")</f>
        <v/>
      </c>
      <c r="S772" s="46">
        <f>H772/SUMIFS(Counties!$H$2:$H$1583,Counties!$A$2:$A$1583,$A772)</f>
        <v/>
      </c>
      <c r="T772" s="44">
        <f>O772+INDEX(Dashboard!$F$6:$F$22,MATCH($A772,Dashboard!$A$6:$A$22,0))</f>
        <v/>
      </c>
      <c r="U772" s="43">
        <f>AQ772*INDEX(Dashboard!$G$6:$G$22,MATCH($A772,Dashboard!$A$6:$A$22,0))</f>
        <v/>
      </c>
      <c r="V772" s="47" t="n"/>
      <c r="W772" s="47" t="n"/>
      <c r="X772" s="47" t="n"/>
      <c r="Y772" s="48" t="n"/>
      <c r="Z772" s="49" t="n"/>
      <c r="AA772" s="49" t="n"/>
      <c r="AB772" s="49" t="n"/>
      <c r="AC772" s="50" t="n"/>
      <c r="AD772" s="43">
        <f>IF(Z772&lt;&gt;"",Z772,N(V772))</f>
        <v/>
      </c>
      <c r="AE772" s="43">
        <f>IF(AA772&lt;&gt;"",AA772,N(W772))</f>
        <v/>
      </c>
      <c r="AF772" s="43">
        <f>AD772+AE772</f>
        <v/>
      </c>
      <c r="AG772" s="42">
        <f>IF(UPPER(AC772)="Y",1,IF(AF772=0,0,IF(AND(Z772="",Y772&lt;&gt;""),IF(Y772&gt;=0.999,1,0),IF(AF772&gt;=U772,1,0))))</f>
        <v/>
      </c>
      <c r="AH772" s="44">
        <f>IF(AF772&gt;0,(AD772-AE772)/AF772,"")</f>
        <v/>
      </c>
      <c r="AI772" s="45">
        <f>IF(AG772=1,AH772-O772,"")</f>
        <v/>
      </c>
      <c r="AJ772" s="44">
        <f>IF(AG772=1,AH772,MAX(-1,MIN(1,O772+INDEX(Types!$H:$H,MATCH($A772&amp;"|"&amp;$D772,Types!$A:$A,0)))))</f>
        <v/>
      </c>
      <c r="AK772" s="43">
        <f>IF(AG772=1,AF772,MAX(AQ772*AS772,AF772))</f>
        <v/>
      </c>
      <c r="AL772" s="43">
        <f>IF(AG772=1,AD772,AK772*(1+AJ772)/2)</f>
        <v/>
      </c>
      <c r="AM772" s="43">
        <f>IF(AG772=1,AE772,AK772*(1-AJ772)/2)</f>
        <v/>
      </c>
      <c r="AN772" s="45">
        <f>IF(AH772="","",AH772-T772)</f>
        <v/>
      </c>
      <c r="AO772" s="51">
        <f>IF(AG772=1,1,IF(U772&gt;0,MIN(AF772/U772,0.99),0))</f>
        <v/>
      </c>
      <c r="AP772" s="43">
        <f>IF(AG772=1,AI772*AF772,0)</f>
        <v/>
      </c>
      <c r="AQ772" s="43">
        <f>N772*(F772+G772)/H772</f>
        <v/>
      </c>
      <c r="AR772" s="43">
        <f>O772*AQ772</f>
        <v/>
      </c>
      <c r="AS772" s="52">
        <f>IF(AG772=1,IF(AQ772&gt;0,AF772/AQ772,1),IFERROR(INDEX(Types!$K:$K,MATCH($A772&amp;"|"&amp;$D772,Types!$A:$A,0)),INDEX(Dashboard!$X$6:$X$22,MATCH($A772,Dashboard!$A$6:$A$22,0))))</f>
        <v/>
      </c>
      <c r="AT772" s="43">
        <f>AQ772*INDEX(Dashboard!$Y$6:$Y$22,MATCH($A772,Dashboard!$A$6:$A$22,0))</f>
        <v/>
      </c>
      <c r="AU772" s="53">
        <f>IF(AND(AG772=1,AT772&gt;0,AF772&gt;0),100*AF772/AT772,"")</f>
        <v/>
      </c>
      <c r="AV772" s="44">
        <f>IF(AU772="","",T772/(AU772/100))</f>
        <v/>
      </c>
      <c r="AW772" s="53">
        <f>IF(AU772="","",IF(AND(ABS(AH772)&gt;=0.1,ABS(T772)&gt;=0.05,SIGN(AH772)=SIGN(T772)),100*T772/AH772,""))</f>
        <v/>
      </c>
      <c r="AX772" s="45">
        <f>IF(AU772="","",T772-AV772)</f>
        <v/>
      </c>
      <c r="AY772" s="45">
        <f>IF(AU772="","",AH772-AV772)</f>
        <v/>
      </c>
      <c r="AZ772" s="54">
        <f>(AL772-AM772)-T772*AT772</f>
        <v/>
      </c>
      <c r="BA772" s="43">
        <f>IF(AU772="",0,(AH772-T772)*AF772)</f>
        <v/>
      </c>
      <c r="BB772" s="43">
        <f>IF(AU772="",0,T772*(AF772-AT772))</f>
        <v/>
      </c>
      <c r="BC772" s="51" t="n">
        <v>0.008448621818565847</v>
      </c>
      <c r="BD772" s="51" t="n">
        <v>0.0582426866617383</v>
      </c>
      <c r="BE772" s="51" t="n">
        <v>0.2299644128113879</v>
      </c>
      <c r="BF772" s="43" t="n">
        <v>18938</v>
      </c>
    </row>
    <row r="773">
      <c r="A773" s="42" t="inlineStr">
        <is>
          <t>NE</t>
        </is>
      </c>
      <c r="B773" s="42" t="inlineStr">
        <is>
          <t>31001</t>
        </is>
      </c>
      <c r="C773" s="42" t="inlineStr">
        <is>
          <t>Adams</t>
        </is>
      </c>
      <c r="D773" s="42" t="inlineStr">
        <is>
          <t>Small town &amp; rural</t>
        </is>
      </c>
      <c r="E773" s="42" t="inlineStr"/>
      <c r="F773" s="43" t="n">
        <v>4100</v>
      </c>
      <c r="G773" s="43" t="n">
        <v>10077</v>
      </c>
      <c r="H773" s="43" t="n">
        <v>14364</v>
      </c>
      <c r="I773" s="43" t="n">
        <v>4213</v>
      </c>
      <c r="J773" s="43" t="n">
        <v>10085</v>
      </c>
      <c r="K773" s="42" t="inlineStr">
        <is>
          <t>Governor</t>
        </is>
      </c>
      <c r="L773" s="43" t="n">
        <v>2821</v>
      </c>
      <c r="M773" s="43" t="n">
        <v>6973</v>
      </c>
      <c r="N773" s="43" t="n">
        <v>10254</v>
      </c>
      <c r="O773" s="44">
        <f>IFERROR((F773-G773)/(F773+G773),"")</f>
        <v/>
      </c>
      <c r="P773" s="44">
        <f>IFERROR((I773-J773)/(I773+J773),"")</f>
        <v/>
      </c>
      <c r="Q773" s="45">
        <f>IFERROR(O773-P773,"")</f>
        <v/>
      </c>
      <c r="R773" s="44">
        <f>IFERROR((L773-M773)/(L773+M773),"")</f>
        <v/>
      </c>
      <c r="S773" s="46">
        <f>H773/SUMIFS(Counties!$H$2:$H$1583,Counties!$A$2:$A$1583,$A773)</f>
        <v/>
      </c>
      <c r="T773" s="44">
        <f>O773+INDEX(Dashboard!$F$6:$F$22,MATCH($A773,Dashboard!$A$6:$A$22,0))</f>
        <v/>
      </c>
      <c r="U773" s="43">
        <f>AQ773*INDEX(Dashboard!$G$6:$G$22,MATCH($A773,Dashboard!$A$6:$A$22,0))</f>
        <v/>
      </c>
      <c r="V773" s="47" t="n"/>
      <c r="W773" s="47" t="n"/>
      <c r="X773" s="47" t="n"/>
      <c r="Y773" s="48" t="n"/>
      <c r="Z773" s="49" t="n"/>
      <c r="AA773" s="49" t="n"/>
      <c r="AB773" s="49" t="n"/>
      <c r="AC773" s="50" t="n"/>
      <c r="AD773" s="43">
        <f>IF(Z773&lt;&gt;"",Z773,N(V773))</f>
        <v/>
      </c>
      <c r="AE773" s="43">
        <f>IF(AA773&lt;&gt;"",AA773,N(W773))</f>
        <v/>
      </c>
      <c r="AF773" s="43">
        <f>AD773+AE773</f>
        <v/>
      </c>
      <c r="AG773" s="42">
        <f>IF(UPPER(AC773)="Y",1,IF(AF773=0,0,IF(AND(Z773="",Y773&lt;&gt;""),IF(Y773&gt;=0.999,1,0),IF(AF773&gt;=U773,1,0))))</f>
        <v/>
      </c>
      <c r="AH773" s="44">
        <f>IF(AF773&gt;0,(AD773-AE773)/AF773,"")</f>
        <v/>
      </c>
      <c r="AI773" s="45">
        <f>IF(AG773=1,AH773-O773,"")</f>
        <v/>
      </c>
      <c r="AJ773" s="44">
        <f>IF(AG773=1,AH773,MAX(-1,MIN(1,O773+INDEX(Types!$H:$H,MATCH($A773&amp;"|"&amp;$D773,Types!$A:$A,0)))))</f>
        <v/>
      </c>
      <c r="AK773" s="43">
        <f>IF(AG773=1,AF773,MAX(AQ773*AS773,AF773))</f>
        <v/>
      </c>
      <c r="AL773" s="43">
        <f>IF(AG773=1,AD773,AK773*(1+AJ773)/2)</f>
        <v/>
      </c>
      <c r="AM773" s="43">
        <f>IF(AG773=1,AE773,AK773*(1-AJ773)/2)</f>
        <v/>
      </c>
      <c r="AN773" s="45">
        <f>IF(AH773="","",AH773-T773)</f>
        <v/>
      </c>
      <c r="AO773" s="51">
        <f>IF(AG773=1,1,IF(U773&gt;0,MIN(AF773/U773,0.99),0))</f>
        <v/>
      </c>
      <c r="AP773" s="43">
        <f>IF(AG773=1,AI773*AF773,0)</f>
        <v/>
      </c>
      <c r="AQ773" s="43">
        <f>N773*(F773+G773)/H773</f>
        <v/>
      </c>
      <c r="AR773" s="43">
        <f>O773*AQ773</f>
        <v/>
      </c>
      <c r="AS773" s="52">
        <f>IF(AG773=1,IF(AQ773&gt;0,AF773/AQ773,1),IFERROR(INDEX(Types!$K:$K,MATCH($A773&amp;"|"&amp;$D773,Types!$A:$A,0)),INDEX(Dashboard!$X$6:$X$22,MATCH($A773,Dashboard!$A$6:$A$22,0))))</f>
        <v/>
      </c>
      <c r="AT773" s="43">
        <f>AQ773*INDEX(Dashboard!$Y$6:$Y$22,MATCH($A773,Dashboard!$A$6:$A$22,0))</f>
        <v/>
      </c>
      <c r="AU773" s="53">
        <f>IF(AND(AG773=1,AT773&gt;0,AF773&gt;0),100*AF773/AT773,"")</f>
        <v/>
      </c>
      <c r="AV773" s="44">
        <f>IF(AU773="","",T773/(AU773/100))</f>
        <v/>
      </c>
      <c r="AW773" s="53">
        <f>IF(AU773="","",IF(AND(ABS(AH773)&gt;=0.1,ABS(T773)&gt;=0.05,SIGN(AH773)=SIGN(T773)),100*T773/AH773,""))</f>
        <v/>
      </c>
      <c r="AX773" s="45">
        <f>IF(AU773="","",T773-AV773)</f>
        <v/>
      </c>
      <c r="AY773" s="45">
        <f>IF(AU773="","",AH773-AV773)</f>
        <v/>
      </c>
      <c r="AZ773" s="54">
        <f>(AL773-AM773)-T773*AT773</f>
        <v/>
      </c>
      <c r="BA773" s="43">
        <f>IF(AU773="",0,(AH773-T773)*AF773)</f>
        <v/>
      </c>
      <c r="BB773" s="43">
        <f>IF(AU773="",0,T773*(AF773-AT773))</f>
        <v/>
      </c>
      <c r="BC773" s="51" t="n">
        <v>0.01048577623871323</v>
      </c>
      <c r="BD773" s="51" t="n">
        <v>0.1274798537169488</v>
      </c>
      <c r="BE773" s="51" t="n">
        <v>0.2881679389312977</v>
      </c>
      <c r="BF773" s="43" t="n">
        <v>30899</v>
      </c>
    </row>
    <row r="774">
      <c r="A774" s="42" t="inlineStr">
        <is>
          <t>NE</t>
        </is>
      </c>
      <c r="B774" s="42" t="inlineStr">
        <is>
          <t>31003</t>
        </is>
      </c>
      <c r="C774" s="42" t="inlineStr">
        <is>
          <t>Antelope</t>
        </is>
      </c>
      <c r="D774" s="42" t="inlineStr">
        <is>
          <t>Small town &amp; rural</t>
        </is>
      </c>
      <c r="E774" s="42" t="inlineStr"/>
      <c r="F774" s="43" t="n">
        <v>396</v>
      </c>
      <c r="G774" s="43" t="n">
        <v>3032</v>
      </c>
      <c r="H774" s="43" t="n">
        <v>3447</v>
      </c>
      <c r="I774" s="43" t="n">
        <v>452</v>
      </c>
      <c r="J774" s="43" t="n">
        <v>3093</v>
      </c>
      <c r="K774" s="42" t="inlineStr">
        <is>
          <t>Governor</t>
        </is>
      </c>
      <c r="L774" s="43" t="n">
        <v>241</v>
      </c>
      <c r="M774" s="43" t="n">
        <v>2026</v>
      </c>
      <c r="N774" s="43" t="n">
        <v>2347</v>
      </c>
      <c r="O774" s="44">
        <f>IFERROR((F774-G774)/(F774+G774),"")</f>
        <v/>
      </c>
      <c r="P774" s="44">
        <f>IFERROR((I774-J774)/(I774+J774),"")</f>
        <v/>
      </c>
      <c r="Q774" s="45">
        <f>IFERROR(O774-P774,"")</f>
        <v/>
      </c>
      <c r="R774" s="44">
        <f>IFERROR((L774-M774)/(L774+M774),"")</f>
        <v/>
      </c>
      <c r="S774" s="46">
        <f>H774/SUMIFS(Counties!$H$2:$H$1583,Counties!$A$2:$A$1583,$A774)</f>
        <v/>
      </c>
      <c r="T774" s="44">
        <f>O774+INDEX(Dashboard!$F$6:$F$22,MATCH($A774,Dashboard!$A$6:$A$22,0))</f>
        <v/>
      </c>
      <c r="U774" s="43">
        <f>AQ774*INDEX(Dashboard!$G$6:$G$22,MATCH($A774,Dashboard!$A$6:$A$22,0))</f>
        <v/>
      </c>
      <c r="V774" s="47" t="n"/>
      <c r="W774" s="47" t="n"/>
      <c r="X774" s="47" t="n"/>
      <c r="Y774" s="48" t="n"/>
      <c r="Z774" s="49" t="n"/>
      <c r="AA774" s="49" t="n"/>
      <c r="AB774" s="49" t="n"/>
      <c r="AC774" s="50" t="n"/>
      <c r="AD774" s="43">
        <f>IF(Z774&lt;&gt;"",Z774,N(V774))</f>
        <v/>
      </c>
      <c r="AE774" s="43">
        <f>IF(AA774&lt;&gt;"",AA774,N(W774))</f>
        <v/>
      </c>
      <c r="AF774" s="43">
        <f>AD774+AE774</f>
        <v/>
      </c>
      <c r="AG774" s="42">
        <f>IF(UPPER(AC774)="Y",1,IF(AF774=0,0,IF(AND(Z774="",Y774&lt;&gt;""),IF(Y774&gt;=0.999,1,0),IF(AF774&gt;=U774,1,0))))</f>
        <v/>
      </c>
      <c r="AH774" s="44">
        <f>IF(AF774&gt;0,(AD774-AE774)/AF774,"")</f>
        <v/>
      </c>
      <c r="AI774" s="45">
        <f>IF(AG774=1,AH774-O774,"")</f>
        <v/>
      </c>
      <c r="AJ774" s="44">
        <f>IF(AG774=1,AH774,MAX(-1,MIN(1,O774+INDEX(Types!$H:$H,MATCH($A774&amp;"|"&amp;$D774,Types!$A:$A,0)))))</f>
        <v/>
      </c>
      <c r="AK774" s="43">
        <f>IF(AG774=1,AF774,MAX(AQ774*AS774,AF774))</f>
        <v/>
      </c>
      <c r="AL774" s="43">
        <f>IF(AG774=1,AD774,AK774*(1+AJ774)/2)</f>
        <v/>
      </c>
      <c r="AM774" s="43">
        <f>IF(AG774=1,AE774,AK774*(1-AJ774)/2)</f>
        <v/>
      </c>
      <c r="AN774" s="45">
        <f>IF(AH774="","",AH774-T774)</f>
        <v/>
      </c>
      <c r="AO774" s="51">
        <f>IF(AG774=1,1,IF(U774&gt;0,MIN(AF774/U774,0.99),0))</f>
        <v/>
      </c>
      <c r="AP774" s="43">
        <f>IF(AG774=1,AI774*AF774,0)</f>
        <v/>
      </c>
      <c r="AQ774" s="43">
        <f>N774*(F774+G774)/H774</f>
        <v/>
      </c>
      <c r="AR774" s="43">
        <f>O774*AQ774</f>
        <v/>
      </c>
      <c r="AS774" s="52">
        <f>IF(AG774=1,IF(AQ774&gt;0,AF774/AQ774,1),IFERROR(INDEX(Types!$K:$K,MATCH($A774&amp;"|"&amp;$D774,Types!$A:$A,0)),INDEX(Dashboard!$X$6:$X$22,MATCH($A774,Dashboard!$A$6:$A$22,0))))</f>
        <v/>
      </c>
      <c r="AT774" s="43">
        <f>AQ774*INDEX(Dashboard!$Y$6:$Y$22,MATCH($A774,Dashboard!$A$6:$A$22,0))</f>
        <v/>
      </c>
      <c r="AU774" s="53">
        <f>IF(AND(AG774=1,AT774&gt;0,AF774&gt;0),100*AF774/AT774,"")</f>
        <v/>
      </c>
      <c r="AV774" s="44">
        <f>IF(AU774="","",T774/(AU774/100))</f>
        <v/>
      </c>
      <c r="AW774" s="53">
        <f>IF(AU774="","",IF(AND(ABS(AH774)&gt;=0.1,ABS(T774)&gt;=0.05,SIGN(AH774)=SIGN(T774)),100*T774/AH774,""))</f>
        <v/>
      </c>
      <c r="AX774" s="45">
        <f>IF(AU774="","",T774-AV774)</f>
        <v/>
      </c>
      <c r="AY774" s="45">
        <f>IF(AU774="","",AH774-AV774)</f>
        <v/>
      </c>
      <c r="AZ774" s="54">
        <f>(AL774-AM774)-T774*AT774</f>
        <v/>
      </c>
      <c r="BA774" s="43">
        <f>IF(AU774="",0,(AH774-T774)*AF774)</f>
        <v/>
      </c>
      <c r="BB774" s="43">
        <f>IF(AU774="",0,T774*(AF774-AT774))</f>
        <v/>
      </c>
      <c r="BC774" s="51" t="n">
        <v>0.004443033957473818</v>
      </c>
      <c r="BD774" s="51" t="n">
        <v>0.04236750238019676</v>
      </c>
      <c r="BE774" s="51" t="n">
        <v>0.199209669920967</v>
      </c>
      <c r="BF774" s="43" t="n">
        <v>6302</v>
      </c>
    </row>
    <row r="775">
      <c r="A775" s="42" t="inlineStr">
        <is>
          <t>NE</t>
        </is>
      </c>
      <c r="B775" s="42" t="inlineStr">
        <is>
          <t>31005</t>
        </is>
      </c>
      <c r="C775" s="42" t="inlineStr">
        <is>
          <t>Arthur</t>
        </is>
      </c>
      <c r="D775" s="42" t="inlineStr">
        <is>
          <t>Small town &amp; rural</t>
        </is>
      </c>
      <c r="E775" s="42" t="inlineStr"/>
      <c r="F775" s="43" t="n">
        <v>17</v>
      </c>
      <c r="G775" s="43" t="n">
        <v>264</v>
      </c>
      <c r="H775" s="43" t="n">
        <v>282</v>
      </c>
      <c r="I775" s="43" t="n">
        <v>21</v>
      </c>
      <c r="J775" s="43" t="n">
        <v>260</v>
      </c>
      <c r="K775" s="42" t="inlineStr">
        <is>
          <t>Governor</t>
        </is>
      </c>
      <c r="L775" s="43" t="n">
        <v>13</v>
      </c>
      <c r="M775" s="43" t="n">
        <v>220</v>
      </c>
      <c r="N775" s="43" t="n">
        <v>244</v>
      </c>
      <c r="O775" s="44">
        <f>IFERROR((F775-G775)/(F775+G775),"")</f>
        <v/>
      </c>
      <c r="P775" s="44">
        <f>IFERROR((I775-J775)/(I775+J775),"")</f>
        <v/>
      </c>
      <c r="Q775" s="45">
        <f>IFERROR(O775-P775,"")</f>
        <v/>
      </c>
      <c r="R775" s="44">
        <f>IFERROR((L775-M775)/(L775+M775),"")</f>
        <v/>
      </c>
      <c r="S775" s="46">
        <f>H775/SUMIFS(Counties!$H$2:$H$1583,Counties!$A$2:$A$1583,$A775)</f>
        <v/>
      </c>
      <c r="T775" s="44">
        <f>O775+INDEX(Dashboard!$F$6:$F$22,MATCH($A775,Dashboard!$A$6:$A$22,0))</f>
        <v/>
      </c>
      <c r="U775" s="43">
        <f>AQ775*INDEX(Dashboard!$G$6:$G$22,MATCH($A775,Dashboard!$A$6:$A$22,0))</f>
        <v/>
      </c>
      <c r="V775" s="47" t="n"/>
      <c r="W775" s="47" t="n"/>
      <c r="X775" s="47" t="n"/>
      <c r="Y775" s="48" t="n"/>
      <c r="Z775" s="49" t="n"/>
      <c r="AA775" s="49" t="n"/>
      <c r="AB775" s="49" t="n"/>
      <c r="AC775" s="50" t="n"/>
      <c r="AD775" s="43">
        <f>IF(Z775&lt;&gt;"",Z775,N(V775))</f>
        <v/>
      </c>
      <c r="AE775" s="43">
        <f>IF(AA775&lt;&gt;"",AA775,N(W775))</f>
        <v/>
      </c>
      <c r="AF775" s="43">
        <f>AD775+AE775</f>
        <v/>
      </c>
      <c r="AG775" s="42">
        <f>IF(UPPER(AC775)="Y",1,IF(AF775=0,0,IF(AND(Z775="",Y775&lt;&gt;""),IF(Y775&gt;=0.999,1,0),IF(AF775&gt;=U775,1,0))))</f>
        <v/>
      </c>
      <c r="AH775" s="44">
        <f>IF(AF775&gt;0,(AD775-AE775)/AF775,"")</f>
        <v/>
      </c>
      <c r="AI775" s="45">
        <f>IF(AG775=1,AH775-O775,"")</f>
        <v/>
      </c>
      <c r="AJ775" s="44">
        <f>IF(AG775=1,AH775,MAX(-1,MIN(1,O775+INDEX(Types!$H:$H,MATCH($A775&amp;"|"&amp;$D775,Types!$A:$A,0)))))</f>
        <v/>
      </c>
      <c r="AK775" s="43">
        <f>IF(AG775=1,AF775,MAX(AQ775*AS775,AF775))</f>
        <v/>
      </c>
      <c r="AL775" s="43">
        <f>IF(AG775=1,AD775,AK775*(1+AJ775)/2)</f>
        <v/>
      </c>
      <c r="AM775" s="43">
        <f>IF(AG775=1,AE775,AK775*(1-AJ775)/2)</f>
        <v/>
      </c>
      <c r="AN775" s="45">
        <f>IF(AH775="","",AH775-T775)</f>
        <v/>
      </c>
      <c r="AO775" s="51">
        <f>IF(AG775=1,1,IF(U775&gt;0,MIN(AF775/U775,0.99),0))</f>
        <v/>
      </c>
      <c r="AP775" s="43">
        <f>IF(AG775=1,AI775*AF775,0)</f>
        <v/>
      </c>
      <c r="AQ775" s="43">
        <f>N775*(F775+G775)/H775</f>
        <v/>
      </c>
      <c r="AR775" s="43">
        <f>O775*AQ775</f>
        <v/>
      </c>
      <c r="AS775" s="52">
        <f>IF(AG775=1,IF(AQ775&gt;0,AF775/AQ775,1),IFERROR(INDEX(Types!$K:$K,MATCH($A775&amp;"|"&amp;$D775,Types!$A:$A,0)),INDEX(Dashboard!$X$6:$X$22,MATCH($A775,Dashboard!$A$6:$A$22,0))))</f>
        <v/>
      </c>
      <c r="AT775" s="43">
        <f>AQ775*INDEX(Dashboard!$Y$6:$Y$22,MATCH($A775,Dashboard!$A$6:$A$22,0))</f>
        <v/>
      </c>
      <c r="AU775" s="53">
        <f>IF(AND(AG775=1,AT775&gt;0,AF775&gt;0),100*AF775/AT775,"")</f>
        <v/>
      </c>
      <c r="AV775" s="44">
        <f>IF(AU775="","",T775/(AU775/100))</f>
        <v/>
      </c>
      <c r="AW775" s="53">
        <f>IF(AU775="","",IF(AND(ABS(AH775)&gt;=0.1,ABS(T775)&gt;=0.05,SIGN(AH775)=SIGN(T775)),100*T775/AH775,""))</f>
        <v/>
      </c>
      <c r="AX775" s="45">
        <f>IF(AU775="","",T775-AV775)</f>
        <v/>
      </c>
      <c r="AY775" s="45">
        <f>IF(AU775="","",AH775-AV775)</f>
        <v/>
      </c>
      <c r="AZ775" s="54">
        <f>(AL775-AM775)-T775*AT775</f>
        <v/>
      </c>
      <c r="BA775" s="43">
        <f>IF(AU775="",0,(AH775-T775)*AF775)</f>
        <v/>
      </c>
      <c r="BB775" s="43">
        <f>IF(AU775="",0,T775*(AF775-AT775))</f>
        <v/>
      </c>
      <c r="BC775" s="51" t="n"/>
      <c r="BD775" s="51" t="n">
        <v>0.004854368932038835</v>
      </c>
      <c r="BE775" s="51" t="n">
        <v>0.3273809523809524</v>
      </c>
      <c r="BF775" s="43" t="n">
        <v>412</v>
      </c>
    </row>
    <row r="776">
      <c r="A776" s="42" t="inlineStr">
        <is>
          <t>NE</t>
        </is>
      </c>
      <c r="B776" s="42" t="inlineStr">
        <is>
          <t>31007</t>
        </is>
      </c>
      <c r="C776" s="42" t="inlineStr">
        <is>
          <t>Banner</t>
        </is>
      </c>
      <c r="D776" s="42" t="inlineStr">
        <is>
          <t>Small town &amp; rural</t>
        </is>
      </c>
      <c r="E776" s="42" t="inlineStr"/>
      <c r="F776" s="43" t="n">
        <v>34</v>
      </c>
      <c r="G776" s="43" t="n">
        <v>348</v>
      </c>
      <c r="H776" s="43" t="n">
        <v>386</v>
      </c>
      <c r="I776" s="43" t="n">
        <v>43</v>
      </c>
      <c r="J776" s="43" t="n">
        <v>362</v>
      </c>
      <c r="K776" s="42" t="inlineStr">
        <is>
          <t>Governor</t>
        </is>
      </c>
      <c r="L776" s="43" t="n">
        <v>29</v>
      </c>
      <c r="M776" s="43" t="n">
        <v>316</v>
      </c>
      <c r="N776" s="43" t="n">
        <v>365</v>
      </c>
      <c r="O776" s="44">
        <f>IFERROR((F776-G776)/(F776+G776),"")</f>
        <v/>
      </c>
      <c r="P776" s="44">
        <f>IFERROR((I776-J776)/(I776+J776),"")</f>
        <v/>
      </c>
      <c r="Q776" s="45">
        <f>IFERROR(O776-P776,"")</f>
        <v/>
      </c>
      <c r="R776" s="44">
        <f>IFERROR((L776-M776)/(L776+M776),"")</f>
        <v/>
      </c>
      <c r="S776" s="46">
        <f>H776/SUMIFS(Counties!$H$2:$H$1583,Counties!$A$2:$A$1583,$A776)</f>
        <v/>
      </c>
      <c r="T776" s="44">
        <f>O776+INDEX(Dashboard!$F$6:$F$22,MATCH($A776,Dashboard!$A$6:$A$22,0))</f>
        <v/>
      </c>
      <c r="U776" s="43">
        <f>AQ776*INDEX(Dashboard!$G$6:$G$22,MATCH($A776,Dashboard!$A$6:$A$22,0))</f>
        <v/>
      </c>
      <c r="V776" s="47" t="n"/>
      <c r="W776" s="47" t="n"/>
      <c r="X776" s="47" t="n"/>
      <c r="Y776" s="48" t="n"/>
      <c r="Z776" s="49" t="n"/>
      <c r="AA776" s="49" t="n"/>
      <c r="AB776" s="49" t="n"/>
      <c r="AC776" s="50" t="n"/>
      <c r="AD776" s="43">
        <f>IF(Z776&lt;&gt;"",Z776,N(V776))</f>
        <v/>
      </c>
      <c r="AE776" s="43">
        <f>IF(AA776&lt;&gt;"",AA776,N(W776))</f>
        <v/>
      </c>
      <c r="AF776" s="43">
        <f>AD776+AE776</f>
        <v/>
      </c>
      <c r="AG776" s="42">
        <f>IF(UPPER(AC776)="Y",1,IF(AF776=0,0,IF(AND(Z776="",Y776&lt;&gt;""),IF(Y776&gt;=0.999,1,0),IF(AF776&gt;=U776,1,0))))</f>
        <v/>
      </c>
      <c r="AH776" s="44">
        <f>IF(AF776&gt;0,(AD776-AE776)/AF776,"")</f>
        <v/>
      </c>
      <c r="AI776" s="45">
        <f>IF(AG776=1,AH776-O776,"")</f>
        <v/>
      </c>
      <c r="AJ776" s="44">
        <f>IF(AG776=1,AH776,MAX(-1,MIN(1,O776+INDEX(Types!$H:$H,MATCH($A776&amp;"|"&amp;$D776,Types!$A:$A,0)))))</f>
        <v/>
      </c>
      <c r="AK776" s="43">
        <f>IF(AG776=1,AF776,MAX(AQ776*AS776,AF776))</f>
        <v/>
      </c>
      <c r="AL776" s="43">
        <f>IF(AG776=1,AD776,AK776*(1+AJ776)/2)</f>
        <v/>
      </c>
      <c r="AM776" s="43">
        <f>IF(AG776=1,AE776,AK776*(1-AJ776)/2)</f>
        <v/>
      </c>
      <c r="AN776" s="45">
        <f>IF(AH776="","",AH776-T776)</f>
        <v/>
      </c>
      <c r="AO776" s="51">
        <f>IF(AG776=1,1,IF(U776&gt;0,MIN(AF776/U776,0.99),0))</f>
        <v/>
      </c>
      <c r="AP776" s="43">
        <f>IF(AG776=1,AI776*AF776,0)</f>
        <v/>
      </c>
      <c r="AQ776" s="43">
        <f>N776*(F776+G776)/H776</f>
        <v/>
      </c>
      <c r="AR776" s="43">
        <f>O776*AQ776</f>
        <v/>
      </c>
      <c r="AS776" s="52">
        <f>IF(AG776=1,IF(AQ776&gt;0,AF776/AQ776,1),IFERROR(INDEX(Types!$K:$K,MATCH($A776&amp;"|"&amp;$D776,Types!$A:$A,0)),INDEX(Dashboard!$X$6:$X$22,MATCH($A776,Dashboard!$A$6:$A$22,0))))</f>
        <v/>
      </c>
      <c r="AT776" s="43">
        <f>AQ776*INDEX(Dashboard!$Y$6:$Y$22,MATCH($A776,Dashboard!$A$6:$A$22,0))</f>
        <v/>
      </c>
      <c r="AU776" s="53">
        <f>IF(AND(AG776=1,AT776&gt;0,AF776&gt;0),100*AF776/AT776,"")</f>
        <v/>
      </c>
      <c r="AV776" s="44">
        <f>IF(AU776="","",T776/(AU776/100))</f>
        <v/>
      </c>
      <c r="AW776" s="53">
        <f>IF(AU776="","",IF(AND(ABS(AH776)&gt;=0.1,ABS(T776)&gt;=0.05,SIGN(AH776)=SIGN(T776)),100*T776/AH776,""))</f>
        <v/>
      </c>
      <c r="AX776" s="45">
        <f>IF(AU776="","",T776-AV776)</f>
        <v/>
      </c>
      <c r="AY776" s="45">
        <f>IF(AU776="","",AH776-AV776)</f>
        <v/>
      </c>
      <c r="AZ776" s="54">
        <f>(AL776-AM776)-T776*AT776</f>
        <v/>
      </c>
      <c r="BA776" s="43">
        <f>IF(AU776="",0,(AH776-T776)*AF776)</f>
        <v/>
      </c>
      <c r="BB776" s="43">
        <f>IF(AU776="",0,T776*(AF776-AT776))</f>
        <v/>
      </c>
      <c r="BC776" s="51" t="n">
        <v>0.01632047477744807</v>
      </c>
      <c r="BD776" s="51" t="n">
        <v>0.08605341246290801</v>
      </c>
      <c r="BE776" s="51" t="n">
        <v>0.3263358778625954</v>
      </c>
      <c r="BF776" s="43" t="n">
        <v>674</v>
      </c>
    </row>
    <row r="777">
      <c r="A777" s="42" t="inlineStr">
        <is>
          <t>NE</t>
        </is>
      </c>
      <c r="B777" s="42" t="inlineStr">
        <is>
          <t>31009</t>
        </is>
      </c>
      <c r="C777" s="42" t="inlineStr">
        <is>
          <t>Blaine</t>
        </is>
      </c>
      <c r="D777" s="42" t="inlineStr">
        <is>
          <t>Small town &amp; rural</t>
        </is>
      </c>
      <c r="E777" s="42" t="inlineStr"/>
      <c r="F777" s="43" t="n">
        <v>37</v>
      </c>
      <c r="G777" s="43" t="n">
        <v>250</v>
      </c>
      <c r="H777" s="43" t="n">
        <v>291</v>
      </c>
      <c r="I777" s="43" t="n">
        <v>35</v>
      </c>
      <c r="J777" s="43" t="n">
        <v>280</v>
      </c>
      <c r="K777" s="42" t="inlineStr">
        <is>
          <t>Governor</t>
        </is>
      </c>
      <c r="L777" s="43" t="n">
        <v>23</v>
      </c>
      <c r="M777" s="43" t="n">
        <v>169</v>
      </c>
      <c r="N777" s="43" t="n">
        <v>204</v>
      </c>
      <c r="O777" s="44">
        <f>IFERROR((F777-G777)/(F777+G777),"")</f>
        <v/>
      </c>
      <c r="P777" s="44">
        <f>IFERROR((I777-J777)/(I777+J777),"")</f>
        <v/>
      </c>
      <c r="Q777" s="45">
        <f>IFERROR(O777-P777,"")</f>
        <v/>
      </c>
      <c r="R777" s="44">
        <f>IFERROR((L777-M777)/(L777+M777),"")</f>
        <v/>
      </c>
      <c r="S777" s="46">
        <f>H777/SUMIFS(Counties!$H$2:$H$1583,Counties!$A$2:$A$1583,$A777)</f>
        <v/>
      </c>
      <c r="T777" s="44">
        <f>O777+INDEX(Dashboard!$F$6:$F$22,MATCH($A777,Dashboard!$A$6:$A$22,0))</f>
        <v/>
      </c>
      <c r="U777" s="43">
        <f>AQ777*INDEX(Dashboard!$G$6:$G$22,MATCH($A777,Dashboard!$A$6:$A$22,0))</f>
        <v/>
      </c>
      <c r="V777" s="47" t="n"/>
      <c r="W777" s="47" t="n"/>
      <c r="X777" s="47" t="n"/>
      <c r="Y777" s="48" t="n"/>
      <c r="Z777" s="49" t="n"/>
      <c r="AA777" s="49" t="n"/>
      <c r="AB777" s="49" t="n"/>
      <c r="AC777" s="50" t="n"/>
      <c r="AD777" s="43">
        <f>IF(Z777&lt;&gt;"",Z777,N(V777))</f>
        <v/>
      </c>
      <c r="AE777" s="43">
        <f>IF(AA777&lt;&gt;"",AA777,N(W777))</f>
        <v/>
      </c>
      <c r="AF777" s="43">
        <f>AD777+AE777</f>
        <v/>
      </c>
      <c r="AG777" s="42">
        <f>IF(UPPER(AC777)="Y",1,IF(AF777=0,0,IF(AND(Z777="",Y777&lt;&gt;""),IF(Y777&gt;=0.999,1,0),IF(AF777&gt;=U777,1,0))))</f>
        <v/>
      </c>
      <c r="AH777" s="44">
        <f>IF(AF777&gt;0,(AD777-AE777)/AF777,"")</f>
        <v/>
      </c>
      <c r="AI777" s="45">
        <f>IF(AG777=1,AH777-O777,"")</f>
        <v/>
      </c>
      <c r="AJ777" s="44">
        <f>IF(AG777=1,AH777,MAX(-1,MIN(1,O777+INDEX(Types!$H:$H,MATCH($A777&amp;"|"&amp;$D777,Types!$A:$A,0)))))</f>
        <v/>
      </c>
      <c r="AK777" s="43">
        <f>IF(AG777=1,AF777,MAX(AQ777*AS777,AF777))</f>
        <v/>
      </c>
      <c r="AL777" s="43">
        <f>IF(AG777=1,AD777,AK777*(1+AJ777)/2)</f>
        <v/>
      </c>
      <c r="AM777" s="43">
        <f>IF(AG777=1,AE777,AK777*(1-AJ777)/2)</f>
        <v/>
      </c>
      <c r="AN777" s="45">
        <f>IF(AH777="","",AH777-T777)</f>
        <v/>
      </c>
      <c r="AO777" s="51">
        <f>IF(AG777=1,1,IF(U777&gt;0,MIN(AF777/U777,0.99),0))</f>
        <v/>
      </c>
      <c r="AP777" s="43">
        <f>IF(AG777=1,AI777*AF777,0)</f>
        <v/>
      </c>
      <c r="AQ777" s="43">
        <f>N777*(F777+G777)/H777</f>
        <v/>
      </c>
      <c r="AR777" s="43">
        <f>O777*AQ777</f>
        <v/>
      </c>
      <c r="AS777" s="52">
        <f>IF(AG777=1,IF(AQ777&gt;0,AF777/AQ777,1),IFERROR(INDEX(Types!$K:$K,MATCH($A777&amp;"|"&amp;$D777,Types!$A:$A,0)),INDEX(Dashboard!$X$6:$X$22,MATCH($A777,Dashboard!$A$6:$A$22,0))))</f>
        <v/>
      </c>
      <c r="AT777" s="43">
        <f>AQ777*INDEX(Dashboard!$Y$6:$Y$22,MATCH($A777,Dashboard!$A$6:$A$22,0))</f>
        <v/>
      </c>
      <c r="AU777" s="53">
        <f>IF(AND(AG777=1,AT777&gt;0,AF777&gt;0),100*AF777/AT777,"")</f>
        <v/>
      </c>
      <c r="AV777" s="44">
        <f>IF(AU777="","",T777/(AU777/100))</f>
        <v/>
      </c>
      <c r="AW777" s="53">
        <f>IF(AU777="","",IF(AND(ABS(AH777)&gt;=0.1,ABS(T777)&gt;=0.05,SIGN(AH777)=SIGN(T777)),100*T777/AH777,""))</f>
        <v/>
      </c>
      <c r="AX777" s="45">
        <f>IF(AU777="","",T777-AV777)</f>
        <v/>
      </c>
      <c r="AY777" s="45">
        <f>IF(AU777="","",AH777-AV777)</f>
        <v/>
      </c>
      <c r="AZ777" s="54">
        <f>(AL777-AM777)-T777*AT777</f>
        <v/>
      </c>
      <c r="BA777" s="43">
        <f>IF(AU777="",0,(AH777-T777)*AF777)</f>
        <v/>
      </c>
      <c r="BB777" s="43">
        <f>IF(AU777="",0,T777*(AF777-AT777))</f>
        <v/>
      </c>
      <c r="BC777" s="51" t="n">
        <v>0.004587155963302753</v>
      </c>
      <c r="BD777" s="51" t="n">
        <v>0.02981651376146789</v>
      </c>
      <c r="BE777" s="51" t="n">
        <v>0.2558139534883721</v>
      </c>
      <c r="BF777" s="43" t="n">
        <v>436</v>
      </c>
    </row>
    <row r="778">
      <c r="A778" s="42" t="inlineStr">
        <is>
          <t>NE</t>
        </is>
      </c>
      <c r="B778" s="42" t="inlineStr">
        <is>
          <t>31011</t>
        </is>
      </c>
      <c r="C778" s="42" t="inlineStr">
        <is>
          <t>Boone</t>
        </is>
      </c>
      <c r="D778" s="42" t="inlineStr">
        <is>
          <t>Small town &amp; rural</t>
        </is>
      </c>
      <c r="E778" s="42" t="inlineStr"/>
      <c r="F778" s="43" t="n">
        <v>496</v>
      </c>
      <c r="G778" s="43" t="n">
        <v>2499</v>
      </c>
      <c r="H778" s="43" t="n">
        <v>3031</v>
      </c>
      <c r="I778" s="43" t="n">
        <v>499</v>
      </c>
      <c r="J778" s="43" t="n">
        <v>2653</v>
      </c>
      <c r="K778" s="42" t="inlineStr">
        <is>
          <t>Governor</t>
        </is>
      </c>
      <c r="L778" s="43" t="n">
        <v>393</v>
      </c>
      <c r="M778" s="43" t="n">
        <v>2026</v>
      </c>
      <c r="N778" s="43" t="n">
        <v>2576</v>
      </c>
      <c r="O778" s="44">
        <f>IFERROR((F778-G778)/(F778+G778),"")</f>
        <v/>
      </c>
      <c r="P778" s="44">
        <f>IFERROR((I778-J778)/(I778+J778),"")</f>
        <v/>
      </c>
      <c r="Q778" s="45">
        <f>IFERROR(O778-P778,"")</f>
        <v/>
      </c>
      <c r="R778" s="44">
        <f>IFERROR((L778-M778)/(L778+M778),"")</f>
        <v/>
      </c>
      <c r="S778" s="46">
        <f>H778/SUMIFS(Counties!$H$2:$H$1583,Counties!$A$2:$A$1583,$A778)</f>
        <v/>
      </c>
      <c r="T778" s="44">
        <f>O778+INDEX(Dashboard!$F$6:$F$22,MATCH($A778,Dashboard!$A$6:$A$22,0))</f>
        <v/>
      </c>
      <c r="U778" s="43">
        <f>AQ778*INDEX(Dashboard!$G$6:$G$22,MATCH($A778,Dashboard!$A$6:$A$22,0))</f>
        <v/>
      </c>
      <c r="V778" s="47" t="n"/>
      <c r="W778" s="47" t="n"/>
      <c r="X778" s="47" t="n"/>
      <c r="Y778" s="48" t="n"/>
      <c r="Z778" s="49" t="n"/>
      <c r="AA778" s="49" t="n"/>
      <c r="AB778" s="49" t="n"/>
      <c r="AC778" s="50" t="n"/>
      <c r="AD778" s="43">
        <f>IF(Z778&lt;&gt;"",Z778,N(V778))</f>
        <v/>
      </c>
      <c r="AE778" s="43">
        <f>IF(AA778&lt;&gt;"",AA778,N(W778))</f>
        <v/>
      </c>
      <c r="AF778" s="43">
        <f>AD778+AE778</f>
        <v/>
      </c>
      <c r="AG778" s="42">
        <f>IF(UPPER(AC778)="Y",1,IF(AF778=0,0,IF(AND(Z778="",Y778&lt;&gt;""),IF(Y778&gt;=0.999,1,0),IF(AF778&gt;=U778,1,0))))</f>
        <v/>
      </c>
      <c r="AH778" s="44">
        <f>IF(AF778&gt;0,(AD778-AE778)/AF778,"")</f>
        <v/>
      </c>
      <c r="AI778" s="45">
        <f>IF(AG778=1,AH778-O778,"")</f>
        <v/>
      </c>
      <c r="AJ778" s="44">
        <f>IF(AG778=1,AH778,MAX(-1,MIN(1,O778+INDEX(Types!$H:$H,MATCH($A778&amp;"|"&amp;$D778,Types!$A:$A,0)))))</f>
        <v/>
      </c>
      <c r="AK778" s="43">
        <f>IF(AG778=1,AF778,MAX(AQ778*AS778,AF778))</f>
        <v/>
      </c>
      <c r="AL778" s="43">
        <f>IF(AG778=1,AD778,AK778*(1+AJ778)/2)</f>
        <v/>
      </c>
      <c r="AM778" s="43">
        <f>IF(AG778=1,AE778,AK778*(1-AJ778)/2)</f>
        <v/>
      </c>
      <c r="AN778" s="45">
        <f>IF(AH778="","",AH778-T778)</f>
        <v/>
      </c>
      <c r="AO778" s="51">
        <f>IF(AG778=1,1,IF(U778&gt;0,MIN(AF778/U778,0.99),0))</f>
        <v/>
      </c>
      <c r="AP778" s="43">
        <f>IF(AG778=1,AI778*AF778,0)</f>
        <v/>
      </c>
      <c r="AQ778" s="43">
        <f>N778*(F778+G778)/H778</f>
        <v/>
      </c>
      <c r="AR778" s="43">
        <f>O778*AQ778</f>
        <v/>
      </c>
      <c r="AS778" s="52">
        <f>IF(AG778=1,IF(AQ778&gt;0,AF778/AQ778,1),IFERROR(INDEX(Types!$K:$K,MATCH($A778&amp;"|"&amp;$D778,Types!$A:$A,0)),INDEX(Dashboard!$X$6:$X$22,MATCH($A778,Dashboard!$A$6:$A$22,0))))</f>
        <v/>
      </c>
      <c r="AT778" s="43">
        <f>AQ778*INDEX(Dashboard!$Y$6:$Y$22,MATCH($A778,Dashboard!$A$6:$A$22,0))</f>
        <v/>
      </c>
      <c r="AU778" s="53">
        <f>IF(AND(AG778=1,AT778&gt;0,AF778&gt;0),100*AF778/AT778,"")</f>
        <v/>
      </c>
      <c r="AV778" s="44">
        <f>IF(AU778="","",T778/(AU778/100))</f>
        <v/>
      </c>
      <c r="AW778" s="53">
        <f>IF(AU778="","",IF(AND(ABS(AH778)&gt;=0.1,ABS(T778)&gt;=0.05,SIGN(AH778)=SIGN(T778)),100*T778/AH778,""))</f>
        <v/>
      </c>
      <c r="AX778" s="45">
        <f>IF(AU778="","",T778-AV778)</f>
        <v/>
      </c>
      <c r="AY778" s="45">
        <f>IF(AU778="","",AH778-AV778)</f>
        <v/>
      </c>
      <c r="AZ778" s="54">
        <f>(AL778-AM778)-T778*AT778</f>
        <v/>
      </c>
      <c r="BA778" s="43">
        <f>IF(AU778="",0,(AH778-T778)*AF778)</f>
        <v/>
      </c>
      <c r="BB778" s="43">
        <f>IF(AU778="",0,T778*(AF778-AT778))</f>
        <v/>
      </c>
      <c r="BC778" s="51" t="n">
        <v>0.005838041431261771</v>
      </c>
      <c r="BD778" s="51" t="n">
        <v>0.04595103578154425</v>
      </c>
      <c r="BE778" s="51" t="n">
        <v>0.1888412017167382</v>
      </c>
      <c r="BF778" s="43" t="n">
        <v>5310</v>
      </c>
    </row>
    <row r="779">
      <c r="A779" s="42" t="inlineStr">
        <is>
          <t>NE</t>
        </is>
      </c>
      <c r="B779" s="42" t="inlineStr">
        <is>
          <t>31013</t>
        </is>
      </c>
      <c r="C779" s="42" t="inlineStr">
        <is>
          <t>Box Butte</t>
        </is>
      </c>
      <c r="D779" s="42" t="inlineStr">
        <is>
          <t>Small town &amp; rural</t>
        </is>
      </c>
      <c r="E779" s="42" t="inlineStr"/>
      <c r="F779" s="43" t="n">
        <v>1043</v>
      </c>
      <c r="G779" s="43" t="n">
        <v>3827</v>
      </c>
      <c r="H779" s="43" t="n">
        <v>4931</v>
      </c>
      <c r="I779" s="43" t="n">
        <v>1051</v>
      </c>
      <c r="J779" s="43" t="n">
        <v>4002</v>
      </c>
      <c r="K779" s="42" t="inlineStr">
        <is>
          <t>Governor</t>
        </is>
      </c>
      <c r="L779" s="43" t="n">
        <v>761</v>
      </c>
      <c r="M779" s="43" t="n">
        <v>2462</v>
      </c>
      <c r="N779" s="43" t="n">
        <v>3345</v>
      </c>
      <c r="O779" s="44">
        <f>IFERROR((F779-G779)/(F779+G779),"")</f>
        <v/>
      </c>
      <c r="P779" s="44">
        <f>IFERROR((I779-J779)/(I779+J779),"")</f>
        <v/>
      </c>
      <c r="Q779" s="45">
        <f>IFERROR(O779-P779,"")</f>
        <v/>
      </c>
      <c r="R779" s="44">
        <f>IFERROR((L779-M779)/(L779+M779),"")</f>
        <v/>
      </c>
      <c r="S779" s="46">
        <f>H779/SUMIFS(Counties!$H$2:$H$1583,Counties!$A$2:$A$1583,$A779)</f>
        <v/>
      </c>
      <c r="T779" s="44">
        <f>O779+INDEX(Dashboard!$F$6:$F$22,MATCH($A779,Dashboard!$A$6:$A$22,0))</f>
        <v/>
      </c>
      <c r="U779" s="43">
        <f>AQ779*INDEX(Dashboard!$G$6:$G$22,MATCH($A779,Dashboard!$A$6:$A$22,0))</f>
        <v/>
      </c>
      <c r="V779" s="47" t="n"/>
      <c r="W779" s="47" t="n"/>
      <c r="X779" s="47" t="n"/>
      <c r="Y779" s="48" t="n"/>
      <c r="Z779" s="49" t="n"/>
      <c r="AA779" s="49" t="n"/>
      <c r="AB779" s="49" t="n"/>
      <c r="AC779" s="50" t="n"/>
      <c r="AD779" s="43">
        <f>IF(Z779&lt;&gt;"",Z779,N(V779))</f>
        <v/>
      </c>
      <c r="AE779" s="43">
        <f>IF(AA779&lt;&gt;"",AA779,N(W779))</f>
        <v/>
      </c>
      <c r="AF779" s="43">
        <f>AD779+AE779</f>
        <v/>
      </c>
      <c r="AG779" s="42">
        <f>IF(UPPER(AC779)="Y",1,IF(AF779=0,0,IF(AND(Z779="",Y779&lt;&gt;""),IF(Y779&gt;=0.999,1,0),IF(AF779&gt;=U779,1,0))))</f>
        <v/>
      </c>
      <c r="AH779" s="44">
        <f>IF(AF779&gt;0,(AD779-AE779)/AF779,"")</f>
        <v/>
      </c>
      <c r="AI779" s="45">
        <f>IF(AG779=1,AH779-O779,"")</f>
        <v/>
      </c>
      <c r="AJ779" s="44">
        <f>IF(AG779=1,AH779,MAX(-1,MIN(1,O779+INDEX(Types!$H:$H,MATCH($A779&amp;"|"&amp;$D779,Types!$A:$A,0)))))</f>
        <v/>
      </c>
      <c r="AK779" s="43">
        <f>IF(AG779=1,AF779,MAX(AQ779*AS779,AF779))</f>
        <v/>
      </c>
      <c r="AL779" s="43">
        <f>IF(AG779=1,AD779,AK779*(1+AJ779)/2)</f>
        <v/>
      </c>
      <c r="AM779" s="43">
        <f>IF(AG779=1,AE779,AK779*(1-AJ779)/2)</f>
        <v/>
      </c>
      <c r="AN779" s="45">
        <f>IF(AH779="","",AH779-T779)</f>
        <v/>
      </c>
      <c r="AO779" s="51">
        <f>IF(AG779=1,1,IF(U779&gt;0,MIN(AF779/U779,0.99),0))</f>
        <v/>
      </c>
      <c r="AP779" s="43">
        <f>IF(AG779=1,AI779*AF779,0)</f>
        <v/>
      </c>
      <c r="AQ779" s="43">
        <f>N779*(F779+G779)/H779</f>
        <v/>
      </c>
      <c r="AR779" s="43">
        <f>O779*AQ779</f>
        <v/>
      </c>
      <c r="AS779" s="52">
        <f>IF(AG779=1,IF(AQ779&gt;0,AF779/AQ779,1),IFERROR(INDEX(Types!$K:$K,MATCH($A779&amp;"|"&amp;$D779,Types!$A:$A,0)),INDEX(Dashboard!$X$6:$X$22,MATCH($A779,Dashboard!$A$6:$A$22,0))))</f>
        <v/>
      </c>
      <c r="AT779" s="43">
        <f>AQ779*INDEX(Dashboard!$Y$6:$Y$22,MATCH($A779,Dashboard!$A$6:$A$22,0))</f>
        <v/>
      </c>
      <c r="AU779" s="53">
        <f>IF(AND(AG779=1,AT779&gt;0,AF779&gt;0),100*AF779/AT779,"")</f>
        <v/>
      </c>
      <c r="AV779" s="44">
        <f>IF(AU779="","",T779/(AU779/100))</f>
        <v/>
      </c>
      <c r="AW779" s="53">
        <f>IF(AU779="","",IF(AND(ABS(AH779)&gt;=0.1,ABS(T779)&gt;=0.05,SIGN(AH779)=SIGN(T779)),100*T779/AH779,""))</f>
        <v/>
      </c>
      <c r="AX779" s="45">
        <f>IF(AU779="","",T779-AV779)</f>
        <v/>
      </c>
      <c r="AY779" s="45">
        <f>IF(AU779="","",AH779-AV779)</f>
        <v/>
      </c>
      <c r="AZ779" s="54">
        <f>(AL779-AM779)-T779*AT779</f>
        <v/>
      </c>
      <c r="BA779" s="43">
        <f>IF(AU779="",0,(AH779-T779)*AF779)</f>
        <v/>
      </c>
      <c r="BB779" s="43">
        <f>IF(AU779="",0,T779*(AF779-AT779))</f>
        <v/>
      </c>
      <c r="BC779" s="51" t="n">
        <v>0.01823793490460157</v>
      </c>
      <c r="BD779" s="51" t="n">
        <v>0.1309390198279087</v>
      </c>
      <c r="BE779" s="51" t="n">
        <v>0.2007555315704263</v>
      </c>
      <c r="BF779" s="43" t="n">
        <v>10692</v>
      </c>
    </row>
    <row r="780">
      <c r="A780" s="42" t="inlineStr">
        <is>
          <t>NE</t>
        </is>
      </c>
      <c r="B780" s="42" t="inlineStr">
        <is>
          <t>31015</t>
        </is>
      </c>
      <c r="C780" s="42" t="inlineStr">
        <is>
          <t>Boyd</t>
        </is>
      </c>
      <c r="D780" s="42" t="inlineStr">
        <is>
          <t>Small town &amp; rural</t>
        </is>
      </c>
      <c r="E780" s="42" t="inlineStr"/>
      <c r="F780" s="43" t="n">
        <v>132</v>
      </c>
      <c r="G780" s="43" t="n">
        <v>938</v>
      </c>
      <c r="H780" s="43" t="n">
        <v>1075</v>
      </c>
      <c r="I780" s="43" t="n">
        <v>135</v>
      </c>
      <c r="J780" s="43" t="n">
        <v>1010</v>
      </c>
      <c r="K780" s="42" t="inlineStr">
        <is>
          <t>Governor</t>
        </is>
      </c>
      <c r="L780" s="43" t="n">
        <v>99</v>
      </c>
      <c r="M780" s="43" t="n">
        <v>739</v>
      </c>
      <c r="N780" s="43" t="n">
        <v>878</v>
      </c>
      <c r="O780" s="44">
        <f>IFERROR((F780-G780)/(F780+G780),"")</f>
        <v/>
      </c>
      <c r="P780" s="44">
        <f>IFERROR((I780-J780)/(I780+J780),"")</f>
        <v/>
      </c>
      <c r="Q780" s="45">
        <f>IFERROR(O780-P780,"")</f>
        <v/>
      </c>
      <c r="R780" s="44">
        <f>IFERROR((L780-M780)/(L780+M780),"")</f>
        <v/>
      </c>
      <c r="S780" s="46">
        <f>H780/SUMIFS(Counties!$H$2:$H$1583,Counties!$A$2:$A$1583,$A780)</f>
        <v/>
      </c>
      <c r="T780" s="44">
        <f>O780+INDEX(Dashboard!$F$6:$F$22,MATCH($A780,Dashboard!$A$6:$A$22,0))</f>
        <v/>
      </c>
      <c r="U780" s="43">
        <f>AQ780*INDEX(Dashboard!$G$6:$G$22,MATCH($A780,Dashboard!$A$6:$A$22,0))</f>
        <v/>
      </c>
      <c r="V780" s="47" t="n"/>
      <c r="W780" s="47" t="n"/>
      <c r="X780" s="47" t="n"/>
      <c r="Y780" s="48" t="n"/>
      <c r="Z780" s="49" t="n"/>
      <c r="AA780" s="49" t="n"/>
      <c r="AB780" s="49" t="n"/>
      <c r="AC780" s="50" t="n"/>
      <c r="AD780" s="43">
        <f>IF(Z780&lt;&gt;"",Z780,N(V780))</f>
        <v/>
      </c>
      <c r="AE780" s="43">
        <f>IF(AA780&lt;&gt;"",AA780,N(W780))</f>
        <v/>
      </c>
      <c r="AF780" s="43">
        <f>AD780+AE780</f>
        <v/>
      </c>
      <c r="AG780" s="42">
        <f>IF(UPPER(AC780)="Y",1,IF(AF780=0,0,IF(AND(Z780="",Y780&lt;&gt;""),IF(Y780&gt;=0.999,1,0),IF(AF780&gt;=U780,1,0))))</f>
        <v/>
      </c>
      <c r="AH780" s="44">
        <f>IF(AF780&gt;0,(AD780-AE780)/AF780,"")</f>
        <v/>
      </c>
      <c r="AI780" s="45">
        <f>IF(AG780=1,AH780-O780,"")</f>
        <v/>
      </c>
      <c r="AJ780" s="44">
        <f>IF(AG780=1,AH780,MAX(-1,MIN(1,O780+INDEX(Types!$H:$H,MATCH($A780&amp;"|"&amp;$D780,Types!$A:$A,0)))))</f>
        <v/>
      </c>
      <c r="AK780" s="43">
        <f>IF(AG780=1,AF780,MAX(AQ780*AS780,AF780))</f>
        <v/>
      </c>
      <c r="AL780" s="43">
        <f>IF(AG780=1,AD780,AK780*(1+AJ780)/2)</f>
        <v/>
      </c>
      <c r="AM780" s="43">
        <f>IF(AG780=1,AE780,AK780*(1-AJ780)/2)</f>
        <v/>
      </c>
      <c r="AN780" s="45">
        <f>IF(AH780="","",AH780-T780)</f>
        <v/>
      </c>
      <c r="AO780" s="51">
        <f>IF(AG780=1,1,IF(U780&gt;0,MIN(AF780/U780,0.99),0))</f>
        <v/>
      </c>
      <c r="AP780" s="43">
        <f>IF(AG780=1,AI780*AF780,0)</f>
        <v/>
      </c>
      <c r="AQ780" s="43">
        <f>N780*(F780+G780)/H780</f>
        <v/>
      </c>
      <c r="AR780" s="43">
        <f>O780*AQ780</f>
        <v/>
      </c>
      <c r="AS780" s="52">
        <f>IF(AG780=1,IF(AQ780&gt;0,AF780/AQ780,1),IFERROR(INDEX(Types!$K:$K,MATCH($A780&amp;"|"&amp;$D780,Types!$A:$A,0)),INDEX(Dashboard!$X$6:$X$22,MATCH($A780,Dashboard!$A$6:$A$22,0))))</f>
        <v/>
      </c>
      <c r="AT780" s="43">
        <f>AQ780*INDEX(Dashboard!$Y$6:$Y$22,MATCH($A780,Dashboard!$A$6:$A$22,0))</f>
        <v/>
      </c>
      <c r="AU780" s="53">
        <f>IF(AND(AG780=1,AT780&gt;0,AF780&gt;0),100*AF780/AT780,"")</f>
        <v/>
      </c>
      <c r="AV780" s="44">
        <f>IF(AU780="","",T780/(AU780/100))</f>
        <v/>
      </c>
      <c r="AW780" s="53">
        <f>IF(AU780="","",IF(AND(ABS(AH780)&gt;=0.1,ABS(T780)&gt;=0.05,SIGN(AH780)=SIGN(T780)),100*T780/AH780,""))</f>
        <v/>
      </c>
      <c r="AX780" s="45">
        <f>IF(AU780="","",T780-AV780)</f>
        <v/>
      </c>
      <c r="AY780" s="45">
        <f>IF(AU780="","",AH780-AV780)</f>
        <v/>
      </c>
      <c r="AZ780" s="54">
        <f>(AL780-AM780)-T780*AT780</f>
        <v/>
      </c>
      <c r="BA780" s="43">
        <f>IF(AU780="",0,(AH780-T780)*AF780)</f>
        <v/>
      </c>
      <c r="BB780" s="43">
        <f>IF(AU780="",0,T780*(AF780-AT780))</f>
        <v/>
      </c>
      <c r="BC780" s="51" t="n">
        <v>0.001159420289855072</v>
      </c>
      <c r="BD780" s="51" t="n">
        <v>0.02260869565217391</v>
      </c>
      <c r="BE780" s="51" t="n">
        <v>0.1956856702619414</v>
      </c>
      <c r="BF780" s="43" t="n">
        <v>1725</v>
      </c>
    </row>
    <row r="781">
      <c r="A781" s="42" t="inlineStr">
        <is>
          <t>NE</t>
        </is>
      </c>
      <c r="B781" s="42" t="inlineStr">
        <is>
          <t>31017</t>
        </is>
      </c>
      <c r="C781" s="42" t="inlineStr">
        <is>
          <t>Brown</t>
        </is>
      </c>
      <c r="D781" s="42" t="inlineStr">
        <is>
          <t>Small town &amp; rural</t>
        </is>
      </c>
      <c r="E781" s="42" t="inlineStr"/>
      <c r="F781" s="43" t="n">
        <v>201</v>
      </c>
      <c r="G781" s="43" t="n">
        <v>1428</v>
      </c>
      <c r="H781" s="43" t="n">
        <v>1642</v>
      </c>
      <c r="I781" s="43" t="n">
        <v>191</v>
      </c>
      <c r="J781" s="43" t="n">
        <v>1470</v>
      </c>
      <c r="K781" s="42" t="inlineStr">
        <is>
          <t>Governor</t>
        </is>
      </c>
      <c r="L781" s="43" t="n">
        <v>159</v>
      </c>
      <c r="M781" s="43" t="n">
        <v>938</v>
      </c>
      <c r="N781" s="43" t="n">
        <v>1154</v>
      </c>
      <c r="O781" s="44">
        <f>IFERROR((F781-G781)/(F781+G781),"")</f>
        <v/>
      </c>
      <c r="P781" s="44">
        <f>IFERROR((I781-J781)/(I781+J781),"")</f>
        <v/>
      </c>
      <c r="Q781" s="45">
        <f>IFERROR(O781-P781,"")</f>
        <v/>
      </c>
      <c r="R781" s="44">
        <f>IFERROR((L781-M781)/(L781+M781),"")</f>
        <v/>
      </c>
      <c r="S781" s="46">
        <f>H781/SUMIFS(Counties!$H$2:$H$1583,Counties!$A$2:$A$1583,$A781)</f>
        <v/>
      </c>
      <c r="T781" s="44">
        <f>O781+INDEX(Dashboard!$F$6:$F$22,MATCH($A781,Dashboard!$A$6:$A$22,0))</f>
        <v/>
      </c>
      <c r="U781" s="43">
        <f>AQ781*INDEX(Dashboard!$G$6:$G$22,MATCH($A781,Dashboard!$A$6:$A$22,0))</f>
        <v/>
      </c>
      <c r="V781" s="47" t="n"/>
      <c r="W781" s="47" t="n"/>
      <c r="X781" s="47" t="n"/>
      <c r="Y781" s="48" t="n"/>
      <c r="Z781" s="49" t="n"/>
      <c r="AA781" s="49" t="n"/>
      <c r="AB781" s="49" t="n"/>
      <c r="AC781" s="50" t="n"/>
      <c r="AD781" s="43">
        <f>IF(Z781&lt;&gt;"",Z781,N(V781))</f>
        <v/>
      </c>
      <c r="AE781" s="43">
        <f>IF(AA781&lt;&gt;"",AA781,N(W781))</f>
        <v/>
      </c>
      <c r="AF781" s="43">
        <f>AD781+AE781</f>
        <v/>
      </c>
      <c r="AG781" s="42">
        <f>IF(UPPER(AC781)="Y",1,IF(AF781=0,0,IF(AND(Z781="",Y781&lt;&gt;""),IF(Y781&gt;=0.999,1,0),IF(AF781&gt;=U781,1,0))))</f>
        <v/>
      </c>
      <c r="AH781" s="44">
        <f>IF(AF781&gt;0,(AD781-AE781)/AF781,"")</f>
        <v/>
      </c>
      <c r="AI781" s="45">
        <f>IF(AG781=1,AH781-O781,"")</f>
        <v/>
      </c>
      <c r="AJ781" s="44">
        <f>IF(AG781=1,AH781,MAX(-1,MIN(1,O781+INDEX(Types!$H:$H,MATCH($A781&amp;"|"&amp;$D781,Types!$A:$A,0)))))</f>
        <v/>
      </c>
      <c r="AK781" s="43">
        <f>IF(AG781=1,AF781,MAX(AQ781*AS781,AF781))</f>
        <v/>
      </c>
      <c r="AL781" s="43">
        <f>IF(AG781=1,AD781,AK781*(1+AJ781)/2)</f>
        <v/>
      </c>
      <c r="AM781" s="43">
        <f>IF(AG781=1,AE781,AK781*(1-AJ781)/2)</f>
        <v/>
      </c>
      <c r="AN781" s="45">
        <f>IF(AH781="","",AH781-T781)</f>
        <v/>
      </c>
      <c r="AO781" s="51">
        <f>IF(AG781=1,1,IF(U781&gt;0,MIN(AF781/U781,0.99),0))</f>
        <v/>
      </c>
      <c r="AP781" s="43">
        <f>IF(AG781=1,AI781*AF781,0)</f>
        <v/>
      </c>
      <c r="AQ781" s="43">
        <f>N781*(F781+G781)/H781</f>
        <v/>
      </c>
      <c r="AR781" s="43">
        <f>O781*AQ781</f>
        <v/>
      </c>
      <c r="AS781" s="52">
        <f>IF(AG781=1,IF(AQ781&gt;0,AF781/AQ781,1),IFERROR(INDEX(Types!$K:$K,MATCH($A781&amp;"|"&amp;$D781,Types!$A:$A,0)),INDEX(Dashboard!$X$6:$X$22,MATCH($A781,Dashboard!$A$6:$A$22,0))))</f>
        <v/>
      </c>
      <c r="AT781" s="43">
        <f>AQ781*INDEX(Dashboard!$Y$6:$Y$22,MATCH($A781,Dashboard!$A$6:$A$22,0))</f>
        <v/>
      </c>
      <c r="AU781" s="53">
        <f>IF(AND(AG781=1,AT781&gt;0,AF781&gt;0),100*AF781/AT781,"")</f>
        <v/>
      </c>
      <c r="AV781" s="44">
        <f>IF(AU781="","",T781/(AU781/100))</f>
        <v/>
      </c>
      <c r="AW781" s="53">
        <f>IF(AU781="","",IF(AND(ABS(AH781)&gt;=0.1,ABS(T781)&gt;=0.05,SIGN(AH781)=SIGN(T781)),100*T781/AH781,""))</f>
        <v/>
      </c>
      <c r="AX781" s="45">
        <f>IF(AU781="","",T781-AV781)</f>
        <v/>
      </c>
      <c r="AY781" s="45">
        <f>IF(AU781="","",AH781-AV781)</f>
        <v/>
      </c>
      <c r="AZ781" s="54">
        <f>(AL781-AM781)-T781*AT781</f>
        <v/>
      </c>
      <c r="BA781" s="43">
        <f>IF(AU781="",0,(AH781-T781)*AF781)</f>
        <v/>
      </c>
      <c r="BB781" s="43">
        <f>IF(AU781="",0,T781*(AF781-AT781))</f>
        <v/>
      </c>
      <c r="BC781" s="51" t="n">
        <v>0.004556607080266386</v>
      </c>
      <c r="BD781" s="51" t="n">
        <v>0.06624605678233439</v>
      </c>
      <c r="BE781" s="51" t="n">
        <v>0.211997966446365</v>
      </c>
      <c r="BF781" s="43" t="n">
        <v>2853</v>
      </c>
    </row>
    <row r="782">
      <c r="A782" s="42" t="inlineStr">
        <is>
          <t>NE</t>
        </is>
      </c>
      <c r="B782" s="42" t="inlineStr">
        <is>
          <t>31019</t>
        </is>
      </c>
      <c r="C782" s="42" t="inlineStr">
        <is>
          <t>Buffalo</t>
        </is>
      </c>
      <c r="D782" s="42" t="inlineStr">
        <is>
          <t>Small town &amp; rural</t>
        </is>
      </c>
      <c r="E782" s="42" t="inlineStr">
        <is>
          <t>★</t>
        </is>
      </c>
      <c r="F782" s="43" t="n">
        <v>6386</v>
      </c>
      <c r="G782" s="43" t="n">
        <v>17064</v>
      </c>
      <c r="H782" s="43" t="n">
        <v>23759</v>
      </c>
      <c r="I782" s="43" t="n">
        <v>6350</v>
      </c>
      <c r="J782" s="43" t="n">
        <v>16640</v>
      </c>
      <c r="K782" s="42" t="inlineStr">
        <is>
          <t>Governor</t>
        </is>
      </c>
      <c r="L782" s="43" t="n">
        <v>3946</v>
      </c>
      <c r="M782" s="43" t="n">
        <v>11233</v>
      </c>
      <c r="N782" s="43" t="n">
        <v>15897</v>
      </c>
      <c r="O782" s="44">
        <f>IFERROR((F782-G782)/(F782+G782),"")</f>
        <v/>
      </c>
      <c r="P782" s="44">
        <f>IFERROR((I782-J782)/(I782+J782),"")</f>
        <v/>
      </c>
      <c r="Q782" s="45">
        <f>IFERROR(O782-P782,"")</f>
        <v/>
      </c>
      <c r="R782" s="44">
        <f>IFERROR((L782-M782)/(L782+M782),"")</f>
        <v/>
      </c>
      <c r="S782" s="46">
        <f>H782/SUMIFS(Counties!$H$2:$H$1583,Counties!$A$2:$A$1583,$A782)</f>
        <v/>
      </c>
      <c r="T782" s="44">
        <f>O782+INDEX(Dashboard!$F$6:$F$22,MATCH($A782,Dashboard!$A$6:$A$22,0))</f>
        <v/>
      </c>
      <c r="U782" s="43">
        <f>AQ782*INDEX(Dashboard!$G$6:$G$22,MATCH($A782,Dashboard!$A$6:$A$22,0))</f>
        <v/>
      </c>
      <c r="V782" s="47" t="n"/>
      <c r="W782" s="47" t="n"/>
      <c r="X782" s="47" t="n"/>
      <c r="Y782" s="48" t="n"/>
      <c r="Z782" s="49" t="n"/>
      <c r="AA782" s="49" t="n"/>
      <c r="AB782" s="49" t="n"/>
      <c r="AC782" s="50" t="n"/>
      <c r="AD782" s="43">
        <f>IF(Z782&lt;&gt;"",Z782,N(V782))</f>
        <v/>
      </c>
      <c r="AE782" s="43">
        <f>IF(AA782&lt;&gt;"",AA782,N(W782))</f>
        <v/>
      </c>
      <c r="AF782" s="43">
        <f>AD782+AE782</f>
        <v/>
      </c>
      <c r="AG782" s="42">
        <f>IF(UPPER(AC782)="Y",1,IF(AF782=0,0,IF(AND(Z782="",Y782&lt;&gt;""),IF(Y782&gt;=0.999,1,0),IF(AF782&gt;=U782,1,0))))</f>
        <v/>
      </c>
      <c r="AH782" s="44">
        <f>IF(AF782&gt;0,(AD782-AE782)/AF782,"")</f>
        <v/>
      </c>
      <c r="AI782" s="45">
        <f>IF(AG782=1,AH782-O782,"")</f>
        <v/>
      </c>
      <c r="AJ782" s="44">
        <f>IF(AG782=1,AH782,MAX(-1,MIN(1,O782+INDEX(Types!$H:$H,MATCH($A782&amp;"|"&amp;$D782,Types!$A:$A,0)))))</f>
        <v/>
      </c>
      <c r="AK782" s="43">
        <f>IF(AG782=1,AF782,MAX(AQ782*AS782,AF782))</f>
        <v/>
      </c>
      <c r="AL782" s="43">
        <f>IF(AG782=1,AD782,AK782*(1+AJ782)/2)</f>
        <v/>
      </c>
      <c r="AM782" s="43">
        <f>IF(AG782=1,AE782,AK782*(1-AJ782)/2)</f>
        <v/>
      </c>
      <c r="AN782" s="45">
        <f>IF(AH782="","",AH782-T782)</f>
        <v/>
      </c>
      <c r="AO782" s="51">
        <f>IF(AG782=1,1,IF(U782&gt;0,MIN(AF782/U782,0.99),0))</f>
        <v/>
      </c>
      <c r="AP782" s="43">
        <f>IF(AG782=1,AI782*AF782,0)</f>
        <v/>
      </c>
      <c r="AQ782" s="43">
        <f>N782*(F782+G782)/H782</f>
        <v/>
      </c>
      <c r="AR782" s="43">
        <f>O782*AQ782</f>
        <v/>
      </c>
      <c r="AS782" s="52">
        <f>IF(AG782=1,IF(AQ782&gt;0,AF782/AQ782,1),IFERROR(INDEX(Types!$K:$K,MATCH($A782&amp;"|"&amp;$D782,Types!$A:$A,0)),INDEX(Dashboard!$X$6:$X$22,MATCH($A782,Dashboard!$A$6:$A$22,0))))</f>
        <v/>
      </c>
      <c r="AT782" s="43">
        <f>AQ782*INDEX(Dashboard!$Y$6:$Y$22,MATCH($A782,Dashboard!$A$6:$A$22,0))</f>
        <v/>
      </c>
      <c r="AU782" s="53">
        <f>IF(AND(AG782=1,AT782&gt;0,AF782&gt;0),100*AF782/AT782,"")</f>
        <v/>
      </c>
      <c r="AV782" s="44">
        <f>IF(AU782="","",T782/(AU782/100))</f>
        <v/>
      </c>
      <c r="AW782" s="53">
        <f>IF(AU782="","",IF(AND(ABS(AH782)&gt;=0.1,ABS(T782)&gt;=0.05,SIGN(AH782)=SIGN(T782)),100*T782/AH782,""))</f>
        <v/>
      </c>
      <c r="AX782" s="45">
        <f>IF(AU782="","",T782-AV782)</f>
        <v/>
      </c>
      <c r="AY782" s="45">
        <f>IF(AU782="","",AH782-AV782)</f>
        <v/>
      </c>
      <c r="AZ782" s="54">
        <f>(AL782-AM782)-T782*AT782</f>
        <v/>
      </c>
      <c r="BA782" s="43">
        <f>IF(AU782="",0,(AH782-T782)*AF782)</f>
        <v/>
      </c>
      <c r="BB782" s="43">
        <f>IF(AU782="",0,T782*(AF782-AT782))</f>
        <v/>
      </c>
      <c r="BC782" s="51" t="n">
        <v>0.01080931810560783</v>
      </c>
      <c r="BD782" s="51" t="n">
        <v>0.1091386078071681</v>
      </c>
      <c r="BE782" s="51" t="n">
        <v>0.346373346086402</v>
      </c>
      <c r="BF782" s="43" t="n">
        <v>50697</v>
      </c>
    </row>
    <row r="783">
      <c r="A783" s="42" t="inlineStr">
        <is>
          <t>NE</t>
        </is>
      </c>
      <c r="B783" s="42" t="inlineStr">
        <is>
          <t>31021</t>
        </is>
      </c>
      <c r="C783" s="42" t="inlineStr">
        <is>
          <t>Burt</t>
        </is>
      </c>
      <c r="D783" s="42" t="inlineStr">
        <is>
          <t>Small town &amp; rural</t>
        </is>
      </c>
      <c r="E783" s="42" t="inlineStr"/>
      <c r="F783" s="43" t="n">
        <v>983</v>
      </c>
      <c r="G783" s="43" t="n">
        <v>2632</v>
      </c>
      <c r="H783" s="43" t="n">
        <v>3656</v>
      </c>
      <c r="I783" s="43" t="n">
        <v>1063</v>
      </c>
      <c r="J783" s="43" t="n">
        <v>2580</v>
      </c>
      <c r="K783" s="42" t="inlineStr">
        <is>
          <t>Governor</t>
        </is>
      </c>
      <c r="L783" s="43" t="n">
        <v>638</v>
      </c>
      <c r="M783" s="43" t="n">
        <v>2030</v>
      </c>
      <c r="N783" s="43" t="n">
        <v>2790</v>
      </c>
      <c r="O783" s="44">
        <f>IFERROR((F783-G783)/(F783+G783),"")</f>
        <v/>
      </c>
      <c r="P783" s="44">
        <f>IFERROR((I783-J783)/(I783+J783),"")</f>
        <v/>
      </c>
      <c r="Q783" s="45">
        <f>IFERROR(O783-P783,"")</f>
        <v/>
      </c>
      <c r="R783" s="44">
        <f>IFERROR((L783-M783)/(L783+M783),"")</f>
        <v/>
      </c>
      <c r="S783" s="46">
        <f>H783/SUMIFS(Counties!$H$2:$H$1583,Counties!$A$2:$A$1583,$A783)</f>
        <v/>
      </c>
      <c r="T783" s="44">
        <f>O783+INDEX(Dashboard!$F$6:$F$22,MATCH($A783,Dashboard!$A$6:$A$22,0))</f>
        <v/>
      </c>
      <c r="U783" s="43">
        <f>AQ783*INDEX(Dashboard!$G$6:$G$22,MATCH($A783,Dashboard!$A$6:$A$22,0))</f>
        <v/>
      </c>
      <c r="V783" s="47" t="n"/>
      <c r="W783" s="47" t="n"/>
      <c r="X783" s="47" t="n"/>
      <c r="Y783" s="48" t="n"/>
      <c r="Z783" s="49" t="n"/>
      <c r="AA783" s="49" t="n"/>
      <c r="AB783" s="49" t="n"/>
      <c r="AC783" s="50" t="n"/>
      <c r="AD783" s="43">
        <f>IF(Z783&lt;&gt;"",Z783,N(V783))</f>
        <v/>
      </c>
      <c r="AE783" s="43">
        <f>IF(AA783&lt;&gt;"",AA783,N(W783))</f>
        <v/>
      </c>
      <c r="AF783" s="43">
        <f>AD783+AE783</f>
        <v/>
      </c>
      <c r="AG783" s="42">
        <f>IF(UPPER(AC783)="Y",1,IF(AF783=0,0,IF(AND(Z783="",Y783&lt;&gt;""),IF(Y783&gt;=0.999,1,0),IF(AF783&gt;=U783,1,0))))</f>
        <v/>
      </c>
      <c r="AH783" s="44">
        <f>IF(AF783&gt;0,(AD783-AE783)/AF783,"")</f>
        <v/>
      </c>
      <c r="AI783" s="45">
        <f>IF(AG783=1,AH783-O783,"")</f>
        <v/>
      </c>
      <c r="AJ783" s="44">
        <f>IF(AG783=1,AH783,MAX(-1,MIN(1,O783+INDEX(Types!$H:$H,MATCH($A783&amp;"|"&amp;$D783,Types!$A:$A,0)))))</f>
        <v/>
      </c>
      <c r="AK783" s="43">
        <f>IF(AG783=1,AF783,MAX(AQ783*AS783,AF783))</f>
        <v/>
      </c>
      <c r="AL783" s="43">
        <f>IF(AG783=1,AD783,AK783*(1+AJ783)/2)</f>
        <v/>
      </c>
      <c r="AM783" s="43">
        <f>IF(AG783=1,AE783,AK783*(1-AJ783)/2)</f>
        <v/>
      </c>
      <c r="AN783" s="45">
        <f>IF(AH783="","",AH783-T783)</f>
        <v/>
      </c>
      <c r="AO783" s="51">
        <f>IF(AG783=1,1,IF(U783&gt;0,MIN(AF783/U783,0.99),0))</f>
        <v/>
      </c>
      <c r="AP783" s="43">
        <f>IF(AG783=1,AI783*AF783,0)</f>
        <v/>
      </c>
      <c r="AQ783" s="43">
        <f>N783*(F783+G783)/H783</f>
        <v/>
      </c>
      <c r="AR783" s="43">
        <f>O783*AQ783</f>
        <v/>
      </c>
      <c r="AS783" s="52">
        <f>IF(AG783=1,IF(AQ783&gt;0,AF783/AQ783,1),IFERROR(INDEX(Types!$K:$K,MATCH($A783&amp;"|"&amp;$D783,Types!$A:$A,0)),INDEX(Dashboard!$X$6:$X$22,MATCH($A783,Dashboard!$A$6:$A$22,0))))</f>
        <v/>
      </c>
      <c r="AT783" s="43">
        <f>AQ783*INDEX(Dashboard!$Y$6:$Y$22,MATCH($A783,Dashboard!$A$6:$A$22,0))</f>
        <v/>
      </c>
      <c r="AU783" s="53">
        <f>IF(AND(AG783=1,AT783&gt;0,AF783&gt;0),100*AF783/AT783,"")</f>
        <v/>
      </c>
      <c r="AV783" s="44">
        <f>IF(AU783="","",T783/(AU783/100))</f>
        <v/>
      </c>
      <c r="AW783" s="53">
        <f>IF(AU783="","",IF(AND(ABS(AH783)&gt;=0.1,ABS(T783)&gt;=0.05,SIGN(AH783)=SIGN(T783)),100*T783/AH783,""))</f>
        <v/>
      </c>
      <c r="AX783" s="45">
        <f>IF(AU783="","",T783-AV783)</f>
        <v/>
      </c>
      <c r="AY783" s="45">
        <f>IF(AU783="","",AH783-AV783)</f>
        <v/>
      </c>
      <c r="AZ783" s="54">
        <f>(AL783-AM783)-T783*AT783</f>
        <v/>
      </c>
      <c r="BA783" s="43">
        <f>IF(AU783="",0,(AH783-T783)*AF783)</f>
        <v/>
      </c>
      <c r="BB783" s="43">
        <f>IF(AU783="",0,T783*(AF783-AT783))</f>
        <v/>
      </c>
      <c r="BC783" s="51" t="n">
        <v>0.008324661810613945</v>
      </c>
      <c r="BD783" s="51" t="n">
        <v>0.03760963282295228</v>
      </c>
      <c r="BE783" s="51" t="n">
        <v>0.2572866429020759</v>
      </c>
      <c r="BF783" s="43" t="n">
        <v>6727</v>
      </c>
    </row>
    <row r="784">
      <c r="A784" s="42" t="inlineStr">
        <is>
          <t>NE</t>
        </is>
      </c>
      <c r="B784" s="42" t="inlineStr">
        <is>
          <t>31023</t>
        </is>
      </c>
      <c r="C784" s="42" t="inlineStr">
        <is>
          <t>Butler</t>
        </is>
      </c>
      <c r="D784" s="42" t="inlineStr">
        <is>
          <t>Small town &amp; rural</t>
        </is>
      </c>
      <c r="E784" s="42" t="inlineStr"/>
      <c r="F784" s="43" t="n">
        <v>906</v>
      </c>
      <c r="G784" s="43" t="n">
        <v>3642</v>
      </c>
      <c r="H784" s="43" t="n">
        <v>4587</v>
      </c>
      <c r="I784" s="43" t="n">
        <v>873</v>
      </c>
      <c r="J784" s="43" t="n">
        <v>3542</v>
      </c>
      <c r="K784" s="42" t="inlineStr">
        <is>
          <t>Governor</t>
        </is>
      </c>
      <c r="L784" s="43" t="n">
        <v>585</v>
      </c>
      <c r="M784" s="43" t="n">
        <v>2773</v>
      </c>
      <c r="N784" s="43" t="n">
        <v>3492</v>
      </c>
      <c r="O784" s="44">
        <f>IFERROR((F784-G784)/(F784+G784),"")</f>
        <v/>
      </c>
      <c r="P784" s="44">
        <f>IFERROR((I784-J784)/(I784+J784),"")</f>
        <v/>
      </c>
      <c r="Q784" s="45">
        <f>IFERROR(O784-P784,"")</f>
        <v/>
      </c>
      <c r="R784" s="44">
        <f>IFERROR((L784-M784)/(L784+M784),"")</f>
        <v/>
      </c>
      <c r="S784" s="46">
        <f>H784/SUMIFS(Counties!$H$2:$H$1583,Counties!$A$2:$A$1583,$A784)</f>
        <v/>
      </c>
      <c r="T784" s="44">
        <f>O784+INDEX(Dashboard!$F$6:$F$22,MATCH($A784,Dashboard!$A$6:$A$22,0))</f>
        <v/>
      </c>
      <c r="U784" s="43">
        <f>AQ784*INDEX(Dashboard!$G$6:$G$22,MATCH($A784,Dashboard!$A$6:$A$22,0))</f>
        <v/>
      </c>
      <c r="V784" s="47" t="n"/>
      <c r="W784" s="47" t="n"/>
      <c r="X784" s="47" t="n"/>
      <c r="Y784" s="48" t="n"/>
      <c r="Z784" s="49" t="n"/>
      <c r="AA784" s="49" t="n"/>
      <c r="AB784" s="49" t="n"/>
      <c r="AC784" s="50" t="n"/>
      <c r="AD784" s="43">
        <f>IF(Z784&lt;&gt;"",Z784,N(V784))</f>
        <v/>
      </c>
      <c r="AE784" s="43">
        <f>IF(AA784&lt;&gt;"",AA784,N(W784))</f>
        <v/>
      </c>
      <c r="AF784" s="43">
        <f>AD784+AE784</f>
        <v/>
      </c>
      <c r="AG784" s="42">
        <f>IF(UPPER(AC784)="Y",1,IF(AF784=0,0,IF(AND(Z784="",Y784&lt;&gt;""),IF(Y784&gt;=0.999,1,0),IF(AF784&gt;=U784,1,0))))</f>
        <v/>
      </c>
      <c r="AH784" s="44">
        <f>IF(AF784&gt;0,(AD784-AE784)/AF784,"")</f>
        <v/>
      </c>
      <c r="AI784" s="45">
        <f>IF(AG784=1,AH784-O784,"")</f>
        <v/>
      </c>
      <c r="AJ784" s="44">
        <f>IF(AG784=1,AH784,MAX(-1,MIN(1,O784+INDEX(Types!$H:$H,MATCH($A784&amp;"|"&amp;$D784,Types!$A:$A,0)))))</f>
        <v/>
      </c>
      <c r="AK784" s="43">
        <f>IF(AG784=1,AF784,MAX(AQ784*AS784,AF784))</f>
        <v/>
      </c>
      <c r="AL784" s="43">
        <f>IF(AG784=1,AD784,AK784*(1+AJ784)/2)</f>
        <v/>
      </c>
      <c r="AM784" s="43">
        <f>IF(AG784=1,AE784,AK784*(1-AJ784)/2)</f>
        <v/>
      </c>
      <c r="AN784" s="45">
        <f>IF(AH784="","",AH784-T784)</f>
        <v/>
      </c>
      <c r="AO784" s="51">
        <f>IF(AG784=1,1,IF(U784&gt;0,MIN(AF784/U784,0.99),0))</f>
        <v/>
      </c>
      <c r="AP784" s="43">
        <f>IF(AG784=1,AI784*AF784,0)</f>
        <v/>
      </c>
      <c r="AQ784" s="43">
        <f>N784*(F784+G784)/H784</f>
        <v/>
      </c>
      <c r="AR784" s="43">
        <f>O784*AQ784</f>
        <v/>
      </c>
      <c r="AS784" s="52">
        <f>IF(AG784=1,IF(AQ784&gt;0,AF784/AQ784,1),IFERROR(INDEX(Types!$K:$K,MATCH($A784&amp;"|"&amp;$D784,Types!$A:$A,0)),INDEX(Dashboard!$X$6:$X$22,MATCH($A784,Dashboard!$A$6:$A$22,0))))</f>
        <v/>
      </c>
      <c r="AT784" s="43">
        <f>AQ784*INDEX(Dashboard!$Y$6:$Y$22,MATCH($A784,Dashboard!$A$6:$A$22,0))</f>
        <v/>
      </c>
      <c r="AU784" s="53">
        <f>IF(AND(AG784=1,AT784&gt;0,AF784&gt;0),100*AF784/AT784,"")</f>
        <v/>
      </c>
      <c r="AV784" s="44">
        <f>IF(AU784="","",T784/(AU784/100))</f>
        <v/>
      </c>
      <c r="AW784" s="53">
        <f>IF(AU784="","",IF(AND(ABS(AH784)&gt;=0.1,ABS(T784)&gt;=0.05,SIGN(AH784)=SIGN(T784)),100*T784/AH784,""))</f>
        <v/>
      </c>
      <c r="AX784" s="45">
        <f>IF(AU784="","",T784-AV784)</f>
        <v/>
      </c>
      <c r="AY784" s="45">
        <f>IF(AU784="","",AH784-AV784)</f>
        <v/>
      </c>
      <c r="AZ784" s="54">
        <f>(AL784-AM784)-T784*AT784</f>
        <v/>
      </c>
      <c r="BA784" s="43">
        <f>IF(AU784="",0,(AH784-T784)*AF784)</f>
        <v/>
      </c>
      <c r="BB784" s="43">
        <f>IF(AU784="",0,T784*(AF784-AT784))</f>
        <v/>
      </c>
      <c r="BC784" s="51" t="n">
        <v>0.008156992552311148</v>
      </c>
      <c r="BD784" s="51" t="n">
        <v>0.06348268116798676</v>
      </c>
      <c r="BE784" s="51" t="n">
        <v>0.2522785898538263</v>
      </c>
      <c r="BF784" s="43" t="n">
        <v>8459</v>
      </c>
    </row>
    <row r="785">
      <c r="A785" s="42" t="inlineStr">
        <is>
          <t>NE</t>
        </is>
      </c>
      <c r="B785" s="42" t="inlineStr">
        <is>
          <t>31025</t>
        </is>
      </c>
      <c r="C785" s="42" t="inlineStr">
        <is>
          <t>Cass</t>
        </is>
      </c>
      <c r="D785" s="42" t="inlineStr">
        <is>
          <t>Small town &amp; rural</t>
        </is>
      </c>
      <c r="E785" s="42" t="inlineStr"/>
      <c r="F785" s="43" t="n">
        <v>4824</v>
      </c>
      <c r="G785" s="43" t="n">
        <v>10685</v>
      </c>
      <c r="H785" s="43" t="n">
        <v>15755</v>
      </c>
      <c r="I785" s="43" t="n">
        <v>4737</v>
      </c>
      <c r="J785" s="43" t="n">
        <v>10121</v>
      </c>
      <c r="K785" s="42" t="inlineStr">
        <is>
          <t>Governor</t>
        </is>
      </c>
      <c r="L785" s="43" t="n">
        <v>3317</v>
      </c>
      <c r="M785" s="43" t="n">
        <v>7462</v>
      </c>
      <c r="N785" s="43" t="n">
        <v>11336</v>
      </c>
      <c r="O785" s="44">
        <f>IFERROR((F785-G785)/(F785+G785),"")</f>
        <v/>
      </c>
      <c r="P785" s="44">
        <f>IFERROR((I785-J785)/(I785+J785),"")</f>
        <v/>
      </c>
      <c r="Q785" s="45">
        <f>IFERROR(O785-P785,"")</f>
        <v/>
      </c>
      <c r="R785" s="44">
        <f>IFERROR((L785-M785)/(L785+M785),"")</f>
        <v/>
      </c>
      <c r="S785" s="46">
        <f>H785/SUMIFS(Counties!$H$2:$H$1583,Counties!$A$2:$A$1583,$A785)</f>
        <v/>
      </c>
      <c r="T785" s="44">
        <f>O785+INDEX(Dashboard!$F$6:$F$22,MATCH($A785,Dashboard!$A$6:$A$22,0))</f>
        <v/>
      </c>
      <c r="U785" s="43">
        <f>AQ785*INDEX(Dashboard!$G$6:$G$22,MATCH($A785,Dashboard!$A$6:$A$22,0))</f>
        <v/>
      </c>
      <c r="V785" s="47" t="n"/>
      <c r="W785" s="47" t="n"/>
      <c r="X785" s="47" t="n"/>
      <c r="Y785" s="48" t="n"/>
      <c r="Z785" s="49" t="n"/>
      <c r="AA785" s="49" t="n"/>
      <c r="AB785" s="49" t="n"/>
      <c r="AC785" s="50" t="n"/>
      <c r="AD785" s="43">
        <f>IF(Z785&lt;&gt;"",Z785,N(V785))</f>
        <v/>
      </c>
      <c r="AE785" s="43">
        <f>IF(AA785&lt;&gt;"",AA785,N(W785))</f>
        <v/>
      </c>
      <c r="AF785" s="43">
        <f>AD785+AE785</f>
        <v/>
      </c>
      <c r="AG785" s="42">
        <f>IF(UPPER(AC785)="Y",1,IF(AF785=0,0,IF(AND(Z785="",Y785&lt;&gt;""),IF(Y785&gt;=0.999,1,0),IF(AF785&gt;=U785,1,0))))</f>
        <v/>
      </c>
      <c r="AH785" s="44">
        <f>IF(AF785&gt;0,(AD785-AE785)/AF785,"")</f>
        <v/>
      </c>
      <c r="AI785" s="45">
        <f>IF(AG785=1,AH785-O785,"")</f>
        <v/>
      </c>
      <c r="AJ785" s="44">
        <f>IF(AG785=1,AH785,MAX(-1,MIN(1,O785+INDEX(Types!$H:$H,MATCH($A785&amp;"|"&amp;$D785,Types!$A:$A,0)))))</f>
        <v/>
      </c>
      <c r="AK785" s="43">
        <f>IF(AG785=1,AF785,MAX(AQ785*AS785,AF785))</f>
        <v/>
      </c>
      <c r="AL785" s="43">
        <f>IF(AG785=1,AD785,AK785*(1+AJ785)/2)</f>
        <v/>
      </c>
      <c r="AM785" s="43">
        <f>IF(AG785=1,AE785,AK785*(1-AJ785)/2)</f>
        <v/>
      </c>
      <c r="AN785" s="45">
        <f>IF(AH785="","",AH785-T785)</f>
        <v/>
      </c>
      <c r="AO785" s="51">
        <f>IF(AG785=1,1,IF(U785&gt;0,MIN(AF785/U785,0.99),0))</f>
        <v/>
      </c>
      <c r="AP785" s="43">
        <f>IF(AG785=1,AI785*AF785,0)</f>
        <v/>
      </c>
      <c r="AQ785" s="43">
        <f>N785*(F785+G785)/H785</f>
        <v/>
      </c>
      <c r="AR785" s="43">
        <f>O785*AQ785</f>
        <v/>
      </c>
      <c r="AS785" s="52">
        <f>IF(AG785=1,IF(AQ785&gt;0,AF785/AQ785,1),IFERROR(INDEX(Types!$K:$K,MATCH($A785&amp;"|"&amp;$D785,Types!$A:$A,0)),INDEX(Dashboard!$X$6:$X$22,MATCH($A785,Dashboard!$A$6:$A$22,0))))</f>
        <v/>
      </c>
      <c r="AT785" s="43">
        <f>AQ785*INDEX(Dashboard!$Y$6:$Y$22,MATCH($A785,Dashboard!$A$6:$A$22,0))</f>
        <v/>
      </c>
      <c r="AU785" s="53">
        <f>IF(AND(AG785=1,AT785&gt;0,AF785&gt;0),100*AF785/AT785,"")</f>
        <v/>
      </c>
      <c r="AV785" s="44">
        <f>IF(AU785="","",T785/(AU785/100))</f>
        <v/>
      </c>
      <c r="AW785" s="53">
        <f>IF(AU785="","",IF(AND(ABS(AH785)&gt;=0.1,ABS(T785)&gt;=0.05,SIGN(AH785)=SIGN(T785)),100*T785/AH785,""))</f>
        <v/>
      </c>
      <c r="AX785" s="45">
        <f>IF(AU785="","",T785-AV785)</f>
        <v/>
      </c>
      <c r="AY785" s="45">
        <f>IF(AU785="","",AH785-AV785)</f>
        <v/>
      </c>
      <c r="AZ785" s="54">
        <f>(AL785-AM785)-T785*AT785</f>
        <v/>
      </c>
      <c r="BA785" s="43">
        <f>IF(AU785="",0,(AH785-T785)*AF785)</f>
        <v/>
      </c>
      <c r="BB785" s="43">
        <f>IF(AU785="",0,T785*(AF785-AT785))</f>
        <v/>
      </c>
      <c r="BC785" s="51" t="n">
        <v>0.008015739998542593</v>
      </c>
      <c r="BD785" s="51" t="n">
        <v>0.04313925526488377</v>
      </c>
      <c r="BE785" s="51" t="n">
        <v>0.3188281375757901</v>
      </c>
      <c r="BF785" s="43" t="n">
        <v>27446</v>
      </c>
    </row>
    <row r="786">
      <c r="A786" s="42" t="inlineStr">
        <is>
          <t>NE</t>
        </is>
      </c>
      <c r="B786" s="42" t="inlineStr">
        <is>
          <t>31027</t>
        </is>
      </c>
      <c r="C786" s="42" t="inlineStr">
        <is>
          <t>Cedar</t>
        </is>
      </c>
      <c r="D786" s="42" t="inlineStr">
        <is>
          <t>Small town &amp; rural</t>
        </is>
      </c>
      <c r="E786" s="42" t="inlineStr"/>
      <c r="F786" s="43" t="n">
        <v>702</v>
      </c>
      <c r="G786" s="43" t="n">
        <v>4141</v>
      </c>
      <c r="H786" s="43" t="n">
        <v>4912</v>
      </c>
      <c r="I786" s="43" t="n">
        <v>725</v>
      </c>
      <c r="J786" s="43" t="n">
        <v>4174</v>
      </c>
      <c r="K786" s="42" t="inlineStr">
        <is>
          <t>Governor</t>
        </is>
      </c>
      <c r="L786" s="43" t="n">
        <v>466</v>
      </c>
      <c r="M786" s="43" t="n">
        <v>3107</v>
      </c>
      <c r="N786" s="43" t="n">
        <v>3738</v>
      </c>
      <c r="O786" s="44">
        <f>IFERROR((F786-G786)/(F786+G786),"")</f>
        <v/>
      </c>
      <c r="P786" s="44">
        <f>IFERROR((I786-J786)/(I786+J786),"")</f>
        <v/>
      </c>
      <c r="Q786" s="45">
        <f>IFERROR(O786-P786,"")</f>
        <v/>
      </c>
      <c r="R786" s="44">
        <f>IFERROR((L786-M786)/(L786+M786),"")</f>
        <v/>
      </c>
      <c r="S786" s="46">
        <f>H786/SUMIFS(Counties!$H$2:$H$1583,Counties!$A$2:$A$1583,$A786)</f>
        <v/>
      </c>
      <c r="T786" s="44">
        <f>O786+INDEX(Dashboard!$F$6:$F$22,MATCH($A786,Dashboard!$A$6:$A$22,0))</f>
        <v/>
      </c>
      <c r="U786" s="43">
        <f>AQ786*INDEX(Dashboard!$G$6:$G$22,MATCH($A786,Dashboard!$A$6:$A$22,0))</f>
        <v/>
      </c>
      <c r="V786" s="47" t="n"/>
      <c r="W786" s="47" t="n"/>
      <c r="X786" s="47" t="n"/>
      <c r="Y786" s="48" t="n"/>
      <c r="Z786" s="49" t="n"/>
      <c r="AA786" s="49" t="n"/>
      <c r="AB786" s="49" t="n"/>
      <c r="AC786" s="50" t="n"/>
      <c r="AD786" s="43">
        <f>IF(Z786&lt;&gt;"",Z786,N(V786))</f>
        <v/>
      </c>
      <c r="AE786" s="43">
        <f>IF(AA786&lt;&gt;"",AA786,N(W786))</f>
        <v/>
      </c>
      <c r="AF786" s="43">
        <f>AD786+AE786</f>
        <v/>
      </c>
      <c r="AG786" s="42">
        <f>IF(UPPER(AC786)="Y",1,IF(AF786=0,0,IF(AND(Z786="",Y786&lt;&gt;""),IF(Y786&gt;=0.999,1,0),IF(AF786&gt;=U786,1,0))))</f>
        <v/>
      </c>
      <c r="AH786" s="44">
        <f>IF(AF786&gt;0,(AD786-AE786)/AF786,"")</f>
        <v/>
      </c>
      <c r="AI786" s="45">
        <f>IF(AG786=1,AH786-O786,"")</f>
        <v/>
      </c>
      <c r="AJ786" s="44">
        <f>IF(AG786=1,AH786,MAX(-1,MIN(1,O786+INDEX(Types!$H:$H,MATCH($A786&amp;"|"&amp;$D786,Types!$A:$A,0)))))</f>
        <v/>
      </c>
      <c r="AK786" s="43">
        <f>IF(AG786=1,AF786,MAX(AQ786*AS786,AF786))</f>
        <v/>
      </c>
      <c r="AL786" s="43">
        <f>IF(AG786=1,AD786,AK786*(1+AJ786)/2)</f>
        <v/>
      </c>
      <c r="AM786" s="43">
        <f>IF(AG786=1,AE786,AK786*(1-AJ786)/2)</f>
        <v/>
      </c>
      <c r="AN786" s="45">
        <f>IF(AH786="","",AH786-T786)</f>
        <v/>
      </c>
      <c r="AO786" s="51">
        <f>IF(AG786=1,1,IF(U786&gt;0,MIN(AF786/U786,0.99),0))</f>
        <v/>
      </c>
      <c r="AP786" s="43">
        <f>IF(AG786=1,AI786*AF786,0)</f>
        <v/>
      </c>
      <c r="AQ786" s="43">
        <f>N786*(F786+G786)/H786</f>
        <v/>
      </c>
      <c r="AR786" s="43">
        <f>O786*AQ786</f>
        <v/>
      </c>
      <c r="AS786" s="52">
        <f>IF(AG786=1,IF(AQ786&gt;0,AF786/AQ786,1),IFERROR(INDEX(Types!$K:$K,MATCH($A786&amp;"|"&amp;$D786,Types!$A:$A,0)),INDEX(Dashboard!$X$6:$X$22,MATCH($A786,Dashboard!$A$6:$A$22,0))))</f>
        <v/>
      </c>
      <c r="AT786" s="43">
        <f>AQ786*INDEX(Dashboard!$Y$6:$Y$22,MATCH($A786,Dashboard!$A$6:$A$22,0))</f>
        <v/>
      </c>
      <c r="AU786" s="53">
        <f>IF(AND(AG786=1,AT786&gt;0,AF786&gt;0),100*AF786/AT786,"")</f>
        <v/>
      </c>
      <c r="AV786" s="44">
        <f>IF(AU786="","",T786/(AU786/100))</f>
        <v/>
      </c>
      <c r="AW786" s="53">
        <f>IF(AU786="","",IF(AND(ABS(AH786)&gt;=0.1,ABS(T786)&gt;=0.05,SIGN(AH786)=SIGN(T786)),100*T786/AH786,""))</f>
        <v/>
      </c>
      <c r="AX786" s="45">
        <f>IF(AU786="","",T786-AV786)</f>
        <v/>
      </c>
      <c r="AY786" s="45">
        <f>IF(AU786="","",AH786-AV786)</f>
        <v/>
      </c>
      <c r="AZ786" s="54">
        <f>(AL786-AM786)-T786*AT786</f>
        <v/>
      </c>
      <c r="BA786" s="43">
        <f>IF(AU786="",0,(AH786-T786)*AF786)</f>
        <v/>
      </c>
      <c r="BB786" s="43">
        <f>IF(AU786="",0,T786*(AF786-AT786))</f>
        <v/>
      </c>
      <c r="BC786" s="51" t="n">
        <v>0.004841442749939482</v>
      </c>
      <c r="BD786" s="51" t="n">
        <v>0.02674897119341564</v>
      </c>
      <c r="BE786" s="51" t="n">
        <v>0.2498655673059688</v>
      </c>
      <c r="BF786" s="43" t="n">
        <v>8262</v>
      </c>
    </row>
    <row r="787">
      <c r="A787" s="42" t="inlineStr">
        <is>
          <t>NE</t>
        </is>
      </c>
      <c r="B787" s="42" t="inlineStr">
        <is>
          <t>31029</t>
        </is>
      </c>
      <c r="C787" s="42" t="inlineStr">
        <is>
          <t>Chase</t>
        </is>
      </c>
      <c r="D787" s="42" t="inlineStr">
        <is>
          <t>Small town &amp; rural</t>
        </is>
      </c>
      <c r="E787" s="42" t="inlineStr"/>
      <c r="F787" s="43" t="n">
        <v>204</v>
      </c>
      <c r="G787" s="43" t="n">
        <v>1648</v>
      </c>
      <c r="H787" s="43" t="n">
        <v>1866</v>
      </c>
      <c r="I787" s="43" t="n">
        <v>226</v>
      </c>
      <c r="J787" s="43" t="n">
        <v>1740</v>
      </c>
      <c r="K787" s="42" t="inlineStr">
        <is>
          <t>Governor</t>
        </is>
      </c>
      <c r="L787" s="43" t="n">
        <v>176</v>
      </c>
      <c r="M787" s="43" t="n">
        <v>1296</v>
      </c>
      <c r="N787" s="43" t="n">
        <v>1525</v>
      </c>
      <c r="O787" s="44">
        <f>IFERROR((F787-G787)/(F787+G787),"")</f>
        <v/>
      </c>
      <c r="P787" s="44">
        <f>IFERROR((I787-J787)/(I787+J787),"")</f>
        <v/>
      </c>
      <c r="Q787" s="45">
        <f>IFERROR(O787-P787,"")</f>
        <v/>
      </c>
      <c r="R787" s="44">
        <f>IFERROR((L787-M787)/(L787+M787),"")</f>
        <v/>
      </c>
      <c r="S787" s="46">
        <f>H787/SUMIFS(Counties!$H$2:$H$1583,Counties!$A$2:$A$1583,$A787)</f>
        <v/>
      </c>
      <c r="T787" s="44">
        <f>O787+INDEX(Dashboard!$F$6:$F$22,MATCH($A787,Dashboard!$A$6:$A$22,0))</f>
        <v/>
      </c>
      <c r="U787" s="43">
        <f>AQ787*INDEX(Dashboard!$G$6:$G$22,MATCH($A787,Dashboard!$A$6:$A$22,0))</f>
        <v/>
      </c>
      <c r="V787" s="47" t="n"/>
      <c r="W787" s="47" t="n"/>
      <c r="X787" s="47" t="n"/>
      <c r="Y787" s="48" t="n"/>
      <c r="Z787" s="49" t="n"/>
      <c r="AA787" s="49" t="n"/>
      <c r="AB787" s="49" t="n"/>
      <c r="AC787" s="50" t="n"/>
      <c r="AD787" s="43">
        <f>IF(Z787&lt;&gt;"",Z787,N(V787))</f>
        <v/>
      </c>
      <c r="AE787" s="43">
        <f>IF(AA787&lt;&gt;"",AA787,N(W787))</f>
        <v/>
      </c>
      <c r="AF787" s="43">
        <f>AD787+AE787</f>
        <v/>
      </c>
      <c r="AG787" s="42">
        <f>IF(UPPER(AC787)="Y",1,IF(AF787=0,0,IF(AND(Z787="",Y787&lt;&gt;""),IF(Y787&gt;=0.999,1,0),IF(AF787&gt;=U787,1,0))))</f>
        <v/>
      </c>
      <c r="AH787" s="44">
        <f>IF(AF787&gt;0,(AD787-AE787)/AF787,"")</f>
        <v/>
      </c>
      <c r="AI787" s="45">
        <f>IF(AG787=1,AH787-O787,"")</f>
        <v/>
      </c>
      <c r="AJ787" s="44">
        <f>IF(AG787=1,AH787,MAX(-1,MIN(1,O787+INDEX(Types!$H:$H,MATCH($A787&amp;"|"&amp;$D787,Types!$A:$A,0)))))</f>
        <v/>
      </c>
      <c r="AK787" s="43">
        <f>IF(AG787=1,AF787,MAX(AQ787*AS787,AF787))</f>
        <v/>
      </c>
      <c r="AL787" s="43">
        <f>IF(AG787=1,AD787,AK787*(1+AJ787)/2)</f>
        <v/>
      </c>
      <c r="AM787" s="43">
        <f>IF(AG787=1,AE787,AK787*(1-AJ787)/2)</f>
        <v/>
      </c>
      <c r="AN787" s="45">
        <f>IF(AH787="","",AH787-T787)</f>
        <v/>
      </c>
      <c r="AO787" s="51">
        <f>IF(AG787=1,1,IF(U787&gt;0,MIN(AF787/U787,0.99),0))</f>
        <v/>
      </c>
      <c r="AP787" s="43">
        <f>IF(AG787=1,AI787*AF787,0)</f>
        <v/>
      </c>
      <c r="AQ787" s="43">
        <f>N787*(F787+G787)/H787</f>
        <v/>
      </c>
      <c r="AR787" s="43">
        <f>O787*AQ787</f>
        <v/>
      </c>
      <c r="AS787" s="52">
        <f>IF(AG787=1,IF(AQ787&gt;0,AF787/AQ787,1),IFERROR(INDEX(Types!$K:$K,MATCH($A787&amp;"|"&amp;$D787,Types!$A:$A,0)),INDEX(Dashboard!$X$6:$X$22,MATCH($A787,Dashboard!$A$6:$A$22,0))))</f>
        <v/>
      </c>
      <c r="AT787" s="43">
        <f>AQ787*INDEX(Dashboard!$Y$6:$Y$22,MATCH($A787,Dashboard!$A$6:$A$22,0))</f>
        <v/>
      </c>
      <c r="AU787" s="53">
        <f>IF(AND(AG787=1,AT787&gt;0,AF787&gt;0),100*AF787/AT787,"")</f>
        <v/>
      </c>
      <c r="AV787" s="44">
        <f>IF(AU787="","",T787/(AU787/100))</f>
        <v/>
      </c>
      <c r="AW787" s="53">
        <f>IF(AU787="","",IF(AND(ABS(AH787)&gt;=0.1,ABS(T787)&gt;=0.05,SIGN(AH787)=SIGN(T787)),100*T787/AH787,""))</f>
        <v/>
      </c>
      <c r="AX787" s="45">
        <f>IF(AU787="","",T787-AV787)</f>
        <v/>
      </c>
      <c r="AY787" s="45">
        <f>IF(AU787="","",AH787-AV787)</f>
        <v/>
      </c>
      <c r="AZ787" s="54">
        <f>(AL787-AM787)-T787*AT787</f>
        <v/>
      </c>
      <c r="BA787" s="43">
        <f>IF(AU787="",0,(AH787-T787)*AF787)</f>
        <v/>
      </c>
      <c r="BB787" s="43">
        <f>IF(AU787="",0,T787*(AF787-AT787))</f>
        <v/>
      </c>
      <c r="BC787" s="51" t="n">
        <v>0.005907626208378088</v>
      </c>
      <c r="BD787" s="51" t="n">
        <v>0.1608485499462943</v>
      </c>
      <c r="BE787" s="51" t="n">
        <v>0.2409542743538767</v>
      </c>
      <c r="BF787" s="43" t="n">
        <v>3724</v>
      </c>
    </row>
    <row r="788">
      <c r="A788" s="42" t="inlineStr">
        <is>
          <t>NE</t>
        </is>
      </c>
      <c r="B788" s="42" t="inlineStr">
        <is>
          <t>31031</t>
        </is>
      </c>
      <c r="C788" s="42" t="inlineStr">
        <is>
          <t>Cherry</t>
        </is>
      </c>
      <c r="D788" s="42" t="inlineStr">
        <is>
          <t>Small town &amp; rural</t>
        </is>
      </c>
      <c r="E788" s="42" t="inlineStr"/>
      <c r="F788" s="43" t="n">
        <v>349</v>
      </c>
      <c r="G788" s="43" t="n">
        <v>2687</v>
      </c>
      <c r="H788" s="43" t="n">
        <v>3069</v>
      </c>
      <c r="I788" s="43" t="n">
        <v>373</v>
      </c>
      <c r="J788" s="43" t="n">
        <v>2844</v>
      </c>
      <c r="K788" s="42" t="inlineStr">
        <is>
          <t>Governor</t>
        </is>
      </c>
      <c r="L788" s="43" t="n">
        <v>240</v>
      </c>
      <c r="M788" s="43" t="n">
        <v>1984</v>
      </c>
      <c r="N788" s="43" t="n">
        <v>2369</v>
      </c>
      <c r="O788" s="44">
        <f>IFERROR((F788-G788)/(F788+G788),"")</f>
        <v/>
      </c>
      <c r="P788" s="44">
        <f>IFERROR((I788-J788)/(I788+J788),"")</f>
        <v/>
      </c>
      <c r="Q788" s="45">
        <f>IFERROR(O788-P788,"")</f>
        <v/>
      </c>
      <c r="R788" s="44">
        <f>IFERROR((L788-M788)/(L788+M788),"")</f>
        <v/>
      </c>
      <c r="S788" s="46">
        <f>H788/SUMIFS(Counties!$H$2:$H$1583,Counties!$A$2:$A$1583,$A788)</f>
        <v/>
      </c>
      <c r="T788" s="44">
        <f>O788+INDEX(Dashboard!$F$6:$F$22,MATCH($A788,Dashboard!$A$6:$A$22,0))</f>
        <v/>
      </c>
      <c r="U788" s="43">
        <f>AQ788*INDEX(Dashboard!$G$6:$G$22,MATCH($A788,Dashboard!$A$6:$A$22,0))</f>
        <v/>
      </c>
      <c r="V788" s="47" t="n"/>
      <c r="W788" s="47" t="n"/>
      <c r="X788" s="47" t="n"/>
      <c r="Y788" s="48" t="n"/>
      <c r="Z788" s="49" t="n"/>
      <c r="AA788" s="49" t="n"/>
      <c r="AB788" s="49" t="n"/>
      <c r="AC788" s="50" t="n"/>
      <c r="AD788" s="43">
        <f>IF(Z788&lt;&gt;"",Z788,N(V788))</f>
        <v/>
      </c>
      <c r="AE788" s="43">
        <f>IF(AA788&lt;&gt;"",AA788,N(W788))</f>
        <v/>
      </c>
      <c r="AF788" s="43">
        <f>AD788+AE788</f>
        <v/>
      </c>
      <c r="AG788" s="42">
        <f>IF(UPPER(AC788)="Y",1,IF(AF788=0,0,IF(AND(Z788="",Y788&lt;&gt;""),IF(Y788&gt;=0.999,1,0),IF(AF788&gt;=U788,1,0))))</f>
        <v/>
      </c>
      <c r="AH788" s="44">
        <f>IF(AF788&gt;0,(AD788-AE788)/AF788,"")</f>
        <v/>
      </c>
      <c r="AI788" s="45">
        <f>IF(AG788=1,AH788-O788,"")</f>
        <v/>
      </c>
      <c r="AJ788" s="44">
        <f>IF(AG788=1,AH788,MAX(-1,MIN(1,O788+INDEX(Types!$H:$H,MATCH($A788&amp;"|"&amp;$D788,Types!$A:$A,0)))))</f>
        <v/>
      </c>
      <c r="AK788" s="43">
        <f>IF(AG788=1,AF788,MAX(AQ788*AS788,AF788))</f>
        <v/>
      </c>
      <c r="AL788" s="43">
        <f>IF(AG788=1,AD788,AK788*(1+AJ788)/2)</f>
        <v/>
      </c>
      <c r="AM788" s="43">
        <f>IF(AG788=1,AE788,AK788*(1-AJ788)/2)</f>
        <v/>
      </c>
      <c r="AN788" s="45">
        <f>IF(AH788="","",AH788-T788)</f>
        <v/>
      </c>
      <c r="AO788" s="51">
        <f>IF(AG788=1,1,IF(U788&gt;0,MIN(AF788/U788,0.99),0))</f>
        <v/>
      </c>
      <c r="AP788" s="43">
        <f>IF(AG788=1,AI788*AF788,0)</f>
        <v/>
      </c>
      <c r="AQ788" s="43">
        <f>N788*(F788+G788)/H788</f>
        <v/>
      </c>
      <c r="AR788" s="43">
        <f>O788*AQ788</f>
        <v/>
      </c>
      <c r="AS788" s="52">
        <f>IF(AG788=1,IF(AQ788&gt;0,AF788/AQ788,1),IFERROR(INDEX(Types!$K:$K,MATCH($A788&amp;"|"&amp;$D788,Types!$A:$A,0)),INDEX(Dashboard!$X$6:$X$22,MATCH($A788,Dashboard!$A$6:$A$22,0))))</f>
        <v/>
      </c>
      <c r="AT788" s="43">
        <f>AQ788*INDEX(Dashboard!$Y$6:$Y$22,MATCH($A788,Dashboard!$A$6:$A$22,0))</f>
        <v/>
      </c>
      <c r="AU788" s="53">
        <f>IF(AND(AG788=1,AT788&gt;0,AF788&gt;0),100*AF788/AT788,"")</f>
        <v/>
      </c>
      <c r="AV788" s="44">
        <f>IF(AU788="","",T788/(AU788/100))</f>
        <v/>
      </c>
      <c r="AW788" s="53">
        <f>IF(AU788="","",IF(AND(ABS(AH788)&gt;=0.1,ABS(T788)&gt;=0.05,SIGN(AH788)=SIGN(T788)),100*T788/AH788,""))</f>
        <v/>
      </c>
      <c r="AX788" s="45">
        <f>IF(AU788="","",T788-AV788)</f>
        <v/>
      </c>
      <c r="AY788" s="45">
        <f>IF(AU788="","",AH788-AV788)</f>
        <v/>
      </c>
      <c r="AZ788" s="54">
        <f>(AL788-AM788)-T788*AT788</f>
        <v/>
      </c>
      <c r="BA788" s="43">
        <f>IF(AU788="",0,(AH788-T788)*AF788)</f>
        <v/>
      </c>
      <c r="BB788" s="43">
        <f>IF(AU788="",0,T788*(AF788-AT788))</f>
        <v/>
      </c>
      <c r="BC788" s="51" t="n">
        <v>0.005098324836125273</v>
      </c>
      <c r="BD788" s="51" t="n">
        <v>0.03350327749453751</v>
      </c>
      <c r="BE788" s="51" t="n">
        <v>0.2420943494038362</v>
      </c>
      <c r="BF788" s="43" t="n">
        <v>5492</v>
      </c>
    </row>
    <row r="789">
      <c r="A789" s="42" t="inlineStr">
        <is>
          <t>NE</t>
        </is>
      </c>
      <c r="B789" s="42" t="inlineStr">
        <is>
          <t>31033</t>
        </is>
      </c>
      <c r="C789" s="42" t="inlineStr">
        <is>
          <t>Cheyenne</t>
        </is>
      </c>
      <c r="D789" s="42" t="inlineStr">
        <is>
          <t>Small town &amp; rural</t>
        </is>
      </c>
      <c r="E789" s="42" t="inlineStr"/>
      <c r="F789" s="43" t="n">
        <v>787</v>
      </c>
      <c r="G789" s="43" t="n">
        <v>3692</v>
      </c>
      <c r="H789" s="43" t="n">
        <v>4530</v>
      </c>
      <c r="I789" s="43" t="n">
        <v>855</v>
      </c>
      <c r="J789" s="43" t="n">
        <v>3813</v>
      </c>
      <c r="K789" s="42" t="inlineStr">
        <is>
          <t>Governor</t>
        </is>
      </c>
      <c r="L789" s="43" t="n">
        <v>456</v>
      </c>
      <c r="M789" s="43" t="n">
        <v>2688</v>
      </c>
      <c r="N789" s="43" t="n">
        <v>3313</v>
      </c>
      <c r="O789" s="44">
        <f>IFERROR((F789-G789)/(F789+G789),"")</f>
        <v/>
      </c>
      <c r="P789" s="44">
        <f>IFERROR((I789-J789)/(I789+J789),"")</f>
        <v/>
      </c>
      <c r="Q789" s="45">
        <f>IFERROR(O789-P789,"")</f>
        <v/>
      </c>
      <c r="R789" s="44">
        <f>IFERROR((L789-M789)/(L789+M789),"")</f>
        <v/>
      </c>
      <c r="S789" s="46">
        <f>H789/SUMIFS(Counties!$H$2:$H$1583,Counties!$A$2:$A$1583,$A789)</f>
        <v/>
      </c>
      <c r="T789" s="44">
        <f>O789+INDEX(Dashboard!$F$6:$F$22,MATCH($A789,Dashboard!$A$6:$A$22,0))</f>
        <v/>
      </c>
      <c r="U789" s="43">
        <f>AQ789*INDEX(Dashboard!$G$6:$G$22,MATCH($A789,Dashboard!$A$6:$A$22,0))</f>
        <v/>
      </c>
      <c r="V789" s="47" t="n"/>
      <c r="W789" s="47" t="n"/>
      <c r="X789" s="47" t="n"/>
      <c r="Y789" s="48" t="n"/>
      <c r="Z789" s="49" t="n"/>
      <c r="AA789" s="49" t="n"/>
      <c r="AB789" s="49" t="n"/>
      <c r="AC789" s="50" t="n"/>
      <c r="AD789" s="43">
        <f>IF(Z789&lt;&gt;"",Z789,N(V789))</f>
        <v/>
      </c>
      <c r="AE789" s="43">
        <f>IF(AA789&lt;&gt;"",AA789,N(W789))</f>
        <v/>
      </c>
      <c r="AF789" s="43">
        <f>AD789+AE789</f>
        <v/>
      </c>
      <c r="AG789" s="42">
        <f>IF(UPPER(AC789)="Y",1,IF(AF789=0,0,IF(AND(Z789="",Y789&lt;&gt;""),IF(Y789&gt;=0.999,1,0),IF(AF789&gt;=U789,1,0))))</f>
        <v/>
      </c>
      <c r="AH789" s="44">
        <f>IF(AF789&gt;0,(AD789-AE789)/AF789,"")</f>
        <v/>
      </c>
      <c r="AI789" s="45">
        <f>IF(AG789=1,AH789-O789,"")</f>
        <v/>
      </c>
      <c r="AJ789" s="44">
        <f>IF(AG789=1,AH789,MAX(-1,MIN(1,O789+INDEX(Types!$H:$H,MATCH($A789&amp;"|"&amp;$D789,Types!$A:$A,0)))))</f>
        <v/>
      </c>
      <c r="AK789" s="43">
        <f>IF(AG789=1,AF789,MAX(AQ789*AS789,AF789))</f>
        <v/>
      </c>
      <c r="AL789" s="43">
        <f>IF(AG789=1,AD789,AK789*(1+AJ789)/2)</f>
        <v/>
      </c>
      <c r="AM789" s="43">
        <f>IF(AG789=1,AE789,AK789*(1-AJ789)/2)</f>
        <v/>
      </c>
      <c r="AN789" s="45">
        <f>IF(AH789="","",AH789-T789)</f>
        <v/>
      </c>
      <c r="AO789" s="51">
        <f>IF(AG789=1,1,IF(U789&gt;0,MIN(AF789/U789,0.99),0))</f>
        <v/>
      </c>
      <c r="AP789" s="43">
        <f>IF(AG789=1,AI789*AF789,0)</f>
        <v/>
      </c>
      <c r="AQ789" s="43">
        <f>N789*(F789+G789)/H789</f>
        <v/>
      </c>
      <c r="AR789" s="43">
        <f>O789*AQ789</f>
        <v/>
      </c>
      <c r="AS789" s="52">
        <f>IF(AG789=1,IF(AQ789&gt;0,AF789/AQ789,1),IFERROR(INDEX(Types!$K:$K,MATCH($A789&amp;"|"&amp;$D789,Types!$A:$A,0)),INDEX(Dashboard!$X$6:$X$22,MATCH($A789,Dashboard!$A$6:$A$22,0))))</f>
        <v/>
      </c>
      <c r="AT789" s="43">
        <f>AQ789*INDEX(Dashboard!$Y$6:$Y$22,MATCH($A789,Dashboard!$A$6:$A$22,0))</f>
        <v/>
      </c>
      <c r="AU789" s="53">
        <f>IF(AND(AG789=1,AT789&gt;0,AF789&gt;0),100*AF789/AT789,"")</f>
        <v/>
      </c>
      <c r="AV789" s="44">
        <f>IF(AU789="","",T789/(AU789/100))</f>
        <v/>
      </c>
      <c r="AW789" s="53">
        <f>IF(AU789="","",IF(AND(ABS(AH789)&gt;=0.1,ABS(T789)&gt;=0.05,SIGN(AH789)=SIGN(T789)),100*T789/AH789,""))</f>
        <v/>
      </c>
      <c r="AX789" s="45">
        <f>IF(AU789="","",T789-AV789)</f>
        <v/>
      </c>
      <c r="AY789" s="45">
        <f>IF(AU789="","",AH789-AV789)</f>
        <v/>
      </c>
      <c r="AZ789" s="54">
        <f>(AL789-AM789)-T789*AT789</f>
        <v/>
      </c>
      <c r="BA789" s="43">
        <f>IF(AU789="",0,(AH789-T789)*AF789)</f>
        <v/>
      </c>
      <c r="BB789" s="43">
        <f>IF(AU789="",0,T789*(AF789-AT789))</f>
        <v/>
      </c>
      <c r="BC789" s="51" t="n">
        <v>0.007860811235719526</v>
      </c>
      <c r="BD789" s="51" t="n">
        <v>0.0911854103343465</v>
      </c>
      <c r="BE789" s="51" t="n">
        <v>0.2209250112258644</v>
      </c>
      <c r="BF789" s="43" t="n">
        <v>9541</v>
      </c>
    </row>
    <row r="790">
      <c r="A790" s="42" t="inlineStr">
        <is>
          <t>NE</t>
        </is>
      </c>
      <c r="B790" s="42" t="inlineStr">
        <is>
          <t>31035</t>
        </is>
      </c>
      <c r="C790" s="42" t="inlineStr">
        <is>
          <t>Clay</t>
        </is>
      </c>
      <c r="D790" s="42" t="inlineStr">
        <is>
          <t>Small town &amp; rural</t>
        </is>
      </c>
      <c r="E790" s="42" t="inlineStr"/>
      <c r="F790" s="43" t="n">
        <v>577</v>
      </c>
      <c r="G790" s="43" t="n">
        <v>2677</v>
      </c>
      <c r="H790" s="43" t="n">
        <v>3310</v>
      </c>
      <c r="I790" s="43" t="n">
        <v>632</v>
      </c>
      <c r="J790" s="43" t="n">
        <v>2848</v>
      </c>
      <c r="K790" s="42" t="inlineStr">
        <is>
          <t>Governor</t>
        </is>
      </c>
      <c r="L790" s="43" t="n">
        <v>405</v>
      </c>
      <c r="M790" s="43" t="n">
        <v>2175</v>
      </c>
      <c r="N790" s="43" t="n">
        <v>2714</v>
      </c>
      <c r="O790" s="44">
        <f>IFERROR((F790-G790)/(F790+G790),"")</f>
        <v/>
      </c>
      <c r="P790" s="44">
        <f>IFERROR((I790-J790)/(I790+J790),"")</f>
        <v/>
      </c>
      <c r="Q790" s="45">
        <f>IFERROR(O790-P790,"")</f>
        <v/>
      </c>
      <c r="R790" s="44">
        <f>IFERROR((L790-M790)/(L790+M790),"")</f>
        <v/>
      </c>
      <c r="S790" s="46">
        <f>H790/SUMIFS(Counties!$H$2:$H$1583,Counties!$A$2:$A$1583,$A790)</f>
        <v/>
      </c>
      <c r="T790" s="44">
        <f>O790+INDEX(Dashboard!$F$6:$F$22,MATCH($A790,Dashboard!$A$6:$A$22,0))</f>
        <v/>
      </c>
      <c r="U790" s="43">
        <f>AQ790*INDEX(Dashboard!$G$6:$G$22,MATCH($A790,Dashboard!$A$6:$A$22,0))</f>
        <v/>
      </c>
      <c r="V790" s="47" t="n"/>
      <c r="W790" s="47" t="n"/>
      <c r="X790" s="47" t="n"/>
      <c r="Y790" s="48" t="n"/>
      <c r="Z790" s="49" t="n"/>
      <c r="AA790" s="49" t="n"/>
      <c r="AB790" s="49" t="n"/>
      <c r="AC790" s="50" t="n"/>
      <c r="AD790" s="43">
        <f>IF(Z790&lt;&gt;"",Z790,N(V790))</f>
        <v/>
      </c>
      <c r="AE790" s="43">
        <f>IF(AA790&lt;&gt;"",AA790,N(W790))</f>
        <v/>
      </c>
      <c r="AF790" s="43">
        <f>AD790+AE790</f>
        <v/>
      </c>
      <c r="AG790" s="42">
        <f>IF(UPPER(AC790)="Y",1,IF(AF790=0,0,IF(AND(Z790="",Y790&lt;&gt;""),IF(Y790&gt;=0.999,1,0),IF(AF790&gt;=U790,1,0))))</f>
        <v/>
      </c>
      <c r="AH790" s="44">
        <f>IF(AF790&gt;0,(AD790-AE790)/AF790,"")</f>
        <v/>
      </c>
      <c r="AI790" s="45">
        <f>IF(AG790=1,AH790-O790,"")</f>
        <v/>
      </c>
      <c r="AJ790" s="44">
        <f>IF(AG790=1,AH790,MAX(-1,MIN(1,O790+INDEX(Types!$H:$H,MATCH($A790&amp;"|"&amp;$D790,Types!$A:$A,0)))))</f>
        <v/>
      </c>
      <c r="AK790" s="43">
        <f>IF(AG790=1,AF790,MAX(AQ790*AS790,AF790))</f>
        <v/>
      </c>
      <c r="AL790" s="43">
        <f>IF(AG790=1,AD790,AK790*(1+AJ790)/2)</f>
        <v/>
      </c>
      <c r="AM790" s="43">
        <f>IF(AG790=1,AE790,AK790*(1-AJ790)/2)</f>
        <v/>
      </c>
      <c r="AN790" s="45">
        <f>IF(AH790="","",AH790-T790)</f>
        <v/>
      </c>
      <c r="AO790" s="51">
        <f>IF(AG790=1,1,IF(U790&gt;0,MIN(AF790/U790,0.99),0))</f>
        <v/>
      </c>
      <c r="AP790" s="43">
        <f>IF(AG790=1,AI790*AF790,0)</f>
        <v/>
      </c>
      <c r="AQ790" s="43">
        <f>N790*(F790+G790)/H790</f>
        <v/>
      </c>
      <c r="AR790" s="43">
        <f>O790*AQ790</f>
        <v/>
      </c>
      <c r="AS790" s="52">
        <f>IF(AG790=1,IF(AQ790&gt;0,AF790/AQ790,1),IFERROR(INDEX(Types!$K:$K,MATCH($A790&amp;"|"&amp;$D790,Types!$A:$A,0)),INDEX(Dashboard!$X$6:$X$22,MATCH($A790,Dashboard!$A$6:$A$22,0))))</f>
        <v/>
      </c>
      <c r="AT790" s="43">
        <f>AQ790*INDEX(Dashboard!$Y$6:$Y$22,MATCH($A790,Dashboard!$A$6:$A$22,0))</f>
        <v/>
      </c>
      <c r="AU790" s="53">
        <f>IF(AND(AG790=1,AT790&gt;0,AF790&gt;0),100*AF790/AT790,"")</f>
        <v/>
      </c>
      <c r="AV790" s="44">
        <f>IF(AU790="","",T790/(AU790/100))</f>
        <v/>
      </c>
      <c r="AW790" s="53">
        <f>IF(AU790="","",IF(AND(ABS(AH790)&gt;=0.1,ABS(T790)&gt;=0.05,SIGN(AH790)=SIGN(T790)),100*T790/AH790,""))</f>
        <v/>
      </c>
      <c r="AX790" s="45">
        <f>IF(AU790="","",T790-AV790)</f>
        <v/>
      </c>
      <c r="AY790" s="45">
        <f>IF(AU790="","",AH790-AV790)</f>
        <v/>
      </c>
      <c r="AZ790" s="54">
        <f>(AL790-AM790)-T790*AT790</f>
        <v/>
      </c>
      <c r="BA790" s="43">
        <f>IF(AU790="",0,(AH790-T790)*AF790)</f>
        <v/>
      </c>
      <c r="BB790" s="43">
        <f>IF(AU790="",0,T790*(AF790-AT790))</f>
        <v/>
      </c>
      <c r="BC790" s="51" t="n">
        <v>0.007684761281883584</v>
      </c>
      <c r="BD790" s="51" t="n">
        <v>0.09990189666448659</v>
      </c>
      <c r="BE790" s="51" t="n">
        <v>0.2286192068800764</v>
      </c>
      <c r="BF790" s="43" t="n">
        <v>6116</v>
      </c>
    </row>
    <row r="791">
      <c r="A791" s="42" t="inlineStr">
        <is>
          <t>NE</t>
        </is>
      </c>
      <c r="B791" s="42" t="inlineStr">
        <is>
          <t>31037</t>
        </is>
      </c>
      <c r="C791" s="42" t="inlineStr">
        <is>
          <t>Colfax</t>
        </is>
      </c>
      <c r="D791" s="42" t="inlineStr">
        <is>
          <t>Hispanic</t>
        </is>
      </c>
      <c r="E791" s="42" t="inlineStr"/>
      <c r="F791" s="43" t="n">
        <v>845</v>
      </c>
      <c r="G791" s="43" t="n">
        <v>2636</v>
      </c>
      <c r="H791" s="43" t="n">
        <v>3516</v>
      </c>
      <c r="I791" s="43" t="n">
        <v>1025</v>
      </c>
      <c r="J791" s="43" t="n">
        <v>2636</v>
      </c>
      <c r="K791" s="42" t="inlineStr">
        <is>
          <t>Governor</t>
        </is>
      </c>
      <c r="L791" s="43" t="n">
        <v>445</v>
      </c>
      <c r="M791" s="43" t="n">
        <v>1892</v>
      </c>
      <c r="N791" s="43" t="n">
        <v>2413</v>
      </c>
      <c r="O791" s="44">
        <f>IFERROR((F791-G791)/(F791+G791),"")</f>
        <v/>
      </c>
      <c r="P791" s="44">
        <f>IFERROR((I791-J791)/(I791+J791),"")</f>
        <v/>
      </c>
      <c r="Q791" s="45">
        <f>IFERROR(O791-P791,"")</f>
        <v/>
      </c>
      <c r="R791" s="44">
        <f>IFERROR((L791-M791)/(L791+M791),"")</f>
        <v/>
      </c>
      <c r="S791" s="46">
        <f>H791/SUMIFS(Counties!$H$2:$H$1583,Counties!$A$2:$A$1583,$A791)</f>
        <v/>
      </c>
      <c r="T791" s="44">
        <f>O791+INDEX(Dashboard!$F$6:$F$22,MATCH($A791,Dashboard!$A$6:$A$22,0))</f>
        <v/>
      </c>
      <c r="U791" s="43">
        <f>AQ791*INDEX(Dashboard!$G$6:$G$22,MATCH($A791,Dashboard!$A$6:$A$22,0))</f>
        <v/>
      </c>
      <c r="V791" s="47" t="n"/>
      <c r="W791" s="47" t="n"/>
      <c r="X791" s="47" t="n"/>
      <c r="Y791" s="48" t="n"/>
      <c r="Z791" s="49" t="n"/>
      <c r="AA791" s="49" t="n"/>
      <c r="AB791" s="49" t="n"/>
      <c r="AC791" s="50" t="n"/>
      <c r="AD791" s="43">
        <f>IF(Z791&lt;&gt;"",Z791,N(V791))</f>
        <v/>
      </c>
      <c r="AE791" s="43">
        <f>IF(AA791&lt;&gt;"",AA791,N(W791))</f>
        <v/>
      </c>
      <c r="AF791" s="43">
        <f>AD791+AE791</f>
        <v/>
      </c>
      <c r="AG791" s="42">
        <f>IF(UPPER(AC791)="Y",1,IF(AF791=0,0,IF(AND(Z791="",Y791&lt;&gt;""),IF(Y791&gt;=0.999,1,0),IF(AF791&gt;=U791,1,0))))</f>
        <v/>
      </c>
      <c r="AH791" s="44">
        <f>IF(AF791&gt;0,(AD791-AE791)/AF791,"")</f>
        <v/>
      </c>
      <c r="AI791" s="45">
        <f>IF(AG791=1,AH791-O791,"")</f>
        <v/>
      </c>
      <c r="AJ791" s="44">
        <f>IF(AG791=1,AH791,MAX(-1,MIN(1,O791+INDEX(Types!$H:$H,MATCH($A791&amp;"|"&amp;$D791,Types!$A:$A,0)))))</f>
        <v/>
      </c>
      <c r="AK791" s="43">
        <f>IF(AG791=1,AF791,MAX(AQ791*AS791,AF791))</f>
        <v/>
      </c>
      <c r="AL791" s="43">
        <f>IF(AG791=1,AD791,AK791*(1+AJ791)/2)</f>
        <v/>
      </c>
      <c r="AM791" s="43">
        <f>IF(AG791=1,AE791,AK791*(1-AJ791)/2)</f>
        <v/>
      </c>
      <c r="AN791" s="45">
        <f>IF(AH791="","",AH791-T791)</f>
        <v/>
      </c>
      <c r="AO791" s="51">
        <f>IF(AG791=1,1,IF(U791&gt;0,MIN(AF791/U791,0.99),0))</f>
        <v/>
      </c>
      <c r="AP791" s="43">
        <f>IF(AG791=1,AI791*AF791,0)</f>
        <v/>
      </c>
      <c r="AQ791" s="43">
        <f>N791*(F791+G791)/H791</f>
        <v/>
      </c>
      <c r="AR791" s="43">
        <f>O791*AQ791</f>
        <v/>
      </c>
      <c r="AS791" s="52">
        <f>IF(AG791=1,IF(AQ791&gt;0,AF791/AQ791,1),IFERROR(INDEX(Types!$K:$K,MATCH($A791&amp;"|"&amp;$D791,Types!$A:$A,0)),INDEX(Dashboard!$X$6:$X$22,MATCH($A791,Dashboard!$A$6:$A$22,0))))</f>
        <v/>
      </c>
      <c r="AT791" s="43">
        <f>AQ791*INDEX(Dashboard!$Y$6:$Y$22,MATCH($A791,Dashboard!$A$6:$A$22,0))</f>
        <v/>
      </c>
      <c r="AU791" s="53">
        <f>IF(AND(AG791=1,AT791&gt;0,AF791&gt;0),100*AF791/AT791,"")</f>
        <v/>
      </c>
      <c r="AV791" s="44">
        <f>IF(AU791="","",T791/(AU791/100))</f>
        <v/>
      </c>
      <c r="AW791" s="53">
        <f>IF(AU791="","",IF(AND(ABS(AH791)&gt;=0.1,ABS(T791)&gt;=0.05,SIGN(AH791)=SIGN(T791)),100*T791/AH791,""))</f>
        <v/>
      </c>
      <c r="AX791" s="45">
        <f>IF(AU791="","",T791-AV791)</f>
        <v/>
      </c>
      <c r="AY791" s="45">
        <f>IF(AU791="","",AH791-AV791)</f>
        <v/>
      </c>
      <c r="AZ791" s="54">
        <f>(AL791-AM791)-T791*AT791</f>
        <v/>
      </c>
      <c r="BA791" s="43">
        <f>IF(AU791="",0,(AH791-T791)*AF791)</f>
        <v/>
      </c>
      <c r="BB791" s="43">
        <f>IF(AU791="",0,T791*(AF791-AT791))</f>
        <v/>
      </c>
      <c r="BC791" s="51" t="n">
        <v>0.05186447094453909</v>
      </c>
      <c r="BD791" s="51" t="n">
        <v>0.4805035017982207</v>
      </c>
      <c r="BE791" s="51" t="n">
        <v>0.1409334353481255</v>
      </c>
      <c r="BF791" s="43" t="n">
        <v>10566</v>
      </c>
    </row>
    <row r="792">
      <c r="A792" s="42" t="inlineStr">
        <is>
          <t>NE</t>
        </is>
      </c>
      <c r="B792" s="42" t="inlineStr">
        <is>
          <t>31039</t>
        </is>
      </c>
      <c r="C792" s="42" t="inlineStr">
        <is>
          <t>Cuming</t>
        </is>
      </c>
      <c r="D792" s="42" t="inlineStr">
        <is>
          <t>Small town &amp; rural</t>
        </is>
      </c>
      <c r="E792" s="42" t="inlineStr"/>
      <c r="F792" s="43" t="n">
        <v>867</v>
      </c>
      <c r="G792" s="43" t="n">
        <v>3536</v>
      </c>
      <c r="H792" s="43" t="n">
        <v>4445</v>
      </c>
      <c r="I792" s="43" t="n">
        <v>870</v>
      </c>
      <c r="J792" s="43" t="n">
        <v>3507</v>
      </c>
      <c r="K792" s="42" t="inlineStr">
        <is>
          <t>Governor</t>
        </is>
      </c>
      <c r="L792" s="43" t="n">
        <v>509</v>
      </c>
      <c r="M792" s="43" t="n">
        <v>2589</v>
      </c>
      <c r="N792" s="43" t="n">
        <v>3194</v>
      </c>
      <c r="O792" s="44">
        <f>IFERROR((F792-G792)/(F792+G792),"")</f>
        <v/>
      </c>
      <c r="P792" s="44">
        <f>IFERROR((I792-J792)/(I792+J792),"")</f>
        <v/>
      </c>
      <c r="Q792" s="45">
        <f>IFERROR(O792-P792,"")</f>
        <v/>
      </c>
      <c r="R792" s="44">
        <f>IFERROR((L792-M792)/(L792+M792),"")</f>
        <v/>
      </c>
      <c r="S792" s="46">
        <f>H792/SUMIFS(Counties!$H$2:$H$1583,Counties!$A$2:$A$1583,$A792)</f>
        <v/>
      </c>
      <c r="T792" s="44">
        <f>O792+INDEX(Dashboard!$F$6:$F$22,MATCH($A792,Dashboard!$A$6:$A$22,0))</f>
        <v/>
      </c>
      <c r="U792" s="43">
        <f>AQ792*INDEX(Dashboard!$G$6:$G$22,MATCH($A792,Dashboard!$A$6:$A$22,0))</f>
        <v/>
      </c>
      <c r="V792" s="47" t="n"/>
      <c r="W792" s="47" t="n"/>
      <c r="X792" s="47" t="n"/>
      <c r="Y792" s="48" t="n"/>
      <c r="Z792" s="49" t="n"/>
      <c r="AA792" s="49" t="n"/>
      <c r="AB792" s="49" t="n"/>
      <c r="AC792" s="50" t="n"/>
      <c r="AD792" s="43">
        <f>IF(Z792&lt;&gt;"",Z792,N(V792))</f>
        <v/>
      </c>
      <c r="AE792" s="43">
        <f>IF(AA792&lt;&gt;"",AA792,N(W792))</f>
        <v/>
      </c>
      <c r="AF792" s="43">
        <f>AD792+AE792</f>
        <v/>
      </c>
      <c r="AG792" s="42">
        <f>IF(UPPER(AC792)="Y",1,IF(AF792=0,0,IF(AND(Z792="",Y792&lt;&gt;""),IF(Y792&gt;=0.999,1,0),IF(AF792&gt;=U792,1,0))))</f>
        <v/>
      </c>
      <c r="AH792" s="44">
        <f>IF(AF792&gt;0,(AD792-AE792)/AF792,"")</f>
        <v/>
      </c>
      <c r="AI792" s="45">
        <f>IF(AG792=1,AH792-O792,"")</f>
        <v/>
      </c>
      <c r="AJ792" s="44">
        <f>IF(AG792=1,AH792,MAX(-1,MIN(1,O792+INDEX(Types!$H:$H,MATCH($A792&amp;"|"&amp;$D792,Types!$A:$A,0)))))</f>
        <v/>
      </c>
      <c r="AK792" s="43">
        <f>IF(AG792=1,AF792,MAX(AQ792*AS792,AF792))</f>
        <v/>
      </c>
      <c r="AL792" s="43">
        <f>IF(AG792=1,AD792,AK792*(1+AJ792)/2)</f>
        <v/>
      </c>
      <c r="AM792" s="43">
        <f>IF(AG792=1,AE792,AK792*(1-AJ792)/2)</f>
        <v/>
      </c>
      <c r="AN792" s="45">
        <f>IF(AH792="","",AH792-T792)</f>
        <v/>
      </c>
      <c r="AO792" s="51">
        <f>IF(AG792=1,1,IF(U792&gt;0,MIN(AF792/U792,0.99),0))</f>
        <v/>
      </c>
      <c r="AP792" s="43">
        <f>IF(AG792=1,AI792*AF792,0)</f>
        <v/>
      </c>
      <c r="AQ792" s="43">
        <f>N792*(F792+G792)/H792</f>
        <v/>
      </c>
      <c r="AR792" s="43">
        <f>O792*AQ792</f>
        <v/>
      </c>
      <c r="AS792" s="52">
        <f>IF(AG792=1,IF(AQ792&gt;0,AF792/AQ792,1),IFERROR(INDEX(Types!$K:$K,MATCH($A792&amp;"|"&amp;$D792,Types!$A:$A,0)),INDEX(Dashboard!$X$6:$X$22,MATCH($A792,Dashboard!$A$6:$A$22,0))))</f>
        <v/>
      </c>
      <c r="AT792" s="43">
        <f>AQ792*INDEX(Dashboard!$Y$6:$Y$22,MATCH($A792,Dashboard!$A$6:$A$22,0))</f>
        <v/>
      </c>
      <c r="AU792" s="53">
        <f>IF(AND(AG792=1,AT792&gt;0,AF792&gt;0),100*AF792/AT792,"")</f>
        <v/>
      </c>
      <c r="AV792" s="44">
        <f>IF(AU792="","",T792/(AU792/100))</f>
        <v/>
      </c>
      <c r="AW792" s="53">
        <f>IF(AU792="","",IF(AND(ABS(AH792)&gt;=0.1,ABS(T792)&gt;=0.05,SIGN(AH792)=SIGN(T792)),100*T792/AH792,""))</f>
        <v/>
      </c>
      <c r="AX792" s="45">
        <f>IF(AU792="","",T792-AV792)</f>
        <v/>
      </c>
      <c r="AY792" s="45">
        <f>IF(AU792="","",AH792-AV792)</f>
        <v/>
      </c>
      <c r="AZ792" s="54">
        <f>(AL792-AM792)-T792*AT792</f>
        <v/>
      </c>
      <c r="BA792" s="43">
        <f>IF(AU792="",0,(AH792-T792)*AF792)</f>
        <v/>
      </c>
      <c r="BB792" s="43">
        <f>IF(AU792="",0,T792*(AF792-AT792))</f>
        <v/>
      </c>
      <c r="BC792" s="51" t="n">
        <v>0.004485310607759588</v>
      </c>
      <c r="BD792" s="51" t="n">
        <v>0.1235703072437766</v>
      </c>
      <c r="BE792" s="51" t="n">
        <v>0.2481812169312169</v>
      </c>
      <c r="BF792" s="43" t="n">
        <v>8918</v>
      </c>
    </row>
    <row r="793">
      <c r="A793" s="42" t="inlineStr">
        <is>
          <t>NE</t>
        </is>
      </c>
      <c r="B793" s="42" t="inlineStr">
        <is>
          <t>31041</t>
        </is>
      </c>
      <c r="C793" s="42" t="inlineStr">
        <is>
          <t>Custer</t>
        </is>
      </c>
      <c r="D793" s="42" t="inlineStr">
        <is>
          <t>Small town &amp; rural</t>
        </is>
      </c>
      <c r="E793" s="42" t="inlineStr"/>
      <c r="F793" s="43" t="n">
        <v>786</v>
      </c>
      <c r="G793" s="43" t="n">
        <v>5042</v>
      </c>
      <c r="H793" s="43" t="n">
        <v>5886</v>
      </c>
      <c r="I793" s="43" t="n">
        <v>786</v>
      </c>
      <c r="J793" s="43" t="n">
        <v>5090</v>
      </c>
      <c r="K793" s="42" t="inlineStr">
        <is>
          <t>Governor</t>
        </is>
      </c>
      <c r="L793" s="43" t="n">
        <v>561</v>
      </c>
      <c r="M793" s="43" t="n">
        <v>3562</v>
      </c>
      <c r="N793" s="43" t="n">
        <v>4326</v>
      </c>
      <c r="O793" s="44">
        <f>IFERROR((F793-G793)/(F793+G793),"")</f>
        <v/>
      </c>
      <c r="P793" s="44">
        <f>IFERROR((I793-J793)/(I793+J793),"")</f>
        <v/>
      </c>
      <c r="Q793" s="45">
        <f>IFERROR(O793-P793,"")</f>
        <v/>
      </c>
      <c r="R793" s="44">
        <f>IFERROR((L793-M793)/(L793+M793),"")</f>
        <v/>
      </c>
      <c r="S793" s="46">
        <f>H793/SUMIFS(Counties!$H$2:$H$1583,Counties!$A$2:$A$1583,$A793)</f>
        <v/>
      </c>
      <c r="T793" s="44">
        <f>O793+INDEX(Dashboard!$F$6:$F$22,MATCH($A793,Dashboard!$A$6:$A$22,0))</f>
        <v/>
      </c>
      <c r="U793" s="43">
        <f>AQ793*INDEX(Dashboard!$G$6:$G$22,MATCH($A793,Dashboard!$A$6:$A$22,0))</f>
        <v/>
      </c>
      <c r="V793" s="47" t="n"/>
      <c r="W793" s="47" t="n"/>
      <c r="X793" s="47" t="n"/>
      <c r="Y793" s="48" t="n"/>
      <c r="Z793" s="49" t="n"/>
      <c r="AA793" s="49" t="n"/>
      <c r="AB793" s="49" t="n"/>
      <c r="AC793" s="50" t="n"/>
      <c r="AD793" s="43">
        <f>IF(Z793&lt;&gt;"",Z793,N(V793))</f>
        <v/>
      </c>
      <c r="AE793" s="43">
        <f>IF(AA793&lt;&gt;"",AA793,N(W793))</f>
        <v/>
      </c>
      <c r="AF793" s="43">
        <f>AD793+AE793</f>
        <v/>
      </c>
      <c r="AG793" s="42">
        <f>IF(UPPER(AC793)="Y",1,IF(AF793=0,0,IF(AND(Z793="",Y793&lt;&gt;""),IF(Y793&gt;=0.999,1,0),IF(AF793&gt;=U793,1,0))))</f>
        <v/>
      </c>
      <c r="AH793" s="44">
        <f>IF(AF793&gt;0,(AD793-AE793)/AF793,"")</f>
        <v/>
      </c>
      <c r="AI793" s="45">
        <f>IF(AG793=1,AH793-O793,"")</f>
        <v/>
      </c>
      <c r="AJ793" s="44">
        <f>IF(AG793=1,AH793,MAX(-1,MIN(1,O793+INDEX(Types!$H:$H,MATCH($A793&amp;"|"&amp;$D793,Types!$A:$A,0)))))</f>
        <v/>
      </c>
      <c r="AK793" s="43">
        <f>IF(AG793=1,AF793,MAX(AQ793*AS793,AF793))</f>
        <v/>
      </c>
      <c r="AL793" s="43">
        <f>IF(AG793=1,AD793,AK793*(1+AJ793)/2)</f>
        <v/>
      </c>
      <c r="AM793" s="43">
        <f>IF(AG793=1,AE793,AK793*(1-AJ793)/2)</f>
        <v/>
      </c>
      <c r="AN793" s="45">
        <f>IF(AH793="","",AH793-T793)</f>
        <v/>
      </c>
      <c r="AO793" s="51">
        <f>IF(AG793=1,1,IF(U793&gt;0,MIN(AF793/U793,0.99),0))</f>
        <v/>
      </c>
      <c r="AP793" s="43">
        <f>IF(AG793=1,AI793*AF793,0)</f>
        <v/>
      </c>
      <c r="AQ793" s="43">
        <f>N793*(F793+G793)/H793</f>
        <v/>
      </c>
      <c r="AR793" s="43">
        <f>O793*AQ793</f>
        <v/>
      </c>
      <c r="AS793" s="52">
        <f>IF(AG793=1,IF(AQ793&gt;0,AF793/AQ793,1),IFERROR(INDEX(Types!$K:$K,MATCH($A793&amp;"|"&amp;$D793,Types!$A:$A,0)),INDEX(Dashboard!$X$6:$X$22,MATCH($A793,Dashboard!$A$6:$A$22,0))))</f>
        <v/>
      </c>
      <c r="AT793" s="43">
        <f>AQ793*INDEX(Dashboard!$Y$6:$Y$22,MATCH($A793,Dashboard!$A$6:$A$22,0))</f>
        <v/>
      </c>
      <c r="AU793" s="53">
        <f>IF(AND(AG793=1,AT793&gt;0,AF793&gt;0),100*AF793/AT793,"")</f>
        <v/>
      </c>
      <c r="AV793" s="44">
        <f>IF(AU793="","",T793/(AU793/100))</f>
        <v/>
      </c>
      <c r="AW793" s="53">
        <f>IF(AU793="","",IF(AND(ABS(AH793)&gt;=0.1,ABS(T793)&gt;=0.05,SIGN(AH793)=SIGN(T793)),100*T793/AH793,""))</f>
        <v/>
      </c>
      <c r="AX793" s="45">
        <f>IF(AU793="","",T793-AV793)</f>
        <v/>
      </c>
      <c r="AY793" s="45">
        <f>IF(AU793="","",AH793-AV793)</f>
        <v/>
      </c>
      <c r="AZ793" s="54">
        <f>(AL793-AM793)-T793*AT793</f>
        <v/>
      </c>
      <c r="BA793" s="43">
        <f>IF(AU793="",0,(AH793-T793)*AF793)</f>
        <v/>
      </c>
      <c r="BB793" s="43">
        <f>IF(AU793="",0,T793*(AF793-AT793))</f>
        <v/>
      </c>
      <c r="BC793" s="51" t="n">
        <v>0.008033267177015404</v>
      </c>
      <c r="BD793" s="51" t="n">
        <v>0.04044986296191286</v>
      </c>
      <c r="BE793" s="51" t="n">
        <v>0.2562175457775349</v>
      </c>
      <c r="BF793" s="43" t="n">
        <v>10581</v>
      </c>
    </row>
    <row r="794">
      <c r="A794" s="42" t="inlineStr">
        <is>
          <t>NE</t>
        </is>
      </c>
      <c r="B794" s="42" t="inlineStr">
        <is>
          <t>31043</t>
        </is>
      </c>
      <c r="C794" s="42" t="inlineStr">
        <is>
          <t>Dakota</t>
        </is>
      </c>
      <c r="D794" s="42" t="inlineStr">
        <is>
          <t>Hispanic</t>
        </is>
      </c>
      <c r="E794" s="42" t="inlineStr"/>
      <c r="F794" s="43" t="n">
        <v>2109</v>
      </c>
      <c r="G794" s="43" t="n">
        <v>3934</v>
      </c>
      <c r="H794" s="43" t="n">
        <v>6120</v>
      </c>
      <c r="I794" s="43" t="n">
        <v>2744</v>
      </c>
      <c r="J794" s="43" t="n">
        <v>3926</v>
      </c>
      <c r="K794" s="42" t="inlineStr">
        <is>
          <t>Governor</t>
        </is>
      </c>
      <c r="L794" s="43" t="n">
        <v>931</v>
      </c>
      <c r="M794" s="43" t="n">
        <v>2525</v>
      </c>
      <c r="N794" s="43" t="n">
        <v>3603</v>
      </c>
      <c r="O794" s="44">
        <f>IFERROR((F794-G794)/(F794+G794),"")</f>
        <v/>
      </c>
      <c r="P794" s="44">
        <f>IFERROR((I794-J794)/(I794+J794),"")</f>
        <v/>
      </c>
      <c r="Q794" s="45">
        <f>IFERROR(O794-P794,"")</f>
        <v/>
      </c>
      <c r="R794" s="44">
        <f>IFERROR((L794-M794)/(L794+M794),"")</f>
        <v/>
      </c>
      <c r="S794" s="46">
        <f>H794/SUMIFS(Counties!$H$2:$H$1583,Counties!$A$2:$A$1583,$A794)</f>
        <v/>
      </c>
      <c r="T794" s="44">
        <f>O794+INDEX(Dashboard!$F$6:$F$22,MATCH($A794,Dashboard!$A$6:$A$22,0))</f>
        <v/>
      </c>
      <c r="U794" s="43">
        <f>AQ794*INDEX(Dashboard!$G$6:$G$22,MATCH($A794,Dashboard!$A$6:$A$22,0))</f>
        <v/>
      </c>
      <c r="V794" s="47" t="n"/>
      <c r="W794" s="47" t="n"/>
      <c r="X794" s="47" t="n"/>
      <c r="Y794" s="48" t="n"/>
      <c r="Z794" s="49" t="n"/>
      <c r="AA794" s="49" t="n"/>
      <c r="AB794" s="49" t="n"/>
      <c r="AC794" s="50" t="n"/>
      <c r="AD794" s="43">
        <f>IF(Z794&lt;&gt;"",Z794,N(V794))</f>
        <v/>
      </c>
      <c r="AE794" s="43">
        <f>IF(AA794&lt;&gt;"",AA794,N(W794))</f>
        <v/>
      </c>
      <c r="AF794" s="43">
        <f>AD794+AE794</f>
        <v/>
      </c>
      <c r="AG794" s="42">
        <f>IF(UPPER(AC794)="Y",1,IF(AF794=0,0,IF(AND(Z794="",Y794&lt;&gt;""),IF(Y794&gt;=0.999,1,0),IF(AF794&gt;=U794,1,0))))</f>
        <v/>
      </c>
      <c r="AH794" s="44">
        <f>IF(AF794&gt;0,(AD794-AE794)/AF794,"")</f>
        <v/>
      </c>
      <c r="AI794" s="45">
        <f>IF(AG794=1,AH794-O794,"")</f>
        <v/>
      </c>
      <c r="AJ794" s="44">
        <f>IF(AG794=1,AH794,MAX(-1,MIN(1,O794+INDEX(Types!$H:$H,MATCH($A794&amp;"|"&amp;$D794,Types!$A:$A,0)))))</f>
        <v/>
      </c>
      <c r="AK794" s="43">
        <f>IF(AG794=1,AF794,MAX(AQ794*AS794,AF794))</f>
        <v/>
      </c>
      <c r="AL794" s="43">
        <f>IF(AG794=1,AD794,AK794*(1+AJ794)/2)</f>
        <v/>
      </c>
      <c r="AM794" s="43">
        <f>IF(AG794=1,AE794,AK794*(1-AJ794)/2)</f>
        <v/>
      </c>
      <c r="AN794" s="45">
        <f>IF(AH794="","",AH794-T794)</f>
        <v/>
      </c>
      <c r="AO794" s="51">
        <f>IF(AG794=1,1,IF(U794&gt;0,MIN(AF794/U794,0.99),0))</f>
        <v/>
      </c>
      <c r="AP794" s="43">
        <f>IF(AG794=1,AI794*AF794,0)</f>
        <v/>
      </c>
      <c r="AQ794" s="43">
        <f>N794*(F794+G794)/H794</f>
        <v/>
      </c>
      <c r="AR794" s="43">
        <f>O794*AQ794</f>
        <v/>
      </c>
      <c r="AS794" s="52">
        <f>IF(AG794=1,IF(AQ794&gt;0,AF794/AQ794,1),IFERROR(INDEX(Types!$K:$K,MATCH($A794&amp;"|"&amp;$D794,Types!$A:$A,0)),INDEX(Dashboard!$X$6:$X$22,MATCH($A794,Dashboard!$A$6:$A$22,0))))</f>
        <v/>
      </c>
      <c r="AT794" s="43">
        <f>AQ794*INDEX(Dashboard!$Y$6:$Y$22,MATCH($A794,Dashboard!$A$6:$A$22,0))</f>
        <v/>
      </c>
      <c r="AU794" s="53">
        <f>IF(AND(AG794=1,AT794&gt;0,AF794&gt;0),100*AF794/AT794,"")</f>
        <v/>
      </c>
      <c r="AV794" s="44">
        <f>IF(AU794="","",T794/(AU794/100))</f>
        <v/>
      </c>
      <c r="AW794" s="53">
        <f>IF(AU794="","",IF(AND(ABS(AH794)&gt;=0.1,ABS(T794)&gt;=0.05,SIGN(AH794)=SIGN(T794)),100*T794/AH794,""))</f>
        <v/>
      </c>
      <c r="AX794" s="45">
        <f>IF(AU794="","",T794-AV794)</f>
        <v/>
      </c>
      <c r="AY794" s="45">
        <f>IF(AU794="","",AH794-AV794)</f>
        <v/>
      </c>
      <c r="AZ794" s="54">
        <f>(AL794-AM794)-T794*AT794</f>
        <v/>
      </c>
      <c r="BA794" s="43">
        <f>IF(AU794="",0,(AH794-T794)*AF794)</f>
        <v/>
      </c>
      <c r="BB794" s="43">
        <f>IF(AU794="",0,T794*(AF794-AT794))</f>
        <v/>
      </c>
      <c r="BC794" s="51" t="n">
        <v>0.08237728042129019</v>
      </c>
      <c r="BD794" s="51" t="n">
        <v>0.4191743464359601</v>
      </c>
      <c r="BE794" s="51" t="n">
        <v>0.1512317518248175</v>
      </c>
      <c r="BF794" s="43" t="n">
        <v>21268</v>
      </c>
    </row>
    <row r="795">
      <c r="A795" s="42" t="inlineStr">
        <is>
          <t>NE</t>
        </is>
      </c>
      <c r="B795" s="42" t="inlineStr">
        <is>
          <t>31045</t>
        </is>
      </c>
      <c r="C795" s="42" t="inlineStr">
        <is>
          <t>Dawes</t>
        </is>
      </c>
      <c r="D795" s="42" t="inlineStr">
        <is>
          <t>Small town &amp; rural</t>
        </is>
      </c>
      <c r="E795" s="42" t="inlineStr"/>
      <c r="F795" s="43" t="n">
        <v>992</v>
      </c>
      <c r="G795" s="43" t="n">
        <v>2812</v>
      </c>
      <c r="H795" s="43" t="n">
        <v>3868</v>
      </c>
      <c r="I795" s="43" t="n">
        <v>1082</v>
      </c>
      <c r="J795" s="43" t="n">
        <v>2931</v>
      </c>
      <c r="K795" s="42" t="inlineStr">
        <is>
          <t>Governor</t>
        </is>
      </c>
      <c r="L795" s="43" t="n">
        <v>821</v>
      </c>
      <c r="M795" s="43" t="n">
        <v>2158</v>
      </c>
      <c r="N795" s="43" t="n">
        <v>3099</v>
      </c>
      <c r="O795" s="44">
        <f>IFERROR((F795-G795)/(F795+G795),"")</f>
        <v/>
      </c>
      <c r="P795" s="44">
        <f>IFERROR((I795-J795)/(I795+J795),"")</f>
        <v/>
      </c>
      <c r="Q795" s="45">
        <f>IFERROR(O795-P795,"")</f>
        <v/>
      </c>
      <c r="R795" s="44">
        <f>IFERROR((L795-M795)/(L795+M795),"")</f>
        <v/>
      </c>
      <c r="S795" s="46">
        <f>H795/SUMIFS(Counties!$H$2:$H$1583,Counties!$A$2:$A$1583,$A795)</f>
        <v/>
      </c>
      <c r="T795" s="44">
        <f>O795+INDEX(Dashboard!$F$6:$F$22,MATCH($A795,Dashboard!$A$6:$A$22,0))</f>
        <v/>
      </c>
      <c r="U795" s="43">
        <f>AQ795*INDEX(Dashboard!$G$6:$G$22,MATCH($A795,Dashboard!$A$6:$A$22,0))</f>
        <v/>
      </c>
      <c r="V795" s="47" t="n"/>
      <c r="W795" s="47" t="n"/>
      <c r="X795" s="47" t="n"/>
      <c r="Y795" s="48" t="n"/>
      <c r="Z795" s="49" t="n"/>
      <c r="AA795" s="49" t="n"/>
      <c r="AB795" s="49" t="n"/>
      <c r="AC795" s="50" t="n"/>
      <c r="AD795" s="43">
        <f>IF(Z795&lt;&gt;"",Z795,N(V795))</f>
        <v/>
      </c>
      <c r="AE795" s="43">
        <f>IF(AA795&lt;&gt;"",AA795,N(W795))</f>
        <v/>
      </c>
      <c r="AF795" s="43">
        <f>AD795+AE795</f>
        <v/>
      </c>
      <c r="AG795" s="42">
        <f>IF(UPPER(AC795)="Y",1,IF(AF795=0,0,IF(AND(Z795="",Y795&lt;&gt;""),IF(Y795&gt;=0.999,1,0),IF(AF795&gt;=U795,1,0))))</f>
        <v/>
      </c>
      <c r="AH795" s="44">
        <f>IF(AF795&gt;0,(AD795-AE795)/AF795,"")</f>
        <v/>
      </c>
      <c r="AI795" s="45">
        <f>IF(AG795=1,AH795-O795,"")</f>
        <v/>
      </c>
      <c r="AJ795" s="44">
        <f>IF(AG795=1,AH795,MAX(-1,MIN(1,O795+INDEX(Types!$H:$H,MATCH($A795&amp;"|"&amp;$D795,Types!$A:$A,0)))))</f>
        <v/>
      </c>
      <c r="AK795" s="43">
        <f>IF(AG795=1,AF795,MAX(AQ795*AS795,AF795))</f>
        <v/>
      </c>
      <c r="AL795" s="43">
        <f>IF(AG795=1,AD795,AK795*(1+AJ795)/2)</f>
        <v/>
      </c>
      <c r="AM795" s="43">
        <f>IF(AG795=1,AE795,AK795*(1-AJ795)/2)</f>
        <v/>
      </c>
      <c r="AN795" s="45">
        <f>IF(AH795="","",AH795-T795)</f>
        <v/>
      </c>
      <c r="AO795" s="51">
        <f>IF(AG795=1,1,IF(U795&gt;0,MIN(AF795/U795,0.99),0))</f>
        <v/>
      </c>
      <c r="AP795" s="43">
        <f>IF(AG795=1,AI795*AF795,0)</f>
        <v/>
      </c>
      <c r="AQ795" s="43">
        <f>N795*(F795+G795)/H795</f>
        <v/>
      </c>
      <c r="AR795" s="43">
        <f>O795*AQ795</f>
        <v/>
      </c>
      <c r="AS795" s="52">
        <f>IF(AG795=1,IF(AQ795&gt;0,AF795/AQ795,1),IFERROR(INDEX(Types!$K:$K,MATCH($A795&amp;"|"&amp;$D795,Types!$A:$A,0)),INDEX(Dashboard!$X$6:$X$22,MATCH($A795,Dashboard!$A$6:$A$22,0))))</f>
        <v/>
      </c>
      <c r="AT795" s="43">
        <f>AQ795*INDEX(Dashboard!$Y$6:$Y$22,MATCH($A795,Dashboard!$A$6:$A$22,0))</f>
        <v/>
      </c>
      <c r="AU795" s="53">
        <f>IF(AND(AG795=1,AT795&gt;0,AF795&gt;0),100*AF795/AT795,"")</f>
        <v/>
      </c>
      <c r="AV795" s="44">
        <f>IF(AU795="","",T795/(AU795/100))</f>
        <v/>
      </c>
      <c r="AW795" s="53">
        <f>IF(AU795="","",IF(AND(ABS(AH795)&gt;=0.1,ABS(T795)&gt;=0.05,SIGN(AH795)=SIGN(T795)),100*T795/AH795,""))</f>
        <v/>
      </c>
      <c r="AX795" s="45">
        <f>IF(AU795="","",T795-AV795)</f>
        <v/>
      </c>
      <c r="AY795" s="45">
        <f>IF(AU795="","",AH795-AV795)</f>
        <v/>
      </c>
      <c r="AZ795" s="54">
        <f>(AL795-AM795)-T795*AT795</f>
        <v/>
      </c>
      <c r="BA795" s="43">
        <f>IF(AU795="",0,(AH795-T795)*AF795)</f>
        <v/>
      </c>
      <c r="BB795" s="43">
        <f>IF(AU795="",0,T795*(AF795-AT795))</f>
        <v/>
      </c>
      <c r="BC795" s="51" t="n">
        <v>0.01684495266199434</v>
      </c>
      <c r="BD795" s="51" t="n">
        <v>0.05336284273945654</v>
      </c>
      <c r="BE795" s="51" t="n">
        <v>0.3516591399960731</v>
      </c>
      <c r="BF795" s="43" t="n">
        <v>8133</v>
      </c>
    </row>
    <row r="796">
      <c r="A796" s="42" t="inlineStr">
        <is>
          <t>NE</t>
        </is>
      </c>
      <c r="B796" s="42" t="inlineStr">
        <is>
          <t>31047</t>
        </is>
      </c>
      <c r="C796" s="42" t="inlineStr">
        <is>
          <t>Dawson</t>
        </is>
      </c>
      <c r="D796" s="42" t="inlineStr">
        <is>
          <t>Small town &amp; rural</t>
        </is>
      </c>
      <c r="E796" s="42" t="inlineStr"/>
      <c r="F796" s="43" t="n">
        <v>2101</v>
      </c>
      <c r="G796" s="43" t="n">
        <v>6312</v>
      </c>
      <c r="H796" s="43" t="n">
        <v>8491</v>
      </c>
      <c r="I796" s="43" t="n">
        <v>2497</v>
      </c>
      <c r="J796" s="43" t="n">
        <v>6524</v>
      </c>
      <c r="K796" s="42" t="inlineStr">
        <is>
          <t>Governor</t>
        </is>
      </c>
      <c r="L796" s="43" t="n">
        <v>1035</v>
      </c>
      <c r="M796" s="43" t="n">
        <v>4303</v>
      </c>
      <c r="N796" s="43" t="n">
        <v>5618</v>
      </c>
      <c r="O796" s="44">
        <f>IFERROR((F796-G796)/(F796+G796),"")</f>
        <v/>
      </c>
      <c r="P796" s="44">
        <f>IFERROR((I796-J796)/(I796+J796),"")</f>
        <v/>
      </c>
      <c r="Q796" s="45">
        <f>IFERROR(O796-P796,"")</f>
        <v/>
      </c>
      <c r="R796" s="44">
        <f>IFERROR((L796-M796)/(L796+M796),"")</f>
        <v/>
      </c>
      <c r="S796" s="46">
        <f>H796/SUMIFS(Counties!$H$2:$H$1583,Counties!$A$2:$A$1583,$A796)</f>
        <v/>
      </c>
      <c r="T796" s="44">
        <f>O796+INDEX(Dashboard!$F$6:$F$22,MATCH($A796,Dashboard!$A$6:$A$22,0))</f>
        <v/>
      </c>
      <c r="U796" s="43">
        <f>AQ796*INDEX(Dashboard!$G$6:$G$22,MATCH($A796,Dashboard!$A$6:$A$22,0))</f>
        <v/>
      </c>
      <c r="V796" s="47" t="n"/>
      <c r="W796" s="47" t="n"/>
      <c r="X796" s="47" t="n"/>
      <c r="Y796" s="48" t="n"/>
      <c r="Z796" s="49" t="n"/>
      <c r="AA796" s="49" t="n"/>
      <c r="AB796" s="49" t="n"/>
      <c r="AC796" s="50" t="n"/>
      <c r="AD796" s="43">
        <f>IF(Z796&lt;&gt;"",Z796,N(V796))</f>
        <v/>
      </c>
      <c r="AE796" s="43">
        <f>IF(AA796&lt;&gt;"",AA796,N(W796))</f>
        <v/>
      </c>
      <c r="AF796" s="43">
        <f>AD796+AE796</f>
        <v/>
      </c>
      <c r="AG796" s="42">
        <f>IF(UPPER(AC796)="Y",1,IF(AF796=0,0,IF(AND(Z796="",Y796&lt;&gt;""),IF(Y796&gt;=0.999,1,0),IF(AF796&gt;=U796,1,0))))</f>
        <v/>
      </c>
      <c r="AH796" s="44">
        <f>IF(AF796&gt;0,(AD796-AE796)/AF796,"")</f>
        <v/>
      </c>
      <c r="AI796" s="45">
        <f>IF(AG796=1,AH796-O796,"")</f>
        <v/>
      </c>
      <c r="AJ796" s="44">
        <f>IF(AG796=1,AH796,MAX(-1,MIN(1,O796+INDEX(Types!$H:$H,MATCH($A796&amp;"|"&amp;$D796,Types!$A:$A,0)))))</f>
        <v/>
      </c>
      <c r="AK796" s="43">
        <f>IF(AG796=1,AF796,MAX(AQ796*AS796,AF796))</f>
        <v/>
      </c>
      <c r="AL796" s="43">
        <f>IF(AG796=1,AD796,AK796*(1+AJ796)/2)</f>
        <v/>
      </c>
      <c r="AM796" s="43">
        <f>IF(AG796=1,AE796,AK796*(1-AJ796)/2)</f>
        <v/>
      </c>
      <c r="AN796" s="45">
        <f>IF(AH796="","",AH796-T796)</f>
        <v/>
      </c>
      <c r="AO796" s="51">
        <f>IF(AG796=1,1,IF(U796&gt;0,MIN(AF796/U796,0.99),0))</f>
        <v/>
      </c>
      <c r="AP796" s="43">
        <f>IF(AG796=1,AI796*AF796,0)</f>
        <v/>
      </c>
      <c r="AQ796" s="43">
        <f>N796*(F796+G796)/H796</f>
        <v/>
      </c>
      <c r="AR796" s="43">
        <f>O796*AQ796</f>
        <v/>
      </c>
      <c r="AS796" s="52">
        <f>IF(AG796=1,IF(AQ796&gt;0,AF796/AQ796,1),IFERROR(INDEX(Types!$K:$K,MATCH($A796&amp;"|"&amp;$D796,Types!$A:$A,0)),INDEX(Dashboard!$X$6:$X$22,MATCH($A796,Dashboard!$A$6:$A$22,0))))</f>
        <v/>
      </c>
      <c r="AT796" s="43">
        <f>AQ796*INDEX(Dashboard!$Y$6:$Y$22,MATCH($A796,Dashboard!$A$6:$A$22,0))</f>
        <v/>
      </c>
      <c r="AU796" s="53">
        <f>IF(AND(AG796=1,AT796&gt;0,AF796&gt;0),100*AF796/AT796,"")</f>
        <v/>
      </c>
      <c r="AV796" s="44">
        <f>IF(AU796="","",T796/(AU796/100))</f>
        <v/>
      </c>
      <c r="AW796" s="53">
        <f>IF(AU796="","",IF(AND(ABS(AH796)&gt;=0.1,ABS(T796)&gt;=0.05,SIGN(AH796)=SIGN(T796)),100*T796/AH796,""))</f>
        <v/>
      </c>
      <c r="AX796" s="45">
        <f>IF(AU796="","",T796-AV796)</f>
        <v/>
      </c>
      <c r="AY796" s="45">
        <f>IF(AU796="","",AH796-AV796)</f>
        <v/>
      </c>
      <c r="AZ796" s="54">
        <f>(AL796-AM796)-T796*AT796</f>
        <v/>
      </c>
      <c r="BA796" s="43">
        <f>IF(AU796="",0,(AH796-T796)*AF796)</f>
        <v/>
      </c>
      <c r="BB796" s="43">
        <f>IF(AU796="",0,T796*(AF796-AT796))</f>
        <v/>
      </c>
      <c r="BC796" s="51" t="n">
        <v>0.06676354577537887</v>
      </c>
      <c r="BD796" s="51" t="n">
        <v>0.3752958272783891</v>
      </c>
      <c r="BE796" s="51" t="n">
        <v>0.1753816174082494</v>
      </c>
      <c r="BF796" s="43" t="n">
        <v>24085</v>
      </c>
    </row>
    <row r="797">
      <c r="A797" s="42" t="inlineStr">
        <is>
          <t>NE</t>
        </is>
      </c>
      <c r="B797" s="42" t="inlineStr">
        <is>
          <t>31049</t>
        </is>
      </c>
      <c r="C797" s="42" t="inlineStr">
        <is>
          <t>Deuel</t>
        </is>
      </c>
      <c r="D797" s="42" t="inlineStr">
        <is>
          <t>Small town &amp; rural</t>
        </is>
      </c>
      <c r="E797" s="42" t="inlineStr"/>
      <c r="F797" s="43" t="n">
        <v>151</v>
      </c>
      <c r="G797" s="43" t="n">
        <v>843</v>
      </c>
      <c r="H797" s="43" t="n">
        <v>1012</v>
      </c>
      <c r="I797" s="43" t="n">
        <v>141</v>
      </c>
      <c r="J797" s="43" t="n">
        <v>871</v>
      </c>
      <c r="K797" s="42" t="inlineStr">
        <is>
          <t>Governor</t>
        </is>
      </c>
      <c r="L797" s="43" t="n">
        <v>76</v>
      </c>
      <c r="M797" s="43" t="n">
        <v>612</v>
      </c>
      <c r="N797" s="43" t="n">
        <v>731</v>
      </c>
      <c r="O797" s="44">
        <f>IFERROR((F797-G797)/(F797+G797),"")</f>
        <v/>
      </c>
      <c r="P797" s="44">
        <f>IFERROR((I797-J797)/(I797+J797),"")</f>
        <v/>
      </c>
      <c r="Q797" s="45">
        <f>IFERROR(O797-P797,"")</f>
        <v/>
      </c>
      <c r="R797" s="44">
        <f>IFERROR((L797-M797)/(L797+M797),"")</f>
        <v/>
      </c>
      <c r="S797" s="46">
        <f>H797/SUMIFS(Counties!$H$2:$H$1583,Counties!$A$2:$A$1583,$A797)</f>
        <v/>
      </c>
      <c r="T797" s="44">
        <f>O797+INDEX(Dashboard!$F$6:$F$22,MATCH($A797,Dashboard!$A$6:$A$22,0))</f>
        <v/>
      </c>
      <c r="U797" s="43">
        <f>AQ797*INDEX(Dashboard!$G$6:$G$22,MATCH($A797,Dashboard!$A$6:$A$22,0))</f>
        <v/>
      </c>
      <c r="V797" s="47" t="n"/>
      <c r="W797" s="47" t="n"/>
      <c r="X797" s="47" t="n"/>
      <c r="Y797" s="48" t="n"/>
      <c r="Z797" s="49" t="n"/>
      <c r="AA797" s="49" t="n"/>
      <c r="AB797" s="49" t="n"/>
      <c r="AC797" s="50" t="n"/>
      <c r="AD797" s="43">
        <f>IF(Z797&lt;&gt;"",Z797,N(V797))</f>
        <v/>
      </c>
      <c r="AE797" s="43">
        <f>IF(AA797&lt;&gt;"",AA797,N(W797))</f>
        <v/>
      </c>
      <c r="AF797" s="43">
        <f>AD797+AE797</f>
        <v/>
      </c>
      <c r="AG797" s="42">
        <f>IF(UPPER(AC797)="Y",1,IF(AF797=0,0,IF(AND(Z797="",Y797&lt;&gt;""),IF(Y797&gt;=0.999,1,0),IF(AF797&gt;=U797,1,0))))</f>
        <v/>
      </c>
      <c r="AH797" s="44">
        <f>IF(AF797&gt;0,(AD797-AE797)/AF797,"")</f>
        <v/>
      </c>
      <c r="AI797" s="45">
        <f>IF(AG797=1,AH797-O797,"")</f>
        <v/>
      </c>
      <c r="AJ797" s="44">
        <f>IF(AG797=1,AH797,MAX(-1,MIN(1,O797+INDEX(Types!$H:$H,MATCH($A797&amp;"|"&amp;$D797,Types!$A:$A,0)))))</f>
        <v/>
      </c>
      <c r="AK797" s="43">
        <f>IF(AG797=1,AF797,MAX(AQ797*AS797,AF797))</f>
        <v/>
      </c>
      <c r="AL797" s="43">
        <f>IF(AG797=1,AD797,AK797*(1+AJ797)/2)</f>
        <v/>
      </c>
      <c r="AM797" s="43">
        <f>IF(AG797=1,AE797,AK797*(1-AJ797)/2)</f>
        <v/>
      </c>
      <c r="AN797" s="45">
        <f>IF(AH797="","",AH797-T797)</f>
        <v/>
      </c>
      <c r="AO797" s="51">
        <f>IF(AG797=1,1,IF(U797&gt;0,MIN(AF797/U797,0.99),0))</f>
        <v/>
      </c>
      <c r="AP797" s="43">
        <f>IF(AG797=1,AI797*AF797,0)</f>
        <v/>
      </c>
      <c r="AQ797" s="43">
        <f>N797*(F797+G797)/H797</f>
        <v/>
      </c>
      <c r="AR797" s="43">
        <f>O797*AQ797</f>
        <v/>
      </c>
      <c r="AS797" s="52">
        <f>IF(AG797=1,IF(AQ797&gt;0,AF797/AQ797,1),IFERROR(INDEX(Types!$K:$K,MATCH($A797&amp;"|"&amp;$D797,Types!$A:$A,0)),INDEX(Dashboard!$X$6:$X$22,MATCH($A797,Dashboard!$A$6:$A$22,0))))</f>
        <v/>
      </c>
      <c r="AT797" s="43">
        <f>AQ797*INDEX(Dashboard!$Y$6:$Y$22,MATCH($A797,Dashboard!$A$6:$A$22,0))</f>
        <v/>
      </c>
      <c r="AU797" s="53">
        <f>IF(AND(AG797=1,AT797&gt;0,AF797&gt;0),100*AF797/AT797,"")</f>
        <v/>
      </c>
      <c r="AV797" s="44">
        <f>IF(AU797="","",T797/(AU797/100))</f>
        <v/>
      </c>
      <c r="AW797" s="53">
        <f>IF(AU797="","",IF(AND(ABS(AH797)&gt;=0.1,ABS(T797)&gt;=0.05,SIGN(AH797)=SIGN(T797)),100*T797/AH797,""))</f>
        <v/>
      </c>
      <c r="AX797" s="45">
        <f>IF(AU797="","",T797-AV797)</f>
        <v/>
      </c>
      <c r="AY797" s="45">
        <f>IF(AU797="","",AH797-AV797)</f>
        <v/>
      </c>
      <c r="AZ797" s="54">
        <f>(AL797-AM797)-T797*AT797</f>
        <v/>
      </c>
      <c r="BA797" s="43">
        <f>IF(AU797="",0,(AH797-T797)*AF797)</f>
        <v/>
      </c>
      <c r="BB797" s="43">
        <f>IF(AU797="",0,T797*(AF797-AT797))</f>
        <v/>
      </c>
      <c r="BC797" s="51" t="n">
        <v>0.002137894174238375</v>
      </c>
      <c r="BD797" s="51" t="n">
        <v>0.08391234633885623</v>
      </c>
      <c r="BE797" s="51" t="n">
        <v>0.2249637155297533</v>
      </c>
      <c r="BF797" s="43" t="n">
        <v>1871</v>
      </c>
    </row>
    <row r="798">
      <c r="A798" s="42" t="inlineStr">
        <is>
          <t>NE</t>
        </is>
      </c>
      <c r="B798" s="42" t="inlineStr">
        <is>
          <t>31051</t>
        </is>
      </c>
      <c r="C798" s="42" t="inlineStr">
        <is>
          <t>Dixon</t>
        </is>
      </c>
      <c r="D798" s="42" t="inlineStr">
        <is>
          <t>Small town &amp; rural</t>
        </is>
      </c>
      <c r="E798" s="42" t="inlineStr"/>
      <c r="F798" s="43" t="n">
        <v>573</v>
      </c>
      <c r="G798" s="43" t="n">
        <v>2271</v>
      </c>
      <c r="H798" s="43" t="n">
        <v>2895</v>
      </c>
      <c r="I798" s="43" t="n">
        <v>651</v>
      </c>
      <c r="J798" s="43" t="n">
        <v>2335</v>
      </c>
      <c r="K798" s="42" t="inlineStr">
        <is>
          <t>Governor</t>
        </is>
      </c>
      <c r="L798" s="43" t="n">
        <v>406</v>
      </c>
      <c r="M798" s="43" t="n">
        <v>1710</v>
      </c>
      <c r="N798" s="43" t="n">
        <v>2209</v>
      </c>
      <c r="O798" s="44">
        <f>IFERROR((F798-G798)/(F798+G798),"")</f>
        <v/>
      </c>
      <c r="P798" s="44">
        <f>IFERROR((I798-J798)/(I798+J798),"")</f>
        <v/>
      </c>
      <c r="Q798" s="45">
        <f>IFERROR(O798-P798,"")</f>
        <v/>
      </c>
      <c r="R798" s="44">
        <f>IFERROR((L798-M798)/(L798+M798),"")</f>
        <v/>
      </c>
      <c r="S798" s="46">
        <f>H798/SUMIFS(Counties!$H$2:$H$1583,Counties!$A$2:$A$1583,$A798)</f>
        <v/>
      </c>
      <c r="T798" s="44">
        <f>O798+INDEX(Dashboard!$F$6:$F$22,MATCH($A798,Dashboard!$A$6:$A$22,0))</f>
        <v/>
      </c>
      <c r="U798" s="43">
        <f>AQ798*INDEX(Dashboard!$G$6:$G$22,MATCH($A798,Dashboard!$A$6:$A$22,0))</f>
        <v/>
      </c>
      <c r="V798" s="47" t="n"/>
      <c r="W798" s="47" t="n"/>
      <c r="X798" s="47" t="n"/>
      <c r="Y798" s="48" t="n"/>
      <c r="Z798" s="49" t="n"/>
      <c r="AA798" s="49" t="n"/>
      <c r="AB798" s="49" t="n"/>
      <c r="AC798" s="50" t="n"/>
      <c r="AD798" s="43">
        <f>IF(Z798&lt;&gt;"",Z798,N(V798))</f>
        <v/>
      </c>
      <c r="AE798" s="43">
        <f>IF(AA798&lt;&gt;"",AA798,N(W798))</f>
        <v/>
      </c>
      <c r="AF798" s="43">
        <f>AD798+AE798</f>
        <v/>
      </c>
      <c r="AG798" s="42">
        <f>IF(UPPER(AC798)="Y",1,IF(AF798=0,0,IF(AND(Z798="",Y798&lt;&gt;""),IF(Y798&gt;=0.999,1,0),IF(AF798&gt;=U798,1,0))))</f>
        <v/>
      </c>
      <c r="AH798" s="44">
        <f>IF(AF798&gt;0,(AD798-AE798)/AF798,"")</f>
        <v/>
      </c>
      <c r="AI798" s="45">
        <f>IF(AG798=1,AH798-O798,"")</f>
        <v/>
      </c>
      <c r="AJ798" s="44">
        <f>IF(AG798=1,AH798,MAX(-1,MIN(1,O798+INDEX(Types!$H:$H,MATCH($A798&amp;"|"&amp;$D798,Types!$A:$A,0)))))</f>
        <v/>
      </c>
      <c r="AK798" s="43">
        <f>IF(AG798=1,AF798,MAX(AQ798*AS798,AF798))</f>
        <v/>
      </c>
      <c r="AL798" s="43">
        <f>IF(AG798=1,AD798,AK798*(1+AJ798)/2)</f>
        <v/>
      </c>
      <c r="AM798" s="43">
        <f>IF(AG798=1,AE798,AK798*(1-AJ798)/2)</f>
        <v/>
      </c>
      <c r="AN798" s="45">
        <f>IF(AH798="","",AH798-T798)</f>
        <v/>
      </c>
      <c r="AO798" s="51">
        <f>IF(AG798=1,1,IF(U798&gt;0,MIN(AF798/U798,0.99),0))</f>
        <v/>
      </c>
      <c r="AP798" s="43">
        <f>IF(AG798=1,AI798*AF798,0)</f>
        <v/>
      </c>
      <c r="AQ798" s="43">
        <f>N798*(F798+G798)/H798</f>
        <v/>
      </c>
      <c r="AR798" s="43">
        <f>O798*AQ798</f>
        <v/>
      </c>
      <c r="AS798" s="52">
        <f>IF(AG798=1,IF(AQ798&gt;0,AF798/AQ798,1),IFERROR(INDEX(Types!$K:$K,MATCH($A798&amp;"|"&amp;$D798,Types!$A:$A,0)),INDEX(Dashboard!$X$6:$X$22,MATCH($A798,Dashboard!$A$6:$A$22,0))))</f>
        <v/>
      </c>
      <c r="AT798" s="43">
        <f>AQ798*INDEX(Dashboard!$Y$6:$Y$22,MATCH($A798,Dashboard!$A$6:$A$22,0))</f>
        <v/>
      </c>
      <c r="AU798" s="53">
        <f>IF(AND(AG798=1,AT798&gt;0,AF798&gt;0),100*AF798/AT798,"")</f>
        <v/>
      </c>
      <c r="AV798" s="44">
        <f>IF(AU798="","",T798/(AU798/100))</f>
        <v/>
      </c>
      <c r="AW798" s="53">
        <f>IF(AU798="","",IF(AND(ABS(AH798)&gt;=0.1,ABS(T798)&gt;=0.05,SIGN(AH798)=SIGN(T798)),100*T798/AH798,""))</f>
        <v/>
      </c>
      <c r="AX798" s="45">
        <f>IF(AU798="","",T798-AV798)</f>
        <v/>
      </c>
      <c r="AY798" s="45">
        <f>IF(AU798="","",AH798-AV798)</f>
        <v/>
      </c>
      <c r="AZ798" s="54">
        <f>(AL798-AM798)-T798*AT798</f>
        <v/>
      </c>
      <c r="BA798" s="43">
        <f>IF(AU798="",0,(AH798-T798)*AF798)</f>
        <v/>
      </c>
      <c r="BB798" s="43">
        <f>IF(AU798="",0,T798*(AF798-AT798))</f>
        <v/>
      </c>
      <c r="BC798" s="51" t="n">
        <v>0.006374066654525588</v>
      </c>
      <c r="BD798" s="51" t="n">
        <v>0.1580768530322346</v>
      </c>
      <c r="BE798" s="51" t="n">
        <v>0.2374698472259448</v>
      </c>
      <c r="BF798" s="43" t="n">
        <v>5491</v>
      </c>
    </row>
    <row r="799">
      <c r="A799" s="42" t="inlineStr">
        <is>
          <t>NE</t>
        </is>
      </c>
      <c r="B799" s="42" t="inlineStr">
        <is>
          <t>31053</t>
        </is>
      </c>
      <c r="C799" s="42" t="inlineStr">
        <is>
          <t>Dodge</t>
        </is>
      </c>
      <c r="D799" s="42" t="inlineStr">
        <is>
          <t>Small town &amp; rural</t>
        </is>
      </c>
      <c r="E799" s="42" t="inlineStr"/>
      <c r="F799" s="43" t="n">
        <v>5434</v>
      </c>
      <c r="G799" s="43" t="n">
        <v>10795</v>
      </c>
      <c r="H799" s="43" t="n">
        <v>16443</v>
      </c>
      <c r="I799" s="43" t="n">
        <v>5544</v>
      </c>
      <c r="J799" s="43" t="n">
        <v>10984</v>
      </c>
      <c r="K799" s="42" t="inlineStr">
        <is>
          <t>Governor</t>
        </is>
      </c>
      <c r="L799" s="43" t="n">
        <v>3302</v>
      </c>
      <c r="M799" s="43" t="n">
        <v>7682</v>
      </c>
      <c r="N799" s="43" t="n">
        <v>11515</v>
      </c>
      <c r="O799" s="44">
        <f>IFERROR((F799-G799)/(F799+G799),"")</f>
        <v/>
      </c>
      <c r="P799" s="44">
        <f>IFERROR((I799-J799)/(I799+J799),"")</f>
        <v/>
      </c>
      <c r="Q799" s="45">
        <f>IFERROR(O799-P799,"")</f>
        <v/>
      </c>
      <c r="R799" s="44">
        <f>IFERROR((L799-M799)/(L799+M799),"")</f>
        <v/>
      </c>
      <c r="S799" s="46">
        <f>H799/SUMIFS(Counties!$H$2:$H$1583,Counties!$A$2:$A$1583,$A799)</f>
        <v/>
      </c>
      <c r="T799" s="44">
        <f>O799+INDEX(Dashboard!$F$6:$F$22,MATCH($A799,Dashboard!$A$6:$A$22,0))</f>
        <v/>
      </c>
      <c r="U799" s="43">
        <f>AQ799*INDEX(Dashboard!$G$6:$G$22,MATCH($A799,Dashboard!$A$6:$A$22,0))</f>
        <v/>
      </c>
      <c r="V799" s="47" t="n"/>
      <c r="W799" s="47" t="n"/>
      <c r="X799" s="47" t="n"/>
      <c r="Y799" s="48" t="n"/>
      <c r="Z799" s="49" t="n"/>
      <c r="AA799" s="49" t="n"/>
      <c r="AB799" s="49" t="n"/>
      <c r="AC799" s="50" t="n"/>
      <c r="AD799" s="43">
        <f>IF(Z799&lt;&gt;"",Z799,N(V799))</f>
        <v/>
      </c>
      <c r="AE799" s="43">
        <f>IF(AA799&lt;&gt;"",AA799,N(W799))</f>
        <v/>
      </c>
      <c r="AF799" s="43">
        <f>AD799+AE799</f>
        <v/>
      </c>
      <c r="AG799" s="42">
        <f>IF(UPPER(AC799)="Y",1,IF(AF799=0,0,IF(AND(Z799="",Y799&lt;&gt;""),IF(Y799&gt;=0.999,1,0),IF(AF799&gt;=U799,1,0))))</f>
        <v/>
      </c>
      <c r="AH799" s="44">
        <f>IF(AF799&gt;0,(AD799-AE799)/AF799,"")</f>
        <v/>
      </c>
      <c r="AI799" s="45">
        <f>IF(AG799=1,AH799-O799,"")</f>
        <v/>
      </c>
      <c r="AJ799" s="44">
        <f>IF(AG799=1,AH799,MAX(-1,MIN(1,O799+INDEX(Types!$H:$H,MATCH($A799&amp;"|"&amp;$D799,Types!$A:$A,0)))))</f>
        <v/>
      </c>
      <c r="AK799" s="43">
        <f>IF(AG799=1,AF799,MAX(AQ799*AS799,AF799))</f>
        <v/>
      </c>
      <c r="AL799" s="43">
        <f>IF(AG799=1,AD799,AK799*(1+AJ799)/2)</f>
        <v/>
      </c>
      <c r="AM799" s="43">
        <f>IF(AG799=1,AE799,AK799*(1-AJ799)/2)</f>
        <v/>
      </c>
      <c r="AN799" s="45">
        <f>IF(AH799="","",AH799-T799)</f>
        <v/>
      </c>
      <c r="AO799" s="51">
        <f>IF(AG799=1,1,IF(U799&gt;0,MIN(AF799/U799,0.99),0))</f>
        <v/>
      </c>
      <c r="AP799" s="43">
        <f>IF(AG799=1,AI799*AF799,0)</f>
        <v/>
      </c>
      <c r="AQ799" s="43">
        <f>N799*(F799+G799)/H799</f>
        <v/>
      </c>
      <c r="AR799" s="43">
        <f>O799*AQ799</f>
        <v/>
      </c>
      <c r="AS799" s="52">
        <f>IF(AG799=1,IF(AQ799&gt;0,AF799/AQ799,1),IFERROR(INDEX(Types!$K:$K,MATCH($A799&amp;"|"&amp;$D799,Types!$A:$A,0)),INDEX(Dashboard!$X$6:$X$22,MATCH($A799,Dashboard!$A$6:$A$22,0))))</f>
        <v/>
      </c>
      <c r="AT799" s="43">
        <f>AQ799*INDEX(Dashboard!$Y$6:$Y$22,MATCH($A799,Dashboard!$A$6:$A$22,0))</f>
        <v/>
      </c>
      <c r="AU799" s="53">
        <f>IF(AND(AG799=1,AT799&gt;0,AF799&gt;0),100*AF799/AT799,"")</f>
        <v/>
      </c>
      <c r="AV799" s="44">
        <f>IF(AU799="","",T799/(AU799/100))</f>
        <v/>
      </c>
      <c r="AW799" s="53">
        <f>IF(AU799="","",IF(AND(ABS(AH799)&gt;=0.1,ABS(T799)&gt;=0.05,SIGN(AH799)=SIGN(T799)),100*T799/AH799,""))</f>
        <v/>
      </c>
      <c r="AX799" s="45">
        <f>IF(AU799="","",T799-AV799)</f>
        <v/>
      </c>
      <c r="AY799" s="45">
        <f>IF(AU799="","",AH799-AV799)</f>
        <v/>
      </c>
      <c r="AZ799" s="54">
        <f>(AL799-AM799)-T799*AT799</f>
        <v/>
      </c>
      <c r="BA799" s="43">
        <f>IF(AU799="",0,(AH799-T799)*AF799)</f>
        <v/>
      </c>
      <c r="BB799" s="43">
        <f>IF(AU799="",0,T799*(AF799-AT799))</f>
        <v/>
      </c>
      <c r="BC799" s="51" t="n">
        <v>0.009573237959501976</v>
      </c>
      <c r="BD799" s="51" t="n">
        <v>0.1843655040740043</v>
      </c>
      <c r="BE799" s="51" t="n">
        <v>0.2154630762953896</v>
      </c>
      <c r="BF799" s="43" t="n">
        <v>37187</v>
      </c>
    </row>
    <row r="800">
      <c r="A800" s="42" t="inlineStr">
        <is>
          <t>NE</t>
        </is>
      </c>
      <c r="B800" s="42" t="inlineStr">
        <is>
          <t>31055</t>
        </is>
      </c>
      <c r="C800" s="42" t="inlineStr">
        <is>
          <t>Douglas</t>
        </is>
      </c>
      <c r="D800" s="42" t="inlineStr">
        <is>
          <t>College suburb/metro</t>
        </is>
      </c>
      <c r="E800" s="42" t="inlineStr">
        <is>
          <t>★</t>
        </is>
      </c>
      <c r="F800" s="43" t="n">
        <v>148733</v>
      </c>
      <c r="G800" s="43" t="n">
        <v>120919</v>
      </c>
      <c r="H800" s="43" t="n">
        <v>273403</v>
      </c>
      <c r="I800" s="43" t="n">
        <v>150350</v>
      </c>
      <c r="J800" s="43" t="n">
        <v>119159</v>
      </c>
      <c r="K800" s="42" t="inlineStr">
        <is>
          <t>Governor</t>
        </is>
      </c>
      <c r="L800" s="43" t="n">
        <v>96628</v>
      </c>
      <c r="M800" s="43" t="n">
        <v>87136</v>
      </c>
      <c r="N800" s="43" t="n">
        <v>190746</v>
      </c>
      <c r="O800" s="44">
        <f>IFERROR((F800-G800)/(F800+G800),"")</f>
        <v/>
      </c>
      <c r="P800" s="44">
        <f>IFERROR((I800-J800)/(I800+J800),"")</f>
        <v/>
      </c>
      <c r="Q800" s="45">
        <f>IFERROR(O800-P800,"")</f>
        <v/>
      </c>
      <c r="R800" s="44">
        <f>IFERROR((L800-M800)/(L800+M800),"")</f>
        <v/>
      </c>
      <c r="S800" s="46">
        <f>H800/SUMIFS(Counties!$H$2:$H$1583,Counties!$A$2:$A$1583,$A800)</f>
        <v/>
      </c>
      <c r="T800" s="44">
        <f>O800+INDEX(Dashboard!$F$6:$F$22,MATCH($A800,Dashboard!$A$6:$A$22,0))</f>
        <v/>
      </c>
      <c r="U800" s="43">
        <f>AQ800*INDEX(Dashboard!$G$6:$G$22,MATCH($A800,Dashboard!$A$6:$A$22,0))</f>
        <v/>
      </c>
      <c r="V800" s="47" t="n"/>
      <c r="W800" s="47" t="n"/>
      <c r="X800" s="47" t="n"/>
      <c r="Y800" s="48" t="n"/>
      <c r="Z800" s="49" t="n"/>
      <c r="AA800" s="49" t="n"/>
      <c r="AB800" s="49" t="n"/>
      <c r="AC800" s="50" t="n"/>
      <c r="AD800" s="43">
        <f>IF(Z800&lt;&gt;"",Z800,N(V800))</f>
        <v/>
      </c>
      <c r="AE800" s="43">
        <f>IF(AA800&lt;&gt;"",AA800,N(W800))</f>
        <v/>
      </c>
      <c r="AF800" s="43">
        <f>AD800+AE800</f>
        <v/>
      </c>
      <c r="AG800" s="42">
        <f>IF(UPPER(AC800)="Y",1,IF(AF800=0,0,IF(AND(Z800="",Y800&lt;&gt;""),IF(Y800&gt;=0.999,1,0),IF(AF800&gt;=U800,1,0))))</f>
        <v/>
      </c>
      <c r="AH800" s="44">
        <f>IF(AF800&gt;0,(AD800-AE800)/AF800,"")</f>
        <v/>
      </c>
      <c r="AI800" s="45">
        <f>IF(AG800=1,AH800-O800,"")</f>
        <v/>
      </c>
      <c r="AJ800" s="44">
        <f>IF(AG800=1,AH800,MAX(-1,MIN(1,O800+INDEX(Types!$H:$H,MATCH($A800&amp;"|"&amp;$D800,Types!$A:$A,0)))))</f>
        <v/>
      </c>
      <c r="AK800" s="43">
        <f>IF(AG800=1,AF800,MAX(AQ800*AS800,AF800))</f>
        <v/>
      </c>
      <c r="AL800" s="43">
        <f>IF(AG800=1,AD800,AK800*(1+AJ800)/2)</f>
        <v/>
      </c>
      <c r="AM800" s="43">
        <f>IF(AG800=1,AE800,AK800*(1-AJ800)/2)</f>
        <v/>
      </c>
      <c r="AN800" s="45">
        <f>IF(AH800="","",AH800-T800)</f>
        <v/>
      </c>
      <c r="AO800" s="51">
        <f>IF(AG800=1,1,IF(U800&gt;0,MIN(AF800/U800,0.99),0))</f>
        <v/>
      </c>
      <c r="AP800" s="43">
        <f>IF(AG800=1,AI800*AF800,0)</f>
        <v/>
      </c>
      <c r="AQ800" s="43">
        <f>N800*(F800+G800)/H800</f>
        <v/>
      </c>
      <c r="AR800" s="43">
        <f>O800*AQ800</f>
        <v/>
      </c>
      <c r="AS800" s="52">
        <f>IF(AG800=1,IF(AQ800&gt;0,AF800/AQ800,1),IFERROR(INDEX(Types!$K:$K,MATCH($A800&amp;"|"&amp;$D800,Types!$A:$A,0)),INDEX(Dashboard!$X$6:$X$22,MATCH($A800,Dashboard!$A$6:$A$22,0))))</f>
        <v/>
      </c>
      <c r="AT800" s="43">
        <f>AQ800*INDEX(Dashboard!$Y$6:$Y$22,MATCH($A800,Dashboard!$A$6:$A$22,0))</f>
        <v/>
      </c>
      <c r="AU800" s="53">
        <f>IF(AND(AG800=1,AT800&gt;0,AF800&gt;0),100*AF800/AT800,"")</f>
        <v/>
      </c>
      <c r="AV800" s="44">
        <f>IF(AU800="","",T800/(AU800/100))</f>
        <v/>
      </c>
      <c r="AW800" s="53">
        <f>IF(AU800="","",IF(AND(ABS(AH800)&gt;=0.1,ABS(T800)&gt;=0.05,SIGN(AH800)=SIGN(T800)),100*T800/AH800,""))</f>
        <v/>
      </c>
      <c r="AX800" s="45">
        <f>IF(AU800="","",T800-AV800)</f>
        <v/>
      </c>
      <c r="AY800" s="45">
        <f>IF(AU800="","",AH800-AV800)</f>
        <v/>
      </c>
      <c r="AZ800" s="54">
        <f>(AL800-AM800)-T800*AT800</f>
        <v/>
      </c>
      <c r="BA800" s="43">
        <f>IF(AU800="",0,(AH800-T800)*AF800)</f>
        <v/>
      </c>
      <c r="BB800" s="43">
        <f>IF(AU800="",0,T800*(AF800-AT800))</f>
        <v/>
      </c>
      <c r="BC800" s="51" t="n">
        <v>0.1100145876446043</v>
      </c>
      <c r="BD800" s="51" t="n">
        <v>0.1469806968144655</v>
      </c>
      <c r="BE800" s="51" t="n">
        <v>0.4223655936411241</v>
      </c>
      <c r="BF800" s="43" t="n">
        <v>589540</v>
      </c>
    </row>
    <row r="801">
      <c r="A801" s="42" t="inlineStr">
        <is>
          <t>NE</t>
        </is>
      </c>
      <c r="B801" s="42" t="inlineStr">
        <is>
          <t>31057</t>
        </is>
      </c>
      <c r="C801" s="42" t="inlineStr">
        <is>
          <t>Dundy</t>
        </is>
      </c>
      <c r="D801" s="42" t="inlineStr">
        <is>
          <t>Small town &amp; rural</t>
        </is>
      </c>
      <c r="E801" s="42" t="inlineStr"/>
      <c r="F801" s="43" t="n">
        <v>96</v>
      </c>
      <c r="G801" s="43" t="n">
        <v>829</v>
      </c>
      <c r="H801" s="43" t="n">
        <v>929</v>
      </c>
      <c r="I801" s="43" t="n">
        <v>105</v>
      </c>
      <c r="J801" s="43" t="n">
        <v>883</v>
      </c>
      <c r="K801" s="42" t="inlineStr">
        <is>
          <t>Governor</t>
        </is>
      </c>
      <c r="L801" s="43" t="n">
        <v>75</v>
      </c>
      <c r="M801" s="43" t="n">
        <v>650</v>
      </c>
      <c r="N801" s="43" t="n">
        <v>753</v>
      </c>
      <c r="O801" s="44">
        <f>IFERROR((F801-G801)/(F801+G801),"")</f>
        <v/>
      </c>
      <c r="P801" s="44">
        <f>IFERROR((I801-J801)/(I801+J801),"")</f>
        <v/>
      </c>
      <c r="Q801" s="45">
        <f>IFERROR(O801-P801,"")</f>
        <v/>
      </c>
      <c r="R801" s="44">
        <f>IFERROR((L801-M801)/(L801+M801),"")</f>
        <v/>
      </c>
      <c r="S801" s="46">
        <f>H801/SUMIFS(Counties!$H$2:$H$1583,Counties!$A$2:$A$1583,$A801)</f>
        <v/>
      </c>
      <c r="T801" s="44">
        <f>O801+INDEX(Dashboard!$F$6:$F$22,MATCH($A801,Dashboard!$A$6:$A$22,0))</f>
        <v/>
      </c>
      <c r="U801" s="43">
        <f>AQ801*INDEX(Dashboard!$G$6:$G$22,MATCH($A801,Dashboard!$A$6:$A$22,0))</f>
        <v/>
      </c>
      <c r="V801" s="47" t="n"/>
      <c r="W801" s="47" t="n"/>
      <c r="X801" s="47" t="n"/>
      <c r="Y801" s="48" t="n"/>
      <c r="Z801" s="49" t="n"/>
      <c r="AA801" s="49" t="n"/>
      <c r="AB801" s="49" t="n"/>
      <c r="AC801" s="50" t="n"/>
      <c r="AD801" s="43">
        <f>IF(Z801&lt;&gt;"",Z801,N(V801))</f>
        <v/>
      </c>
      <c r="AE801" s="43">
        <f>IF(AA801&lt;&gt;"",AA801,N(W801))</f>
        <v/>
      </c>
      <c r="AF801" s="43">
        <f>AD801+AE801</f>
        <v/>
      </c>
      <c r="AG801" s="42">
        <f>IF(UPPER(AC801)="Y",1,IF(AF801=0,0,IF(AND(Z801="",Y801&lt;&gt;""),IF(Y801&gt;=0.999,1,0),IF(AF801&gt;=U801,1,0))))</f>
        <v/>
      </c>
      <c r="AH801" s="44">
        <f>IF(AF801&gt;0,(AD801-AE801)/AF801,"")</f>
        <v/>
      </c>
      <c r="AI801" s="45">
        <f>IF(AG801=1,AH801-O801,"")</f>
        <v/>
      </c>
      <c r="AJ801" s="44">
        <f>IF(AG801=1,AH801,MAX(-1,MIN(1,O801+INDEX(Types!$H:$H,MATCH($A801&amp;"|"&amp;$D801,Types!$A:$A,0)))))</f>
        <v/>
      </c>
      <c r="AK801" s="43">
        <f>IF(AG801=1,AF801,MAX(AQ801*AS801,AF801))</f>
        <v/>
      </c>
      <c r="AL801" s="43">
        <f>IF(AG801=1,AD801,AK801*(1+AJ801)/2)</f>
        <v/>
      </c>
      <c r="AM801" s="43">
        <f>IF(AG801=1,AE801,AK801*(1-AJ801)/2)</f>
        <v/>
      </c>
      <c r="AN801" s="45">
        <f>IF(AH801="","",AH801-T801)</f>
        <v/>
      </c>
      <c r="AO801" s="51">
        <f>IF(AG801=1,1,IF(U801&gt;0,MIN(AF801/U801,0.99),0))</f>
        <v/>
      </c>
      <c r="AP801" s="43">
        <f>IF(AG801=1,AI801*AF801,0)</f>
        <v/>
      </c>
      <c r="AQ801" s="43">
        <f>N801*(F801+G801)/H801</f>
        <v/>
      </c>
      <c r="AR801" s="43">
        <f>O801*AQ801</f>
        <v/>
      </c>
      <c r="AS801" s="52">
        <f>IF(AG801=1,IF(AQ801&gt;0,AF801/AQ801,1),IFERROR(INDEX(Types!$K:$K,MATCH($A801&amp;"|"&amp;$D801,Types!$A:$A,0)),INDEX(Dashboard!$X$6:$X$22,MATCH($A801,Dashboard!$A$6:$A$22,0))))</f>
        <v/>
      </c>
      <c r="AT801" s="43">
        <f>AQ801*INDEX(Dashboard!$Y$6:$Y$22,MATCH($A801,Dashboard!$A$6:$A$22,0))</f>
        <v/>
      </c>
      <c r="AU801" s="53">
        <f>IF(AND(AG801=1,AT801&gt;0,AF801&gt;0),100*AF801/AT801,"")</f>
        <v/>
      </c>
      <c r="AV801" s="44">
        <f>IF(AU801="","",T801/(AU801/100))</f>
        <v/>
      </c>
      <c r="AW801" s="53">
        <f>IF(AU801="","",IF(AND(ABS(AH801)&gt;=0.1,ABS(T801)&gt;=0.05,SIGN(AH801)=SIGN(T801)),100*T801/AH801,""))</f>
        <v/>
      </c>
      <c r="AX801" s="45">
        <f>IF(AU801="","",T801-AV801)</f>
        <v/>
      </c>
      <c r="AY801" s="45">
        <f>IF(AU801="","",AH801-AV801)</f>
        <v/>
      </c>
      <c r="AZ801" s="54">
        <f>(AL801-AM801)-T801*AT801</f>
        <v/>
      </c>
      <c r="BA801" s="43">
        <f>IF(AU801="",0,(AH801-T801)*AF801)</f>
        <v/>
      </c>
      <c r="BB801" s="43">
        <f>IF(AU801="",0,T801*(AF801-AT801))</f>
        <v/>
      </c>
      <c r="BC801" s="51" t="n">
        <v>0.008327994875080076</v>
      </c>
      <c r="BD801" s="51" t="n">
        <v>0.07303010890454836</v>
      </c>
      <c r="BE801" s="51" t="n">
        <v>0.2328125</v>
      </c>
      <c r="BF801" s="43" t="n">
        <v>1561</v>
      </c>
    </row>
    <row r="802">
      <c r="A802" s="42" t="inlineStr">
        <is>
          <t>NE</t>
        </is>
      </c>
      <c r="B802" s="42" t="inlineStr">
        <is>
          <t>31059</t>
        </is>
      </c>
      <c r="C802" s="42" t="inlineStr">
        <is>
          <t>Fillmore</t>
        </is>
      </c>
      <c r="D802" s="42" t="inlineStr">
        <is>
          <t>Small town &amp; rural</t>
        </is>
      </c>
      <c r="E802" s="42" t="inlineStr"/>
      <c r="F802" s="43" t="n">
        <v>662</v>
      </c>
      <c r="G802" s="43" t="n">
        <v>2315</v>
      </c>
      <c r="H802" s="43" t="n">
        <v>3013</v>
      </c>
      <c r="I802" s="43" t="n">
        <v>693</v>
      </c>
      <c r="J802" s="43" t="n">
        <v>2359</v>
      </c>
      <c r="K802" s="42" t="inlineStr">
        <is>
          <t>Governor</t>
        </is>
      </c>
      <c r="L802" s="43" t="n">
        <v>491</v>
      </c>
      <c r="M802" s="43" t="n">
        <v>1859</v>
      </c>
      <c r="N802" s="43" t="n">
        <v>2428</v>
      </c>
      <c r="O802" s="44">
        <f>IFERROR((F802-G802)/(F802+G802),"")</f>
        <v/>
      </c>
      <c r="P802" s="44">
        <f>IFERROR((I802-J802)/(I802+J802),"")</f>
        <v/>
      </c>
      <c r="Q802" s="45">
        <f>IFERROR(O802-P802,"")</f>
        <v/>
      </c>
      <c r="R802" s="44">
        <f>IFERROR((L802-M802)/(L802+M802),"")</f>
        <v/>
      </c>
      <c r="S802" s="46">
        <f>H802/SUMIFS(Counties!$H$2:$H$1583,Counties!$A$2:$A$1583,$A802)</f>
        <v/>
      </c>
      <c r="T802" s="44">
        <f>O802+INDEX(Dashboard!$F$6:$F$22,MATCH($A802,Dashboard!$A$6:$A$22,0))</f>
        <v/>
      </c>
      <c r="U802" s="43">
        <f>AQ802*INDEX(Dashboard!$G$6:$G$22,MATCH($A802,Dashboard!$A$6:$A$22,0))</f>
        <v/>
      </c>
      <c r="V802" s="47" t="n"/>
      <c r="W802" s="47" t="n"/>
      <c r="X802" s="47" t="n"/>
      <c r="Y802" s="48" t="n"/>
      <c r="Z802" s="49" t="n"/>
      <c r="AA802" s="49" t="n"/>
      <c r="AB802" s="49" t="n"/>
      <c r="AC802" s="50" t="n"/>
      <c r="AD802" s="43">
        <f>IF(Z802&lt;&gt;"",Z802,N(V802))</f>
        <v/>
      </c>
      <c r="AE802" s="43">
        <f>IF(AA802&lt;&gt;"",AA802,N(W802))</f>
        <v/>
      </c>
      <c r="AF802" s="43">
        <f>AD802+AE802</f>
        <v/>
      </c>
      <c r="AG802" s="42">
        <f>IF(UPPER(AC802)="Y",1,IF(AF802=0,0,IF(AND(Z802="",Y802&lt;&gt;""),IF(Y802&gt;=0.999,1,0),IF(AF802&gt;=U802,1,0))))</f>
        <v/>
      </c>
      <c r="AH802" s="44">
        <f>IF(AF802&gt;0,(AD802-AE802)/AF802,"")</f>
        <v/>
      </c>
      <c r="AI802" s="45">
        <f>IF(AG802=1,AH802-O802,"")</f>
        <v/>
      </c>
      <c r="AJ802" s="44">
        <f>IF(AG802=1,AH802,MAX(-1,MIN(1,O802+INDEX(Types!$H:$H,MATCH($A802&amp;"|"&amp;$D802,Types!$A:$A,0)))))</f>
        <v/>
      </c>
      <c r="AK802" s="43">
        <f>IF(AG802=1,AF802,MAX(AQ802*AS802,AF802))</f>
        <v/>
      </c>
      <c r="AL802" s="43">
        <f>IF(AG802=1,AD802,AK802*(1+AJ802)/2)</f>
        <v/>
      </c>
      <c r="AM802" s="43">
        <f>IF(AG802=1,AE802,AK802*(1-AJ802)/2)</f>
        <v/>
      </c>
      <c r="AN802" s="45">
        <f>IF(AH802="","",AH802-T802)</f>
        <v/>
      </c>
      <c r="AO802" s="51">
        <f>IF(AG802=1,1,IF(U802&gt;0,MIN(AF802/U802,0.99),0))</f>
        <v/>
      </c>
      <c r="AP802" s="43">
        <f>IF(AG802=1,AI802*AF802,0)</f>
        <v/>
      </c>
      <c r="AQ802" s="43">
        <f>N802*(F802+G802)/H802</f>
        <v/>
      </c>
      <c r="AR802" s="43">
        <f>O802*AQ802</f>
        <v/>
      </c>
      <c r="AS802" s="52">
        <f>IF(AG802=1,IF(AQ802&gt;0,AF802/AQ802,1),IFERROR(INDEX(Types!$K:$K,MATCH($A802&amp;"|"&amp;$D802,Types!$A:$A,0)),INDEX(Dashboard!$X$6:$X$22,MATCH($A802,Dashboard!$A$6:$A$22,0))))</f>
        <v/>
      </c>
      <c r="AT802" s="43">
        <f>AQ802*INDEX(Dashboard!$Y$6:$Y$22,MATCH($A802,Dashboard!$A$6:$A$22,0))</f>
        <v/>
      </c>
      <c r="AU802" s="53">
        <f>IF(AND(AG802=1,AT802&gt;0,AF802&gt;0),100*AF802/AT802,"")</f>
        <v/>
      </c>
      <c r="AV802" s="44">
        <f>IF(AU802="","",T802/(AU802/100))</f>
        <v/>
      </c>
      <c r="AW802" s="53">
        <f>IF(AU802="","",IF(AND(ABS(AH802)&gt;=0.1,ABS(T802)&gt;=0.05,SIGN(AH802)=SIGN(T802)),100*T802/AH802,""))</f>
        <v/>
      </c>
      <c r="AX802" s="45">
        <f>IF(AU802="","",T802-AV802)</f>
        <v/>
      </c>
      <c r="AY802" s="45">
        <f>IF(AU802="","",AH802-AV802)</f>
        <v/>
      </c>
      <c r="AZ802" s="54">
        <f>(AL802-AM802)-T802*AT802</f>
        <v/>
      </c>
      <c r="BA802" s="43">
        <f>IF(AU802="",0,(AH802-T802)*AF802)</f>
        <v/>
      </c>
      <c r="BB802" s="43">
        <f>IF(AU802="",0,T802*(AF802-AT802))</f>
        <v/>
      </c>
      <c r="BC802" s="51" t="n">
        <v>0.005407354001441961</v>
      </c>
      <c r="BD802" s="51" t="n">
        <v>0.03947368421052631</v>
      </c>
      <c r="BE802" s="51" t="n">
        <v>0.2193642319825285</v>
      </c>
      <c r="BF802" s="43" t="n">
        <v>5548</v>
      </c>
    </row>
    <row r="803">
      <c r="A803" s="42" t="inlineStr">
        <is>
          <t>NE</t>
        </is>
      </c>
      <c r="B803" s="42" t="inlineStr">
        <is>
          <t>31061</t>
        </is>
      </c>
      <c r="C803" s="42" t="inlineStr">
        <is>
          <t>Franklin</t>
        </is>
      </c>
      <c r="D803" s="42" t="inlineStr">
        <is>
          <t>Small town &amp; rural</t>
        </is>
      </c>
      <c r="E803" s="42" t="inlineStr"/>
      <c r="F803" s="43" t="n">
        <v>236</v>
      </c>
      <c r="G803" s="43" t="n">
        <v>1351</v>
      </c>
      <c r="H803" s="43" t="n">
        <v>1600</v>
      </c>
      <c r="I803" s="43" t="n">
        <v>276</v>
      </c>
      <c r="J803" s="43" t="n">
        <v>1437</v>
      </c>
      <c r="K803" s="42" t="inlineStr">
        <is>
          <t>Governor</t>
        </is>
      </c>
      <c r="L803" s="43" t="n">
        <v>159</v>
      </c>
      <c r="M803" s="43" t="n">
        <v>976</v>
      </c>
      <c r="N803" s="43" t="n">
        <v>1186</v>
      </c>
      <c r="O803" s="44">
        <f>IFERROR((F803-G803)/(F803+G803),"")</f>
        <v/>
      </c>
      <c r="P803" s="44">
        <f>IFERROR((I803-J803)/(I803+J803),"")</f>
        <v/>
      </c>
      <c r="Q803" s="45">
        <f>IFERROR(O803-P803,"")</f>
        <v/>
      </c>
      <c r="R803" s="44">
        <f>IFERROR((L803-M803)/(L803+M803),"")</f>
        <v/>
      </c>
      <c r="S803" s="46">
        <f>H803/SUMIFS(Counties!$H$2:$H$1583,Counties!$A$2:$A$1583,$A803)</f>
        <v/>
      </c>
      <c r="T803" s="44">
        <f>O803+INDEX(Dashboard!$F$6:$F$22,MATCH($A803,Dashboard!$A$6:$A$22,0))</f>
        <v/>
      </c>
      <c r="U803" s="43">
        <f>AQ803*INDEX(Dashboard!$G$6:$G$22,MATCH($A803,Dashboard!$A$6:$A$22,0))</f>
        <v/>
      </c>
      <c r="V803" s="47" t="n"/>
      <c r="W803" s="47" t="n"/>
      <c r="X803" s="47" t="n"/>
      <c r="Y803" s="48" t="n"/>
      <c r="Z803" s="49" t="n"/>
      <c r="AA803" s="49" t="n"/>
      <c r="AB803" s="49" t="n"/>
      <c r="AC803" s="50" t="n"/>
      <c r="AD803" s="43">
        <f>IF(Z803&lt;&gt;"",Z803,N(V803))</f>
        <v/>
      </c>
      <c r="AE803" s="43">
        <f>IF(AA803&lt;&gt;"",AA803,N(W803))</f>
        <v/>
      </c>
      <c r="AF803" s="43">
        <f>AD803+AE803</f>
        <v/>
      </c>
      <c r="AG803" s="42">
        <f>IF(UPPER(AC803)="Y",1,IF(AF803=0,0,IF(AND(Z803="",Y803&lt;&gt;""),IF(Y803&gt;=0.999,1,0),IF(AF803&gt;=U803,1,0))))</f>
        <v/>
      </c>
      <c r="AH803" s="44">
        <f>IF(AF803&gt;0,(AD803-AE803)/AF803,"")</f>
        <v/>
      </c>
      <c r="AI803" s="45">
        <f>IF(AG803=1,AH803-O803,"")</f>
        <v/>
      </c>
      <c r="AJ803" s="44">
        <f>IF(AG803=1,AH803,MAX(-1,MIN(1,O803+INDEX(Types!$H:$H,MATCH($A803&amp;"|"&amp;$D803,Types!$A:$A,0)))))</f>
        <v/>
      </c>
      <c r="AK803" s="43">
        <f>IF(AG803=1,AF803,MAX(AQ803*AS803,AF803))</f>
        <v/>
      </c>
      <c r="AL803" s="43">
        <f>IF(AG803=1,AD803,AK803*(1+AJ803)/2)</f>
        <v/>
      </c>
      <c r="AM803" s="43">
        <f>IF(AG803=1,AE803,AK803*(1-AJ803)/2)</f>
        <v/>
      </c>
      <c r="AN803" s="45">
        <f>IF(AH803="","",AH803-T803)</f>
        <v/>
      </c>
      <c r="AO803" s="51">
        <f>IF(AG803=1,1,IF(U803&gt;0,MIN(AF803/U803,0.99),0))</f>
        <v/>
      </c>
      <c r="AP803" s="43">
        <f>IF(AG803=1,AI803*AF803,0)</f>
        <v/>
      </c>
      <c r="AQ803" s="43">
        <f>N803*(F803+G803)/H803</f>
        <v/>
      </c>
      <c r="AR803" s="43">
        <f>O803*AQ803</f>
        <v/>
      </c>
      <c r="AS803" s="52">
        <f>IF(AG803=1,IF(AQ803&gt;0,AF803/AQ803,1),IFERROR(INDEX(Types!$K:$K,MATCH($A803&amp;"|"&amp;$D803,Types!$A:$A,0)),INDEX(Dashboard!$X$6:$X$22,MATCH($A803,Dashboard!$A$6:$A$22,0))))</f>
        <v/>
      </c>
      <c r="AT803" s="43">
        <f>AQ803*INDEX(Dashboard!$Y$6:$Y$22,MATCH($A803,Dashboard!$A$6:$A$22,0))</f>
        <v/>
      </c>
      <c r="AU803" s="53">
        <f>IF(AND(AG803=1,AT803&gt;0,AF803&gt;0),100*AF803/AT803,"")</f>
        <v/>
      </c>
      <c r="AV803" s="44">
        <f>IF(AU803="","",T803/(AU803/100))</f>
        <v/>
      </c>
      <c r="AW803" s="53">
        <f>IF(AU803="","",IF(AND(ABS(AH803)&gt;=0.1,ABS(T803)&gt;=0.05,SIGN(AH803)=SIGN(T803)),100*T803/AH803,""))</f>
        <v/>
      </c>
      <c r="AX803" s="45">
        <f>IF(AU803="","",T803-AV803)</f>
        <v/>
      </c>
      <c r="AY803" s="45">
        <f>IF(AU803="","",AH803-AV803)</f>
        <v/>
      </c>
      <c r="AZ803" s="54">
        <f>(AL803-AM803)-T803*AT803</f>
        <v/>
      </c>
      <c r="BA803" s="43">
        <f>IF(AU803="",0,(AH803-T803)*AF803)</f>
        <v/>
      </c>
      <c r="BB803" s="43">
        <f>IF(AU803="",0,T803*(AF803-AT803))</f>
        <v/>
      </c>
      <c r="BC803" s="51" t="n">
        <v>0.006017699115044248</v>
      </c>
      <c r="BD803" s="51" t="n">
        <v>0.03787610619469026</v>
      </c>
      <c r="BE803" s="51" t="n">
        <v>0.2000939408172851</v>
      </c>
      <c r="BF803" s="43" t="n">
        <v>2825</v>
      </c>
    </row>
    <row r="804">
      <c r="A804" s="42" t="inlineStr">
        <is>
          <t>NE</t>
        </is>
      </c>
      <c r="B804" s="42" t="inlineStr">
        <is>
          <t>31063</t>
        </is>
      </c>
      <c r="C804" s="42" t="inlineStr">
        <is>
          <t>Frontier</t>
        </is>
      </c>
      <c r="D804" s="42" t="inlineStr">
        <is>
          <t>Small town &amp; rural</t>
        </is>
      </c>
      <c r="E804" s="42" t="inlineStr"/>
      <c r="F804" s="43" t="n">
        <v>185</v>
      </c>
      <c r="G804" s="43" t="n">
        <v>1213</v>
      </c>
      <c r="H804" s="43" t="n">
        <v>1410</v>
      </c>
      <c r="I804" s="43" t="n">
        <v>189</v>
      </c>
      <c r="J804" s="43" t="n">
        <v>1229</v>
      </c>
      <c r="K804" s="42" t="inlineStr">
        <is>
          <t>Governor</t>
        </is>
      </c>
      <c r="L804" s="43" t="n">
        <v>142</v>
      </c>
      <c r="M804" s="43" t="n">
        <v>895</v>
      </c>
      <c r="N804" s="43" t="n">
        <v>1077</v>
      </c>
      <c r="O804" s="44">
        <f>IFERROR((F804-G804)/(F804+G804),"")</f>
        <v/>
      </c>
      <c r="P804" s="44">
        <f>IFERROR((I804-J804)/(I804+J804),"")</f>
        <v/>
      </c>
      <c r="Q804" s="45">
        <f>IFERROR(O804-P804,"")</f>
        <v/>
      </c>
      <c r="R804" s="44">
        <f>IFERROR((L804-M804)/(L804+M804),"")</f>
        <v/>
      </c>
      <c r="S804" s="46">
        <f>H804/SUMIFS(Counties!$H$2:$H$1583,Counties!$A$2:$A$1583,$A804)</f>
        <v/>
      </c>
      <c r="T804" s="44">
        <f>O804+INDEX(Dashboard!$F$6:$F$22,MATCH($A804,Dashboard!$A$6:$A$22,0))</f>
        <v/>
      </c>
      <c r="U804" s="43">
        <f>AQ804*INDEX(Dashboard!$G$6:$G$22,MATCH($A804,Dashboard!$A$6:$A$22,0))</f>
        <v/>
      </c>
      <c r="V804" s="47" t="n"/>
      <c r="W804" s="47" t="n"/>
      <c r="X804" s="47" t="n"/>
      <c r="Y804" s="48" t="n"/>
      <c r="Z804" s="49" t="n"/>
      <c r="AA804" s="49" t="n"/>
      <c r="AB804" s="49" t="n"/>
      <c r="AC804" s="50" t="n"/>
      <c r="AD804" s="43">
        <f>IF(Z804&lt;&gt;"",Z804,N(V804))</f>
        <v/>
      </c>
      <c r="AE804" s="43">
        <f>IF(AA804&lt;&gt;"",AA804,N(W804))</f>
        <v/>
      </c>
      <c r="AF804" s="43">
        <f>AD804+AE804</f>
        <v/>
      </c>
      <c r="AG804" s="42">
        <f>IF(UPPER(AC804)="Y",1,IF(AF804=0,0,IF(AND(Z804="",Y804&lt;&gt;""),IF(Y804&gt;=0.999,1,0),IF(AF804&gt;=U804,1,0))))</f>
        <v/>
      </c>
      <c r="AH804" s="44">
        <f>IF(AF804&gt;0,(AD804-AE804)/AF804,"")</f>
        <v/>
      </c>
      <c r="AI804" s="45">
        <f>IF(AG804=1,AH804-O804,"")</f>
        <v/>
      </c>
      <c r="AJ804" s="44">
        <f>IF(AG804=1,AH804,MAX(-1,MIN(1,O804+INDEX(Types!$H:$H,MATCH($A804&amp;"|"&amp;$D804,Types!$A:$A,0)))))</f>
        <v/>
      </c>
      <c r="AK804" s="43">
        <f>IF(AG804=1,AF804,MAX(AQ804*AS804,AF804))</f>
        <v/>
      </c>
      <c r="AL804" s="43">
        <f>IF(AG804=1,AD804,AK804*(1+AJ804)/2)</f>
        <v/>
      </c>
      <c r="AM804" s="43">
        <f>IF(AG804=1,AE804,AK804*(1-AJ804)/2)</f>
        <v/>
      </c>
      <c r="AN804" s="45">
        <f>IF(AH804="","",AH804-T804)</f>
        <v/>
      </c>
      <c r="AO804" s="51">
        <f>IF(AG804=1,1,IF(U804&gt;0,MIN(AF804/U804,0.99),0))</f>
        <v/>
      </c>
      <c r="AP804" s="43">
        <f>IF(AG804=1,AI804*AF804,0)</f>
        <v/>
      </c>
      <c r="AQ804" s="43">
        <f>N804*(F804+G804)/H804</f>
        <v/>
      </c>
      <c r="AR804" s="43">
        <f>O804*AQ804</f>
        <v/>
      </c>
      <c r="AS804" s="52">
        <f>IF(AG804=1,IF(AQ804&gt;0,AF804/AQ804,1),IFERROR(INDEX(Types!$K:$K,MATCH($A804&amp;"|"&amp;$D804,Types!$A:$A,0)),INDEX(Dashboard!$X$6:$X$22,MATCH($A804,Dashboard!$A$6:$A$22,0))))</f>
        <v/>
      </c>
      <c r="AT804" s="43">
        <f>AQ804*INDEX(Dashboard!$Y$6:$Y$22,MATCH($A804,Dashboard!$A$6:$A$22,0))</f>
        <v/>
      </c>
      <c r="AU804" s="53">
        <f>IF(AND(AG804=1,AT804&gt;0,AF804&gt;0),100*AF804/AT804,"")</f>
        <v/>
      </c>
      <c r="AV804" s="44">
        <f>IF(AU804="","",T804/(AU804/100))</f>
        <v/>
      </c>
      <c r="AW804" s="53">
        <f>IF(AU804="","",IF(AND(ABS(AH804)&gt;=0.1,ABS(T804)&gt;=0.05,SIGN(AH804)=SIGN(T804)),100*T804/AH804,""))</f>
        <v/>
      </c>
      <c r="AX804" s="45">
        <f>IF(AU804="","",T804-AV804)</f>
        <v/>
      </c>
      <c r="AY804" s="45">
        <f>IF(AU804="","",AH804-AV804)</f>
        <v/>
      </c>
      <c r="AZ804" s="54">
        <f>(AL804-AM804)-T804*AT804</f>
        <v/>
      </c>
      <c r="BA804" s="43">
        <f>IF(AU804="",0,(AH804-T804)*AF804)</f>
        <v/>
      </c>
      <c r="BB804" s="43">
        <f>IF(AU804="",0,T804*(AF804-AT804))</f>
        <v/>
      </c>
      <c r="BC804" s="51" t="n">
        <v>0.006189555125725338</v>
      </c>
      <c r="BD804" s="51" t="n">
        <v>0.03520309477756287</v>
      </c>
      <c r="BE804" s="51" t="n">
        <v>0.2609699769053118</v>
      </c>
      <c r="BF804" s="43" t="n">
        <v>2585</v>
      </c>
    </row>
    <row r="805">
      <c r="A805" s="42" t="inlineStr">
        <is>
          <t>NE</t>
        </is>
      </c>
      <c r="B805" s="42" t="inlineStr">
        <is>
          <t>31065</t>
        </is>
      </c>
      <c r="C805" s="42" t="inlineStr">
        <is>
          <t>Furnas</t>
        </is>
      </c>
      <c r="D805" s="42" t="inlineStr">
        <is>
          <t>Small town &amp; rural</t>
        </is>
      </c>
      <c r="E805" s="42" t="inlineStr"/>
      <c r="F805" s="43" t="n">
        <v>358</v>
      </c>
      <c r="G805" s="43" t="n">
        <v>2043</v>
      </c>
      <c r="H805" s="43" t="n">
        <v>2413</v>
      </c>
      <c r="I805" s="43" t="n">
        <v>399</v>
      </c>
      <c r="J805" s="43" t="n">
        <v>2163</v>
      </c>
      <c r="K805" s="42" t="inlineStr">
        <is>
          <t>Governor</t>
        </is>
      </c>
      <c r="L805" s="43" t="n">
        <v>241</v>
      </c>
      <c r="M805" s="43" t="n">
        <v>1524</v>
      </c>
      <c r="N805" s="43" t="n">
        <v>1859</v>
      </c>
      <c r="O805" s="44">
        <f>IFERROR((F805-G805)/(F805+G805),"")</f>
        <v/>
      </c>
      <c r="P805" s="44">
        <f>IFERROR((I805-J805)/(I805+J805),"")</f>
        <v/>
      </c>
      <c r="Q805" s="45">
        <f>IFERROR(O805-P805,"")</f>
        <v/>
      </c>
      <c r="R805" s="44">
        <f>IFERROR((L805-M805)/(L805+M805),"")</f>
        <v/>
      </c>
      <c r="S805" s="46">
        <f>H805/SUMIFS(Counties!$H$2:$H$1583,Counties!$A$2:$A$1583,$A805)</f>
        <v/>
      </c>
      <c r="T805" s="44">
        <f>O805+INDEX(Dashboard!$F$6:$F$22,MATCH($A805,Dashboard!$A$6:$A$22,0))</f>
        <v/>
      </c>
      <c r="U805" s="43">
        <f>AQ805*INDEX(Dashboard!$G$6:$G$22,MATCH($A805,Dashboard!$A$6:$A$22,0))</f>
        <v/>
      </c>
      <c r="V805" s="47" t="n"/>
      <c r="W805" s="47" t="n"/>
      <c r="X805" s="47" t="n"/>
      <c r="Y805" s="48" t="n"/>
      <c r="Z805" s="49" t="n"/>
      <c r="AA805" s="49" t="n"/>
      <c r="AB805" s="49" t="n"/>
      <c r="AC805" s="50" t="n"/>
      <c r="AD805" s="43">
        <f>IF(Z805&lt;&gt;"",Z805,N(V805))</f>
        <v/>
      </c>
      <c r="AE805" s="43">
        <f>IF(AA805&lt;&gt;"",AA805,N(W805))</f>
        <v/>
      </c>
      <c r="AF805" s="43">
        <f>AD805+AE805</f>
        <v/>
      </c>
      <c r="AG805" s="42">
        <f>IF(UPPER(AC805)="Y",1,IF(AF805=0,0,IF(AND(Z805="",Y805&lt;&gt;""),IF(Y805&gt;=0.999,1,0),IF(AF805&gt;=U805,1,0))))</f>
        <v/>
      </c>
      <c r="AH805" s="44">
        <f>IF(AF805&gt;0,(AD805-AE805)/AF805,"")</f>
        <v/>
      </c>
      <c r="AI805" s="45">
        <f>IF(AG805=1,AH805-O805,"")</f>
        <v/>
      </c>
      <c r="AJ805" s="44">
        <f>IF(AG805=1,AH805,MAX(-1,MIN(1,O805+INDEX(Types!$H:$H,MATCH($A805&amp;"|"&amp;$D805,Types!$A:$A,0)))))</f>
        <v/>
      </c>
      <c r="AK805" s="43">
        <f>IF(AG805=1,AF805,MAX(AQ805*AS805,AF805))</f>
        <v/>
      </c>
      <c r="AL805" s="43">
        <f>IF(AG805=1,AD805,AK805*(1+AJ805)/2)</f>
        <v/>
      </c>
      <c r="AM805" s="43">
        <f>IF(AG805=1,AE805,AK805*(1-AJ805)/2)</f>
        <v/>
      </c>
      <c r="AN805" s="45">
        <f>IF(AH805="","",AH805-T805)</f>
        <v/>
      </c>
      <c r="AO805" s="51">
        <f>IF(AG805=1,1,IF(U805&gt;0,MIN(AF805/U805,0.99),0))</f>
        <v/>
      </c>
      <c r="AP805" s="43">
        <f>IF(AG805=1,AI805*AF805,0)</f>
        <v/>
      </c>
      <c r="AQ805" s="43">
        <f>N805*(F805+G805)/H805</f>
        <v/>
      </c>
      <c r="AR805" s="43">
        <f>O805*AQ805</f>
        <v/>
      </c>
      <c r="AS805" s="52">
        <f>IF(AG805=1,IF(AQ805&gt;0,AF805/AQ805,1),IFERROR(INDEX(Types!$K:$K,MATCH($A805&amp;"|"&amp;$D805,Types!$A:$A,0)),INDEX(Dashboard!$X$6:$X$22,MATCH($A805,Dashboard!$A$6:$A$22,0))))</f>
        <v/>
      </c>
      <c r="AT805" s="43">
        <f>AQ805*INDEX(Dashboard!$Y$6:$Y$22,MATCH($A805,Dashboard!$A$6:$A$22,0))</f>
        <v/>
      </c>
      <c r="AU805" s="53">
        <f>IF(AND(AG805=1,AT805&gt;0,AF805&gt;0),100*AF805/AT805,"")</f>
        <v/>
      </c>
      <c r="AV805" s="44">
        <f>IF(AU805="","",T805/(AU805/100))</f>
        <v/>
      </c>
      <c r="AW805" s="53">
        <f>IF(AU805="","",IF(AND(ABS(AH805)&gt;=0.1,ABS(T805)&gt;=0.05,SIGN(AH805)=SIGN(T805)),100*T805/AH805,""))</f>
        <v/>
      </c>
      <c r="AX805" s="45">
        <f>IF(AU805="","",T805-AV805)</f>
        <v/>
      </c>
      <c r="AY805" s="45">
        <f>IF(AU805="","",AH805-AV805)</f>
        <v/>
      </c>
      <c r="AZ805" s="54">
        <f>(AL805-AM805)-T805*AT805</f>
        <v/>
      </c>
      <c r="BA805" s="43">
        <f>IF(AU805="",0,(AH805-T805)*AF805)</f>
        <v/>
      </c>
      <c r="BB805" s="43">
        <f>IF(AU805="",0,T805*(AF805-AT805))</f>
        <v/>
      </c>
      <c r="BC805" s="51" t="n">
        <v>0.006584723441615452</v>
      </c>
      <c r="BD805" s="51" t="n">
        <v>0.05245829675153644</v>
      </c>
      <c r="BE805" s="51" t="n">
        <v>0.2225619076734943</v>
      </c>
      <c r="BF805" s="43" t="n">
        <v>4556</v>
      </c>
    </row>
    <row r="806">
      <c r="A806" s="42" t="inlineStr">
        <is>
          <t>NE</t>
        </is>
      </c>
      <c r="B806" s="42" t="inlineStr">
        <is>
          <t>31067</t>
        </is>
      </c>
      <c r="C806" s="42" t="inlineStr">
        <is>
          <t>Gage</t>
        </is>
      </c>
      <c r="D806" s="42" t="inlineStr">
        <is>
          <t>Small town &amp; rural</t>
        </is>
      </c>
      <c r="E806" s="42" t="inlineStr"/>
      <c r="F806" s="43" t="n">
        <v>3242</v>
      </c>
      <c r="G806" s="43" t="n">
        <v>7523</v>
      </c>
      <c r="H806" s="43" t="n">
        <v>10916</v>
      </c>
      <c r="I806" s="43" t="n">
        <v>3385</v>
      </c>
      <c r="J806" s="43" t="n">
        <v>7445</v>
      </c>
      <c r="K806" s="42" t="inlineStr">
        <is>
          <t>Governor</t>
        </is>
      </c>
      <c r="L806" s="43" t="n">
        <v>2357</v>
      </c>
      <c r="M806" s="43" t="n">
        <v>5317</v>
      </c>
      <c r="N806" s="43" t="n">
        <v>7991</v>
      </c>
      <c r="O806" s="44">
        <f>IFERROR((F806-G806)/(F806+G806),"")</f>
        <v/>
      </c>
      <c r="P806" s="44">
        <f>IFERROR((I806-J806)/(I806+J806),"")</f>
        <v/>
      </c>
      <c r="Q806" s="45">
        <f>IFERROR(O806-P806,"")</f>
        <v/>
      </c>
      <c r="R806" s="44">
        <f>IFERROR((L806-M806)/(L806+M806),"")</f>
        <v/>
      </c>
      <c r="S806" s="46">
        <f>H806/SUMIFS(Counties!$H$2:$H$1583,Counties!$A$2:$A$1583,$A806)</f>
        <v/>
      </c>
      <c r="T806" s="44">
        <f>O806+INDEX(Dashboard!$F$6:$F$22,MATCH($A806,Dashboard!$A$6:$A$22,0))</f>
        <v/>
      </c>
      <c r="U806" s="43">
        <f>AQ806*INDEX(Dashboard!$G$6:$G$22,MATCH($A806,Dashboard!$A$6:$A$22,0))</f>
        <v/>
      </c>
      <c r="V806" s="47" t="n"/>
      <c r="W806" s="47" t="n"/>
      <c r="X806" s="47" t="n"/>
      <c r="Y806" s="48" t="n"/>
      <c r="Z806" s="49" t="n"/>
      <c r="AA806" s="49" t="n"/>
      <c r="AB806" s="49" t="n"/>
      <c r="AC806" s="50" t="n"/>
      <c r="AD806" s="43">
        <f>IF(Z806&lt;&gt;"",Z806,N(V806))</f>
        <v/>
      </c>
      <c r="AE806" s="43">
        <f>IF(AA806&lt;&gt;"",AA806,N(W806))</f>
        <v/>
      </c>
      <c r="AF806" s="43">
        <f>AD806+AE806</f>
        <v/>
      </c>
      <c r="AG806" s="42">
        <f>IF(UPPER(AC806)="Y",1,IF(AF806=0,0,IF(AND(Z806="",Y806&lt;&gt;""),IF(Y806&gt;=0.999,1,0),IF(AF806&gt;=U806,1,0))))</f>
        <v/>
      </c>
      <c r="AH806" s="44">
        <f>IF(AF806&gt;0,(AD806-AE806)/AF806,"")</f>
        <v/>
      </c>
      <c r="AI806" s="45">
        <f>IF(AG806=1,AH806-O806,"")</f>
        <v/>
      </c>
      <c r="AJ806" s="44">
        <f>IF(AG806=1,AH806,MAX(-1,MIN(1,O806+INDEX(Types!$H:$H,MATCH($A806&amp;"|"&amp;$D806,Types!$A:$A,0)))))</f>
        <v/>
      </c>
      <c r="AK806" s="43">
        <f>IF(AG806=1,AF806,MAX(AQ806*AS806,AF806))</f>
        <v/>
      </c>
      <c r="AL806" s="43">
        <f>IF(AG806=1,AD806,AK806*(1+AJ806)/2)</f>
        <v/>
      </c>
      <c r="AM806" s="43">
        <f>IF(AG806=1,AE806,AK806*(1-AJ806)/2)</f>
        <v/>
      </c>
      <c r="AN806" s="45">
        <f>IF(AH806="","",AH806-T806)</f>
        <v/>
      </c>
      <c r="AO806" s="51">
        <f>IF(AG806=1,1,IF(U806&gt;0,MIN(AF806/U806,0.99),0))</f>
        <v/>
      </c>
      <c r="AP806" s="43">
        <f>IF(AG806=1,AI806*AF806,0)</f>
        <v/>
      </c>
      <c r="AQ806" s="43">
        <f>N806*(F806+G806)/H806</f>
        <v/>
      </c>
      <c r="AR806" s="43">
        <f>O806*AQ806</f>
        <v/>
      </c>
      <c r="AS806" s="52">
        <f>IF(AG806=1,IF(AQ806&gt;0,AF806/AQ806,1),IFERROR(INDEX(Types!$K:$K,MATCH($A806&amp;"|"&amp;$D806,Types!$A:$A,0)),INDEX(Dashboard!$X$6:$X$22,MATCH($A806,Dashboard!$A$6:$A$22,0))))</f>
        <v/>
      </c>
      <c r="AT806" s="43">
        <f>AQ806*INDEX(Dashboard!$Y$6:$Y$22,MATCH($A806,Dashboard!$A$6:$A$22,0))</f>
        <v/>
      </c>
      <c r="AU806" s="53">
        <f>IF(AND(AG806=1,AT806&gt;0,AF806&gt;0),100*AF806/AT806,"")</f>
        <v/>
      </c>
      <c r="AV806" s="44">
        <f>IF(AU806="","",T806/(AU806/100))</f>
        <v/>
      </c>
      <c r="AW806" s="53">
        <f>IF(AU806="","",IF(AND(ABS(AH806)&gt;=0.1,ABS(T806)&gt;=0.05,SIGN(AH806)=SIGN(T806)),100*T806/AH806,""))</f>
        <v/>
      </c>
      <c r="AX806" s="45">
        <f>IF(AU806="","",T806-AV806)</f>
        <v/>
      </c>
      <c r="AY806" s="45">
        <f>IF(AU806="","",AH806-AV806)</f>
        <v/>
      </c>
      <c r="AZ806" s="54">
        <f>(AL806-AM806)-T806*AT806</f>
        <v/>
      </c>
      <c r="BA806" s="43">
        <f>IF(AU806="",0,(AH806-T806)*AF806)</f>
        <v/>
      </c>
      <c r="BB806" s="43">
        <f>IF(AU806="",0,T806*(AF806-AT806))</f>
        <v/>
      </c>
      <c r="BC806" s="51" t="n">
        <v>0.00702597762780808</v>
      </c>
      <c r="BD806" s="51" t="n">
        <v>0.03586946473144125</v>
      </c>
      <c r="BE806" s="51" t="n">
        <v>0.2212785568503522</v>
      </c>
      <c r="BF806" s="43" t="n">
        <v>21634</v>
      </c>
    </row>
    <row r="807">
      <c r="A807" s="42" t="inlineStr">
        <is>
          <t>NE</t>
        </is>
      </c>
      <c r="B807" s="42" t="inlineStr">
        <is>
          <t>31069</t>
        </is>
      </c>
      <c r="C807" s="42" t="inlineStr">
        <is>
          <t>Garden</t>
        </is>
      </c>
      <c r="D807" s="42" t="inlineStr">
        <is>
          <t>Small town &amp; rural</t>
        </is>
      </c>
      <c r="E807" s="42" t="inlineStr"/>
      <c r="F807" s="43" t="n">
        <v>162</v>
      </c>
      <c r="G807" s="43" t="n">
        <v>949</v>
      </c>
      <c r="H807" s="43" t="n">
        <v>1117</v>
      </c>
      <c r="I807" s="43" t="n">
        <v>161</v>
      </c>
      <c r="J807" s="43" t="n">
        <v>1016</v>
      </c>
      <c r="K807" s="42" t="inlineStr">
        <is>
          <t>Governor</t>
        </is>
      </c>
      <c r="L807" s="43" t="n">
        <v>109</v>
      </c>
      <c r="M807" s="43" t="n">
        <v>736</v>
      </c>
      <c r="N807" s="43" t="n">
        <v>881</v>
      </c>
      <c r="O807" s="44">
        <f>IFERROR((F807-G807)/(F807+G807),"")</f>
        <v/>
      </c>
      <c r="P807" s="44">
        <f>IFERROR((I807-J807)/(I807+J807),"")</f>
        <v/>
      </c>
      <c r="Q807" s="45">
        <f>IFERROR(O807-P807,"")</f>
        <v/>
      </c>
      <c r="R807" s="44">
        <f>IFERROR((L807-M807)/(L807+M807),"")</f>
        <v/>
      </c>
      <c r="S807" s="46">
        <f>H807/SUMIFS(Counties!$H$2:$H$1583,Counties!$A$2:$A$1583,$A807)</f>
        <v/>
      </c>
      <c r="T807" s="44">
        <f>O807+INDEX(Dashboard!$F$6:$F$22,MATCH($A807,Dashboard!$A$6:$A$22,0))</f>
        <v/>
      </c>
      <c r="U807" s="43">
        <f>AQ807*INDEX(Dashboard!$G$6:$G$22,MATCH($A807,Dashboard!$A$6:$A$22,0))</f>
        <v/>
      </c>
      <c r="V807" s="47" t="n"/>
      <c r="W807" s="47" t="n"/>
      <c r="X807" s="47" t="n"/>
      <c r="Y807" s="48" t="n"/>
      <c r="Z807" s="49" t="n"/>
      <c r="AA807" s="49" t="n"/>
      <c r="AB807" s="49" t="n"/>
      <c r="AC807" s="50" t="n"/>
      <c r="AD807" s="43">
        <f>IF(Z807&lt;&gt;"",Z807,N(V807))</f>
        <v/>
      </c>
      <c r="AE807" s="43">
        <f>IF(AA807&lt;&gt;"",AA807,N(W807))</f>
        <v/>
      </c>
      <c r="AF807" s="43">
        <f>AD807+AE807</f>
        <v/>
      </c>
      <c r="AG807" s="42">
        <f>IF(UPPER(AC807)="Y",1,IF(AF807=0,0,IF(AND(Z807="",Y807&lt;&gt;""),IF(Y807&gt;=0.999,1,0),IF(AF807&gt;=U807,1,0))))</f>
        <v/>
      </c>
      <c r="AH807" s="44">
        <f>IF(AF807&gt;0,(AD807-AE807)/AF807,"")</f>
        <v/>
      </c>
      <c r="AI807" s="45">
        <f>IF(AG807=1,AH807-O807,"")</f>
        <v/>
      </c>
      <c r="AJ807" s="44">
        <f>IF(AG807=1,AH807,MAX(-1,MIN(1,O807+INDEX(Types!$H:$H,MATCH($A807&amp;"|"&amp;$D807,Types!$A:$A,0)))))</f>
        <v/>
      </c>
      <c r="AK807" s="43">
        <f>IF(AG807=1,AF807,MAX(AQ807*AS807,AF807))</f>
        <v/>
      </c>
      <c r="AL807" s="43">
        <f>IF(AG807=1,AD807,AK807*(1+AJ807)/2)</f>
        <v/>
      </c>
      <c r="AM807" s="43">
        <f>IF(AG807=1,AE807,AK807*(1-AJ807)/2)</f>
        <v/>
      </c>
      <c r="AN807" s="45">
        <f>IF(AH807="","",AH807-T807)</f>
        <v/>
      </c>
      <c r="AO807" s="51">
        <f>IF(AG807=1,1,IF(U807&gt;0,MIN(AF807/U807,0.99),0))</f>
        <v/>
      </c>
      <c r="AP807" s="43">
        <f>IF(AG807=1,AI807*AF807,0)</f>
        <v/>
      </c>
      <c r="AQ807" s="43">
        <f>N807*(F807+G807)/H807</f>
        <v/>
      </c>
      <c r="AR807" s="43">
        <f>O807*AQ807</f>
        <v/>
      </c>
      <c r="AS807" s="52">
        <f>IF(AG807=1,IF(AQ807&gt;0,AF807/AQ807,1),IFERROR(INDEX(Types!$K:$K,MATCH($A807&amp;"|"&amp;$D807,Types!$A:$A,0)),INDEX(Dashboard!$X$6:$X$22,MATCH($A807,Dashboard!$A$6:$A$22,0))))</f>
        <v/>
      </c>
      <c r="AT807" s="43">
        <f>AQ807*INDEX(Dashboard!$Y$6:$Y$22,MATCH($A807,Dashboard!$A$6:$A$22,0))</f>
        <v/>
      </c>
      <c r="AU807" s="53">
        <f>IF(AND(AG807=1,AT807&gt;0,AF807&gt;0),100*AF807/AT807,"")</f>
        <v/>
      </c>
      <c r="AV807" s="44">
        <f>IF(AU807="","",T807/(AU807/100))</f>
        <v/>
      </c>
      <c r="AW807" s="53">
        <f>IF(AU807="","",IF(AND(ABS(AH807)&gt;=0.1,ABS(T807)&gt;=0.05,SIGN(AH807)=SIGN(T807)),100*T807/AH807,""))</f>
        <v/>
      </c>
      <c r="AX807" s="45">
        <f>IF(AU807="","",T807-AV807)</f>
        <v/>
      </c>
      <c r="AY807" s="45">
        <f>IF(AU807="","",AH807-AV807)</f>
        <v/>
      </c>
      <c r="AZ807" s="54">
        <f>(AL807-AM807)-T807*AT807</f>
        <v/>
      </c>
      <c r="BA807" s="43">
        <f>IF(AU807="",0,(AH807-T807)*AF807)</f>
        <v/>
      </c>
      <c r="BB807" s="43">
        <f>IF(AU807="",0,T807*(AF807-AT807))</f>
        <v/>
      </c>
      <c r="BC807" s="51" t="n">
        <v>0.003901895206243032</v>
      </c>
      <c r="BD807" s="51" t="n">
        <v>0.05629877369007804</v>
      </c>
      <c r="BE807" s="51" t="n">
        <v>0.2070626003210273</v>
      </c>
      <c r="BF807" s="43" t="n">
        <v>1794</v>
      </c>
    </row>
    <row r="808">
      <c r="A808" s="42" t="inlineStr">
        <is>
          <t>NE</t>
        </is>
      </c>
      <c r="B808" s="42" t="inlineStr">
        <is>
          <t>31071</t>
        </is>
      </c>
      <c r="C808" s="42" t="inlineStr">
        <is>
          <t>Garfield</t>
        </is>
      </c>
      <c r="D808" s="42" t="inlineStr">
        <is>
          <t>Small town &amp; rural</t>
        </is>
      </c>
      <c r="E808" s="42" t="inlineStr"/>
      <c r="F808" s="43" t="n">
        <v>116</v>
      </c>
      <c r="G808" s="43" t="n">
        <v>893</v>
      </c>
      <c r="H808" s="43" t="n">
        <v>1015</v>
      </c>
      <c r="I808" s="43" t="n">
        <v>133</v>
      </c>
      <c r="J808" s="43" t="n">
        <v>933</v>
      </c>
      <c r="K808" s="42" t="inlineStr">
        <is>
          <t>Governor</t>
        </is>
      </c>
      <c r="L808" s="43" t="n">
        <v>80</v>
      </c>
      <c r="M808" s="43" t="n">
        <v>628</v>
      </c>
      <c r="N808" s="43" t="n">
        <v>726</v>
      </c>
      <c r="O808" s="44">
        <f>IFERROR((F808-G808)/(F808+G808),"")</f>
        <v/>
      </c>
      <c r="P808" s="44">
        <f>IFERROR((I808-J808)/(I808+J808),"")</f>
        <v/>
      </c>
      <c r="Q808" s="45">
        <f>IFERROR(O808-P808,"")</f>
        <v/>
      </c>
      <c r="R808" s="44">
        <f>IFERROR((L808-M808)/(L808+M808),"")</f>
        <v/>
      </c>
      <c r="S808" s="46">
        <f>H808/SUMIFS(Counties!$H$2:$H$1583,Counties!$A$2:$A$1583,$A808)</f>
        <v/>
      </c>
      <c r="T808" s="44">
        <f>O808+INDEX(Dashboard!$F$6:$F$22,MATCH($A808,Dashboard!$A$6:$A$22,0))</f>
        <v/>
      </c>
      <c r="U808" s="43">
        <f>AQ808*INDEX(Dashboard!$G$6:$G$22,MATCH($A808,Dashboard!$A$6:$A$22,0))</f>
        <v/>
      </c>
      <c r="V808" s="47" t="n"/>
      <c r="W808" s="47" t="n"/>
      <c r="X808" s="47" t="n"/>
      <c r="Y808" s="48" t="n"/>
      <c r="Z808" s="49" t="n"/>
      <c r="AA808" s="49" t="n"/>
      <c r="AB808" s="49" t="n"/>
      <c r="AC808" s="50" t="n"/>
      <c r="AD808" s="43">
        <f>IF(Z808&lt;&gt;"",Z808,N(V808))</f>
        <v/>
      </c>
      <c r="AE808" s="43">
        <f>IF(AA808&lt;&gt;"",AA808,N(W808))</f>
        <v/>
      </c>
      <c r="AF808" s="43">
        <f>AD808+AE808</f>
        <v/>
      </c>
      <c r="AG808" s="42">
        <f>IF(UPPER(AC808)="Y",1,IF(AF808=0,0,IF(AND(Z808="",Y808&lt;&gt;""),IF(Y808&gt;=0.999,1,0),IF(AF808&gt;=U808,1,0))))</f>
        <v/>
      </c>
      <c r="AH808" s="44">
        <f>IF(AF808&gt;0,(AD808-AE808)/AF808,"")</f>
        <v/>
      </c>
      <c r="AI808" s="45">
        <f>IF(AG808=1,AH808-O808,"")</f>
        <v/>
      </c>
      <c r="AJ808" s="44">
        <f>IF(AG808=1,AH808,MAX(-1,MIN(1,O808+INDEX(Types!$H:$H,MATCH($A808&amp;"|"&amp;$D808,Types!$A:$A,0)))))</f>
        <v/>
      </c>
      <c r="AK808" s="43">
        <f>IF(AG808=1,AF808,MAX(AQ808*AS808,AF808))</f>
        <v/>
      </c>
      <c r="AL808" s="43">
        <f>IF(AG808=1,AD808,AK808*(1+AJ808)/2)</f>
        <v/>
      </c>
      <c r="AM808" s="43">
        <f>IF(AG808=1,AE808,AK808*(1-AJ808)/2)</f>
        <v/>
      </c>
      <c r="AN808" s="45">
        <f>IF(AH808="","",AH808-T808)</f>
        <v/>
      </c>
      <c r="AO808" s="51">
        <f>IF(AG808=1,1,IF(U808&gt;0,MIN(AF808/U808,0.99),0))</f>
        <v/>
      </c>
      <c r="AP808" s="43">
        <f>IF(AG808=1,AI808*AF808,0)</f>
        <v/>
      </c>
      <c r="AQ808" s="43">
        <f>N808*(F808+G808)/H808</f>
        <v/>
      </c>
      <c r="AR808" s="43">
        <f>O808*AQ808</f>
        <v/>
      </c>
      <c r="AS808" s="52">
        <f>IF(AG808=1,IF(AQ808&gt;0,AF808/AQ808,1),IFERROR(INDEX(Types!$K:$K,MATCH($A808&amp;"|"&amp;$D808,Types!$A:$A,0)),INDEX(Dashboard!$X$6:$X$22,MATCH($A808,Dashboard!$A$6:$A$22,0))))</f>
        <v/>
      </c>
      <c r="AT808" s="43">
        <f>AQ808*INDEX(Dashboard!$Y$6:$Y$22,MATCH($A808,Dashboard!$A$6:$A$22,0))</f>
        <v/>
      </c>
      <c r="AU808" s="53">
        <f>IF(AND(AG808=1,AT808&gt;0,AF808&gt;0),100*AF808/AT808,"")</f>
        <v/>
      </c>
      <c r="AV808" s="44">
        <f>IF(AU808="","",T808/(AU808/100))</f>
        <v/>
      </c>
      <c r="AW808" s="53">
        <f>IF(AU808="","",IF(AND(ABS(AH808)&gt;=0.1,ABS(T808)&gt;=0.05,SIGN(AH808)=SIGN(T808)),100*T808/AH808,""))</f>
        <v/>
      </c>
      <c r="AX808" s="45">
        <f>IF(AU808="","",T808-AV808)</f>
        <v/>
      </c>
      <c r="AY808" s="45">
        <f>IF(AU808="","",AH808-AV808)</f>
        <v/>
      </c>
      <c r="AZ808" s="54">
        <f>(AL808-AM808)-T808*AT808</f>
        <v/>
      </c>
      <c r="BA808" s="43">
        <f>IF(AU808="",0,(AH808-T808)*AF808)</f>
        <v/>
      </c>
      <c r="BB808" s="43">
        <f>IF(AU808="",0,T808*(AF808-AT808))</f>
        <v/>
      </c>
      <c r="BC808" s="51" t="n">
        <v>0.002836074872376631</v>
      </c>
      <c r="BD808" s="51" t="n">
        <v>0.01644923425978446</v>
      </c>
      <c r="BE808" s="51" t="n">
        <v>0.3267871170463472</v>
      </c>
      <c r="BF808" s="43" t="n">
        <v>1763</v>
      </c>
    </row>
    <row r="809">
      <c r="A809" s="42" t="inlineStr">
        <is>
          <t>NE</t>
        </is>
      </c>
      <c r="B809" s="42" t="inlineStr">
        <is>
          <t>31073</t>
        </is>
      </c>
      <c r="C809" s="42" t="inlineStr">
        <is>
          <t>Gosper</t>
        </is>
      </c>
      <c r="D809" s="42" t="inlineStr">
        <is>
          <t>Small town &amp; rural</t>
        </is>
      </c>
      <c r="E809" s="42" t="inlineStr"/>
      <c r="F809" s="43" t="n">
        <v>203</v>
      </c>
      <c r="G809" s="43" t="n">
        <v>907</v>
      </c>
      <c r="H809" s="43" t="n">
        <v>1118</v>
      </c>
      <c r="I809" s="43" t="n">
        <v>215</v>
      </c>
      <c r="J809" s="43" t="n">
        <v>893</v>
      </c>
      <c r="K809" s="42" t="inlineStr">
        <is>
          <t>Governor</t>
        </is>
      </c>
      <c r="L809" s="43" t="n">
        <v>127</v>
      </c>
      <c r="M809" s="43" t="n">
        <v>676</v>
      </c>
      <c r="N809" s="43" t="n">
        <v>834</v>
      </c>
      <c r="O809" s="44">
        <f>IFERROR((F809-G809)/(F809+G809),"")</f>
        <v/>
      </c>
      <c r="P809" s="44">
        <f>IFERROR((I809-J809)/(I809+J809),"")</f>
        <v/>
      </c>
      <c r="Q809" s="45">
        <f>IFERROR(O809-P809,"")</f>
        <v/>
      </c>
      <c r="R809" s="44">
        <f>IFERROR((L809-M809)/(L809+M809),"")</f>
        <v/>
      </c>
      <c r="S809" s="46">
        <f>H809/SUMIFS(Counties!$H$2:$H$1583,Counties!$A$2:$A$1583,$A809)</f>
        <v/>
      </c>
      <c r="T809" s="44">
        <f>O809+INDEX(Dashboard!$F$6:$F$22,MATCH($A809,Dashboard!$A$6:$A$22,0))</f>
        <v/>
      </c>
      <c r="U809" s="43">
        <f>AQ809*INDEX(Dashboard!$G$6:$G$22,MATCH($A809,Dashboard!$A$6:$A$22,0))</f>
        <v/>
      </c>
      <c r="V809" s="47" t="n"/>
      <c r="W809" s="47" t="n"/>
      <c r="X809" s="47" t="n"/>
      <c r="Y809" s="48" t="n"/>
      <c r="Z809" s="49" t="n"/>
      <c r="AA809" s="49" t="n"/>
      <c r="AB809" s="49" t="n"/>
      <c r="AC809" s="50" t="n"/>
      <c r="AD809" s="43">
        <f>IF(Z809&lt;&gt;"",Z809,N(V809))</f>
        <v/>
      </c>
      <c r="AE809" s="43">
        <f>IF(AA809&lt;&gt;"",AA809,N(W809))</f>
        <v/>
      </c>
      <c r="AF809" s="43">
        <f>AD809+AE809</f>
        <v/>
      </c>
      <c r="AG809" s="42">
        <f>IF(UPPER(AC809)="Y",1,IF(AF809=0,0,IF(AND(Z809="",Y809&lt;&gt;""),IF(Y809&gt;=0.999,1,0),IF(AF809&gt;=U809,1,0))))</f>
        <v/>
      </c>
      <c r="AH809" s="44">
        <f>IF(AF809&gt;0,(AD809-AE809)/AF809,"")</f>
        <v/>
      </c>
      <c r="AI809" s="45">
        <f>IF(AG809=1,AH809-O809,"")</f>
        <v/>
      </c>
      <c r="AJ809" s="44">
        <f>IF(AG809=1,AH809,MAX(-1,MIN(1,O809+INDEX(Types!$H:$H,MATCH($A809&amp;"|"&amp;$D809,Types!$A:$A,0)))))</f>
        <v/>
      </c>
      <c r="AK809" s="43">
        <f>IF(AG809=1,AF809,MAX(AQ809*AS809,AF809))</f>
        <v/>
      </c>
      <c r="AL809" s="43">
        <f>IF(AG809=1,AD809,AK809*(1+AJ809)/2)</f>
        <v/>
      </c>
      <c r="AM809" s="43">
        <f>IF(AG809=1,AE809,AK809*(1-AJ809)/2)</f>
        <v/>
      </c>
      <c r="AN809" s="45">
        <f>IF(AH809="","",AH809-T809)</f>
        <v/>
      </c>
      <c r="AO809" s="51">
        <f>IF(AG809=1,1,IF(U809&gt;0,MIN(AF809/U809,0.99),0))</f>
        <v/>
      </c>
      <c r="AP809" s="43">
        <f>IF(AG809=1,AI809*AF809,0)</f>
        <v/>
      </c>
      <c r="AQ809" s="43">
        <f>N809*(F809+G809)/H809</f>
        <v/>
      </c>
      <c r="AR809" s="43">
        <f>O809*AQ809</f>
        <v/>
      </c>
      <c r="AS809" s="52">
        <f>IF(AG809=1,IF(AQ809&gt;0,AF809/AQ809,1),IFERROR(INDEX(Types!$K:$K,MATCH($A809&amp;"|"&amp;$D809,Types!$A:$A,0)),INDEX(Dashboard!$X$6:$X$22,MATCH($A809,Dashboard!$A$6:$A$22,0))))</f>
        <v/>
      </c>
      <c r="AT809" s="43">
        <f>AQ809*INDEX(Dashboard!$Y$6:$Y$22,MATCH($A809,Dashboard!$A$6:$A$22,0))</f>
        <v/>
      </c>
      <c r="AU809" s="53">
        <f>IF(AND(AG809=1,AT809&gt;0,AF809&gt;0),100*AF809/AT809,"")</f>
        <v/>
      </c>
      <c r="AV809" s="44">
        <f>IF(AU809="","",T809/(AU809/100))</f>
        <v/>
      </c>
      <c r="AW809" s="53">
        <f>IF(AU809="","",IF(AND(ABS(AH809)&gt;=0.1,ABS(T809)&gt;=0.05,SIGN(AH809)=SIGN(T809)),100*T809/AH809,""))</f>
        <v/>
      </c>
      <c r="AX809" s="45">
        <f>IF(AU809="","",T809-AV809)</f>
        <v/>
      </c>
      <c r="AY809" s="45">
        <f>IF(AU809="","",AH809-AV809)</f>
        <v/>
      </c>
      <c r="AZ809" s="54">
        <f>(AL809-AM809)-T809*AT809</f>
        <v/>
      </c>
      <c r="BA809" s="43">
        <f>IF(AU809="",0,(AH809-T809)*AF809)</f>
        <v/>
      </c>
      <c r="BB809" s="43">
        <f>IF(AU809="",0,T809*(AF809-AT809))</f>
        <v/>
      </c>
      <c r="BC809" s="51" t="n">
        <v>0.01028695181375203</v>
      </c>
      <c r="BD809" s="51" t="n">
        <v>0.06442880346507851</v>
      </c>
      <c r="BE809" s="51" t="n">
        <v>0.2880658436213992</v>
      </c>
      <c r="BF809" s="43" t="n">
        <v>1847</v>
      </c>
    </row>
    <row r="810">
      <c r="A810" s="42" t="inlineStr">
        <is>
          <t>NE</t>
        </is>
      </c>
      <c r="B810" s="42" t="inlineStr">
        <is>
          <t>31075</t>
        </is>
      </c>
      <c r="C810" s="42" t="inlineStr">
        <is>
          <t>Grant</t>
        </is>
      </c>
      <c r="D810" s="42" t="inlineStr">
        <is>
          <t>Small town &amp; rural</t>
        </is>
      </c>
      <c r="E810" s="42" t="inlineStr"/>
      <c r="F810" s="43" t="n">
        <v>15</v>
      </c>
      <c r="G810" s="43" t="n">
        <v>351</v>
      </c>
      <c r="H810" s="43" t="n">
        <v>366</v>
      </c>
      <c r="I810" s="43" t="n">
        <v>20</v>
      </c>
      <c r="J810" s="43" t="n">
        <v>375</v>
      </c>
      <c r="K810" s="42" t="inlineStr">
        <is>
          <t>Governor</t>
        </is>
      </c>
      <c r="L810" s="43" t="n">
        <v>18</v>
      </c>
      <c r="M810" s="43" t="n">
        <v>253</v>
      </c>
      <c r="N810" s="43" t="n">
        <v>279</v>
      </c>
      <c r="O810" s="44">
        <f>IFERROR((F810-G810)/(F810+G810),"")</f>
        <v/>
      </c>
      <c r="P810" s="44">
        <f>IFERROR((I810-J810)/(I810+J810),"")</f>
        <v/>
      </c>
      <c r="Q810" s="45">
        <f>IFERROR(O810-P810,"")</f>
        <v/>
      </c>
      <c r="R810" s="44">
        <f>IFERROR((L810-M810)/(L810+M810),"")</f>
        <v/>
      </c>
      <c r="S810" s="46">
        <f>H810/SUMIFS(Counties!$H$2:$H$1583,Counties!$A$2:$A$1583,$A810)</f>
        <v/>
      </c>
      <c r="T810" s="44">
        <f>O810+INDEX(Dashboard!$F$6:$F$22,MATCH($A810,Dashboard!$A$6:$A$22,0))</f>
        <v/>
      </c>
      <c r="U810" s="43">
        <f>AQ810*INDEX(Dashboard!$G$6:$G$22,MATCH($A810,Dashboard!$A$6:$A$22,0))</f>
        <v/>
      </c>
      <c r="V810" s="47" t="n"/>
      <c r="W810" s="47" t="n"/>
      <c r="X810" s="47" t="n"/>
      <c r="Y810" s="48" t="n"/>
      <c r="Z810" s="49" t="n"/>
      <c r="AA810" s="49" t="n"/>
      <c r="AB810" s="49" t="n"/>
      <c r="AC810" s="50" t="n"/>
      <c r="AD810" s="43">
        <f>IF(Z810&lt;&gt;"",Z810,N(V810))</f>
        <v/>
      </c>
      <c r="AE810" s="43">
        <f>IF(AA810&lt;&gt;"",AA810,N(W810))</f>
        <v/>
      </c>
      <c r="AF810" s="43">
        <f>AD810+AE810</f>
        <v/>
      </c>
      <c r="AG810" s="42">
        <f>IF(UPPER(AC810)="Y",1,IF(AF810=0,0,IF(AND(Z810="",Y810&lt;&gt;""),IF(Y810&gt;=0.999,1,0),IF(AF810&gt;=U810,1,0))))</f>
        <v/>
      </c>
      <c r="AH810" s="44">
        <f>IF(AF810&gt;0,(AD810-AE810)/AF810,"")</f>
        <v/>
      </c>
      <c r="AI810" s="45">
        <f>IF(AG810=1,AH810-O810,"")</f>
        <v/>
      </c>
      <c r="AJ810" s="44">
        <f>IF(AG810=1,AH810,MAX(-1,MIN(1,O810+INDEX(Types!$H:$H,MATCH($A810&amp;"|"&amp;$D810,Types!$A:$A,0)))))</f>
        <v/>
      </c>
      <c r="AK810" s="43">
        <f>IF(AG810=1,AF810,MAX(AQ810*AS810,AF810))</f>
        <v/>
      </c>
      <c r="AL810" s="43">
        <f>IF(AG810=1,AD810,AK810*(1+AJ810)/2)</f>
        <v/>
      </c>
      <c r="AM810" s="43">
        <f>IF(AG810=1,AE810,AK810*(1-AJ810)/2)</f>
        <v/>
      </c>
      <c r="AN810" s="45">
        <f>IF(AH810="","",AH810-T810)</f>
        <v/>
      </c>
      <c r="AO810" s="51">
        <f>IF(AG810=1,1,IF(U810&gt;0,MIN(AF810/U810,0.99),0))</f>
        <v/>
      </c>
      <c r="AP810" s="43">
        <f>IF(AG810=1,AI810*AF810,0)</f>
        <v/>
      </c>
      <c r="AQ810" s="43">
        <f>N810*(F810+G810)/H810</f>
        <v/>
      </c>
      <c r="AR810" s="43">
        <f>O810*AQ810</f>
        <v/>
      </c>
      <c r="AS810" s="52">
        <f>IF(AG810=1,IF(AQ810&gt;0,AF810/AQ810,1),IFERROR(INDEX(Types!$K:$K,MATCH($A810&amp;"|"&amp;$D810,Types!$A:$A,0)),INDEX(Dashboard!$X$6:$X$22,MATCH($A810,Dashboard!$A$6:$A$22,0))))</f>
        <v/>
      </c>
      <c r="AT810" s="43">
        <f>AQ810*INDEX(Dashboard!$Y$6:$Y$22,MATCH($A810,Dashboard!$A$6:$A$22,0))</f>
        <v/>
      </c>
      <c r="AU810" s="53">
        <f>IF(AND(AG810=1,AT810&gt;0,AF810&gt;0),100*AF810/AT810,"")</f>
        <v/>
      </c>
      <c r="AV810" s="44">
        <f>IF(AU810="","",T810/(AU810/100))</f>
        <v/>
      </c>
      <c r="AW810" s="53">
        <f>IF(AU810="","",IF(AND(ABS(AH810)&gt;=0.1,ABS(T810)&gt;=0.05,SIGN(AH810)=SIGN(T810)),100*T810/AH810,""))</f>
        <v/>
      </c>
      <c r="AX810" s="45">
        <f>IF(AU810="","",T810-AV810)</f>
        <v/>
      </c>
      <c r="AY810" s="45">
        <f>IF(AU810="","",AH810-AV810)</f>
        <v/>
      </c>
      <c r="AZ810" s="54">
        <f>(AL810-AM810)-T810*AT810</f>
        <v/>
      </c>
      <c r="BA810" s="43">
        <f>IF(AU810="",0,(AH810-T810)*AF810)</f>
        <v/>
      </c>
      <c r="BB810" s="43">
        <f>IF(AU810="",0,T810*(AF810-AT810))</f>
        <v/>
      </c>
      <c r="BC810" s="51" t="n">
        <v>0.001769911504424779</v>
      </c>
      <c r="BD810" s="51" t="n">
        <v>0.02123893805309734</v>
      </c>
      <c r="BE810" s="51" t="n">
        <v>0.2941176470588235</v>
      </c>
      <c r="BF810" s="43" t="n">
        <v>565</v>
      </c>
    </row>
    <row r="811">
      <c r="A811" s="42" t="inlineStr">
        <is>
          <t>NE</t>
        </is>
      </c>
      <c r="B811" s="42" t="inlineStr">
        <is>
          <t>31077</t>
        </is>
      </c>
      <c r="C811" s="42" t="inlineStr">
        <is>
          <t>Greeley</t>
        </is>
      </c>
      <c r="D811" s="42" t="inlineStr">
        <is>
          <t>Small town &amp; rural</t>
        </is>
      </c>
      <c r="E811" s="42" t="inlineStr"/>
      <c r="F811" s="43" t="n">
        <v>192</v>
      </c>
      <c r="G811" s="43" t="n">
        <v>1030</v>
      </c>
      <c r="H811" s="43" t="n">
        <v>1235</v>
      </c>
      <c r="I811" s="43" t="n">
        <v>229</v>
      </c>
      <c r="J811" s="43" t="n">
        <v>1016</v>
      </c>
      <c r="K811" s="42" t="inlineStr">
        <is>
          <t>Governor</t>
        </is>
      </c>
      <c r="L811" s="43" t="n">
        <v>194</v>
      </c>
      <c r="M811" s="43" t="n">
        <v>766</v>
      </c>
      <c r="N811" s="43" t="n">
        <v>1011</v>
      </c>
      <c r="O811" s="44">
        <f>IFERROR((F811-G811)/(F811+G811),"")</f>
        <v/>
      </c>
      <c r="P811" s="44">
        <f>IFERROR((I811-J811)/(I811+J811),"")</f>
        <v/>
      </c>
      <c r="Q811" s="45">
        <f>IFERROR(O811-P811,"")</f>
        <v/>
      </c>
      <c r="R811" s="44">
        <f>IFERROR((L811-M811)/(L811+M811),"")</f>
        <v/>
      </c>
      <c r="S811" s="46">
        <f>H811/SUMIFS(Counties!$H$2:$H$1583,Counties!$A$2:$A$1583,$A811)</f>
        <v/>
      </c>
      <c r="T811" s="44">
        <f>O811+INDEX(Dashboard!$F$6:$F$22,MATCH($A811,Dashboard!$A$6:$A$22,0))</f>
        <v/>
      </c>
      <c r="U811" s="43">
        <f>AQ811*INDEX(Dashboard!$G$6:$G$22,MATCH($A811,Dashboard!$A$6:$A$22,0))</f>
        <v/>
      </c>
      <c r="V811" s="47" t="n"/>
      <c r="W811" s="47" t="n"/>
      <c r="X811" s="47" t="n"/>
      <c r="Y811" s="48" t="n"/>
      <c r="Z811" s="49" t="n"/>
      <c r="AA811" s="49" t="n"/>
      <c r="AB811" s="49" t="n"/>
      <c r="AC811" s="50" t="n"/>
      <c r="AD811" s="43">
        <f>IF(Z811&lt;&gt;"",Z811,N(V811))</f>
        <v/>
      </c>
      <c r="AE811" s="43">
        <f>IF(AA811&lt;&gt;"",AA811,N(W811))</f>
        <v/>
      </c>
      <c r="AF811" s="43">
        <f>AD811+AE811</f>
        <v/>
      </c>
      <c r="AG811" s="42">
        <f>IF(UPPER(AC811)="Y",1,IF(AF811=0,0,IF(AND(Z811="",Y811&lt;&gt;""),IF(Y811&gt;=0.999,1,0),IF(AF811&gt;=U811,1,0))))</f>
        <v/>
      </c>
      <c r="AH811" s="44">
        <f>IF(AF811&gt;0,(AD811-AE811)/AF811,"")</f>
        <v/>
      </c>
      <c r="AI811" s="45">
        <f>IF(AG811=1,AH811-O811,"")</f>
        <v/>
      </c>
      <c r="AJ811" s="44">
        <f>IF(AG811=1,AH811,MAX(-1,MIN(1,O811+INDEX(Types!$H:$H,MATCH($A811&amp;"|"&amp;$D811,Types!$A:$A,0)))))</f>
        <v/>
      </c>
      <c r="AK811" s="43">
        <f>IF(AG811=1,AF811,MAX(AQ811*AS811,AF811))</f>
        <v/>
      </c>
      <c r="AL811" s="43">
        <f>IF(AG811=1,AD811,AK811*(1+AJ811)/2)</f>
        <v/>
      </c>
      <c r="AM811" s="43">
        <f>IF(AG811=1,AE811,AK811*(1-AJ811)/2)</f>
        <v/>
      </c>
      <c r="AN811" s="45">
        <f>IF(AH811="","",AH811-T811)</f>
        <v/>
      </c>
      <c r="AO811" s="51">
        <f>IF(AG811=1,1,IF(U811&gt;0,MIN(AF811/U811,0.99),0))</f>
        <v/>
      </c>
      <c r="AP811" s="43">
        <f>IF(AG811=1,AI811*AF811,0)</f>
        <v/>
      </c>
      <c r="AQ811" s="43">
        <f>N811*(F811+G811)/H811</f>
        <v/>
      </c>
      <c r="AR811" s="43">
        <f>O811*AQ811</f>
        <v/>
      </c>
      <c r="AS811" s="52">
        <f>IF(AG811=1,IF(AQ811&gt;0,AF811/AQ811,1),IFERROR(INDEX(Types!$K:$K,MATCH($A811&amp;"|"&amp;$D811,Types!$A:$A,0)),INDEX(Dashboard!$X$6:$X$22,MATCH($A811,Dashboard!$A$6:$A$22,0))))</f>
        <v/>
      </c>
      <c r="AT811" s="43">
        <f>AQ811*INDEX(Dashboard!$Y$6:$Y$22,MATCH($A811,Dashboard!$A$6:$A$22,0))</f>
        <v/>
      </c>
      <c r="AU811" s="53">
        <f>IF(AND(AG811=1,AT811&gt;0,AF811&gt;0),100*AF811/AT811,"")</f>
        <v/>
      </c>
      <c r="AV811" s="44">
        <f>IF(AU811="","",T811/(AU811/100))</f>
        <v/>
      </c>
      <c r="AW811" s="53">
        <f>IF(AU811="","",IF(AND(ABS(AH811)&gt;=0.1,ABS(T811)&gt;=0.05,SIGN(AH811)=SIGN(T811)),100*T811/AH811,""))</f>
        <v/>
      </c>
      <c r="AX811" s="45">
        <f>IF(AU811="","",T811-AV811)</f>
        <v/>
      </c>
      <c r="AY811" s="45">
        <f>IF(AU811="","",AH811-AV811)</f>
        <v/>
      </c>
      <c r="AZ811" s="54">
        <f>(AL811-AM811)-T811*AT811</f>
        <v/>
      </c>
      <c r="BA811" s="43">
        <f>IF(AU811="",0,(AH811-T811)*AF811)</f>
        <v/>
      </c>
      <c r="BB811" s="43">
        <f>IF(AU811="",0,T811*(AF811-AT811))</f>
        <v/>
      </c>
      <c r="BC811" s="51" t="n">
        <v>0.0067598017124831</v>
      </c>
      <c r="BD811" s="51" t="n">
        <v>0.03424966200991438</v>
      </c>
      <c r="BE811" s="51" t="n">
        <v>0.1844850065189048</v>
      </c>
      <c r="BF811" s="43" t="n">
        <v>2219</v>
      </c>
    </row>
    <row r="812">
      <c r="A812" s="42" t="inlineStr">
        <is>
          <t>NE</t>
        </is>
      </c>
      <c r="B812" s="42" t="inlineStr">
        <is>
          <t>31079</t>
        </is>
      </c>
      <c r="C812" s="42" t="inlineStr">
        <is>
          <t>Hall</t>
        </is>
      </c>
      <c r="D812" s="42" t="inlineStr">
        <is>
          <t>Small town &amp; rural</t>
        </is>
      </c>
      <c r="E812" s="42" t="inlineStr">
        <is>
          <t>★</t>
        </is>
      </c>
      <c r="F812" s="43" t="n">
        <v>6956</v>
      </c>
      <c r="G812" s="43" t="n">
        <v>15566</v>
      </c>
      <c r="H812" s="43" t="n">
        <v>22804</v>
      </c>
      <c r="I812" s="43" t="n">
        <v>7681</v>
      </c>
      <c r="J812" s="43" t="n">
        <v>16189</v>
      </c>
      <c r="K812" s="42" t="inlineStr">
        <is>
          <t>Governor</t>
        </is>
      </c>
      <c r="L812" s="43" t="n">
        <v>4145</v>
      </c>
      <c r="M812" s="43" t="n">
        <v>10223</v>
      </c>
      <c r="N812" s="43" t="n">
        <v>15167</v>
      </c>
      <c r="O812" s="44">
        <f>IFERROR((F812-G812)/(F812+G812),"")</f>
        <v/>
      </c>
      <c r="P812" s="44">
        <f>IFERROR((I812-J812)/(I812+J812),"")</f>
        <v/>
      </c>
      <c r="Q812" s="45">
        <f>IFERROR(O812-P812,"")</f>
        <v/>
      </c>
      <c r="R812" s="44">
        <f>IFERROR((L812-M812)/(L812+M812),"")</f>
        <v/>
      </c>
      <c r="S812" s="46">
        <f>H812/SUMIFS(Counties!$H$2:$H$1583,Counties!$A$2:$A$1583,$A812)</f>
        <v/>
      </c>
      <c r="T812" s="44">
        <f>O812+INDEX(Dashboard!$F$6:$F$22,MATCH($A812,Dashboard!$A$6:$A$22,0))</f>
        <v/>
      </c>
      <c r="U812" s="43">
        <f>AQ812*INDEX(Dashboard!$G$6:$G$22,MATCH($A812,Dashboard!$A$6:$A$22,0))</f>
        <v/>
      </c>
      <c r="V812" s="47" t="n"/>
      <c r="W812" s="47" t="n"/>
      <c r="X812" s="47" t="n"/>
      <c r="Y812" s="48" t="n"/>
      <c r="Z812" s="49" t="n"/>
      <c r="AA812" s="49" t="n"/>
      <c r="AB812" s="49" t="n"/>
      <c r="AC812" s="50" t="n"/>
      <c r="AD812" s="43">
        <f>IF(Z812&lt;&gt;"",Z812,N(V812))</f>
        <v/>
      </c>
      <c r="AE812" s="43">
        <f>IF(AA812&lt;&gt;"",AA812,N(W812))</f>
        <v/>
      </c>
      <c r="AF812" s="43">
        <f>AD812+AE812</f>
        <v/>
      </c>
      <c r="AG812" s="42">
        <f>IF(UPPER(AC812)="Y",1,IF(AF812=0,0,IF(AND(Z812="",Y812&lt;&gt;""),IF(Y812&gt;=0.999,1,0),IF(AF812&gt;=U812,1,0))))</f>
        <v/>
      </c>
      <c r="AH812" s="44">
        <f>IF(AF812&gt;0,(AD812-AE812)/AF812,"")</f>
        <v/>
      </c>
      <c r="AI812" s="45">
        <f>IF(AG812=1,AH812-O812,"")</f>
        <v/>
      </c>
      <c r="AJ812" s="44">
        <f>IF(AG812=1,AH812,MAX(-1,MIN(1,O812+INDEX(Types!$H:$H,MATCH($A812&amp;"|"&amp;$D812,Types!$A:$A,0)))))</f>
        <v/>
      </c>
      <c r="AK812" s="43">
        <f>IF(AG812=1,AF812,MAX(AQ812*AS812,AF812))</f>
        <v/>
      </c>
      <c r="AL812" s="43">
        <f>IF(AG812=1,AD812,AK812*(1+AJ812)/2)</f>
        <v/>
      </c>
      <c r="AM812" s="43">
        <f>IF(AG812=1,AE812,AK812*(1-AJ812)/2)</f>
        <v/>
      </c>
      <c r="AN812" s="45">
        <f>IF(AH812="","",AH812-T812)</f>
        <v/>
      </c>
      <c r="AO812" s="51">
        <f>IF(AG812=1,1,IF(U812&gt;0,MIN(AF812/U812,0.99),0))</f>
        <v/>
      </c>
      <c r="AP812" s="43">
        <f>IF(AG812=1,AI812*AF812,0)</f>
        <v/>
      </c>
      <c r="AQ812" s="43">
        <f>N812*(F812+G812)/H812</f>
        <v/>
      </c>
      <c r="AR812" s="43">
        <f>O812*AQ812</f>
        <v/>
      </c>
      <c r="AS812" s="52">
        <f>IF(AG812=1,IF(AQ812&gt;0,AF812/AQ812,1),IFERROR(INDEX(Types!$K:$K,MATCH($A812&amp;"|"&amp;$D812,Types!$A:$A,0)),INDEX(Dashboard!$X$6:$X$22,MATCH($A812,Dashboard!$A$6:$A$22,0))))</f>
        <v/>
      </c>
      <c r="AT812" s="43">
        <f>AQ812*INDEX(Dashboard!$Y$6:$Y$22,MATCH($A812,Dashboard!$A$6:$A$22,0))</f>
        <v/>
      </c>
      <c r="AU812" s="53">
        <f>IF(AND(AG812=1,AT812&gt;0,AF812&gt;0),100*AF812/AT812,"")</f>
        <v/>
      </c>
      <c r="AV812" s="44">
        <f>IF(AU812="","",T812/(AU812/100))</f>
        <v/>
      </c>
      <c r="AW812" s="53">
        <f>IF(AU812="","",IF(AND(ABS(AH812)&gt;=0.1,ABS(T812)&gt;=0.05,SIGN(AH812)=SIGN(T812)),100*T812/AH812,""))</f>
        <v/>
      </c>
      <c r="AX812" s="45">
        <f>IF(AU812="","",T812-AV812)</f>
        <v/>
      </c>
      <c r="AY812" s="45">
        <f>IF(AU812="","",AH812-AV812)</f>
        <v/>
      </c>
      <c r="AZ812" s="54">
        <f>(AL812-AM812)-T812*AT812</f>
        <v/>
      </c>
      <c r="BA812" s="43">
        <f>IF(AU812="",0,(AH812-T812)*AF812)</f>
        <v/>
      </c>
      <c r="BB812" s="43">
        <f>IF(AU812="",0,T812*(AF812-AT812))</f>
        <v/>
      </c>
      <c r="BC812" s="51" t="n">
        <v>0.03091788993038249</v>
      </c>
      <c r="BD812" s="51" t="n">
        <v>0.3301123848417126</v>
      </c>
      <c r="BE812" s="51" t="n">
        <v>0.2111330615919378</v>
      </c>
      <c r="BF812" s="43" t="n">
        <v>62197</v>
      </c>
    </row>
    <row r="813">
      <c r="A813" s="42" t="inlineStr">
        <is>
          <t>NE</t>
        </is>
      </c>
      <c r="B813" s="42" t="inlineStr">
        <is>
          <t>31081</t>
        </is>
      </c>
      <c r="C813" s="42" t="inlineStr">
        <is>
          <t>Hamilton</t>
        </is>
      </c>
      <c r="D813" s="42" t="inlineStr">
        <is>
          <t>Small town &amp; rural</t>
        </is>
      </c>
      <c r="E813" s="42" t="inlineStr"/>
      <c r="F813" s="43" t="n">
        <v>1067</v>
      </c>
      <c r="G813" s="43" t="n">
        <v>4416</v>
      </c>
      <c r="H813" s="43" t="n">
        <v>5547</v>
      </c>
      <c r="I813" s="43" t="n">
        <v>1118</v>
      </c>
      <c r="J813" s="43" t="n">
        <v>4309</v>
      </c>
      <c r="K813" s="42" t="inlineStr">
        <is>
          <t>Governor</t>
        </is>
      </c>
      <c r="L813" s="43" t="n">
        <v>757</v>
      </c>
      <c r="M813" s="43" t="n">
        <v>3128</v>
      </c>
      <c r="N813" s="43" t="n">
        <v>4068</v>
      </c>
      <c r="O813" s="44">
        <f>IFERROR((F813-G813)/(F813+G813),"")</f>
        <v/>
      </c>
      <c r="P813" s="44">
        <f>IFERROR((I813-J813)/(I813+J813),"")</f>
        <v/>
      </c>
      <c r="Q813" s="45">
        <f>IFERROR(O813-P813,"")</f>
        <v/>
      </c>
      <c r="R813" s="44">
        <f>IFERROR((L813-M813)/(L813+M813),"")</f>
        <v/>
      </c>
      <c r="S813" s="46">
        <f>H813/SUMIFS(Counties!$H$2:$H$1583,Counties!$A$2:$A$1583,$A813)</f>
        <v/>
      </c>
      <c r="T813" s="44">
        <f>O813+INDEX(Dashboard!$F$6:$F$22,MATCH($A813,Dashboard!$A$6:$A$22,0))</f>
        <v/>
      </c>
      <c r="U813" s="43">
        <f>AQ813*INDEX(Dashboard!$G$6:$G$22,MATCH($A813,Dashboard!$A$6:$A$22,0))</f>
        <v/>
      </c>
      <c r="V813" s="47" t="n"/>
      <c r="W813" s="47" t="n"/>
      <c r="X813" s="47" t="n"/>
      <c r="Y813" s="48" t="n"/>
      <c r="Z813" s="49" t="n"/>
      <c r="AA813" s="49" t="n"/>
      <c r="AB813" s="49" t="n"/>
      <c r="AC813" s="50" t="n"/>
      <c r="AD813" s="43">
        <f>IF(Z813&lt;&gt;"",Z813,N(V813))</f>
        <v/>
      </c>
      <c r="AE813" s="43">
        <f>IF(AA813&lt;&gt;"",AA813,N(W813))</f>
        <v/>
      </c>
      <c r="AF813" s="43">
        <f>AD813+AE813</f>
        <v/>
      </c>
      <c r="AG813" s="42">
        <f>IF(UPPER(AC813)="Y",1,IF(AF813=0,0,IF(AND(Z813="",Y813&lt;&gt;""),IF(Y813&gt;=0.999,1,0),IF(AF813&gt;=U813,1,0))))</f>
        <v/>
      </c>
      <c r="AH813" s="44">
        <f>IF(AF813&gt;0,(AD813-AE813)/AF813,"")</f>
        <v/>
      </c>
      <c r="AI813" s="45">
        <f>IF(AG813=1,AH813-O813,"")</f>
        <v/>
      </c>
      <c r="AJ813" s="44">
        <f>IF(AG813=1,AH813,MAX(-1,MIN(1,O813+INDEX(Types!$H:$H,MATCH($A813&amp;"|"&amp;$D813,Types!$A:$A,0)))))</f>
        <v/>
      </c>
      <c r="AK813" s="43">
        <f>IF(AG813=1,AF813,MAX(AQ813*AS813,AF813))</f>
        <v/>
      </c>
      <c r="AL813" s="43">
        <f>IF(AG813=1,AD813,AK813*(1+AJ813)/2)</f>
        <v/>
      </c>
      <c r="AM813" s="43">
        <f>IF(AG813=1,AE813,AK813*(1-AJ813)/2)</f>
        <v/>
      </c>
      <c r="AN813" s="45">
        <f>IF(AH813="","",AH813-T813)</f>
        <v/>
      </c>
      <c r="AO813" s="51">
        <f>IF(AG813=1,1,IF(U813&gt;0,MIN(AF813/U813,0.99),0))</f>
        <v/>
      </c>
      <c r="AP813" s="43">
        <f>IF(AG813=1,AI813*AF813,0)</f>
        <v/>
      </c>
      <c r="AQ813" s="43">
        <f>N813*(F813+G813)/H813</f>
        <v/>
      </c>
      <c r="AR813" s="43">
        <f>O813*AQ813</f>
        <v/>
      </c>
      <c r="AS813" s="52">
        <f>IF(AG813=1,IF(AQ813&gt;0,AF813/AQ813,1),IFERROR(INDEX(Types!$K:$K,MATCH($A813&amp;"|"&amp;$D813,Types!$A:$A,0)),INDEX(Dashboard!$X$6:$X$22,MATCH($A813,Dashboard!$A$6:$A$22,0))))</f>
        <v/>
      </c>
      <c r="AT813" s="43">
        <f>AQ813*INDEX(Dashboard!$Y$6:$Y$22,MATCH($A813,Dashboard!$A$6:$A$22,0))</f>
        <v/>
      </c>
      <c r="AU813" s="53">
        <f>IF(AND(AG813=1,AT813&gt;0,AF813&gt;0),100*AF813/AT813,"")</f>
        <v/>
      </c>
      <c r="AV813" s="44">
        <f>IF(AU813="","",T813/(AU813/100))</f>
        <v/>
      </c>
      <c r="AW813" s="53">
        <f>IF(AU813="","",IF(AND(ABS(AH813)&gt;=0.1,ABS(T813)&gt;=0.05,SIGN(AH813)=SIGN(T813)),100*T813/AH813,""))</f>
        <v/>
      </c>
      <c r="AX813" s="45">
        <f>IF(AU813="","",T813-AV813)</f>
        <v/>
      </c>
      <c r="AY813" s="45">
        <f>IF(AU813="","",AH813-AV813)</f>
        <v/>
      </c>
      <c r="AZ813" s="54">
        <f>(AL813-AM813)-T813*AT813</f>
        <v/>
      </c>
      <c r="BA813" s="43">
        <f>IF(AU813="",0,(AH813-T813)*AF813)</f>
        <v/>
      </c>
      <c r="BB813" s="43">
        <f>IF(AU813="",0,T813*(AF813-AT813))</f>
        <v/>
      </c>
      <c r="BC813" s="51" t="n">
        <v>0.00461361014994233</v>
      </c>
      <c r="BD813" s="51" t="n">
        <v>0.0477089231414491</v>
      </c>
      <c r="BE813" s="51" t="n">
        <v>0.2957790192427064</v>
      </c>
      <c r="BF813" s="43" t="n">
        <v>9537</v>
      </c>
    </row>
    <row r="814">
      <c r="A814" s="42" t="inlineStr">
        <is>
          <t>NE</t>
        </is>
      </c>
      <c r="B814" s="42" t="inlineStr">
        <is>
          <t>31083</t>
        </is>
      </c>
      <c r="C814" s="42" t="inlineStr">
        <is>
          <t>Harlan</t>
        </is>
      </c>
      <c r="D814" s="42" t="inlineStr">
        <is>
          <t>Small town &amp; rural</t>
        </is>
      </c>
      <c r="E814" s="42" t="inlineStr"/>
      <c r="F814" s="43" t="n">
        <v>280</v>
      </c>
      <c r="G814" s="43" t="n">
        <v>1506</v>
      </c>
      <c r="H814" s="43" t="n">
        <v>1802</v>
      </c>
      <c r="I814" s="43" t="n">
        <v>282</v>
      </c>
      <c r="J814" s="43" t="n">
        <v>1615</v>
      </c>
      <c r="K814" s="42" t="inlineStr">
        <is>
          <t>Governor</t>
        </is>
      </c>
      <c r="L814" s="43" t="n">
        <v>234</v>
      </c>
      <c r="M814" s="43" t="n">
        <v>1109</v>
      </c>
      <c r="N814" s="43" t="n">
        <v>1417</v>
      </c>
      <c r="O814" s="44">
        <f>IFERROR((F814-G814)/(F814+G814),"")</f>
        <v/>
      </c>
      <c r="P814" s="44">
        <f>IFERROR((I814-J814)/(I814+J814),"")</f>
        <v/>
      </c>
      <c r="Q814" s="45">
        <f>IFERROR(O814-P814,"")</f>
        <v/>
      </c>
      <c r="R814" s="44">
        <f>IFERROR((L814-M814)/(L814+M814),"")</f>
        <v/>
      </c>
      <c r="S814" s="46">
        <f>H814/SUMIFS(Counties!$H$2:$H$1583,Counties!$A$2:$A$1583,$A814)</f>
        <v/>
      </c>
      <c r="T814" s="44">
        <f>O814+INDEX(Dashboard!$F$6:$F$22,MATCH($A814,Dashboard!$A$6:$A$22,0))</f>
        <v/>
      </c>
      <c r="U814" s="43">
        <f>AQ814*INDEX(Dashboard!$G$6:$G$22,MATCH($A814,Dashboard!$A$6:$A$22,0))</f>
        <v/>
      </c>
      <c r="V814" s="47" t="n"/>
      <c r="W814" s="47" t="n"/>
      <c r="X814" s="47" t="n"/>
      <c r="Y814" s="48" t="n"/>
      <c r="Z814" s="49" t="n"/>
      <c r="AA814" s="49" t="n"/>
      <c r="AB814" s="49" t="n"/>
      <c r="AC814" s="50" t="n"/>
      <c r="AD814" s="43">
        <f>IF(Z814&lt;&gt;"",Z814,N(V814))</f>
        <v/>
      </c>
      <c r="AE814" s="43">
        <f>IF(AA814&lt;&gt;"",AA814,N(W814))</f>
        <v/>
      </c>
      <c r="AF814" s="43">
        <f>AD814+AE814</f>
        <v/>
      </c>
      <c r="AG814" s="42">
        <f>IF(UPPER(AC814)="Y",1,IF(AF814=0,0,IF(AND(Z814="",Y814&lt;&gt;""),IF(Y814&gt;=0.999,1,0),IF(AF814&gt;=U814,1,0))))</f>
        <v/>
      </c>
      <c r="AH814" s="44">
        <f>IF(AF814&gt;0,(AD814-AE814)/AF814,"")</f>
        <v/>
      </c>
      <c r="AI814" s="45">
        <f>IF(AG814=1,AH814-O814,"")</f>
        <v/>
      </c>
      <c r="AJ814" s="44">
        <f>IF(AG814=1,AH814,MAX(-1,MIN(1,O814+INDEX(Types!$H:$H,MATCH($A814&amp;"|"&amp;$D814,Types!$A:$A,0)))))</f>
        <v/>
      </c>
      <c r="AK814" s="43">
        <f>IF(AG814=1,AF814,MAX(AQ814*AS814,AF814))</f>
        <v/>
      </c>
      <c r="AL814" s="43">
        <f>IF(AG814=1,AD814,AK814*(1+AJ814)/2)</f>
        <v/>
      </c>
      <c r="AM814" s="43">
        <f>IF(AG814=1,AE814,AK814*(1-AJ814)/2)</f>
        <v/>
      </c>
      <c r="AN814" s="45">
        <f>IF(AH814="","",AH814-T814)</f>
        <v/>
      </c>
      <c r="AO814" s="51">
        <f>IF(AG814=1,1,IF(U814&gt;0,MIN(AF814/U814,0.99),0))</f>
        <v/>
      </c>
      <c r="AP814" s="43">
        <f>IF(AG814=1,AI814*AF814,0)</f>
        <v/>
      </c>
      <c r="AQ814" s="43">
        <f>N814*(F814+G814)/H814</f>
        <v/>
      </c>
      <c r="AR814" s="43">
        <f>O814*AQ814</f>
        <v/>
      </c>
      <c r="AS814" s="52">
        <f>IF(AG814=1,IF(AQ814&gt;0,AF814/AQ814,1),IFERROR(INDEX(Types!$K:$K,MATCH($A814&amp;"|"&amp;$D814,Types!$A:$A,0)),INDEX(Dashboard!$X$6:$X$22,MATCH($A814,Dashboard!$A$6:$A$22,0))))</f>
        <v/>
      </c>
      <c r="AT814" s="43">
        <f>AQ814*INDEX(Dashboard!$Y$6:$Y$22,MATCH($A814,Dashboard!$A$6:$A$22,0))</f>
        <v/>
      </c>
      <c r="AU814" s="53">
        <f>IF(AND(AG814=1,AT814&gt;0,AF814&gt;0),100*AF814/AT814,"")</f>
        <v/>
      </c>
      <c r="AV814" s="44">
        <f>IF(AU814="","",T814/(AU814/100))</f>
        <v/>
      </c>
      <c r="AW814" s="53">
        <f>IF(AU814="","",IF(AND(ABS(AH814)&gt;=0.1,ABS(T814)&gt;=0.05,SIGN(AH814)=SIGN(T814)),100*T814/AH814,""))</f>
        <v/>
      </c>
      <c r="AX814" s="45">
        <f>IF(AU814="","",T814-AV814)</f>
        <v/>
      </c>
      <c r="AY814" s="45">
        <f>IF(AU814="","",AH814-AV814)</f>
        <v/>
      </c>
      <c r="AZ814" s="54">
        <f>(AL814-AM814)-T814*AT814</f>
        <v/>
      </c>
      <c r="BA814" s="43">
        <f>IF(AU814="",0,(AH814-T814)*AF814)</f>
        <v/>
      </c>
      <c r="BB814" s="43">
        <f>IF(AU814="",0,T814*(AF814-AT814))</f>
        <v/>
      </c>
      <c r="BC814" s="51" t="n">
        <v>0.006896551724137931</v>
      </c>
      <c r="BD814" s="51" t="n">
        <v>0.02922824302134647</v>
      </c>
      <c r="BE814" s="51" t="n">
        <v>0.2417530631479736</v>
      </c>
      <c r="BF814" s="43" t="n">
        <v>3045</v>
      </c>
    </row>
    <row r="815">
      <c r="A815" s="42" t="inlineStr">
        <is>
          <t>NE</t>
        </is>
      </c>
      <c r="B815" s="42" t="inlineStr">
        <is>
          <t>31085</t>
        </is>
      </c>
      <c r="C815" s="42" t="inlineStr">
        <is>
          <t>Hayes</t>
        </is>
      </c>
      <c r="D815" s="42" t="inlineStr">
        <is>
          <t>Small town &amp; rural</t>
        </is>
      </c>
      <c r="E815" s="42" t="inlineStr"/>
      <c r="F815" s="43" t="n">
        <v>19</v>
      </c>
      <c r="G815" s="43" t="n">
        <v>472</v>
      </c>
      <c r="H815" s="43" t="n">
        <v>494</v>
      </c>
      <c r="I815" s="43" t="n">
        <v>34</v>
      </c>
      <c r="J815" s="43" t="n">
        <v>494</v>
      </c>
      <c r="K815" s="42" t="inlineStr">
        <is>
          <t>Governor</t>
        </is>
      </c>
      <c r="L815" s="43" t="n">
        <v>23</v>
      </c>
      <c r="M815" s="43" t="n">
        <v>341</v>
      </c>
      <c r="N815" s="43" t="n">
        <v>387</v>
      </c>
      <c r="O815" s="44">
        <f>IFERROR((F815-G815)/(F815+G815),"")</f>
        <v/>
      </c>
      <c r="P815" s="44">
        <f>IFERROR((I815-J815)/(I815+J815),"")</f>
        <v/>
      </c>
      <c r="Q815" s="45">
        <f>IFERROR(O815-P815,"")</f>
        <v/>
      </c>
      <c r="R815" s="44">
        <f>IFERROR((L815-M815)/(L815+M815),"")</f>
        <v/>
      </c>
      <c r="S815" s="46">
        <f>H815/SUMIFS(Counties!$H$2:$H$1583,Counties!$A$2:$A$1583,$A815)</f>
        <v/>
      </c>
      <c r="T815" s="44">
        <f>O815+INDEX(Dashboard!$F$6:$F$22,MATCH($A815,Dashboard!$A$6:$A$22,0))</f>
        <v/>
      </c>
      <c r="U815" s="43">
        <f>AQ815*INDEX(Dashboard!$G$6:$G$22,MATCH($A815,Dashboard!$A$6:$A$22,0))</f>
        <v/>
      </c>
      <c r="V815" s="47" t="n"/>
      <c r="W815" s="47" t="n"/>
      <c r="X815" s="47" t="n"/>
      <c r="Y815" s="48" t="n"/>
      <c r="Z815" s="49" t="n"/>
      <c r="AA815" s="49" t="n"/>
      <c r="AB815" s="49" t="n"/>
      <c r="AC815" s="50" t="n"/>
      <c r="AD815" s="43">
        <f>IF(Z815&lt;&gt;"",Z815,N(V815))</f>
        <v/>
      </c>
      <c r="AE815" s="43">
        <f>IF(AA815&lt;&gt;"",AA815,N(W815))</f>
        <v/>
      </c>
      <c r="AF815" s="43">
        <f>AD815+AE815</f>
        <v/>
      </c>
      <c r="AG815" s="42">
        <f>IF(UPPER(AC815)="Y",1,IF(AF815=0,0,IF(AND(Z815="",Y815&lt;&gt;""),IF(Y815&gt;=0.999,1,0),IF(AF815&gt;=U815,1,0))))</f>
        <v/>
      </c>
      <c r="AH815" s="44">
        <f>IF(AF815&gt;0,(AD815-AE815)/AF815,"")</f>
        <v/>
      </c>
      <c r="AI815" s="45">
        <f>IF(AG815=1,AH815-O815,"")</f>
        <v/>
      </c>
      <c r="AJ815" s="44">
        <f>IF(AG815=1,AH815,MAX(-1,MIN(1,O815+INDEX(Types!$H:$H,MATCH($A815&amp;"|"&amp;$D815,Types!$A:$A,0)))))</f>
        <v/>
      </c>
      <c r="AK815" s="43">
        <f>IF(AG815=1,AF815,MAX(AQ815*AS815,AF815))</f>
        <v/>
      </c>
      <c r="AL815" s="43">
        <f>IF(AG815=1,AD815,AK815*(1+AJ815)/2)</f>
        <v/>
      </c>
      <c r="AM815" s="43">
        <f>IF(AG815=1,AE815,AK815*(1-AJ815)/2)</f>
        <v/>
      </c>
      <c r="AN815" s="45">
        <f>IF(AH815="","",AH815-T815)</f>
        <v/>
      </c>
      <c r="AO815" s="51">
        <f>IF(AG815=1,1,IF(U815&gt;0,MIN(AF815/U815,0.99),0))</f>
        <v/>
      </c>
      <c r="AP815" s="43">
        <f>IF(AG815=1,AI815*AF815,0)</f>
        <v/>
      </c>
      <c r="AQ815" s="43">
        <f>N815*(F815+G815)/H815</f>
        <v/>
      </c>
      <c r="AR815" s="43">
        <f>O815*AQ815</f>
        <v/>
      </c>
      <c r="AS815" s="52">
        <f>IF(AG815=1,IF(AQ815&gt;0,AF815/AQ815,1),IFERROR(INDEX(Types!$K:$K,MATCH($A815&amp;"|"&amp;$D815,Types!$A:$A,0)),INDEX(Dashboard!$X$6:$X$22,MATCH($A815,Dashboard!$A$6:$A$22,0))))</f>
        <v/>
      </c>
      <c r="AT815" s="43">
        <f>AQ815*INDEX(Dashboard!$Y$6:$Y$22,MATCH($A815,Dashboard!$A$6:$A$22,0))</f>
        <v/>
      </c>
      <c r="AU815" s="53">
        <f>IF(AND(AG815=1,AT815&gt;0,AF815&gt;0),100*AF815/AT815,"")</f>
        <v/>
      </c>
      <c r="AV815" s="44">
        <f>IF(AU815="","",T815/(AU815/100))</f>
        <v/>
      </c>
      <c r="AW815" s="53">
        <f>IF(AU815="","",IF(AND(ABS(AH815)&gt;=0.1,ABS(T815)&gt;=0.05,SIGN(AH815)=SIGN(T815)),100*T815/AH815,""))</f>
        <v/>
      </c>
      <c r="AX815" s="45">
        <f>IF(AU815="","",T815-AV815)</f>
        <v/>
      </c>
      <c r="AY815" s="45">
        <f>IF(AU815="","",AH815-AV815)</f>
        <v/>
      </c>
      <c r="AZ815" s="54">
        <f>(AL815-AM815)-T815*AT815</f>
        <v/>
      </c>
      <c r="BA815" s="43">
        <f>IF(AU815="",0,(AH815-T815)*AF815)</f>
        <v/>
      </c>
      <c r="BB815" s="43">
        <f>IF(AU815="",0,T815*(AF815-AT815))</f>
        <v/>
      </c>
      <c r="BC815" s="51" t="n">
        <v>0.008274231678486997</v>
      </c>
      <c r="BD815" s="51" t="n">
        <v>0.08392434988179669</v>
      </c>
      <c r="BE815" s="51" t="n">
        <v>0.159375</v>
      </c>
      <c r="BF815" s="43" t="n">
        <v>846</v>
      </c>
    </row>
    <row r="816">
      <c r="A816" s="42" t="inlineStr">
        <is>
          <t>NE</t>
        </is>
      </c>
      <c r="B816" s="42" t="inlineStr">
        <is>
          <t>31087</t>
        </is>
      </c>
      <c r="C816" s="42" t="inlineStr">
        <is>
          <t>Hitchcock</t>
        </is>
      </c>
      <c r="D816" s="42" t="inlineStr">
        <is>
          <t>Small town &amp; rural</t>
        </is>
      </c>
      <c r="E816" s="42" t="inlineStr"/>
      <c r="F816" s="43" t="n">
        <v>152</v>
      </c>
      <c r="G816" s="43" t="n">
        <v>1269</v>
      </c>
      <c r="H816" s="43" t="n">
        <v>1433</v>
      </c>
      <c r="I816" s="43" t="n">
        <v>175</v>
      </c>
      <c r="J816" s="43" t="n">
        <v>1264</v>
      </c>
      <c r="K816" s="42" t="inlineStr">
        <is>
          <t>Governor</t>
        </is>
      </c>
      <c r="L816" s="43" t="n">
        <v>120</v>
      </c>
      <c r="M816" s="43" t="n">
        <v>844</v>
      </c>
      <c r="N816" s="43" t="n">
        <v>1014</v>
      </c>
      <c r="O816" s="44">
        <f>IFERROR((F816-G816)/(F816+G816),"")</f>
        <v/>
      </c>
      <c r="P816" s="44">
        <f>IFERROR((I816-J816)/(I816+J816),"")</f>
        <v/>
      </c>
      <c r="Q816" s="45">
        <f>IFERROR(O816-P816,"")</f>
        <v/>
      </c>
      <c r="R816" s="44">
        <f>IFERROR((L816-M816)/(L816+M816),"")</f>
        <v/>
      </c>
      <c r="S816" s="46">
        <f>H816/SUMIFS(Counties!$H$2:$H$1583,Counties!$A$2:$A$1583,$A816)</f>
        <v/>
      </c>
      <c r="T816" s="44">
        <f>O816+INDEX(Dashboard!$F$6:$F$22,MATCH($A816,Dashboard!$A$6:$A$22,0))</f>
        <v/>
      </c>
      <c r="U816" s="43">
        <f>AQ816*INDEX(Dashboard!$G$6:$G$22,MATCH($A816,Dashboard!$A$6:$A$22,0))</f>
        <v/>
      </c>
      <c r="V816" s="47" t="n"/>
      <c r="W816" s="47" t="n"/>
      <c r="X816" s="47" t="n"/>
      <c r="Y816" s="48" t="n"/>
      <c r="Z816" s="49" t="n"/>
      <c r="AA816" s="49" t="n"/>
      <c r="AB816" s="49" t="n"/>
      <c r="AC816" s="50" t="n"/>
      <c r="AD816" s="43">
        <f>IF(Z816&lt;&gt;"",Z816,N(V816))</f>
        <v/>
      </c>
      <c r="AE816" s="43">
        <f>IF(AA816&lt;&gt;"",AA816,N(W816))</f>
        <v/>
      </c>
      <c r="AF816" s="43">
        <f>AD816+AE816</f>
        <v/>
      </c>
      <c r="AG816" s="42">
        <f>IF(UPPER(AC816)="Y",1,IF(AF816=0,0,IF(AND(Z816="",Y816&lt;&gt;""),IF(Y816&gt;=0.999,1,0),IF(AF816&gt;=U816,1,0))))</f>
        <v/>
      </c>
      <c r="AH816" s="44">
        <f>IF(AF816&gt;0,(AD816-AE816)/AF816,"")</f>
        <v/>
      </c>
      <c r="AI816" s="45">
        <f>IF(AG816=1,AH816-O816,"")</f>
        <v/>
      </c>
      <c r="AJ816" s="44">
        <f>IF(AG816=1,AH816,MAX(-1,MIN(1,O816+INDEX(Types!$H:$H,MATCH($A816&amp;"|"&amp;$D816,Types!$A:$A,0)))))</f>
        <v/>
      </c>
      <c r="AK816" s="43">
        <f>IF(AG816=1,AF816,MAX(AQ816*AS816,AF816))</f>
        <v/>
      </c>
      <c r="AL816" s="43">
        <f>IF(AG816=1,AD816,AK816*(1+AJ816)/2)</f>
        <v/>
      </c>
      <c r="AM816" s="43">
        <f>IF(AG816=1,AE816,AK816*(1-AJ816)/2)</f>
        <v/>
      </c>
      <c r="AN816" s="45">
        <f>IF(AH816="","",AH816-T816)</f>
        <v/>
      </c>
      <c r="AO816" s="51">
        <f>IF(AG816=1,1,IF(U816&gt;0,MIN(AF816/U816,0.99),0))</f>
        <v/>
      </c>
      <c r="AP816" s="43">
        <f>IF(AG816=1,AI816*AF816,0)</f>
        <v/>
      </c>
      <c r="AQ816" s="43">
        <f>N816*(F816+G816)/H816</f>
        <v/>
      </c>
      <c r="AR816" s="43">
        <f>O816*AQ816</f>
        <v/>
      </c>
      <c r="AS816" s="52">
        <f>IF(AG816=1,IF(AQ816&gt;0,AF816/AQ816,1),IFERROR(INDEX(Types!$K:$K,MATCH($A816&amp;"|"&amp;$D816,Types!$A:$A,0)),INDEX(Dashboard!$X$6:$X$22,MATCH($A816,Dashboard!$A$6:$A$22,0))))</f>
        <v/>
      </c>
      <c r="AT816" s="43">
        <f>AQ816*INDEX(Dashboard!$Y$6:$Y$22,MATCH($A816,Dashboard!$A$6:$A$22,0))</f>
        <v/>
      </c>
      <c r="AU816" s="53">
        <f>IF(AND(AG816=1,AT816&gt;0,AF816&gt;0),100*AF816/AT816,"")</f>
        <v/>
      </c>
      <c r="AV816" s="44">
        <f>IF(AU816="","",T816/(AU816/100))</f>
        <v/>
      </c>
      <c r="AW816" s="53">
        <f>IF(AU816="","",IF(AND(ABS(AH816)&gt;=0.1,ABS(T816)&gt;=0.05,SIGN(AH816)=SIGN(T816)),100*T816/AH816,""))</f>
        <v/>
      </c>
      <c r="AX816" s="45">
        <f>IF(AU816="","",T816-AV816)</f>
        <v/>
      </c>
      <c r="AY816" s="45">
        <f>IF(AU816="","",AH816-AV816)</f>
        <v/>
      </c>
      <c r="AZ816" s="54">
        <f>(AL816-AM816)-T816*AT816</f>
        <v/>
      </c>
      <c r="BA816" s="43">
        <f>IF(AU816="",0,(AH816-T816)*AF816)</f>
        <v/>
      </c>
      <c r="BB816" s="43">
        <f>IF(AU816="",0,T816*(AF816-AT816))</f>
        <v/>
      </c>
      <c r="BC816" s="51" t="n">
        <v>0.003918495297805642</v>
      </c>
      <c r="BD816" s="51" t="n">
        <v>0.04427899686520376</v>
      </c>
      <c r="BE816" s="51" t="n">
        <v>0.1977186311787072</v>
      </c>
      <c r="BF816" s="43" t="n">
        <v>2552</v>
      </c>
    </row>
    <row r="817">
      <c r="A817" s="42" t="inlineStr">
        <is>
          <t>NE</t>
        </is>
      </c>
      <c r="B817" s="42" t="inlineStr">
        <is>
          <t>31089</t>
        </is>
      </c>
      <c r="C817" s="42" t="inlineStr">
        <is>
          <t>Holt</t>
        </is>
      </c>
      <c r="D817" s="42" t="inlineStr">
        <is>
          <t>Small town &amp; rural</t>
        </is>
      </c>
      <c r="E817" s="42" t="inlineStr"/>
      <c r="F817" s="43" t="n">
        <v>681</v>
      </c>
      <c r="G817" s="43" t="n">
        <v>4708</v>
      </c>
      <c r="H817" s="43" t="n">
        <v>5442</v>
      </c>
      <c r="I817" s="43" t="n">
        <v>686</v>
      </c>
      <c r="J817" s="43" t="n">
        <v>4769</v>
      </c>
      <c r="K817" s="42" t="inlineStr">
        <is>
          <t>Governor</t>
        </is>
      </c>
      <c r="L817" s="43" t="n">
        <v>431</v>
      </c>
      <c r="M817" s="43" t="n">
        <v>3125</v>
      </c>
      <c r="N817" s="43" t="n">
        <v>3750</v>
      </c>
      <c r="O817" s="44">
        <f>IFERROR((F817-G817)/(F817+G817),"")</f>
        <v/>
      </c>
      <c r="P817" s="44">
        <f>IFERROR((I817-J817)/(I817+J817),"")</f>
        <v/>
      </c>
      <c r="Q817" s="45">
        <f>IFERROR(O817-P817,"")</f>
        <v/>
      </c>
      <c r="R817" s="44">
        <f>IFERROR((L817-M817)/(L817+M817),"")</f>
        <v/>
      </c>
      <c r="S817" s="46">
        <f>H817/SUMIFS(Counties!$H$2:$H$1583,Counties!$A$2:$A$1583,$A817)</f>
        <v/>
      </c>
      <c r="T817" s="44">
        <f>O817+INDEX(Dashboard!$F$6:$F$22,MATCH($A817,Dashboard!$A$6:$A$22,0))</f>
        <v/>
      </c>
      <c r="U817" s="43">
        <f>AQ817*INDEX(Dashboard!$G$6:$G$22,MATCH($A817,Dashboard!$A$6:$A$22,0))</f>
        <v/>
      </c>
      <c r="V817" s="47" t="n"/>
      <c r="W817" s="47" t="n"/>
      <c r="X817" s="47" t="n"/>
      <c r="Y817" s="48" t="n"/>
      <c r="Z817" s="49" t="n"/>
      <c r="AA817" s="49" t="n"/>
      <c r="AB817" s="49" t="n"/>
      <c r="AC817" s="50" t="n"/>
      <c r="AD817" s="43">
        <f>IF(Z817&lt;&gt;"",Z817,N(V817))</f>
        <v/>
      </c>
      <c r="AE817" s="43">
        <f>IF(AA817&lt;&gt;"",AA817,N(W817))</f>
        <v/>
      </c>
      <c r="AF817" s="43">
        <f>AD817+AE817</f>
        <v/>
      </c>
      <c r="AG817" s="42">
        <f>IF(UPPER(AC817)="Y",1,IF(AF817=0,0,IF(AND(Z817="",Y817&lt;&gt;""),IF(Y817&gt;=0.999,1,0),IF(AF817&gt;=U817,1,0))))</f>
        <v/>
      </c>
      <c r="AH817" s="44">
        <f>IF(AF817&gt;0,(AD817-AE817)/AF817,"")</f>
        <v/>
      </c>
      <c r="AI817" s="45">
        <f>IF(AG817=1,AH817-O817,"")</f>
        <v/>
      </c>
      <c r="AJ817" s="44">
        <f>IF(AG817=1,AH817,MAX(-1,MIN(1,O817+INDEX(Types!$H:$H,MATCH($A817&amp;"|"&amp;$D817,Types!$A:$A,0)))))</f>
        <v/>
      </c>
      <c r="AK817" s="43">
        <f>IF(AG817=1,AF817,MAX(AQ817*AS817,AF817))</f>
        <v/>
      </c>
      <c r="AL817" s="43">
        <f>IF(AG817=1,AD817,AK817*(1+AJ817)/2)</f>
        <v/>
      </c>
      <c r="AM817" s="43">
        <f>IF(AG817=1,AE817,AK817*(1-AJ817)/2)</f>
        <v/>
      </c>
      <c r="AN817" s="45">
        <f>IF(AH817="","",AH817-T817)</f>
        <v/>
      </c>
      <c r="AO817" s="51">
        <f>IF(AG817=1,1,IF(U817&gt;0,MIN(AF817/U817,0.99),0))</f>
        <v/>
      </c>
      <c r="AP817" s="43">
        <f>IF(AG817=1,AI817*AF817,0)</f>
        <v/>
      </c>
      <c r="AQ817" s="43">
        <f>N817*(F817+G817)/H817</f>
        <v/>
      </c>
      <c r="AR817" s="43">
        <f>O817*AQ817</f>
        <v/>
      </c>
      <c r="AS817" s="52">
        <f>IF(AG817=1,IF(AQ817&gt;0,AF817/AQ817,1),IFERROR(INDEX(Types!$K:$K,MATCH($A817&amp;"|"&amp;$D817,Types!$A:$A,0)),INDEX(Dashboard!$X$6:$X$22,MATCH($A817,Dashboard!$A$6:$A$22,0))))</f>
        <v/>
      </c>
      <c r="AT817" s="43">
        <f>AQ817*INDEX(Dashboard!$Y$6:$Y$22,MATCH($A817,Dashboard!$A$6:$A$22,0))</f>
        <v/>
      </c>
      <c r="AU817" s="53">
        <f>IF(AND(AG817=1,AT817&gt;0,AF817&gt;0),100*AF817/AT817,"")</f>
        <v/>
      </c>
      <c r="AV817" s="44">
        <f>IF(AU817="","",T817/(AU817/100))</f>
        <v/>
      </c>
      <c r="AW817" s="53">
        <f>IF(AU817="","",IF(AND(ABS(AH817)&gt;=0.1,ABS(T817)&gt;=0.05,SIGN(AH817)=SIGN(T817)),100*T817/AH817,""))</f>
        <v/>
      </c>
      <c r="AX817" s="45">
        <f>IF(AU817="","",T817-AV817)</f>
        <v/>
      </c>
      <c r="AY817" s="45">
        <f>IF(AU817="","",AH817-AV817)</f>
        <v/>
      </c>
      <c r="AZ817" s="54">
        <f>(AL817-AM817)-T817*AT817</f>
        <v/>
      </c>
      <c r="BA817" s="43">
        <f>IF(AU817="",0,(AH817-T817)*AF817)</f>
        <v/>
      </c>
      <c r="BB817" s="43">
        <f>IF(AU817="",0,T817*(AF817-AT817))</f>
        <v/>
      </c>
      <c r="BC817" s="51" t="n">
        <v>0.005449321311800258</v>
      </c>
      <c r="BD817" s="51" t="n">
        <v>0.05964529872188645</v>
      </c>
      <c r="BE817" s="51" t="n">
        <v>0.2701408041805777</v>
      </c>
      <c r="BF817" s="43" t="n">
        <v>10093</v>
      </c>
    </row>
    <row r="818">
      <c r="A818" s="42" t="inlineStr">
        <is>
          <t>NE</t>
        </is>
      </c>
      <c r="B818" s="42" t="inlineStr">
        <is>
          <t>31091</t>
        </is>
      </c>
      <c r="C818" s="42" t="inlineStr">
        <is>
          <t>Hooker</t>
        </is>
      </c>
      <c r="D818" s="42" t="inlineStr">
        <is>
          <t>Small town &amp; rural</t>
        </is>
      </c>
      <c r="E818" s="42" t="inlineStr"/>
      <c r="F818" s="43" t="n">
        <v>55</v>
      </c>
      <c r="G818" s="43" t="n">
        <v>369</v>
      </c>
      <c r="H818" s="43" t="n">
        <v>427</v>
      </c>
      <c r="I818" s="43" t="n">
        <v>59</v>
      </c>
      <c r="J818" s="43" t="n">
        <v>376</v>
      </c>
      <c r="K818" s="42" t="inlineStr">
        <is>
          <t>Governor</t>
        </is>
      </c>
      <c r="L818" s="43" t="n">
        <v>62</v>
      </c>
      <c r="M818" s="43" t="n">
        <v>300</v>
      </c>
      <c r="N818" s="43" t="n">
        <v>373</v>
      </c>
      <c r="O818" s="44">
        <f>IFERROR((F818-G818)/(F818+G818),"")</f>
        <v/>
      </c>
      <c r="P818" s="44">
        <f>IFERROR((I818-J818)/(I818+J818),"")</f>
        <v/>
      </c>
      <c r="Q818" s="45">
        <f>IFERROR(O818-P818,"")</f>
        <v/>
      </c>
      <c r="R818" s="44">
        <f>IFERROR((L818-M818)/(L818+M818),"")</f>
        <v/>
      </c>
      <c r="S818" s="46">
        <f>H818/SUMIFS(Counties!$H$2:$H$1583,Counties!$A$2:$A$1583,$A818)</f>
        <v/>
      </c>
      <c r="T818" s="44">
        <f>O818+INDEX(Dashboard!$F$6:$F$22,MATCH($A818,Dashboard!$A$6:$A$22,0))</f>
        <v/>
      </c>
      <c r="U818" s="43">
        <f>AQ818*INDEX(Dashboard!$G$6:$G$22,MATCH($A818,Dashboard!$A$6:$A$22,0))</f>
        <v/>
      </c>
      <c r="V818" s="47" t="n"/>
      <c r="W818" s="47" t="n"/>
      <c r="X818" s="47" t="n"/>
      <c r="Y818" s="48" t="n"/>
      <c r="Z818" s="49" t="n"/>
      <c r="AA818" s="49" t="n"/>
      <c r="AB818" s="49" t="n"/>
      <c r="AC818" s="50" t="n"/>
      <c r="AD818" s="43">
        <f>IF(Z818&lt;&gt;"",Z818,N(V818))</f>
        <v/>
      </c>
      <c r="AE818" s="43">
        <f>IF(AA818&lt;&gt;"",AA818,N(W818))</f>
        <v/>
      </c>
      <c r="AF818" s="43">
        <f>AD818+AE818</f>
        <v/>
      </c>
      <c r="AG818" s="42">
        <f>IF(UPPER(AC818)="Y",1,IF(AF818=0,0,IF(AND(Z818="",Y818&lt;&gt;""),IF(Y818&gt;=0.999,1,0),IF(AF818&gt;=U818,1,0))))</f>
        <v/>
      </c>
      <c r="AH818" s="44">
        <f>IF(AF818&gt;0,(AD818-AE818)/AF818,"")</f>
        <v/>
      </c>
      <c r="AI818" s="45">
        <f>IF(AG818=1,AH818-O818,"")</f>
        <v/>
      </c>
      <c r="AJ818" s="44">
        <f>IF(AG818=1,AH818,MAX(-1,MIN(1,O818+INDEX(Types!$H:$H,MATCH($A818&amp;"|"&amp;$D818,Types!$A:$A,0)))))</f>
        <v/>
      </c>
      <c r="AK818" s="43">
        <f>IF(AG818=1,AF818,MAX(AQ818*AS818,AF818))</f>
        <v/>
      </c>
      <c r="AL818" s="43">
        <f>IF(AG818=1,AD818,AK818*(1+AJ818)/2)</f>
        <v/>
      </c>
      <c r="AM818" s="43">
        <f>IF(AG818=1,AE818,AK818*(1-AJ818)/2)</f>
        <v/>
      </c>
      <c r="AN818" s="45">
        <f>IF(AH818="","",AH818-T818)</f>
        <v/>
      </c>
      <c r="AO818" s="51">
        <f>IF(AG818=1,1,IF(U818&gt;0,MIN(AF818/U818,0.99),0))</f>
        <v/>
      </c>
      <c r="AP818" s="43">
        <f>IF(AG818=1,AI818*AF818,0)</f>
        <v/>
      </c>
      <c r="AQ818" s="43">
        <f>N818*(F818+G818)/H818</f>
        <v/>
      </c>
      <c r="AR818" s="43">
        <f>O818*AQ818</f>
        <v/>
      </c>
      <c r="AS818" s="52">
        <f>IF(AG818=1,IF(AQ818&gt;0,AF818/AQ818,1),IFERROR(INDEX(Types!$K:$K,MATCH($A818&amp;"|"&amp;$D818,Types!$A:$A,0)),INDEX(Dashboard!$X$6:$X$22,MATCH($A818,Dashboard!$A$6:$A$22,0))))</f>
        <v/>
      </c>
      <c r="AT818" s="43">
        <f>AQ818*INDEX(Dashboard!$Y$6:$Y$22,MATCH($A818,Dashboard!$A$6:$A$22,0))</f>
        <v/>
      </c>
      <c r="AU818" s="53">
        <f>IF(AND(AG818=1,AT818&gt;0,AF818&gt;0),100*AF818/AT818,"")</f>
        <v/>
      </c>
      <c r="AV818" s="44">
        <f>IF(AU818="","",T818/(AU818/100))</f>
        <v/>
      </c>
      <c r="AW818" s="53">
        <f>IF(AU818="","",IF(AND(ABS(AH818)&gt;=0.1,ABS(T818)&gt;=0.05,SIGN(AH818)=SIGN(T818)),100*T818/AH818,""))</f>
        <v/>
      </c>
      <c r="AX818" s="45">
        <f>IF(AU818="","",T818-AV818)</f>
        <v/>
      </c>
      <c r="AY818" s="45">
        <f>IF(AU818="","",AH818-AV818)</f>
        <v/>
      </c>
      <c r="AZ818" s="54">
        <f>(AL818-AM818)-T818*AT818</f>
        <v/>
      </c>
      <c r="BA818" s="43">
        <f>IF(AU818="",0,(AH818-T818)*AF818)</f>
        <v/>
      </c>
      <c r="BB818" s="43">
        <f>IF(AU818="",0,T818*(AF818-AT818))</f>
        <v/>
      </c>
      <c r="BC818" s="51" t="n"/>
      <c r="BD818" s="51" t="n">
        <v>0.02503681885125184</v>
      </c>
      <c r="BE818" s="51" t="n">
        <v>0.2074592074592075</v>
      </c>
      <c r="BF818" s="43" t="n">
        <v>679</v>
      </c>
    </row>
    <row r="819">
      <c r="A819" s="42" t="inlineStr">
        <is>
          <t>NE</t>
        </is>
      </c>
      <c r="B819" s="42" t="inlineStr">
        <is>
          <t>31093</t>
        </is>
      </c>
      <c r="C819" s="42" t="inlineStr">
        <is>
          <t>Howard</t>
        </is>
      </c>
      <c r="D819" s="42" t="inlineStr">
        <is>
          <t>Small town &amp; rural</t>
        </is>
      </c>
      <c r="E819" s="42" t="inlineStr"/>
      <c r="F819" s="43" t="n">
        <v>642</v>
      </c>
      <c r="G819" s="43" t="n">
        <v>2868</v>
      </c>
      <c r="H819" s="43" t="n">
        <v>3550</v>
      </c>
      <c r="I819" s="43" t="n">
        <v>648</v>
      </c>
      <c r="J819" s="43" t="n">
        <v>2786</v>
      </c>
      <c r="K819" s="42" t="inlineStr">
        <is>
          <t>Governor</t>
        </is>
      </c>
      <c r="L819" s="43" t="n">
        <v>442</v>
      </c>
      <c r="M819" s="43" t="n">
        <v>1853</v>
      </c>
      <c r="N819" s="43" t="n">
        <v>2422</v>
      </c>
      <c r="O819" s="44">
        <f>IFERROR((F819-G819)/(F819+G819),"")</f>
        <v/>
      </c>
      <c r="P819" s="44">
        <f>IFERROR((I819-J819)/(I819+J819),"")</f>
        <v/>
      </c>
      <c r="Q819" s="45">
        <f>IFERROR(O819-P819,"")</f>
        <v/>
      </c>
      <c r="R819" s="44">
        <f>IFERROR((L819-M819)/(L819+M819),"")</f>
        <v/>
      </c>
      <c r="S819" s="46">
        <f>H819/SUMIFS(Counties!$H$2:$H$1583,Counties!$A$2:$A$1583,$A819)</f>
        <v/>
      </c>
      <c r="T819" s="44">
        <f>O819+INDEX(Dashboard!$F$6:$F$22,MATCH($A819,Dashboard!$A$6:$A$22,0))</f>
        <v/>
      </c>
      <c r="U819" s="43">
        <f>AQ819*INDEX(Dashboard!$G$6:$G$22,MATCH($A819,Dashboard!$A$6:$A$22,0))</f>
        <v/>
      </c>
      <c r="V819" s="47" t="n"/>
      <c r="W819" s="47" t="n"/>
      <c r="X819" s="47" t="n"/>
      <c r="Y819" s="48" t="n"/>
      <c r="Z819" s="49" t="n"/>
      <c r="AA819" s="49" t="n"/>
      <c r="AB819" s="49" t="n"/>
      <c r="AC819" s="50" t="n"/>
      <c r="AD819" s="43">
        <f>IF(Z819&lt;&gt;"",Z819,N(V819))</f>
        <v/>
      </c>
      <c r="AE819" s="43">
        <f>IF(AA819&lt;&gt;"",AA819,N(W819))</f>
        <v/>
      </c>
      <c r="AF819" s="43">
        <f>AD819+AE819</f>
        <v/>
      </c>
      <c r="AG819" s="42">
        <f>IF(UPPER(AC819)="Y",1,IF(AF819=0,0,IF(AND(Z819="",Y819&lt;&gt;""),IF(Y819&gt;=0.999,1,0),IF(AF819&gt;=U819,1,0))))</f>
        <v/>
      </c>
      <c r="AH819" s="44">
        <f>IF(AF819&gt;0,(AD819-AE819)/AF819,"")</f>
        <v/>
      </c>
      <c r="AI819" s="45">
        <f>IF(AG819=1,AH819-O819,"")</f>
        <v/>
      </c>
      <c r="AJ819" s="44">
        <f>IF(AG819=1,AH819,MAX(-1,MIN(1,O819+INDEX(Types!$H:$H,MATCH($A819&amp;"|"&amp;$D819,Types!$A:$A,0)))))</f>
        <v/>
      </c>
      <c r="AK819" s="43">
        <f>IF(AG819=1,AF819,MAX(AQ819*AS819,AF819))</f>
        <v/>
      </c>
      <c r="AL819" s="43">
        <f>IF(AG819=1,AD819,AK819*(1+AJ819)/2)</f>
        <v/>
      </c>
      <c r="AM819" s="43">
        <f>IF(AG819=1,AE819,AK819*(1-AJ819)/2)</f>
        <v/>
      </c>
      <c r="AN819" s="45">
        <f>IF(AH819="","",AH819-T819)</f>
        <v/>
      </c>
      <c r="AO819" s="51">
        <f>IF(AG819=1,1,IF(U819&gt;0,MIN(AF819/U819,0.99),0))</f>
        <v/>
      </c>
      <c r="AP819" s="43">
        <f>IF(AG819=1,AI819*AF819,0)</f>
        <v/>
      </c>
      <c r="AQ819" s="43">
        <f>N819*(F819+G819)/H819</f>
        <v/>
      </c>
      <c r="AR819" s="43">
        <f>O819*AQ819</f>
        <v/>
      </c>
      <c r="AS819" s="52">
        <f>IF(AG819=1,IF(AQ819&gt;0,AF819/AQ819,1),IFERROR(INDEX(Types!$K:$K,MATCH($A819&amp;"|"&amp;$D819,Types!$A:$A,0)),INDEX(Dashboard!$X$6:$X$22,MATCH($A819,Dashboard!$A$6:$A$22,0))))</f>
        <v/>
      </c>
      <c r="AT819" s="43">
        <f>AQ819*INDEX(Dashboard!$Y$6:$Y$22,MATCH($A819,Dashboard!$A$6:$A$22,0))</f>
        <v/>
      </c>
      <c r="AU819" s="53">
        <f>IF(AND(AG819=1,AT819&gt;0,AF819&gt;0),100*AF819/AT819,"")</f>
        <v/>
      </c>
      <c r="AV819" s="44">
        <f>IF(AU819="","",T819/(AU819/100))</f>
        <v/>
      </c>
      <c r="AW819" s="53">
        <f>IF(AU819="","",IF(AND(ABS(AH819)&gt;=0.1,ABS(T819)&gt;=0.05,SIGN(AH819)=SIGN(T819)),100*T819/AH819,""))</f>
        <v/>
      </c>
      <c r="AX819" s="45">
        <f>IF(AU819="","",T819-AV819)</f>
        <v/>
      </c>
      <c r="AY819" s="45">
        <f>IF(AU819="","",AH819-AV819)</f>
        <v/>
      </c>
      <c r="AZ819" s="54">
        <f>(AL819-AM819)-T819*AT819</f>
        <v/>
      </c>
      <c r="BA819" s="43">
        <f>IF(AU819="",0,(AH819-T819)*AF819)</f>
        <v/>
      </c>
      <c r="BB819" s="43">
        <f>IF(AU819="",0,T819*(AF819-AT819))</f>
        <v/>
      </c>
      <c r="BC819" s="51" t="n">
        <v>0.005668760533169909</v>
      </c>
      <c r="BD819" s="51" t="n">
        <v>0.03508503140799755</v>
      </c>
      <c r="BE819" s="51" t="n">
        <v>0.2296994167788246</v>
      </c>
      <c r="BF819" s="43" t="n">
        <v>6527</v>
      </c>
    </row>
    <row r="820">
      <c r="A820" s="42" t="inlineStr">
        <is>
          <t>NE</t>
        </is>
      </c>
      <c r="B820" s="42" t="inlineStr">
        <is>
          <t>31095</t>
        </is>
      </c>
      <c r="C820" s="42" t="inlineStr">
        <is>
          <t>Jefferson</t>
        </is>
      </c>
      <c r="D820" s="42" t="inlineStr">
        <is>
          <t>Small town &amp; rural</t>
        </is>
      </c>
      <c r="E820" s="42" t="inlineStr"/>
      <c r="F820" s="43" t="n">
        <v>968</v>
      </c>
      <c r="G820" s="43" t="n">
        <v>2614</v>
      </c>
      <c r="H820" s="43" t="n">
        <v>3631</v>
      </c>
      <c r="I820" s="43" t="n">
        <v>1016</v>
      </c>
      <c r="J820" s="43" t="n">
        <v>2616</v>
      </c>
      <c r="K820" s="42" t="inlineStr">
        <is>
          <t>Governor</t>
        </is>
      </c>
      <c r="L820" s="43" t="n">
        <v>634</v>
      </c>
      <c r="M820" s="43" t="n">
        <v>1916</v>
      </c>
      <c r="N820" s="43" t="n">
        <v>2665</v>
      </c>
      <c r="O820" s="44">
        <f>IFERROR((F820-G820)/(F820+G820),"")</f>
        <v/>
      </c>
      <c r="P820" s="44">
        <f>IFERROR((I820-J820)/(I820+J820),"")</f>
        <v/>
      </c>
      <c r="Q820" s="45">
        <f>IFERROR(O820-P820,"")</f>
        <v/>
      </c>
      <c r="R820" s="44">
        <f>IFERROR((L820-M820)/(L820+M820),"")</f>
        <v/>
      </c>
      <c r="S820" s="46">
        <f>H820/SUMIFS(Counties!$H$2:$H$1583,Counties!$A$2:$A$1583,$A820)</f>
        <v/>
      </c>
      <c r="T820" s="44">
        <f>O820+INDEX(Dashboard!$F$6:$F$22,MATCH($A820,Dashboard!$A$6:$A$22,0))</f>
        <v/>
      </c>
      <c r="U820" s="43">
        <f>AQ820*INDEX(Dashboard!$G$6:$G$22,MATCH($A820,Dashboard!$A$6:$A$22,0))</f>
        <v/>
      </c>
      <c r="V820" s="47" t="n"/>
      <c r="W820" s="47" t="n"/>
      <c r="X820" s="47" t="n"/>
      <c r="Y820" s="48" t="n"/>
      <c r="Z820" s="49" t="n"/>
      <c r="AA820" s="49" t="n"/>
      <c r="AB820" s="49" t="n"/>
      <c r="AC820" s="50" t="n"/>
      <c r="AD820" s="43">
        <f>IF(Z820&lt;&gt;"",Z820,N(V820))</f>
        <v/>
      </c>
      <c r="AE820" s="43">
        <f>IF(AA820&lt;&gt;"",AA820,N(W820))</f>
        <v/>
      </c>
      <c r="AF820" s="43">
        <f>AD820+AE820</f>
        <v/>
      </c>
      <c r="AG820" s="42">
        <f>IF(UPPER(AC820)="Y",1,IF(AF820=0,0,IF(AND(Z820="",Y820&lt;&gt;""),IF(Y820&gt;=0.999,1,0),IF(AF820&gt;=U820,1,0))))</f>
        <v/>
      </c>
      <c r="AH820" s="44">
        <f>IF(AF820&gt;0,(AD820-AE820)/AF820,"")</f>
        <v/>
      </c>
      <c r="AI820" s="45">
        <f>IF(AG820=1,AH820-O820,"")</f>
        <v/>
      </c>
      <c r="AJ820" s="44">
        <f>IF(AG820=1,AH820,MAX(-1,MIN(1,O820+INDEX(Types!$H:$H,MATCH($A820&amp;"|"&amp;$D820,Types!$A:$A,0)))))</f>
        <v/>
      </c>
      <c r="AK820" s="43">
        <f>IF(AG820=1,AF820,MAX(AQ820*AS820,AF820))</f>
        <v/>
      </c>
      <c r="AL820" s="43">
        <f>IF(AG820=1,AD820,AK820*(1+AJ820)/2)</f>
        <v/>
      </c>
      <c r="AM820" s="43">
        <f>IF(AG820=1,AE820,AK820*(1-AJ820)/2)</f>
        <v/>
      </c>
      <c r="AN820" s="45">
        <f>IF(AH820="","",AH820-T820)</f>
        <v/>
      </c>
      <c r="AO820" s="51">
        <f>IF(AG820=1,1,IF(U820&gt;0,MIN(AF820/U820,0.99),0))</f>
        <v/>
      </c>
      <c r="AP820" s="43">
        <f>IF(AG820=1,AI820*AF820,0)</f>
        <v/>
      </c>
      <c r="AQ820" s="43">
        <f>N820*(F820+G820)/H820</f>
        <v/>
      </c>
      <c r="AR820" s="43">
        <f>O820*AQ820</f>
        <v/>
      </c>
      <c r="AS820" s="52">
        <f>IF(AG820=1,IF(AQ820&gt;0,AF820/AQ820,1),IFERROR(INDEX(Types!$K:$K,MATCH($A820&amp;"|"&amp;$D820,Types!$A:$A,0)),INDEX(Dashboard!$X$6:$X$22,MATCH($A820,Dashboard!$A$6:$A$22,0))))</f>
        <v/>
      </c>
      <c r="AT820" s="43">
        <f>AQ820*INDEX(Dashboard!$Y$6:$Y$22,MATCH($A820,Dashboard!$A$6:$A$22,0))</f>
        <v/>
      </c>
      <c r="AU820" s="53">
        <f>IF(AND(AG820=1,AT820&gt;0,AF820&gt;0),100*AF820/AT820,"")</f>
        <v/>
      </c>
      <c r="AV820" s="44">
        <f>IF(AU820="","",T820/(AU820/100))</f>
        <v/>
      </c>
      <c r="AW820" s="53">
        <f>IF(AU820="","",IF(AND(ABS(AH820)&gt;=0.1,ABS(T820)&gt;=0.05,SIGN(AH820)=SIGN(T820)),100*T820/AH820,""))</f>
        <v/>
      </c>
      <c r="AX820" s="45">
        <f>IF(AU820="","",T820-AV820)</f>
        <v/>
      </c>
      <c r="AY820" s="45">
        <f>IF(AU820="","",AH820-AV820)</f>
        <v/>
      </c>
      <c r="AZ820" s="54">
        <f>(AL820-AM820)-T820*AT820</f>
        <v/>
      </c>
      <c r="BA820" s="43">
        <f>IF(AU820="",0,(AH820-T820)*AF820)</f>
        <v/>
      </c>
      <c r="BB820" s="43">
        <f>IF(AU820="",0,T820*(AF820-AT820))</f>
        <v/>
      </c>
      <c r="BC820" s="51" t="n">
        <v>0.005528777998298837</v>
      </c>
      <c r="BD820" s="51" t="n">
        <v>0.05741423305925716</v>
      </c>
      <c r="BE820" s="51" t="n">
        <v>0.1969817315329627</v>
      </c>
      <c r="BF820" s="43" t="n">
        <v>7054</v>
      </c>
    </row>
    <row r="821">
      <c r="A821" s="42" t="inlineStr">
        <is>
          <t>NE</t>
        </is>
      </c>
      <c r="B821" s="42" t="inlineStr">
        <is>
          <t>31097</t>
        </is>
      </c>
      <c r="C821" s="42" t="inlineStr">
        <is>
          <t>Johnson</t>
        </is>
      </c>
      <c r="D821" s="42" t="inlineStr">
        <is>
          <t>Small town &amp; rural</t>
        </is>
      </c>
      <c r="E821" s="42" t="inlineStr"/>
      <c r="F821" s="43" t="n">
        <v>625</v>
      </c>
      <c r="G821" s="43" t="n">
        <v>1496</v>
      </c>
      <c r="H821" s="43" t="n">
        <v>2152</v>
      </c>
      <c r="I821" s="43" t="n">
        <v>647</v>
      </c>
      <c r="J821" s="43" t="n">
        <v>1518</v>
      </c>
      <c r="K821" s="42" t="inlineStr">
        <is>
          <t>Governor</t>
        </is>
      </c>
      <c r="L821" s="43" t="n">
        <v>467</v>
      </c>
      <c r="M821" s="43" t="n">
        <v>1061</v>
      </c>
      <c r="N821" s="43" t="n">
        <v>1615</v>
      </c>
      <c r="O821" s="44">
        <f>IFERROR((F821-G821)/(F821+G821),"")</f>
        <v/>
      </c>
      <c r="P821" s="44">
        <f>IFERROR((I821-J821)/(I821+J821),"")</f>
        <v/>
      </c>
      <c r="Q821" s="45">
        <f>IFERROR(O821-P821,"")</f>
        <v/>
      </c>
      <c r="R821" s="44">
        <f>IFERROR((L821-M821)/(L821+M821),"")</f>
        <v/>
      </c>
      <c r="S821" s="46">
        <f>H821/SUMIFS(Counties!$H$2:$H$1583,Counties!$A$2:$A$1583,$A821)</f>
        <v/>
      </c>
      <c r="T821" s="44">
        <f>O821+INDEX(Dashboard!$F$6:$F$22,MATCH($A821,Dashboard!$A$6:$A$22,0))</f>
        <v/>
      </c>
      <c r="U821" s="43">
        <f>AQ821*INDEX(Dashboard!$G$6:$G$22,MATCH($A821,Dashboard!$A$6:$A$22,0))</f>
        <v/>
      </c>
      <c r="V821" s="47" t="n"/>
      <c r="W821" s="47" t="n"/>
      <c r="X821" s="47" t="n"/>
      <c r="Y821" s="48" t="n"/>
      <c r="Z821" s="49" t="n"/>
      <c r="AA821" s="49" t="n"/>
      <c r="AB821" s="49" t="n"/>
      <c r="AC821" s="50" t="n"/>
      <c r="AD821" s="43">
        <f>IF(Z821&lt;&gt;"",Z821,N(V821))</f>
        <v/>
      </c>
      <c r="AE821" s="43">
        <f>IF(AA821&lt;&gt;"",AA821,N(W821))</f>
        <v/>
      </c>
      <c r="AF821" s="43">
        <f>AD821+AE821</f>
        <v/>
      </c>
      <c r="AG821" s="42">
        <f>IF(UPPER(AC821)="Y",1,IF(AF821=0,0,IF(AND(Z821="",Y821&lt;&gt;""),IF(Y821&gt;=0.999,1,0),IF(AF821&gt;=U821,1,0))))</f>
        <v/>
      </c>
      <c r="AH821" s="44">
        <f>IF(AF821&gt;0,(AD821-AE821)/AF821,"")</f>
        <v/>
      </c>
      <c r="AI821" s="45">
        <f>IF(AG821=1,AH821-O821,"")</f>
        <v/>
      </c>
      <c r="AJ821" s="44">
        <f>IF(AG821=1,AH821,MAX(-1,MIN(1,O821+INDEX(Types!$H:$H,MATCH($A821&amp;"|"&amp;$D821,Types!$A:$A,0)))))</f>
        <v/>
      </c>
      <c r="AK821" s="43">
        <f>IF(AG821=1,AF821,MAX(AQ821*AS821,AF821))</f>
        <v/>
      </c>
      <c r="AL821" s="43">
        <f>IF(AG821=1,AD821,AK821*(1+AJ821)/2)</f>
        <v/>
      </c>
      <c r="AM821" s="43">
        <f>IF(AG821=1,AE821,AK821*(1-AJ821)/2)</f>
        <v/>
      </c>
      <c r="AN821" s="45">
        <f>IF(AH821="","",AH821-T821)</f>
        <v/>
      </c>
      <c r="AO821" s="51">
        <f>IF(AG821=1,1,IF(U821&gt;0,MIN(AF821/U821,0.99),0))</f>
        <v/>
      </c>
      <c r="AP821" s="43">
        <f>IF(AG821=1,AI821*AF821,0)</f>
        <v/>
      </c>
      <c r="AQ821" s="43">
        <f>N821*(F821+G821)/H821</f>
        <v/>
      </c>
      <c r="AR821" s="43">
        <f>O821*AQ821</f>
        <v/>
      </c>
      <c r="AS821" s="52">
        <f>IF(AG821=1,IF(AQ821&gt;0,AF821/AQ821,1),IFERROR(INDEX(Types!$K:$K,MATCH($A821&amp;"|"&amp;$D821,Types!$A:$A,0)),INDEX(Dashboard!$X$6:$X$22,MATCH($A821,Dashboard!$A$6:$A$22,0))))</f>
        <v/>
      </c>
      <c r="AT821" s="43">
        <f>AQ821*INDEX(Dashboard!$Y$6:$Y$22,MATCH($A821,Dashboard!$A$6:$A$22,0))</f>
        <v/>
      </c>
      <c r="AU821" s="53">
        <f>IF(AND(AG821=1,AT821&gt;0,AF821&gt;0),100*AF821/AT821,"")</f>
        <v/>
      </c>
      <c r="AV821" s="44">
        <f>IF(AU821="","",T821/(AU821/100))</f>
        <v/>
      </c>
      <c r="AW821" s="53">
        <f>IF(AU821="","",IF(AND(ABS(AH821)&gt;=0.1,ABS(T821)&gt;=0.05,SIGN(AH821)=SIGN(T821)),100*T821/AH821,""))</f>
        <v/>
      </c>
      <c r="AX821" s="45">
        <f>IF(AU821="","",T821-AV821)</f>
        <v/>
      </c>
      <c r="AY821" s="45">
        <f>IF(AU821="","",AH821-AV821)</f>
        <v/>
      </c>
      <c r="AZ821" s="54">
        <f>(AL821-AM821)-T821*AT821</f>
        <v/>
      </c>
      <c r="BA821" s="43">
        <f>IF(AU821="",0,(AH821-T821)*AF821)</f>
        <v/>
      </c>
      <c r="BB821" s="43">
        <f>IF(AU821="",0,T821*(AF821-AT821))</f>
        <v/>
      </c>
      <c r="BC821" s="51" t="n">
        <v>0.07137360523278184</v>
      </c>
      <c r="BD821" s="51" t="n">
        <v>0.1152366294728742</v>
      </c>
      <c r="BE821" s="51" t="n">
        <v>0.1897790790524355</v>
      </c>
      <c r="BF821" s="43" t="n">
        <v>5198</v>
      </c>
    </row>
    <row r="822">
      <c r="A822" s="42" t="inlineStr">
        <is>
          <t>NE</t>
        </is>
      </c>
      <c r="B822" s="42" t="inlineStr">
        <is>
          <t>31099</t>
        </is>
      </c>
      <c r="C822" s="42" t="inlineStr">
        <is>
          <t>Kearney</t>
        </is>
      </c>
      <c r="D822" s="42" t="inlineStr">
        <is>
          <t>Small town &amp; rural</t>
        </is>
      </c>
      <c r="E822" s="42" t="inlineStr"/>
      <c r="F822" s="43" t="n">
        <v>736</v>
      </c>
      <c r="G822" s="43" t="n">
        <v>2828</v>
      </c>
      <c r="H822" s="43" t="n">
        <v>3604</v>
      </c>
      <c r="I822" s="43" t="n">
        <v>701</v>
      </c>
      <c r="J822" s="43" t="n">
        <v>2822</v>
      </c>
      <c r="K822" s="42" t="inlineStr">
        <is>
          <t>Governor</t>
        </is>
      </c>
      <c r="L822" s="43" t="n">
        <v>448</v>
      </c>
      <c r="M822" s="43" t="n">
        <v>1981</v>
      </c>
      <c r="N822" s="43" t="n">
        <v>2536</v>
      </c>
      <c r="O822" s="44">
        <f>IFERROR((F822-G822)/(F822+G822),"")</f>
        <v/>
      </c>
      <c r="P822" s="44">
        <f>IFERROR((I822-J822)/(I822+J822),"")</f>
        <v/>
      </c>
      <c r="Q822" s="45">
        <f>IFERROR(O822-P822,"")</f>
        <v/>
      </c>
      <c r="R822" s="44">
        <f>IFERROR((L822-M822)/(L822+M822),"")</f>
        <v/>
      </c>
      <c r="S822" s="46">
        <f>H822/SUMIFS(Counties!$H$2:$H$1583,Counties!$A$2:$A$1583,$A822)</f>
        <v/>
      </c>
      <c r="T822" s="44">
        <f>O822+INDEX(Dashboard!$F$6:$F$22,MATCH($A822,Dashboard!$A$6:$A$22,0))</f>
        <v/>
      </c>
      <c r="U822" s="43">
        <f>AQ822*INDEX(Dashboard!$G$6:$G$22,MATCH($A822,Dashboard!$A$6:$A$22,0))</f>
        <v/>
      </c>
      <c r="V822" s="47" t="n"/>
      <c r="W822" s="47" t="n"/>
      <c r="X822" s="47" t="n"/>
      <c r="Y822" s="48" t="n"/>
      <c r="Z822" s="49" t="n"/>
      <c r="AA822" s="49" t="n"/>
      <c r="AB822" s="49" t="n"/>
      <c r="AC822" s="50" t="n"/>
      <c r="AD822" s="43">
        <f>IF(Z822&lt;&gt;"",Z822,N(V822))</f>
        <v/>
      </c>
      <c r="AE822" s="43">
        <f>IF(AA822&lt;&gt;"",AA822,N(W822))</f>
        <v/>
      </c>
      <c r="AF822" s="43">
        <f>AD822+AE822</f>
        <v/>
      </c>
      <c r="AG822" s="42">
        <f>IF(UPPER(AC822)="Y",1,IF(AF822=0,0,IF(AND(Z822="",Y822&lt;&gt;""),IF(Y822&gt;=0.999,1,0),IF(AF822&gt;=U822,1,0))))</f>
        <v/>
      </c>
      <c r="AH822" s="44">
        <f>IF(AF822&gt;0,(AD822-AE822)/AF822,"")</f>
        <v/>
      </c>
      <c r="AI822" s="45">
        <f>IF(AG822=1,AH822-O822,"")</f>
        <v/>
      </c>
      <c r="AJ822" s="44">
        <f>IF(AG822=1,AH822,MAX(-1,MIN(1,O822+INDEX(Types!$H:$H,MATCH($A822&amp;"|"&amp;$D822,Types!$A:$A,0)))))</f>
        <v/>
      </c>
      <c r="AK822" s="43">
        <f>IF(AG822=1,AF822,MAX(AQ822*AS822,AF822))</f>
        <v/>
      </c>
      <c r="AL822" s="43">
        <f>IF(AG822=1,AD822,AK822*(1+AJ822)/2)</f>
        <v/>
      </c>
      <c r="AM822" s="43">
        <f>IF(AG822=1,AE822,AK822*(1-AJ822)/2)</f>
        <v/>
      </c>
      <c r="AN822" s="45">
        <f>IF(AH822="","",AH822-T822)</f>
        <v/>
      </c>
      <c r="AO822" s="51">
        <f>IF(AG822=1,1,IF(U822&gt;0,MIN(AF822/U822,0.99),0))</f>
        <v/>
      </c>
      <c r="AP822" s="43">
        <f>IF(AG822=1,AI822*AF822,0)</f>
        <v/>
      </c>
      <c r="AQ822" s="43">
        <f>N822*(F822+G822)/H822</f>
        <v/>
      </c>
      <c r="AR822" s="43">
        <f>O822*AQ822</f>
        <v/>
      </c>
      <c r="AS822" s="52">
        <f>IF(AG822=1,IF(AQ822&gt;0,AF822/AQ822,1),IFERROR(INDEX(Types!$K:$K,MATCH($A822&amp;"|"&amp;$D822,Types!$A:$A,0)),INDEX(Dashboard!$X$6:$X$22,MATCH($A822,Dashboard!$A$6:$A$22,0))))</f>
        <v/>
      </c>
      <c r="AT822" s="43">
        <f>AQ822*INDEX(Dashboard!$Y$6:$Y$22,MATCH($A822,Dashboard!$A$6:$A$22,0))</f>
        <v/>
      </c>
      <c r="AU822" s="53">
        <f>IF(AND(AG822=1,AT822&gt;0,AF822&gt;0),100*AF822/AT822,"")</f>
        <v/>
      </c>
      <c r="AV822" s="44">
        <f>IF(AU822="","",T822/(AU822/100))</f>
        <v/>
      </c>
      <c r="AW822" s="53">
        <f>IF(AU822="","",IF(AND(ABS(AH822)&gt;=0.1,ABS(T822)&gt;=0.05,SIGN(AH822)=SIGN(T822)),100*T822/AH822,""))</f>
        <v/>
      </c>
      <c r="AX822" s="45">
        <f>IF(AU822="","",T822-AV822)</f>
        <v/>
      </c>
      <c r="AY822" s="45">
        <f>IF(AU822="","",AH822-AV822)</f>
        <v/>
      </c>
      <c r="AZ822" s="54">
        <f>(AL822-AM822)-T822*AT822</f>
        <v/>
      </c>
      <c r="BA822" s="43">
        <f>IF(AU822="",0,(AH822-T822)*AF822)</f>
        <v/>
      </c>
      <c r="BB822" s="43">
        <f>IF(AU822="",0,T822*(AF822-AT822))</f>
        <v/>
      </c>
      <c r="BC822" s="51" t="n">
        <v>0.003397341211225997</v>
      </c>
      <c r="BD822" s="51" t="n">
        <v>0.07267355982274741</v>
      </c>
      <c r="BE822" s="51" t="n">
        <v>0.3290561113527621</v>
      </c>
      <c r="BF822" s="43" t="n">
        <v>6770</v>
      </c>
    </row>
    <row r="823">
      <c r="A823" s="42" t="inlineStr">
        <is>
          <t>NE</t>
        </is>
      </c>
      <c r="B823" s="42" t="inlineStr">
        <is>
          <t>31101</t>
        </is>
      </c>
      <c r="C823" s="42" t="inlineStr">
        <is>
          <t>Keith</t>
        </is>
      </c>
      <c r="D823" s="42" t="inlineStr">
        <is>
          <t>Small town &amp; rural</t>
        </is>
      </c>
      <c r="E823" s="42" t="inlineStr"/>
      <c r="F823" s="43" t="n">
        <v>731</v>
      </c>
      <c r="G823" s="43" t="n">
        <v>3416</v>
      </c>
      <c r="H823" s="43" t="n">
        <v>4199</v>
      </c>
      <c r="I823" s="43" t="n">
        <v>763</v>
      </c>
      <c r="J823" s="43" t="n">
        <v>3544</v>
      </c>
      <c r="K823" s="42" t="inlineStr">
        <is>
          <t>Governor</t>
        </is>
      </c>
      <c r="L823" s="43" t="n">
        <v>456</v>
      </c>
      <c r="M823" s="43" t="n">
        <v>2337</v>
      </c>
      <c r="N823" s="43" t="n">
        <v>2891</v>
      </c>
      <c r="O823" s="44">
        <f>IFERROR((F823-G823)/(F823+G823),"")</f>
        <v/>
      </c>
      <c r="P823" s="44">
        <f>IFERROR((I823-J823)/(I823+J823),"")</f>
        <v/>
      </c>
      <c r="Q823" s="45">
        <f>IFERROR(O823-P823,"")</f>
        <v/>
      </c>
      <c r="R823" s="44">
        <f>IFERROR((L823-M823)/(L823+M823),"")</f>
        <v/>
      </c>
      <c r="S823" s="46">
        <f>H823/SUMIFS(Counties!$H$2:$H$1583,Counties!$A$2:$A$1583,$A823)</f>
        <v/>
      </c>
      <c r="T823" s="44">
        <f>O823+INDEX(Dashboard!$F$6:$F$22,MATCH($A823,Dashboard!$A$6:$A$22,0))</f>
        <v/>
      </c>
      <c r="U823" s="43">
        <f>AQ823*INDEX(Dashboard!$G$6:$G$22,MATCH($A823,Dashboard!$A$6:$A$22,0))</f>
        <v/>
      </c>
      <c r="V823" s="47" t="n"/>
      <c r="W823" s="47" t="n"/>
      <c r="X823" s="47" t="n"/>
      <c r="Y823" s="48" t="n"/>
      <c r="Z823" s="49" t="n"/>
      <c r="AA823" s="49" t="n"/>
      <c r="AB823" s="49" t="n"/>
      <c r="AC823" s="50" t="n"/>
      <c r="AD823" s="43">
        <f>IF(Z823&lt;&gt;"",Z823,N(V823))</f>
        <v/>
      </c>
      <c r="AE823" s="43">
        <f>IF(AA823&lt;&gt;"",AA823,N(W823))</f>
        <v/>
      </c>
      <c r="AF823" s="43">
        <f>AD823+AE823</f>
        <v/>
      </c>
      <c r="AG823" s="42">
        <f>IF(UPPER(AC823)="Y",1,IF(AF823=0,0,IF(AND(Z823="",Y823&lt;&gt;""),IF(Y823&gt;=0.999,1,0),IF(AF823&gt;=U823,1,0))))</f>
        <v/>
      </c>
      <c r="AH823" s="44">
        <f>IF(AF823&gt;0,(AD823-AE823)/AF823,"")</f>
        <v/>
      </c>
      <c r="AI823" s="45">
        <f>IF(AG823=1,AH823-O823,"")</f>
        <v/>
      </c>
      <c r="AJ823" s="44">
        <f>IF(AG823=1,AH823,MAX(-1,MIN(1,O823+INDEX(Types!$H:$H,MATCH($A823&amp;"|"&amp;$D823,Types!$A:$A,0)))))</f>
        <v/>
      </c>
      <c r="AK823" s="43">
        <f>IF(AG823=1,AF823,MAX(AQ823*AS823,AF823))</f>
        <v/>
      </c>
      <c r="AL823" s="43">
        <f>IF(AG823=1,AD823,AK823*(1+AJ823)/2)</f>
        <v/>
      </c>
      <c r="AM823" s="43">
        <f>IF(AG823=1,AE823,AK823*(1-AJ823)/2)</f>
        <v/>
      </c>
      <c r="AN823" s="45">
        <f>IF(AH823="","",AH823-T823)</f>
        <v/>
      </c>
      <c r="AO823" s="51">
        <f>IF(AG823=1,1,IF(U823&gt;0,MIN(AF823/U823,0.99),0))</f>
        <v/>
      </c>
      <c r="AP823" s="43">
        <f>IF(AG823=1,AI823*AF823,0)</f>
        <v/>
      </c>
      <c r="AQ823" s="43">
        <f>N823*(F823+G823)/H823</f>
        <v/>
      </c>
      <c r="AR823" s="43">
        <f>O823*AQ823</f>
        <v/>
      </c>
      <c r="AS823" s="52">
        <f>IF(AG823=1,IF(AQ823&gt;0,AF823/AQ823,1),IFERROR(INDEX(Types!$K:$K,MATCH($A823&amp;"|"&amp;$D823,Types!$A:$A,0)),INDEX(Dashboard!$X$6:$X$22,MATCH($A823,Dashboard!$A$6:$A$22,0))))</f>
        <v/>
      </c>
      <c r="AT823" s="43">
        <f>AQ823*INDEX(Dashboard!$Y$6:$Y$22,MATCH($A823,Dashboard!$A$6:$A$22,0))</f>
        <v/>
      </c>
      <c r="AU823" s="53">
        <f>IF(AND(AG823=1,AT823&gt;0,AF823&gt;0),100*AF823/AT823,"")</f>
        <v/>
      </c>
      <c r="AV823" s="44">
        <f>IF(AU823="","",T823/(AU823/100))</f>
        <v/>
      </c>
      <c r="AW823" s="53">
        <f>IF(AU823="","",IF(AND(ABS(AH823)&gt;=0.1,ABS(T823)&gt;=0.05,SIGN(AH823)=SIGN(T823)),100*T823/AH823,""))</f>
        <v/>
      </c>
      <c r="AX823" s="45">
        <f>IF(AU823="","",T823-AV823)</f>
        <v/>
      </c>
      <c r="AY823" s="45">
        <f>IF(AU823="","",AH823-AV823)</f>
        <v/>
      </c>
      <c r="AZ823" s="54">
        <f>(AL823-AM823)-T823*AT823</f>
        <v/>
      </c>
      <c r="BA823" s="43">
        <f>IF(AU823="",0,(AH823-T823)*AF823)</f>
        <v/>
      </c>
      <c r="BB823" s="43">
        <f>IF(AU823="",0,T823*(AF823-AT823))</f>
        <v/>
      </c>
      <c r="BC823" s="51" t="n">
        <v>0.008135091827930482</v>
      </c>
      <c r="BD823" s="51" t="n">
        <v>0.09466288672500925</v>
      </c>
      <c r="BE823" s="51" t="n">
        <v>0.2134628044766294</v>
      </c>
      <c r="BF823" s="43" t="n">
        <v>8113</v>
      </c>
    </row>
    <row r="824">
      <c r="A824" s="42" t="inlineStr">
        <is>
          <t>NE</t>
        </is>
      </c>
      <c r="B824" s="42" t="inlineStr">
        <is>
          <t>31103</t>
        </is>
      </c>
      <c r="C824" s="42" t="inlineStr">
        <is>
          <t>Keya Paha</t>
        </is>
      </c>
      <c r="D824" s="42" t="inlineStr">
        <is>
          <t>Small town &amp; rural</t>
        </is>
      </c>
      <c r="E824" s="42" t="inlineStr"/>
      <c r="F824" s="43" t="n">
        <v>44</v>
      </c>
      <c r="G824" s="43" t="n">
        <v>500</v>
      </c>
      <c r="H824" s="43" t="n">
        <v>544</v>
      </c>
      <c r="I824" s="43" t="n">
        <v>49</v>
      </c>
      <c r="J824" s="43" t="n">
        <v>476</v>
      </c>
      <c r="K824" s="42" t="inlineStr">
        <is>
          <t>Governor</t>
        </is>
      </c>
      <c r="L824" s="43" t="n">
        <v>37</v>
      </c>
      <c r="M824" s="43" t="n">
        <v>318</v>
      </c>
      <c r="N824" s="43" t="n">
        <v>378</v>
      </c>
      <c r="O824" s="44">
        <f>IFERROR((F824-G824)/(F824+G824),"")</f>
        <v/>
      </c>
      <c r="P824" s="44">
        <f>IFERROR((I824-J824)/(I824+J824),"")</f>
        <v/>
      </c>
      <c r="Q824" s="45">
        <f>IFERROR(O824-P824,"")</f>
        <v/>
      </c>
      <c r="R824" s="44">
        <f>IFERROR((L824-M824)/(L824+M824),"")</f>
        <v/>
      </c>
      <c r="S824" s="46">
        <f>H824/SUMIFS(Counties!$H$2:$H$1583,Counties!$A$2:$A$1583,$A824)</f>
        <v/>
      </c>
      <c r="T824" s="44">
        <f>O824+INDEX(Dashboard!$F$6:$F$22,MATCH($A824,Dashboard!$A$6:$A$22,0))</f>
        <v/>
      </c>
      <c r="U824" s="43">
        <f>AQ824*INDEX(Dashboard!$G$6:$G$22,MATCH($A824,Dashboard!$A$6:$A$22,0))</f>
        <v/>
      </c>
      <c r="V824" s="47" t="n"/>
      <c r="W824" s="47" t="n"/>
      <c r="X824" s="47" t="n"/>
      <c r="Y824" s="48" t="n"/>
      <c r="Z824" s="49" t="n"/>
      <c r="AA824" s="49" t="n"/>
      <c r="AB824" s="49" t="n"/>
      <c r="AC824" s="50" t="n"/>
      <c r="AD824" s="43">
        <f>IF(Z824&lt;&gt;"",Z824,N(V824))</f>
        <v/>
      </c>
      <c r="AE824" s="43">
        <f>IF(AA824&lt;&gt;"",AA824,N(W824))</f>
        <v/>
      </c>
      <c r="AF824" s="43">
        <f>AD824+AE824</f>
        <v/>
      </c>
      <c r="AG824" s="42">
        <f>IF(UPPER(AC824)="Y",1,IF(AF824=0,0,IF(AND(Z824="",Y824&lt;&gt;""),IF(Y824&gt;=0.999,1,0),IF(AF824&gt;=U824,1,0))))</f>
        <v/>
      </c>
      <c r="AH824" s="44">
        <f>IF(AF824&gt;0,(AD824-AE824)/AF824,"")</f>
        <v/>
      </c>
      <c r="AI824" s="45">
        <f>IF(AG824=1,AH824-O824,"")</f>
        <v/>
      </c>
      <c r="AJ824" s="44">
        <f>IF(AG824=1,AH824,MAX(-1,MIN(1,O824+INDEX(Types!$H:$H,MATCH($A824&amp;"|"&amp;$D824,Types!$A:$A,0)))))</f>
        <v/>
      </c>
      <c r="AK824" s="43">
        <f>IF(AG824=1,AF824,MAX(AQ824*AS824,AF824))</f>
        <v/>
      </c>
      <c r="AL824" s="43">
        <f>IF(AG824=1,AD824,AK824*(1+AJ824)/2)</f>
        <v/>
      </c>
      <c r="AM824" s="43">
        <f>IF(AG824=1,AE824,AK824*(1-AJ824)/2)</f>
        <v/>
      </c>
      <c r="AN824" s="45">
        <f>IF(AH824="","",AH824-T824)</f>
        <v/>
      </c>
      <c r="AO824" s="51">
        <f>IF(AG824=1,1,IF(U824&gt;0,MIN(AF824/U824,0.99),0))</f>
        <v/>
      </c>
      <c r="AP824" s="43">
        <f>IF(AG824=1,AI824*AF824,0)</f>
        <v/>
      </c>
      <c r="AQ824" s="43">
        <f>N824*(F824+G824)/H824</f>
        <v/>
      </c>
      <c r="AR824" s="43">
        <f>O824*AQ824</f>
        <v/>
      </c>
      <c r="AS824" s="52">
        <f>IF(AG824=1,IF(AQ824&gt;0,AF824/AQ824,1),IFERROR(INDEX(Types!$K:$K,MATCH($A824&amp;"|"&amp;$D824,Types!$A:$A,0)),INDEX(Dashboard!$X$6:$X$22,MATCH($A824,Dashboard!$A$6:$A$22,0))))</f>
        <v/>
      </c>
      <c r="AT824" s="43">
        <f>AQ824*INDEX(Dashboard!$Y$6:$Y$22,MATCH($A824,Dashboard!$A$6:$A$22,0))</f>
        <v/>
      </c>
      <c r="AU824" s="53">
        <f>IF(AND(AG824=1,AT824&gt;0,AF824&gt;0),100*AF824/AT824,"")</f>
        <v/>
      </c>
      <c r="AV824" s="44">
        <f>IF(AU824="","",T824/(AU824/100))</f>
        <v/>
      </c>
      <c r="AW824" s="53">
        <f>IF(AU824="","",IF(AND(ABS(AH824)&gt;=0.1,ABS(T824)&gt;=0.05,SIGN(AH824)=SIGN(T824)),100*T824/AH824,""))</f>
        <v/>
      </c>
      <c r="AX824" s="45">
        <f>IF(AU824="","",T824-AV824)</f>
        <v/>
      </c>
      <c r="AY824" s="45">
        <f>IF(AU824="","",AH824-AV824)</f>
        <v/>
      </c>
      <c r="AZ824" s="54">
        <f>(AL824-AM824)-T824*AT824</f>
        <v/>
      </c>
      <c r="BA824" s="43">
        <f>IF(AU824="",0,(AH824-T824)*AF824)</f>
        <v/>
      </c>
      <c r="BB824" s="43">
        <f>IF(AU824="",0,T824*(AF824-AT824))</f>
        <v/>
      </c>
      <c r="BC824" s="51" t="n"/>
      <c r="BD824" s="51" t="n">
        <v>0.02608695652173913</v>
      </c>
      <c r="BE824" s="51" t="n">
        <v>0.2571428571428571</v>
      </c>
      <c r="BF824" s="43" t="n">
        <v>805</v>
      </c>
    </row>
    <row r="825">
      <c r="A825" s="42" t="inlineStr">
        <is>
          <t>NE</t>
        </is>
      </c>
      <c r="B825" s="42" t="inlineStr">
        <is>
          <t>31105</t>
        </is>
      </c>
      <c r="C825" s="42" t="inlineStr">
        <is>
          <t>Kimball</t>
        </is>
      </c>
      <c r="D825" s="42" t="inlineStr">
        <is>
          <t>Small town &amp; rural</t>
        </is>
      </c>
      <c r="E825" s="42" t="inlineStr"/>
      <c r="F825" s="43" t="n">
        <v>272</v>
      </c>
      <c r="G825" s="43" t="n">
        <v>1424</v>
      </c>
      <c r="H825" s="43" t="n">
        <v>1720</v>
      </c>
      <c r="I825" s="43" t="n">
        <v>268</v>
      </c>
      <c r="J825" s="43" t="n">
        <v>1563</v>
      </c>
      <c r="K825" s="42" t="inlineStr">
        <is>
          <t>Governor</t>
        </is>
      </c>
      <c r="L825" s="43" t="n">
        <v>158</v>
      </c>
      <c r="M825" s="43" t="n">
        <v>1115</v>
      </c>
      <c r="N825" s="43" t="n">
        <v>1333</v>
      </c>
      <c r="O825" s="44">
        <f>IFERROR((F825-G825)/(F825+G825),"")</f>
        <v/>
      </c>
      <c r="P825" s="44">
        <f>IFERROR((I825-J825)/(I825+J825),"")</f>
        <v/>
      </c>
      <c r="Q825" s="45">
        <f>IFERROR(O825-P825,"")</f>
        <v/>
      </c>
      <c r="R825" s="44">
        <f>IFERROR((L825-M825)/(L825+M825),"")</f>
        <v/>
      </c>
      <c r="S825" s="46">
        <f>H825/SUMIFS(Counties!$H$2:$H$1583,Counties!$A$2:$A$1583,$A825)</f>
        <v/>
      </c>
      <c r="T825" s="44">
        <f>O825+INDEX(Dashboard!$F$6:$F$22,MATCH($A825,Dashboard!$A$6:$A$22,0))</f>
        <v/>
      </c>
      <c r="U825" s="43">
        <f>AQ825*INDEX(Dashboard!$G$6:$G$22,MATCH($A825,Dashboard!$A$6:$A$22,0))</f>
        <v/>
      </c>
      <c r="V825" s="47" t="n"/>
      <c r="W825" s="47" t="n"/>
      <c r="X825" s="47" t="n"/>
      <c r="Y825" s="48" t="n"/>
      <c r="Z825" s="49" t="n"/>
      <c r="AA825" s="49" t="n"/>
      <c r="AB825" s="49" t="n"/>
      <c r="AC825" s="50" t="n"/>
      <c r="AD825" s="43">
        <f>IF(Z825&lt;&gt;"",Z825,N(V825))</f>
        <v/>
      </c>
      <c r="AE825" s="43">
        <f>IF(AA825&lt;&gt;"",AA825,N(W825))</f>
        <v/>
      </c>
      <c r="AF825" s="43">
        <f>AD825+AE825</f>
        <v/>
      </c>
      <c r="AG825" s="42">
        <f>IF(UPPER(AC825)="Y",1,IF(AF825=0,0,IF(AND(Z825="",Y825&lt;&gt;""),IF(Y825&gt;=0.999,1,0),IF(AF825&gt;=U825,1,0))))</f>
        <v/>
      </c>
      <c r="AH825" s="44">
        <f>IF(AF825&gt;0,(AD825-AE825)/AF825,"")</f>
        <v/>
      </c>
      <c r="AI825" s="45">
        <f>IF(AG825=1,AH825-O825,"")</f>
        <v/>
      </c>
      <c r="AJ825" s="44">
        <f>IF(AG825=1,AH825,MAX(-1,MIN(1,O825+INDEX(Types!$H:$H,MATCH($A825&amp;"|"&amp;$D825,Types!$A:$A,0)))))</f>
        <v/>
      </c>
      <c r="AK825" s="43">
        <f>IF(AG825=1,AF825,MAX(AQ825*AS825,AF825))</f>
        <v/>
      </c>
      <c r="AL825" s="43">
        <f>IF(AG825=1,AD825,AK825*(1+AJ825)/2)</f>
        <v/>
      </c>
      <c r="AM825" s="43">
        <f>IF(AG825=1,AE825,AK825*(1-AJ825)/2)</f>
        <v/>
      </c>
      <c r="AN825" s="45">
        <f>IF(AH825="","",AH825-T825)</f>
        <v/>
      </c>
      <c r="AO825" s="51">
        <f>IF(AG825=1,1,IF(U825&gt;0,MIN(AF825/U825,0.99),0))</f>
        <v/>
      </c>
      <c r="AP825" s="43">
        <f>IF(AG825=1,AI825*AF825,0)</f>
        <v/>
      </c>
      <c r="AQ825" s="43">
        <f>N825*(F825+G825)/H825</f>
        <v/>
      </c>
      <c r="AR825" s="43">
        <f>O825*AQ825</f>
        <v/>
      </c>
      <c r="AS825" s="52">
        <f>IF(AG825=1,IF(AQ825&gt;0,AF825/AQ825,1),IFERROR(INDEX(Types!$K:$K,MATCH($A825&amp;"|"&amp;$D825,Types!$A:$A,0)),INDEX(Dashboard!$X$6:$X$22,MATCH($A825,Dashboard!$A$6:$A$22,0))))</f>
        <v/>
      </c>
      <c r="AT825" s="43">
        <f>AQ825*INDEX(Dashboard!$Y$6:$Y$22,MATCH($A825,Dashboard!$A$6:$A$22,0))</f>
        <v/>
      </c>
      <c r="AU825" s="53">
        <f>IF(AND(AG825=1,AT825&gt;0,AF825&gt;0),100*AF825/AT825,"")</f>
        <v/>
      </c>
      <c r="AV825" s="44">
        <f>IF(AU825="","",T825/(AU825/100))</f>
        <v/>
      </c>
      <c r="AW825" s="53">
        <f>IF(AU825="","",IF(AND(ABS(AH825)&gt;=0.1,ABS(T825)&gt;=0.05,SIGN(AH825)=SIGN(T825)),100*T825/AH825,""))</f>
        <v/>
      </c>
      <c r="AX825" s="45">
        <f>IF(AU825="","",T825-AV825)</f>
        <v/>
      </c>
      <c r="AY825" s="45">
        <f>IF(AU825="","",AH825-AV825)</f>
        <v/>
      </c>
      <c r="AZ825" s="54">
        <f>(AL825-AM825)-T825*AT825</f>
        <v/>
      </c>
      <c r="BA825" s="43">
        <f>IF(AU825="",0,(AH825-T825)*AF825)</f>
        <v/>
      </c>
      <c r="BB825" s="43">
        <f>IF(AU825="",0,T825*(AF825-AT825))</f>
        <v/>
      </c>
      <c r="BC825" s="51" t="n">
        <v>0.00486470051687443</v>
      </c>
      <c r="BD825" s="51" t="n">
        <v>0.09607783520826998</v>
      </c>
      <c r="BE825" s="51" t="n">
        <v>0.1428571428571428</v>
      </c>
      <c r="BF825" s="43" t="n">
        <v>3289</v>
      </c>
    </row>
    <row r="826">
      <c r="A826" s="42" t="inlineStr">
        <is>
          <t>NE</t>
        </is>
      </c>
      <c r="B826" s="42" t="inlineStr">
        <is>
          <t>31107</t>
        </is>
      </c>
      <c r="C826" s="42" t="inlineStr">
        <is>
          <t>Knox</t>
        </is>
      </c>
      <c r="D826" s="42" t="inlineStr">
        <is>
          <t>Small town &amp; rural</t>
        </is>
      </c>
      <c r="E826" s="42" t="inlineStr"/>
      <c r="F826" s="43" t="n">
        <v>786</v>
      </c>
      <c r="G826" s="43" t="n">
        <v>3593</v>
      </c>
      <c r="H826" s="43" t="n">
        <v>4436</v>
      </c>
      <c r="I826" s="43" t="n">
        <v>905</v>
      </c>
      <c r="J826" s="43" t="n">
        <v>3721</v>
      </c>
      <c r="K826" s="42" t="inlineStr">
        <is>
          <t>Governor</t>
        </is>
      </c>
      <c r="L826" s="43" t="n">
        <v>586</v>
      </c>
      <c r="M826" s="43" t="n">
        <v>2922</v>
      </c>
      <c r="N826" s="43" t="n">
        <v>3648</v>
      </c>
      <c r="O826" s="44">
        <f>IFERROR((F826-G826)/(F826+G826),"")</f>
        <v/>
      </c>
      <c r="P826" s="44">
        <f>IFERROR((I826-J826)/(I826+J826),"")</f>
        <v/>
      </c>
      <c r="Q826" s="45">
        <f>IFERROR(O826-P826,"")</f>
        <v/>
      </c>
      <c r="R826" s="44">
        <f>IFERROR((L826-M826)/(L826+M826),"")</f>
        <v/>
      </c>
      <c r="S826" s="46">
        <f>H826/SUMIFS(Counties!$H$2:$H$1583,Counties!$A$2:$A$1583,$A826)</f>
        <v/>
      </c>
      <c r="T826" s="44">
        <f>O826+INDEX(Dashboard!$F$6:$F$22,MATCH($A826,Dashboard!$A$6:$A$22,0))</f>
        <v/>
      </c>
      <c r="U826" s="43">
        <f>AQ826*INDEX(Dashboard!$G$6:$G$22,MATCH($A826,Dashboard!$A$6:$A$22,0))</f>
        <v/>
      </c>
      <c r="V826" s="47" t="n"/>
      <c r="W826" s="47" t="n"/>
      <c r="X826" s="47" t="n"/>
      <c r="Y826" s="48" t="n"/>
      <c r="Z826" s="49" t="n"/>
      <c r="AA826" s="49" t="n"/>
      <c r="AB826" s="49" t="n"/>
      <c r="AC826" s="50" t="n"/>
      <c r="AD826" s="43">
        <f>IF(Z826&lt;&gt;"",Z826,N(V826))</f>
        <v/>
      </c>
      <c r="AE826" s="43">
        <f>IF(AA826&lt;&gt;"",AA826,N(W826))</f>
        <v/>
      </c>
      <c r="AF826" s="43">
        <f>AD826+AE826</f>
        <v/>
      </c>
      <c r="AG826" s="42">
        <f>IF(UPPER(AC826)="Y",1,IF(AF826=0,0,IF(AND(Z826="",Y826&lt;&gt;""),IF(Y826&gt;=0.999,1,0),IF(AF826&gt;=U826,1,0))))</f>
        <v/>
      </c>
      <c r="AH826" s="44">
        <f>IF(AF826&gt;0,(AD826-AE826)/AF826,"")</f>
        <v/>
      </c>
      <c r="AI826" s="45">
        <f>IF(AG826=1,AH826-O826,"")</f>
        <v/>
      </c>
      <c r="AJ826" s="44">
        <f>IF(AG826=1,AH826,MAX(-1,MIN(1,O826+INDEX(Types!$H:$H,MATCH($A826&amp;"|"&amp;$D826,Types!$A:$A,0)))))</f>
        <v/>
      </c>
      <c r="AK826" s="43">
        <f>IF(AG826=1,AF826,MAX(AQ826*AS826,AF826))</f>
        <v/>
      </c>
      <c r="AL826" s="43">
        <f>IF(AG826=1,AD826,AK826*(1+AJ826)/2)</f>
        <v/>
      </c>
      <c r="AM826" s="43">
        <f>IF(AG826=1,AE826,AK826*(1-AJ826)/2)</f>
        <v/>
      </c>
      <c r="AN826" s="45">
        <f>IF(AH826="","",AH826-T826)</f>
        <v/>
      </c>
      <c r="AO826" s="51">
        <f>IF(AG826=1,1,IF(U826&gt;0,MIN(AF826/U826,0.99),0))</f>
        <v/>
      </c>
      <c r="AP826" s="43">
        <f>IF(AG826=1,AI826*AF826,0)</f>
        <v/>
      </c>
      <c r="AQ826" s="43">
        <f>N826*(F826+G826)/H826</f>
        <v/>
      </c>
      <c r="AR826" s="43">
        <f>O826*AQ826</f>
        <v/>
      </c>
      <c r="AS826" s="52">
        <f>IF(AG826=1,IF(AQ826&gt;0,AF826/AQ826,1),IFERROR(INDEX(Types!$K:$K,MATCH($A826&amp;"|"&amp;$D826,Types!$A:$A,0)),INDEX(Dashboard!$X$6:$X$22,MATCH($A826,Dashboard!$A$6:$A$22,0))))</f>
        <v/>
      </c>
      <c r="AT826" s="43">
        <f>AQ826*INDEX(Dashboard!$Y$6:$Y$22,MATCH($A826,Dashboard!$A$6:$A$22,0))</f>
        <v/>
      </c>
      <c r="AU826" s="53">
        <f>IF(AND(AG826=1,AT826&gt;0,AF826&gt;0),100*AF826/AT826,"")</f>
        <v/>
      </c>
      <c r="AV826" s="44">
        <f>IF(AU826="","",T826/(AU826/100))</f>
        <v/>
      </c>
      <c r="AW826" s="53">
        <f>IF(AU826="","",IF(AND(ABS(AH826)&gt;=0.1,ABS(T826)&gt;=0.05,SIGN(AH826)=SIGN(T826)),100*T826/AH826,""))</f>
        <v/>
      </c>
      <c r="AX826" s="45">
        <f>IF(AU826="","",T826-AV826)</f>
        <v/>
      </c>
      <c r="AY826" s="45">
        <f>IF(AU826="","",AH826-AV826)</f>
        <v/>
      </c>
      <c r="AZ826" s="54">
        <f>(AL826-AM826)-T826*AT826</f>
        <v/>
      </c>
      <c r="BA826" s="43">
        <f>IF(AU826="",0,(AH826-T826)*AF826)</f>
        <v/>
      </c>
      <c r="BB826" s="43">
        <f>IF(AU826="",0,T826*(AF826-AT826))</f>
        <v/>
      </c>
      <c r="BC826" s="51" t="n">
        <v>0.005181971559411906</v>
      </c>
      <c r="BD826" s="51" t="n">
        <v>0.03097131838997349</v>
      </c>
      <c r="BE826" s="51" t="n">
        <v>0.1967927488234269</v>
      </c>
      <c r="BF826" s="43" t="n">
        <v>8298</v>
      </c>
    </row>
    <row r="827">
      <c r="A827" s="42" t="inlineStr">
        <is>
          <t>NE</t>
        </is>
      </c>
      <c r="B827" s="42" t="inlineStr">
        <is>
          <t>31109</t>
        </is>
      </c>
      <c r="C827" s="42" t="inlineStr">
        <is>
          <t>Lancaster</t>
        </is>
      </c>
      <c r="D827" s="42" t="inlineStr">
        <is>
          <t>College suburb/metro</t>
        </is>
      </c>
      <c r="E827" s="42" t="inlineStr">
        <is>
          <t>★</t>
        </is>
      </c>
      <c r="F827" s="43" t="n">
        <v>81012</v>
      </c>
      <c r="G827" s="43" t="n">
        <v>74215</v>
      </c>
      <c r="H827" s="43" t="n">
        <v>157633</v>
      </c>
      <c r="I827" s="43" t="n">
        <v>82293</v>
      </c>
      <c r="J827" s="43" t="n">
        <v>70092</v>
      </c>
      <c r="K827" s="42" t="inlineStr">
        <is>
          <t>Governor</t>
        </is>
      </c>
      <c r="L827" s="43" t="n">
        <v>57424</v>
      </c>
      <c r="M827" s="43" t="n">
        <v>52769</v>
      </c>
      <c r="N827" s="43" t="n">
        <v>114001</v>
      </c>
      <c r="O827" s="44">
        <f>IFERROR((F827-G827)/(F827+G827),"")</f>
        <v/>
      </c>
      <c r="P827" s="44">
        <f>IFERROR((I827-J827)/(I827+J827),"")</f>
        <v/>
      </c>
      <c r="Q827" s="45">
        <f>IFERROR(O827-P827,"")</f>
        <v/>
      </c>
      <c r="R827" s="44">
        <f>IFERROR((L827-M827)/(L827+M827),"")</f>
        <v/>
      </c>
      <c r="S827" s="46">
        <f>H827/SUMIFS(Counties!$H$2:$H$1583,Counties!$A$2:$A$1583,$A827)</f>
        <v/>
      </c>
      <c r="T827" s="44">
        <f>O827+INDEX(Dashboard!$F$6:$F$22,MATCH($A827,Dashboard!$A$6:$A$22,0))</f>
        <v/>
      </c>
      <c r="U827" s="43">
        <f>AQ827*INDEX(Dashboard!$G$6:$G$22,MATCH($A827,Dashboard!$A$6:$A$22,0))</f>
        <v/>
      </c>
      <c r="V827" s="47" t="n"/>
      <c r="W827" s="47" t="n"/>
      <c r="X827" s="47" t="n"/>
      <c r="Y827" s="48" t="n"/>
      <c r="Z827" s="49" t="n"/>
      <c r="AA827" s="49" t="n"/>
      <c r="AB827" s="49" t="n"/>
      <c r="AC827" s="50" t="n"/>
      <c r="AD827" s="43">
        <f>IF(Z827&lt;&gt;"",Z827,N(V827))</f>
        <v/>
      </c>
      <c r="AE827" s="43">
        <f>IF(AA827&lt;&gt;"",AA827,N(W827))</f>
        <v/>
      </c>
      <c r="AF827" s="43">
        <f>AD827+AE827</f>
        <v/>
      </c>
      <c r="AG827" s="42">
        <f>IF(UPPER(AC827)="Y",1,IF(AF827=0,0,IF(AND(Z827="",Y827&lt;&gt;""),IF(Y827&gt;=0.999,1,0),IF(AF827&gt;=U827,1,0))))</f>
        <v/>
      </c>
      <c r="AH827" s="44">
        <f>IF(AF827&gt;0,(AD827-AE827)/AF827,"")</f>
        <v/>
      </c>
      <c r="AI827" s="45">
        <f>IF(AG827=1,AH827-O827,"")</f>
        <v/>
      </c>
      <c r="AJ827" s="44">
        <f>IF(AG827=1,AH827,MAX(-1,MIN(1,O827+INDEX(Types!$H:$H,MATCH($A827&amp;"|"&amp;$D827,Types!$A:$A,0)))))</f>
        <v/>
      </c>
      <c r="AK827" s="43">
        <f>IF(AG827=1,AF827,MAX(AQ827*AS827,AF827))</f>
        <v/>
      </c>
      <c r="AL827" s="43">
        <f>IF(AG827=1,AD827,AK827*(1+AJ827)/2)</f>
        <v/>
      </c>
      <c r="AM827" s="43">
        <f>IF(AG827=1,AE827,AK827*(1-AJ827)/2)</f>
        <v/>
      </c>
      <c r="AN827" s="45">
        <f>IF(AH827="","",AH827-T827)</f>
        <v/>
      </c>
      <c r="AO827" s="51">
        <f>IF(AG827=1,1,IF(U827&gt;0,MIN(AF827/U827,0.99),0))</f>
        <v/>
      </c>
      <c r="AP827" s="43">
        <f>IF(AG827=1,AI827*AF827,0)</f>
        <v/>
      </c>
      <c r="AQ827" s="43">
        <f>N827*(F827+G827)/H827</f>
        <v/>
      </c>
      <c r="AR827" s="43">
        <f>O827*AQ827</f>
        <v/>
      </c>
      <c r="AS827" s="52">
        <f>IF(AG827=1,IF(AQ827&gt;0,AF827/AQ827,1),IFERROR(INDEX(Types!$K:$K,MATCH($A827&amp;"|"&amp;$D827,Types!$A:$A,0)),INDEX(Dashboard!$X$6:$X$22,MATCH($A827,Dashboard!$A$6:$A$22,0))))</f>
        <v/>
      </c>
      <c r="AT827" s="43">
        <f>AQ827*INDEX(Dashboard!$Y$6:$Y$22,MATCH($A827,Dashboard!$A$6:$A$22,0))</f>
        <v/>
      </c>
      <c r="AU827" s="53">
        <f>IF(AND(AG827=1,AT827&gt;0,AF827&gt;0),100*AF827/AT827,"")</f>
        <v/>
      </c>
      <c r="AV827" s="44">
        <f>IF(AU827="","",T827/(AU827/100))</f>
        <v/>
      </c>
      <c r="AW827" s="53">
        <f>IF(AU827="","",IF(AND(ABS(AH827)&gt;=0.1,ABS(T827)&gt;=0.05,SIGN(AH827)=SIGN(T827)),100*T827/AH827,""))</f>
        <v/>
      </c>
      <c r="AX827" s="45">
        <f>IF(AU827="","",T827-AV827)</f>
        <v/>
      </c>
      <c r="AY827" s="45">
        <f>IF(AU827="","",AH827-AV827)</f>
        <v/>
      </c>
      <c r="AZ827" s="54">
        <f>(AL827-AM827)-T827*AT827</f>
        <v/>
      </c>
      <c r="BA827" s="43">
        <f>IF(AU827="",0,(AH827-T827)*AF827)</f>
        <v/>
      </c>
      <c r="BB827" s="43">
        <f>IF(AU827="",0,T827*(AF827-AT827))</f>
        <v/>
      </c>
      <c r="BC827" s="51" t="n">
        <v>0.0420059011496223</v>
      </c>
      <c r="BD827" s="51" t="n">
        <v>0.08670833384346037</v>
      </c>
      <c r="BE827" s="51" t="n">
        <v>0.4107453278506882</v>
      </c>
      <c r="BF827" s="43" t="n">
        <v>326716</v>
      </c>
    </row>
    <row r="828">
      <c r="A828" s="42" t="inlineStr">
        <is>
          <t>NE</t>
        </is>
      </c>
      <c r="B828" s="42" t="inlineStr">
        <is>
          <t>31111</t>
        </is>
      </c>
      <c r="C828" s="42" t="inlineStr">
        <is>
          <t>Lincoln</t>
        </is>
      </c>
      <c r="D828" s="42" t="inlineStr">
        <is>
          <t>Small town &amp; rural</t>
        </is>
      </c>
      <c r="E828" s="42" t="inlineStr">
        <is>
          <t>★</t>
        </is>
      </c>
      <c r="F828" s="43" t="n">
        <v>3586</v>
      </c>
      <c r="G828" s="43" t="n">
        <v>12674</v>
      </c>
      <c r="H828" s="43" t="n">
        <v>16464</v>
      </c>
      <c r="I828" s="43" t="n">
        <v>3692</v>
      </c>
      <c r="J828" s="43" t="n">
        <v>13071</v>
      </c>
      <c r="K828" s="42" t="inlineStr">
        <is>
          <t>Governor</t>
        </is>
      </c>
      <c r="L828" s="43" t="n">
        <v>2481</v>
      </c>
      <c r="M828" s="43" t="n">
        <v>9029</v>
      </c>
      <c r="N828" s="43" t="n">
        <v>12052</v>
      </c>
      <c r="O828" s="44">
        <f>IFERROR((F828-G828)/(F828+G828),"")</f>
        <v/>
      </c>
      <c r="P828" s="44">
        <f>IFERROR((I828-J828)/(I828+J828),"")</f>
        <v/>
      </c>
      <c r="Q828" s="45">
        <f>IFERROR(O828-P828,"")</f>
        <v/>
      </c>
      <c r="R828" s="44">
        <f>IFERROR((L828-M828)/(L828+M828),"")</f>
        <v/>
      </c>
      <c r="S828" s="46">
        <f>H828/SUMIFS(Counties!$H$2:$H$1583,Counties!$A$2:$A$1583,$A828)</f>
        <v/>
      </c>
      <c r="T828" s="44">
        <f>O828+INDEX(Dashboard!$F$6:$F$22,MATCH($A828,Dashboard!$A$6:$A$22,0))</f>
        <v/>
      </c>
      <c r="U828" s="43">
        <f>AQ828*INDEX(Dashboard!$G$6:$G$22,MATCH($A828,Dashboard!$A$6:$A$22,0))</f>
        <v/>
      </c>
      <c r="V828" s="47" t="n"/>
      <c r="W828" s="47" t="n"/>
      <c r="X828" s="47" t="n"/>
      <c r="Y828" s="48" t="n"/>
      <c r="Z828" s="49" t="n"/>
      <c r="AA828" s="49" t="n"/>
      <c r="AB828" s="49" t="n"/>
      <c r="AC828" s="50" t="n"/>
      <c r="AD828" s="43">
        <f>IF(Z828&lt;&gt;"",Z828,N(V828))</f>
        <v/>
      </c>
      <c r="AE828" s="43">
        <f>IF(AA828&lt;&gt;"",AA828,N(W828))</f>
        <v/>
      </c>
      <c r="AF828" s="43">
        <f>AD828+AE828</f>
        <v/>
      </c>
      <c r="AG828" s="42">
        <f>IF(UPPER(AC828)="Y",1,IF(AF828=0,0,IF(AND(Z828="",Y828&lt;&gt;""),IF(Y828&gt;=0.999,1,0),IF(AF828&gt;=U828,1,0))))</f>
        <v/>
      </c>
      <c r="AH828" s="44">
        <f>IF(AF828&gt;0,(AD828-AE828)/AF828,"")</f>
        <v/>
      </c>
      <c r="AI828" s="45">
        <f>IF(AG828=1,AH828-O828,"")</f>
        <v/>
      </c>
      <c r="AJ828" s="44">
        <f>IF(AG828=1,AH828,MAX(-1,MIN(1,O828+INDEX(Types!$H:$H,MATCH($A828&amp;"|"&amp;$D828,Types!$A:$A,0)))))</f>
        <v/>
      </c>
      <c r="AK828" s="43">
        <f>IF(AG828=1,AF828,MAX(AQ828*AS828,AF828))</f>
        <v/>
      </c>
      <c r="AL828" s="43">
        <f>IF(AG828=1,AD828,AK828*(1+AJ828)/2)</f>
        <v/>
      </c>
      <c r="AM828" s="43">
        <f>IF(AG828=1,AE828,AK828*(1-AJ828)/2)</f>
        <v/>
      </c>
      <c r="AN828" s="45">
        <f>IF(AH828="","",AH828-T828)</f>
        <v/>
      </c>
      <c r="AO828" s="51">
        <f>IF(AG828=1,1,IF(U828&gt;0,MIN(AF828/U828,0.99),0))</f>
        <v/>
      </c>
      <c r="AP828" s="43">
        <f>IF(AG828=1,AI828*AF828,0)</f>
        <v/>
      </c>
      <c r="AQ828" s="43">
        <f>N828*(F828+G828)/H828</f>
        <v/>
      </c>
      <c r="AR828" s="43">
        <f>O828*AQ828</f>
        <v/>
      </c>
      <c r="AS828" s="52">
        <f>IF(AG828=1,IF(AQ828&gt;0,AF828/AQ828,1),IFERROR(INDEX(Types!$K:$K,MATCH($A828&amp;"|"&amp;$D828,Types!$A:$A,0)),INDEX(Dashboard!$X$6:$X$22,MATCH($A828,Dashboard!$A$6:$A$22,0))))</f>
        <v/>
      </c>
      <c r="AT828" s="43">
        <f>AQ828*INDEX(Dashboard!$Y$6:$Y$22,MATCH($A828,Dashboard!$A$6:$A$22,0))</f>
        <v/>
      </c>
      <c r="AU828" s="53">
        <f>IF(AND(AG828=1,AT828&gt;0,AF828&gt;0),100*AF828/AT828,"")</f>
        <v/>
      </c>
      <c r="AV828" s="44">
        <f>IF(AU828="","",T828/(AU828/100))</f>
        <v/>
      </c>
      <c r="AW828" s="53">
        <f>IF(AU828="","",IF(AND(ABS(AH828)&gt;=0.1,ABS(T828)&gt;=0.05,SIGN(AH828)=SIGN(T828)),100*T828/AH828,""))</f>
        <v/>
      </c>
      <c r="AX828" s="45">
        <f>IF(AU828="","",T828-AV828)</f>
        <v/>
      </c>
      <c r="AY828" s="45">
        <f>IF(AU828="","",AH828-AV828)</f>
        <v/>
      </c>
      <c r="AZ828" s="54">
        <f>(AL828-AM828)-T828*AT828</f>
        <v/>
      </c>
      <c r="BA828" s="43">
        <f>IF(AU828="",0,(AH828-T828)*AF828)</f>
        <v/>
      </c>
      <c r="BB828" s="43">
        <f>IF(AU828="",0,T828*(AF828-AT828))</f>
        <v/>
      </c>
      <c r="BC828" s="51" t="n">
        <v>0.01102952195414356</v>
      </c>
      <c r="BD828" s="51" t="n">
        <v>0.09417053798891054</v>
      </c>
      <c r="BE828" s="51" t="n">
        <v>0.2041537038594131</v>
      </c>
      <c r="BF828" s="43" t="n">
        <v>33365</v>
      </c>
    </row>
    <row r="829">
      <c r="A829" s="42" t="inlineStr">
        <is>
          <t>NE</t>
        </is>
      </c>
      <c r="B829" s="42" t="inlineStr">
        <is>
          <t>31113</t>
        </is>
      </c>
      <c r="C829" s="42" t="inlineStr">
        <is>
          <t>Logan</t>
        </is>
      </c>
      <c r="D829" s="42" t="inlineStr">
        <is>
          <t>Small town &amp; rural</t>
        </is>
      </c>
      <c r="E829" s="42" t="inlineStr"/>
      <c r="F829" s="43" t="n">
        <v>25</v>
      </c>
      <c r="G829" s="43" t="n">
        <v>409</v>
      </c>
      <c r="H829" s="43" t="n">
        <v>440</v>
      </c>
      <c r="I829" s="43" t="n">
        <v>38</v>
      </c>
      <c r="J829" s="43" t="n">
        <v>407</v>
      </c>
      <c r="K829" s="42" t="inlineStr">
        <is>
          <t>Governor</t>
        </is>
      </c>
      <c r="L829" s="43" t="n">
        <v>22</v>
      </c>
      <c r="M829" s="43" t="n">
        <v>290</v>
      </c>
      <c r="N829" s="43" t="n">
        <v>324</v>
      </c>
      <c r="O829" s="44">
        <f>IFERROR((F829-G829)/(F829+G829),"")</f>
        <v/>
      </c>
      <c r="P829" s="44">
        <f>IFERROR((I829-J829)/(I829+J829),"")</f>
        <v/>
      </c>
      <c r="Q829" s="45">
        <f>IFERROR(O829-P829,"")</f>
        <v/>
      </c>
      <c r="R829" s="44">
        <f>IFERROR((L829-M829)/(L829+M829),"")</f>
        <v/>
      </c>
      <c r="S829" s="46">
        <f>H829/SUMIFS(Counties!$H$2:$H$1583,Counties!$A$2:$A$1583,$A829)</f>
        <v/>
      </c>
      <c r="T829" s="44">
        <f>O829+INDEX(Dashboard!$F$6:$F$22,MATCH($A829,Dashboard!$A$6:$A$22,0))</f>
        <v/>
      </c>
      <c r="U829" s="43">
        <f>AQ829*INDEX(Dashboard!$G$6:$G$22,MATCH($A829,Dashboard!$A$6:$A$22,0))</f>
        <v/>
      </c>
      <c r="V829" s="47" t="n"/>
      <c r="W829" s="47" t="n"/>
      <c r="X829" s="47" t="n"/>
      <c r="Y829" s="48" t="n"/>
      <c r="Z829" s="49" t="n"/>
      <c r="AA829" s="49" t="n"/>
      <c r="AB829" s="49" t="n"/>
      <c r="AC829" s="50" t="n"/>
      <c r="AD829" s="43">
        <f>IF(Z829&lt;&gt;"",Z829,N(V829))</f>
        <v/>
      </c>
      <c r="AE829" s="43">
        <f>IF(AA829&lt;&gt;"",AA829,N(W829))</f>
        <v/>
      </c>
      <c r="AF829" s="43">
        <f>AD829+AE829</f>
        <v/>
      </c>
      <c r="AG829" s="42">
        <f>IF(UPPER(AC829)="Y",1,IF(AF829=0,0,IF(AND(Z829="",Y829&lt;&gt;""),IF(Y829&gt;=0.999,1,0),IF(AF829&gt;=U829,1,0))))</f>
        <v/>
      </c>
      <c r="AH829" s="44">
        <f>IF(AF829&gt;0,(AD829-AE829)/AF829,"")</f>
        <v/>
      </c>
      <c r="AI829" s="45">
        <f>IF(AG829=1,AH829-O829,"")</f>
        <v/>
      </c>
      <c r="AJ829" s="44">
        <f>IF(AG829=1,AH829,MAX(-1,MIN(1,O829+INDEX(Types!$H:$H,MATCH($A829&amp;"|"&amp;$D829,Types!$A:$A,0)))))</f>
        <v/>
      </c>
      <c r="AK829" s="43">
        <f>IF(AG829=1,AF829,MAX(AQ829*AS829,AF829))</f>
        <v/>
      </c>
      <c r="AL829" s="43">
        <f>IF(AG829=1,AD829,AK829*(1+AJ829)/2)</f>
        <v/>
      </c>
      <c r="AM829" s="43">
        <f>IF(AG829=1,AE829,AK829*(1-AJ829)/2)</f>
        <v/>
      </c>
      <c r="AN829" s="45">
        <f>IF(AH829="","",AH829-T829)</f>
        <v/>
      </c>
      <c r="AO829" s="51">
        <f>IF(AG829=1,1,IF(U829&gt;0,MIN(AF829/U829,0.99),0))</f>
        <v/>
      </c>
      <c r="AP829" s="43">
        <f>IF(AG829=1,AI829*AF829,0)</f>
        <v/>
      </c>
      <c r="AQ829" s="43">
        <f>N829*(F829+G829)/H829</f>
        <v/>
      </c>
      <c r="AR829" s="43">
        <f>O829*AQ829</f>
        <v/>
      </c>
      <c r="AS829" s="52">
        <f>IF(AG829=1,IF(AQ829&gt;0,AF829/AQ829,1),IFERROR(INDEX(Types!$K:$K,MATCH($A829&amp;"|"&amp;$D829,Types!$A:$A,0)),INDEX(Dashboard!$X$6:$X$22,MATCH($A829,Dashboard!$A$6:$A$22,0))))</f>
        <v/>
      </c>
      <c r="AT829" s="43">
        <f>AQ829*INDEX(Dashboard!$Y$6:$Y$22,MATCH($A829,Dashboard!$A$6:$A$22,0))</f>
        <v/>
      </c>
      <c r="AU829" s="53">
        <f>IF(AND(AG829=1,AT829&gt;0,AF829&gt;0),100*AF829/AT829,"")</f>
        <v/>
      </c>
      <c r="AV829" s="44">
        <f>IF(AU829="","",T829/(AU829/100))</f>
        <v/>
      </c>
      <c r="AW829" s="53">
        <f>IF(AU829="","",IF(AND(ABS(AH829)&gt;=0.1,ABS(T829)&gt;=0.05,SIGN(AH829)=SIGN(T829)),100*T829/AH829,""))</f>
        <v/>
      </c>
      <c r="AX829" s="45">
        <f>IF(AU829="","",T829-AV829)</f>
        <v/>
      </c>
      <c r="AY829" s="45">
        <f>IF(AU829="","",AH829-AV829)</f>
        <v/>
      </c>
      <c r="AZ829" s="54">
        <f>(AL829-AM829)-T829*AT829</f>
        <v/>
      </c>
      <c r="BA829" s="43">
        <f>IF(AU829="",0,(AH829-T829)*AF829)</f>
        <v/>
      </c>
      <c r="BB829" s="43">
        <f>IF(AU829="",0,T829*(AF829-AT829))</f>
        <v/>
      </c>
      <c r="BC829" s="51" t="n">
        <v>0.003053435114503817</v>
      </c>
      <c r="BD829" s="51" t="n">
        <v>0.02900763358778626</v>
      </c>
      <c r="BE829" s="51" t="n">
        <v>0.2672727272727273</v>
      </c>
      <c r="BF829" s="43" t="n">
        <v>655</v>
      </c>
    </row>
    <row r="830">
      <c r="A830" s="42" t="inlineStr">
        <is>
          <t>NE</t>
        </is>
      </c>
      <c r="B830" s="42" t="inlineStr">
        <is>
          <t>31115</t>
        </is>
      </c>
      <c r="C830" s="42" t="inlineStr">
        <is>
          <t>Loup</t>
        </is>
      </c>
      <c r="D830" s="42" t="inlineStr">
        <is>
          <t>Small town &amp; rural</t>
        </is>
      </c>
      <c r="E830" s="42" t="inlineStr"/>
      <c r="F830" s="43" t="n">
        <v>73</v>
      </c>
      <c r="G830" s="43" t="n">
        <v>354</v>
      </c>
      <c r="H830" s="43" t="n">
        <v>428</v>
      </c>
      <c r="I830" s="43" t="n">
        <v>75</v>
      </c>
      <c r="J830" s="43" t="n">
        <v>370</v>
      </c>
      <c r="K830" s="42" t="inlineStr">
        <is>
          <t>Governor</t>
        </is>
      </c>
      <c r="L830" s="43" t="n">
        <v>48</v>
      </c>
      <c r="M830" s="43" t="n">
        <v>255</v>
      </c>
      <c r="N830" s="43" t="n">
        <v>324</v>
      </c>
      <c r="O830" s="44">
        <f>IFERROR((F830-G830)/(F830+G830),"")</f>
        <v/>
      </c>
      <c r="P830" s="44">
        <f>IFERROR((I830-J830)/(I830+J830),"")</f>
        <v/>
      </c>
      <c r="Q830" s="45">
        <f>IFERROR(O830-P830,"")</f>
        <v/>
      </c>
      <c r="R830" s="44">
        <f>IFERROR((L830-M830)/(L830+M830),"")</f>
        <v/>
      </c>
      <c r="S830" s="46">
        <f>H830/SUMIFS(Counties!$H$2:$H$1583,Counties!$A$2:$A$1583,$A830)</f>
        <v/>
      </c>
      <c r="T830" s="44">
        <f>O830+INDEX(Dashboard!$F$6:$F$22,MATCH($A830,Dashboard!$A$6:$A$22,0))</f>
        <v/>
      </c>
      <c r="U830" s="43">
        <f>AQ830*INDEX(Dashboard!$G$6:$G$22,MATCH($A830,Dashboard!$A$6:$A$22,0))</f>
        <v/>
      </c>
      <c r="V830" s="47" t="n"/>
      <c r="W830" s="47" t="n"/>
      <c r="X830" s="47" t="n"/>
      <c r="Y830" s="48" t="n"/>
      <c r="Z830" s="49" t="n"/>
      <c r="AA830" s="49" t="n"/>
      <c r="AB830" s="49" t="n"/>
      <c r="AC830" s="50" t="n"/>
      <c r="AD830" s="43">
        <f>IF(Z830&lt;&gt;"",Z830,N(V830))</f>
        <v/>
      </c>
      <c r="AE830" s="43">
        <f>IF(AA830&lt;&gt;"",AA830,N(W830))</f>
        <v/>
      </c>
      <c r="AF830" s="43">
        <f>AD830+AE830</f>
        <v/>
      </c>
      <c r="AG830" s="42">
        <f>IF(UPPER(AC830)="Y",1,IF(AF830=0,0,IF(AND(Z830="",Y830&lt;&gt;""),IF(Y830&gt;=0.999,1,0),IF(AF830&gt;=U830,1,0))))</f>
        <v/>
      </c>
      <c r="AH830" s="44">
        <f>IF(AF830&gt;0,(AD830-AE830)/AF830,"")</f>
        <v/>
      </c>
      <c r="AI830" s="45">
        <f>IF(AG830=1,AH830-O830,"")</f>
        <v/>
      </c>
      <c r="AJ830" s="44">
        <f>IF(AG830=1,AH830,MAX(-1,MIN(1,O830+INDEX(Types!$H:$H,MATCH($A830&amp;"|"&amp;$D830,Types!$A:$A,0)))))</f>
        <v/>
      </c>
      <c r="AK830" s="43">
        <f>IF(AG830=1,AF830,MAX(AQ830*AS830,AF830))</f>
        <v/>
      </c>
      <c r="AL830" s="43">
        <f>IF(AG830=1,AD830,AK830*(1+AJ830)/2)</f>
        <v/>
      </c>
      <c r="AM830" s="43">
        <f>IF(AG830=1,AE830,AK830*(1-AJ830)/2)</f>
        <v/>
      </c>
      <c r="AN830" s="45">
        <f>IF(AH830="","",AH830-T830)</f>
        <v/>
      </c>
      <c r="AO830" s="51">
        <f>IF(AG830=1,1,IF(U830&gt;0,MIN(AF830/U830,0.99),0))</f>
        <v/>
      </c>
      <c r="AP830" s="43">
        <f>IF(AG830=1,AI830*AF830,0)</f>
        <v/>
      </c>
      <c r="AQ830" s="43">
        <f>N830*(F830+G830)/H830</f>
        <v/>
      </c>
      <c r="AR830" s="43">
        <f>O830*AQ830</f>
        <v/>
      </c>
      <c r="AS830" s="52">
        <f>IF(AG830=1,IF(AQ830&gt;0,AF830/AQ830,1),IFERROR(INDEX(Types!$K:$K,MATCH($A830&amp;"|"&amp;$D830,Types!$A:$A,0)),INDEX(Dashboard!$X$6:$X$22,MATCH($A830,Dashboard!$A$6:$A$22,0))))</f>
        <v/>
      </c>
      <c r="AT830" s="43">
        <f>AQ830*INDEX(Dashboard!$Y$6:$Y$22,MATCH($A830,Dashboard!$A$6:$A$22,0))</f>
        <v/>
      </c>
      <c r="AU830" s="53">
        <f>IF(AND(AG830=1,AT830&gt;0,AF830&gt;0),100*AF830/AT830,"")</f>
        <v/>
      </c>
      <c r="AV830" s="44">
        <f>IF(AU830="","",T830/(AU830/100))</f>
        <v/>
      </c>
      <c r="AW830" s="53">
        <f>IF(AU830="","",IF(AND(ABS(AH830)&gt;=0.1,ABS(T830)&gt;=0.05,SIGN(AH830)=SIGN(T830)),100*T830/AH830,""))</f>
        <v/>
      </c>
      <c r="AX830" s="45">
        <f>IF(AU830="","",T830-AV830)</f>
        <v/>
      </c>
      <c r="AY830" s="45">
        <f>IF(AU830="","",AH830-AV830)</f>
        <v/>
      </c>
      <c r="AZ830" s="54">
        <f>(AL830-AM830)-T830*AT830</f>
        <v/>
      </c>
      <c r="BA830" s="43">
        <f>IF(AU830="",0,(AH830-T830)*AF830)</f>
        <v/>
      </c>
      <c r="BB830" s="43">
        <f>IF(AU830="",0,T830*(AF830-AT830))</f>
        <v/>
      </c>
      <c r="BC830" s="51" t="n">
        <v>0.01858108108108108</v>
      </c>
      <c r="BD830" s="51" t="n">
        <v>0.03716216216216216</v>
      </c>
      <c r="BE830" s="51" t="n">
        <v>0.2595238095238095</v>
      </c>
      <c r="BF830" s="43" t="n">
        <v>592</v>
      </c>
    </row>
    <row r="831">
      <c r="A831" s="42" t="inlineStr">
        <is>
          <t>NE</t>
        </is>
      </c>
      <c r="B831" s="42" t="inlineStr">
        <is>
          <t>31119</t>
        </is>
      </c>
      <c r="C831" s="42" t="inlineStr">
        <is>
          <t>Madison</t>
        </is>
      </c>
      <c r="D831" s="42" t="inlineStr">
        <is>
          <t>Small town &amp; rural</t>
        </is>
      </c>
      <c r="E831" s="42" t="inlineStr"/>
      <c r="F831" s="43" t="n">
        <v>3360</v>
      </c>
      <c r="G831" s="43" t="n">
        <v>12145</v>
      </c>
      <c r="H831" s="43" t="n">
        <v>15690</v>
      </c>
      <c r="I831" s="43" t="n">
        <v>3478</v>
      </c>
      <c r="J831" s="43" t="n">
        <v>11940</v>
      </c>
      <c r="K831" s="42" t="inlineStr">
        <is>
          <t>Governor</t>
        </is>
      </c>
      <c r="L831" s="43" t="n">
        <v>2035</v>
      </c>
      <c r="M831" s="43" t="n">
        <v>9108</v>
      </c>
      <c r="N831" s="43" t="n">
        <v>11617</v>
      </c>
      <c r="O831" s="44">
        <f>IFERROR((F831-G831)/(F831+G831),"")</f>
        <v/>
      </c>
      <c r="P831" s="44">
        <f>IFERROR((I831-J831)/(I831+J831),"")</f>
        <v/>
      </c>
      <c r="Q831" s="45">
        <f>IFERROR(O831-P831,"")</f>
        <v/>
      </c>
      <c r="R831" s="44">
        <f>IFERROR((L831-M831)/(L831+M831),"")</f>
        <v/>
      </c>
      <c r="S831" s="46">
        <f>H831/SUMIFS(Counties!$H$2:$H$1583,Counties!$A$2:$A$1583,$A831)</f>
        <v/>
      </c>
      <c r="T831" s="44">
        <f>O831+INDEX(Dashboard!$F$6:$F$22,MATCH($A831,Dashboard!$A$6:$A$22,0))</f>
        <v/>
      </c>
      <c r="U831" s="43">
        <f>AQ831*INDEX(Dashboard!$G$6:$G$22,MATCH($A831,Dashboard!$A$6:$A$22,0))</f>
        <v/>
      </c>
      <c r="V831" s="47" t="n"/>
      <c r="W831" s="47" t="n"/>
      <c r="X831" s="47" t="n"/>
      <c r="Y831" s="48" t="n"/>
      <c r="Z831" s="49" t="n"/>
      <c r="AA831" s="49" t="n"/>
      <c r="AB831" s="49" t="n"/>
      <c r="AC831" s="50" t="n"/>
      <c r="AD831" s="43">
        <f>IF(Z831&lt;&gt;"",Z831,N(V831))</f>
        <v/>
      </c>
      <c r="AE831" s="43">
        <f>IF(AA831&lt;&gt;"",AA831,N(W831))</f>
        <v/>
      </c>
      <c r="AF831" s="43">
        <f>AD831+AE831</f>
        <v/>
      </c>
      <c r="AG831" s="42">
        <f>IF(UPPER(AC831)="Y",1,IF(AF831=0,0,IF(AND(Z831="",Y831&lt;&gt;""),IF(Y831&gt;=0.999,1,0),IF(AF831&gt;=U831,1,0))))</f>
        <v/>
      </c>
      <c r="AH831" s="44">
        <f>IF(AF831&gt;0,(AD831-AE831)/AF831,"")</f>
        <v/>
      </c>
      <c r="AI831" s="45">
        <f>IF(AG831=1,AH831-O831,"")</f>
        <v/>
      </c>
      <c r="AJ831" s="44">
        <f>IF(AG831=1,AH831,MAX(-1,MIN(1,O831+INDEX(Types!$H:$H,MATCH($A831&amp;"|"&amp;$D831,Types!$A:$A,0)))))</f>
        <v/>
      </c>
      <c r="AK831" s="43">
        <f>IF(AG831=1,AF831,MAX(AQ831*AS831,AF831))</f>
        <v/>
      </c>
      <c r="AL831" s="43">
        <f>IF(AG831=1,AD831,AK831*(1+AJ831)/2)</f>
        <v/>
      </c>
      <c r="AM831" s="43">
        <f>IF(AG831=1,AE831,AK831*(1-AJ831)/2)</f>
        <v/>
      </c>
      <c r="AN831" s="45">
        <f>IF(AH831="","",AH831-T831)</f>
        <v/>
      </c>
      <c r="AO831" s="51">
        <f>IF(AG831=1,1,IF(U831&gt;0,MIN(AF831/U831,0.99),0))</f>
        <v/>
      </c>
      <c r="AP831" s="43">
        <f>IF(AG831=1,AI831*AF831,0)</f>
        <v/>
      </c>
      <c r="AQ831" s="43">
        <f>N831*(F831+G831)/H831</f>
        <v/>
      </c>
      <c r="AR831" s="43">
        <f>O831*AQ831</f>
        <v/>
      </c>
      <c r="AS831" s="52">
        <f>IF(AG831=1,IF(AQ831&gt;0,AF831/AQ831,1),IFERROR(INDEX(Types!$K:$K,MATCH($A831&amp;"|"&amp;$D831,Types!$A:$A,0)),INDEX(Dashboard!$X$6:$X$22,MATCH($A831,Dashboard!$A$6:$A$22,0))))</f>
        <v/>
      </c>
      <c r="AT831" s="43">
        <f>AQ831*INDEX(Dashboard!$Y$6:$Y$22,MATCH($A831,Dashboard!$A$6:$A$22,0))</f>
        <v/>
      </c>
      <c r="AU831" s="53">
        <f>IF(AND(AG831=1,AT831&gt;0,AF831&gt;0),100*AF831/AT831,"")</f>
        <v/>
      </c>
      <c r="AV831" s="44">
        <f>IF(AU831="","",T831/(AU831/100))</f>
        <v/>
      </c>
      <c r="AW831" s="53">
        <f>IF(AU831="","",IF(AND(ABS(AH831)&gt;=0.1,ABS(T831)&gt;=0.05,SIGN(AH831)=SIGN(T831)),100*T831/AH831,""))</f>
        <v/>
      </c>
      <c r="AX831" s="45">
        <f>IF(AU831="","",T831-AV831)</f>
        <v/>
      </c>
      <c r="AY831" s="45">
        <f>IF(AU831="","",AH831-AV831)</f>
        <v/>
      </c>
      <c r="AZ831" s="54">
        <f>(AL831-AM831)-T831*AT831</f>
        <v/>
      </c>
      <c r="BA831" s="43">
        <f>IF(AU831="",0,(AH831-T831)*AF831)</f>
        <v/>
      </c>
      <c r="BB831" s="43">
        <f>IF(AU831="",0,T831*(AF831-AT831))</f>
        <v/>
      </c>
      <c r="BC831" s="51" t="n">
        <v>0.01251859544727314</v>
      </c>
      <c r="BD831" s="51" t="n">
        <v>0.1649030229881831</v>
      </c>
      <c r="BE831" s="51" t="n">
        <v>0.2349472778136432</v>
      </c>
      <c r="BF831" s="43" t="n">
        <v>35627</v>
      </c>
    </row>
    <row r="832">
      <c r="A832" s="42" t="inlineStr">
        <is>
          <t>NE</t>
        </is>
      </c>
      <c r="B832" s="42" t="inlineStr">
        <is>
          <t>31117</t>
        </is>
      </c>
      <c r="C832" s="42" t="inlineStr">
        <is>
          <t>McPherson</t>
        </is>
      </c>
      <c r="D832" s="42" t="inlineStr">
        <is>
          <t>Small town &amp; rural</t>
        </is>
      </c>
      <c r="E832" s="42" t="inlineStr"/>
      <c r="F832" s="43" t="n">
        <v>12</v>
      </c>
      <c r="G832" s="43" t="n">
        <v>267</v>
      </c>
      <c r="H832" s="43" t="n">
        <v>283</v>
      </c>
      <c r="I832" s="43" t="n">
        <v>17</v>
      </c>
      <c r="J832" s="43" t="n">
        <v>275</v>
      </c>
      <c r="K832" s="42" t="inlineStr">
        <is>
          <t>Governor</t>
        </is>
      </c>
      <c r="L832" s="43" t="n">
        <v>24</v>
      </c>
      <c r="M832" s="43" t="n">
        <v>188</v>
      </c>
      <c r="N832" s="43" t="n">
        <v>221</v>
      </c>
      <c r="O832" s="44">
        <f>IFERROR((F832-G832)/(F832+G832),"")</f>
        <v/>
      </c>
      <c r="P832" s="44">
        <f>IFERROR((I832-J832)/(I832+J832),"")</f>
        <v/>
      </c>
      <c r="Q832" s="45">
        <f>IFERROR(O832-P832,"")</f>
        <v/>
      </c>
      <c r="R832" s="44">
        <f>IFERROR((L832-M832)/(L832+M832),"")</f>
        <v/>
      </c>
      <c r="S832" s="46">
        <f>H832/SUMIFS(Counties!$H$2:$H$1583,Counties!$A$2:$A$1583,$A832)</f>
        <v/>
      </c>
      <c r="T832" s="44">
        <f>O832+INDEX(Dashboard!$F$6:$F$22,MATCH($A832,Dashboard!$A$6:$A$22,0))</f>
        <v/>
      </c>
      <c r="U832" s="43">
        <f>AQ832*INDEX(Dashboard!$G$6:$G$22,MATCH($A832,Dashboard!$A$6:$A$22,0))</f>
        <v/>
      </c>
      <c r="V832" s="47" t="n"/>
      <c r="W832" s="47" t="n"/>
      <c r="X832" s="47" t="n"/>
      <c r="Y832" s="48" t="n"/>
      <c r="Z832" s="49" t="n"/>
      <c r="AA832" s="49" t="n"/>
      <c r="AB832" s="49" t="n"/>
      <c r="AC832" s="50" t="n"/>
      <c r="AD832" s="43">
        <f>IF(Z832&lt;&gt;"",Z832,N(V832))</f>
        <v/>
      </c>
      <c r="AE832" s="43">
        <f>IF(AA832&lt;&gt;"",AA832,N(W832))</f>
        <v/>
      </c>
      <c r="AF832" s="43">
        <f>AD832+AE832</f>
        <v/>
      </c>
      <c r="AG832" s="42">
        <f>IF(UPPER(AC832)="Y",1,IF(AF832=0,0,IF(AND(Z832="",Y832&lt;&gt;""),IF(Y832&gt;=0.999,1,0),IF(AF832&gt;=U832,1,0))))</f>
        <v/>
      </c>
      <c r="AH832" s="44">
        <f>IF(AF832&gt;0,(AD832-AE832)/AF832,"")</f>
        <v/>
      </c>
      <c r="AI832" s="45">
        <f>IF(AG832=1,AH832-O832,"")</f>
        <v/>
      </c>
      <c r="AJ832" s="44">
        <f>IF(AG832=1,AH832,MAX(-1,MIN(1,O832+INDEX(Types!$H:$H,MATCH($A832&amp;"|"&amp;$D832,Types!$A:$A,0)))))</f>
        <v/>
      </c>
      <c r="AK832" s="43">
        <f>IF(AG832=1,AF832,MAX(AQ832*AS832,AF832))</f>
        <v/>
      </c>
      <c r="AL832" s="43">
        <f>IF(AG832=1,AD832,AK832*(1+AJ832)/2)</f>
        <v/>
      </c>
      <c r="AM832" s="43">
        <f>IF(AG832=1,AE832,AK832*(1-AJ832)/2)</f>
        <v/>
      </c>
      <c r="AN832" s="45">
        <f>IF(AH832="","",AH832-T832)</f>
        <v/>
      </c>
      <c r="AO832" s="51">
        <f>IF(AG832=1,1,IF(U832&gt;0,MIN(AF832/U832,0.99),0))</f>
        <v/>
      </c>
      <c r="AP832" s="43">
        <f>IF(AG832=1,AI832*AF832,0)</f>
        <v/>
      </c>
      <c r="AQ832" s="43">
        <f>N832*(F832+G832)/H832</f>
        <v/>
      </c>
      <c r="AR832" s="43">
        <f>O832*AQ832</f>
        <v/>
      </c>
      <c r="AS832" s="52">
        <f>IF(AG832=1,IF(AQ832&gt;0,AF832/AQ832,1),IFERROR(INDEX(Types!$K:$K,MATCH($A832&amp;"|"&amp;$D832,Types!$A:$A,0)),INDEX(Dashboard!$X$6:$X$22,MATCH($A832,Dashboard!$A$6:$A$22,0))))</f>
        <v/>
      </c>
      <c r="AT832" s="43">
        <f>AQ832*INDEX(Dashboard!$Y$6:$Y$22,MATCH($A832,Dashboard!$A$6:$A$22,0))</f>
        <v/>
      </c>
      <c r="AU832" s="53">
        <f>IF(AND(AG832=1,AT832&gt;0,AF832&gt;0),100*AF832/AT832,"")</f>
        <v/>
      </c>
      <c r="AV832" s="44">
        <f>IF(AU832="","",T832/(AU832/100))</f>
        <v/>
      </c>
      <c r="AW832" s="53">
        <f>IF(AU832="","",IF(AND(ABS(AH832)&gt;=0.1,ABS(T832)&gt;=0.05,SIGN(AH832)=SIGN(T832)),100*T832/AH832,""))</f>
        <v/>
      </c>
      <c r="AX832" s="45">
        <f>IF(AU832="","",T832-AV832)</f>
        <v/>
      </c>
      <c r="AY832" s="45">
        <f>IF(AU832="","",AH832-AV832)</f>
        <v/>
      </c>
      <c r="AZ832" s="54">
        <f>(AL832-AM832)-T832*AT832</f>
        <v/>
      </c>
      <c r="BA832" s="43">
        <f>IF(AU832="",0,(AH832-T832)*AF832)</f>
        <v/>
      </c>
      <c r="BB832" s="43">
        <f>IF(AU832="",0,T832*(AF832-AT832))</f>
        <v/>
      </c>
      <c r="BC832" s="51" t="n">
        <v>0.005221932114882507</v>
      </c>
      <c r="BD832" s="51" t="n">
        <v>0.007832898172323759</v>
      </c>
      <c r="BE832" s="51" t="n">
        <v>0.2439759036144578</v>
      </c>
      <c r="BF832" s="43" t="n">
        <v>383</v>
      </c>
    </row>
    <row r="833">
      <c r="A833" s="42" t="inlineStr">
        <is>
          <t>NE</t>
        </is>
      </c>
      <c r="B833" s="42" t="inlineStr">
        <is>
          <t>31121</t>
        </is>
      </c>
      <c r="C833" s="42" t="inlineStr">
        <is>
          <t>Merrick</t>
        </is>
      </c>
      <c r="D833" s="42" t="inlineStr">
        <is>
          <t>Small town &amp; rural</t>
        </is>
      </c>
      <c r="E833" s="42" t="inlineStr"/>
      <c r="F833" s="43" t="n">
        <v>730</v>
      </c>
      <c r="G833" s="43" t="n">
        <v>3551</v>
      </c>
      <c r="H833" s="43" t="n">
        <v>4342</v>
      </c>
      <c r="I833" s="43" t="n">
        <v>743</v>
      </c>
      <c r="J833" s="43" t="n">
        <v>3419</v>
      </c>
      <c r="K833" s="42" t="inlineStr">
        <is>
          <t>Governor</t>
        </is>
      </c>
      <c r="L833" s="43" t="n">
        <v>516</v>
      </c>
      <c r="M833" s="43" t="n">
        <v>2629</v>
      </c>
      <c r="N833" s="43" t="n">
        <v>3302</v>
      </c>
      <c r="O833" s="44">
        <f>IFERROR((F833-G833)/(F833+G833),"")</f>
        <v/>
      </c>
      <c r="P833" s="44">
        <f>IFERROR((I833-J833)/(I833+J833),"")</f>
        <v/>
      </c>
      <c r="Q833" s="45">
        <f>IFERROR(O833-P833,"")</f>
        <v/>
      </c>
      <c r="R833" s="44">
        <f>IFERROR((L833-M833)/(L833+M833),"")</f>
        <v/>
      </c>
      <c r="S833" s="46">
        <f>H833/SUMIFS(Counties!$H$2:$H$1583,Counties!$A$2:$A$1583,$A833)</f>
        <v/>
      </c>
      <c r="T833" s="44">
        <f>O833+INDEX(Dashboard!$F$6:$F$22,MATCH($A833,Dashboard!$A$6:$A$22,0))</f>
        <v/>
      </c>
      <c r="U833" s="43">
        <f>AQ833*INDEX(Dashboard!$G$6:$G$22,MATCH($A833,Dashboard!$A$6:$A$22,0))</f>
        <v/>
      </c>
      <c r="V833" s="47" t="n"/>
      <c r="W833" s="47" t="n"/>
      <c r="X833" s="47" t="n"/>
      <c r="Y833" s="48" t="n"/>
      <c r="Z833" s="49" t="n"/>
      <c r="AA833" s="49" t="n"/>
      <c r="AB833" s="49" t="n"/>
      <c r="AC833" s="50" t="n"/>
      <c r="AD833" s="43">
        <f>IF(Z833&lt;&gt;"",Z833,N(V833))</f>
        <v/>
      </c>
      <c r="AE833" s="43">
        <f>IF(AA833&lt;&gt;"",AA833,N(W833))</f>
        <v/>
      </c>
      <c r="AF833" s="43">
        <f>AD833+AE833</f>
        <v/>
      </c>
      <c r="AG833" s="42">
        <f>IF(UPPER(AC833)="Y",1,IF(AF833=0,0,IF(AND(Z833="",Y833&lt;&gt;""),IF(Y833&gt;=0.999,1,0),IF(AF833&gt;=U833,1,0))))</f>
        <v/>
      </c>
      <c r="AH833" s="44">
        <f>IF(AF833&gt;0,(AD833-AE833)/AF833,"")</f>
        <v/>
      </c>
      <c r="AI833" s="45">
        <f>IF(AG833=1,AH833-O833,"")</f>
        <v/>
      </c>
      <c r="AJ833" s="44">
        <f>IF(AG833=1,AH833,MAX(-1,MIN(1,O833+INDEX(Types!$H:$H,MATCH($A833&amp;"|"&amp;$D833,Types!$A:$A,0)))))</f>
        <v/>
      </c>
      <c r="AK833" s="43">
        <f>IF(AG833=1,AF833,MAX(AQ833*AS833,AF833))</f>
        <v/>
      </c>
      <c r="AL833" s="43">
        <f>IF(AG833=1,AD833,AK833*(1+AJ833)/2)</f>
        <v/>
      </c>
      <c r="AM833" s="43">
        <f>IF(AG833=1,AE833,AK833*(1-AJ833)/2)</f>
        <v/>
      </c>
      <c r="AN833" s="45">
        <f>IF(AH833="","",AH833-T833)</f>
        <v/>
      </c>
      <c r="AO833" s="51">
        <f>IF(AG833=1,1,IF(U833&gt;0,MIN(AF833/U833,0.99),0))</f>
        <v/>
      </c>
      <c r="AP833" s="43">
        <f>IF(AG833=1,AI833*AF833,0)</f>
        <v/>
      </c>
      <c r="AQ833" s="43">
        <f>N833*(F833+G833)/H833</f>
        <v/>
      </c>
      <c r="AR833" s="43">
        <f>O833*AQ833</f>
        <v/>
      </c>
      <c r="AS833" s="52">
        <f>IF(AG833=1,IF(AQ833&gt;0,AF833/AQ833,1),IFERROR(INDEX(Types!$K:$K,MATCH($A833&amp;"|"&amp;$D833,Types!$A:$A,0)),INDEX(Dashboard!$X$6:$X$22,MATCH($A833,Dashboard!$A$6:$A$22,0))))</f>
        <v/>
      </c>
      <c r="AT833" s="43">
        <f>AQ833*INDEX(Dashboard!$Y$6:$Y$22,MATCH($A833,Dashboard!$A$6:$A$22,0))</f>
        <v/>
      </c>
      <c r="AU833" s="53">
        <f>IF(AND(AG833=1,AT833&gt;0,AF833&gt;0),100*AF833/AT833,"")</f>
        <v/>
      </c>
      <c r="AV833" s="44">
        <f>IF(AU833="","",T833/(AU833/100))</f>
        <v/>
      </c>
      <c r="AW833" s="53">
        <f>IF(AU833="","",IF(AND(ABS(AH833)&gt;=0.1,ABS(T833)&gt;=0.05,SIGN(AH833)=SIGN(T833)),100*T833/AH833,""))</f>
        <v/>
      </c>
      <c r="AX833" s="45">
        <f>IF(AU833="","",T833-AV833)</f>
        <v/>
      </c>
      <c r="AY833" s="45">
        <f>IF(AU833="","",AH833-AV833)</f>
        <v/>
      </c>
      <c r="AZ833" s="54">
        <f>(AL833-AM833)-T833*AT833</f>
        <v/>
      </c>
      <c r="BA833" s="43">
        <f>IF(AU833="",0,(AH833-T833)*AF833)</f>
        <v/>
      </c>
      <c r="BB833" s="43">
        <f>IF(AU833="",0,T833*(AF833-AT833))</f>
        <v/>
      </c>
      <c r="BC833" s="51" t="n">
        <v>0.004513217279174726</v>
      </c>
      <c r="BD833" s="51" t="n">
        <v>0.06163765312701483</v>
      </c>
      <c r="BE833" s="51" t="n">
        <v>0.1756007393715342</v>
      </c>
      <c r="BF833" s="43" t="n">
        <v>7755</v>
      </c>
    </row>
    <row r="834">
      <c r="A834" s="42" t="inlineStr">
        <is>
          <t>NE</t>
        </is>
      </c>
      <c r="B834" s="42" t="inlineStr">
        <is>
          <t>31123</t>
        </is>
      </c>
      <c r="C834" s="42" t="inlineStr">
        <is>
          <t>Morrill</t>
        </is>
      </c>
      <c r="D834" s="42" t="inlineStr">
        <is>
          <t>Small town &amp; rural</t>
        </is>
      </c>
      <c r="E834" s="42" t="inlineStr"/>
      <c r="F834" s="43" t="n">
        <v>366</v>
      </c>
      <c r="G834" s="43" t="n">
        <v>2026</v>
      </c>
      <c r="H834" s="43" t="n">
        <v>2426</v>
      </c>
      <c r="I834" s="43" t="n">
        <v>386</v>
      </c>
      <c r="J834" s="43" t="n">
        <v>2113</v>
      </c>
      <c r="K834" s="42" t="inlineStr">
        <is>
          <t>Governor</t>
        </is>
      </c>
      <c r="L834" s="43" t="n">
        <v>255</v>
      </c>
      <c r="M834" s="43" t="n">
        <v>1543</v>
      </c>
      <c r="N834" s="43" t="n">
        <v>1923</v>
      </c>
      <c r="O834" s="44">
        <f>IFERROR((F834-G834)/(F834+G834),"")</f>
        <v/>
      </c>
      <c r="P834" s="44">
        <f>IFERROR((I834-J834)/(I834+J834),"")</f>
        <v/>
      </c>
      <c r="Q834" s="45">
        <f>IFERROR(O834-P834,"")</f>
        <v/>
      </c>
      <c r="R834" s="44">
        <f>IFERROR((L834-M834)/(L834+M834),"")</f>
        <v/>
      </c>
      <c r="S834" s="46">
        <f>H834/SUMIFS(Counties!$H$2:$H$1583,Counties!$A$2:$A$1583,$A834)</f>
        <v/>
      </c>
      <c r="T834" s="44">
        <f>O834+INDEX(Dashboard!$F$6:$F$22,MATCH($A834,Dashboard!$A$6:$A$22,0))</f>
        <v/>
      </c>
      <c r="U834" s="43">
        <f>AQ834*INDEX(Dashboard!$G$6:$G$22,MATCH($A834,Dashboard!$A$6:$A$22,0))</f>
        <v/>
      </c>
      <c r="V834" s="47" t="n"/>
      <c r="W834" s="47" t="n"/>
      <c r="X834" s="47" t="n"/>
      <c r="Y834" s="48" t="n"/>
      <c r="Z834" s="49" t="n"/>
      <c r="AA834" s="49" t="n"/>
      <c r="AB834" s="49" t="n"/>
      <c r="AC834" s="50" t="n"/>
      <c r="AD834" s="43">
        <f>IF(Z834&lt;&gt;"",Z834,N(V834))</f>
        <v/>
      </c>
      <c r="AE834" s="43">
        <f>IF(AA834&lt;&gt;"",AA834,N(W834))</f>
        <v/>
      </c>
      <c r="AF834" s="43">
        <f>AD834+AE834</f>
        <v/>
      </c>
      <c r="AG834" s="42">
        <f>IF(UPPER(AC834)="Y",1,IF(AF834=0,0,IF(AND(Z834="",Y834&lt;&gt;""),IF(Y834&gt;=0.999,1,0),IF(AF834&gt;=U834,1,0))))</f>
        <v/>
      </c>
      <c r="AH834" s="44">
        <f>IF(AF834&gt;0,(AD834-AE834)/AF834,"")</f>
        <v/>
      </c>
      <c r="AI834" s="45">
        <f>IF(AG834=1,AH834-O834,"")</f>
        <v/>
      </c>
      <c r="AJ834" s="44">
        <f>IF(AG834=1,AH834,MAX(-1,MIN(1,O834+INDEX(Types!$H:$H,MATCH($A834&amp;"|"&amp;$D834,Types!$A:$A,0)))))</f>
        <v/>
      </c>
      <c r="AK834" s="43">
        <f>IF(AG834=1,AF834,MAX(AQ834*AS834,AF834))</f>
        <v/>
      </c>
      <c r="AL834" s="43">
        <f>IF(AG834=1,AD834,AK834*(1+AJ834)/2)</f>
        <v/>
      </c>
      <c r="AM834" s="43">
        <f>IF(AG834=1,AE834,AK834*(1-AJ834)/2)</f>
        <v/>
      </c>
      <c r="AN834" s="45">
        <f>IF(AH834="","",AH834-T834)</f>
        <v/>
      </c>
      <c r="AO834" s="51">
        <f>IF(AG834=1,1,IF(U834&gt;0,MIN(AF834/U834,0.99),0))</f>
        <v/>
      </c>
      <c r="AP834" s="43">
        <f>IF(AG834=1,AI834*AF834,0)</f>
        <v/>
      </c>
      <c r="AQ834" s="43">
        <f>N834*(F834+G834)/H834</f>
        <v/>
      </c>
      <c r="AR834" s="43">
        <f>O834*AQ834</f>
        <v/>
      </c>
      <c r="AS834" s="52">
        <f>IF(AG834=1,IF(AQ834&gt;0,AF834/AQ834,1),IFERROR(INDEX(Types!$K:$K,MATCH($A834&amp;"|"&amp;$D834,Types!$A:$A,0)),INDEX(Dashboard!$X$6:$X$22,MATCH($A834,Dashboard!$A$6:$A$22,0))))</f>
        <v/>
      </c>
      <c r="AT834" s="43">
        <f>AQ834*INDEX(Dashboard!$Y$6:$Y$22,MATCH($A834,Dashboard!$A$6:$A$22,0))</f>
        <v/>
      </c>
      <c r="AU834" s="53">
        <f>IF(AND(AG834=1,AT834&gt;0,AF834&gt;0),100*AF834/AT834,"")</f>
        <v/>
      </c>
      <c r="AV834" s="44">
        <f>IF(AU834="","",T834/(AU834/100))</f>
        <v/>
      </c>
      <c r="AW834" s="53">
        <f>IF(AU834="","",IF(AND(ABS(AH834)&gt;=0.1,ABS(T834)&gt;=0.05,SIGN(AH834)=SIGN(T834)),100*T834/AH834,""))</f>
        <v/>
      </c>
      <c r="AX834" s="45">
        <f>IF(AU834="","",T834-AV834)</f>
        <v/>
      </c>
      <c r="AY834" s="45">
        <f>IF(AU834="","",AH834-AV834)</f>
        <v/>
      </c>
      <c r="AZ834" s="54">
        <f>(AL834-AM834)-T834*AT834</f>
        <v/>
      </c>
      <c r="BA834" s="43">
        <f>IF(AU834="",0,(AH834-T834)*AF834)</f>
        <v/>
      </c>
      <c r="BB834" s="43">
        <f>IF(AU834="",0,T834*(AF834-AT834))</f>
        <v/>
      </c>
      <c r="BC834" s="51" t="n">
        <v>0.005328596802841918</v>
      </c>
      <c r="BD834" s="51" t="n">
        <v>0.1485346358792185</v>
      </c>
      <c r="BE834" s="51" t="n">
        <v>0.2181644966656081</v>
      </c>
      <c r="BF834" s="43" t="n">
        <v>4504</v>
      </c>
    </row>
    <row r="835">
      <c r="A835" s="42" t="inlineStr">
        <is>
          <t>NE</t>
        </is>
      </c>
      <c r="B835" s="42" t="inlineStr">
        <is>
          <t>31125</t>
        </is>
      </c>
      <c r="C835" s="42" t="inlineStr">
        <is>
          <t>Nance</t>
        </is>
      </c>
      <c r="D835" s="42" t="inlineStr">
        <is>
          <t>Small town &amp; rural</t>
        </is>
      </c>
      <c r="E835" s="42" t="inlineStr"/>
      <c r="F835" s="43" t="n">
        <v>352</v>
      </c>
      <c r="G835" s="43" t="n">
        <v>1462</v>
      </c>
      <c r="H835" s="43" t="n">
        <v>1837</v>
      </c>
      <c r="I835" s="43" t="n">
        <v>359</v>
      </c>
      <c r="J835" s="43" t="n">
        <v>1437</v>
      </c>
      <c r="K835" s="42" t="inlineStr">
        <is>
          <t>Governor</t>
        </is>
      </c>
      <c r="L835" s="43" t="n">
        <v>260</v>
      </c>
      <c r="M835" s="43" t="n">
        <v>923</v>
      </c>
      <c r="N835" s="43" t="n">
        <v>1251</v>
      </c>
      <c r="O835" s="44">
        <f>IFERROR((F835-G835)/(F835+G835),"")</f>
        <v/>
      </c>
      <c r="P835" s="44">
        <f>IFERROR((I835-J835)/(I835+J835),"")</f>
        <v/>
      </c>
      <c r="Q835" s="45">
        <f>IFERROR(O835-P835,"")</f>
        <v/>
      </c>
      <c r="R835" s="44">
        <f>IFERROR((L835-M835)/(L835+M835),"")</f>
        <v/>
      </c>
      <c r="S835" s="46">
        <f>H835/SUMIFS(Counties!$H$2:$H$1583,Counties!$A$2:$A$1583,$A835)</f>
        <v/>
      </c>
      <c r="T835" s="44">
        <f>O835+INDEX(Dashboard!$F$6:$F$22,MATCH($A835,Dashboard!$A$6:$A$22,0))</f>
        <v/>
      </c>
      <c r="U835" s="43">
        <f>AQ835*INDEX(Dashboard!$G$6:$G$22,MATCH($A835,Dashboard!$A$6:$A$22,0))</f>
        <v/>
      </c>
      <c r="V835" s="47" t="n"/>
      <c r="W835" s="47" t="n"/>
      <c r="X835" s="47" t="n"/>
      <c r="Y835" s="48" t="n"/>
      <c r="Z835" s="49" t="n"/>
      <c r="AA835" s="49" t="n"/>
      <c r="AB835" s="49" t="n"/>
      <c r="AC835" s="50" t="n"/>
      <c r="AD835" s="43">
        <f>IF(Z835&lt;&gt;"",Z835,N(V835))</f>
        <v/>
      </c>
      <c r="AE835" s="43">
        <f>IF(AA835&lt;&gt;"",AA835,N(W835))</f>
        <v/>
      </c>
      <c r="AF835" s="43">
        <f>AD835+AE835</f>
        <v/>
      </c>
      <c r="AG835" s="42">
        <f>IF(UPPER(AC835)="Y",1,IF(AF835=0,0,IF(AND(Z835="",Y835&lt;&gt;""),IF(Y835&gt;=0.999,1,0),IF(AF835&gt;=U835,1,0))))</f>
        <v/>
      </c>
      <c r="AH835" s="44">
        <f>IF(AF835&gt;0,(AD835-AE835)/AF835,"")</f>
        <v/>
      </c>
      <c r="AI835" s="45">
        <f>IF(AG835=1,AH835-O835,"")</f>
        <v/>
      </c>
      <c r="AJ835" s="44">
        <f>IF(AG835=1,AH835,MAX(-1,MIN(1,O835+INDEX(Types!$H:$H,MATCH($A835&amp;"|"&amp;$D835,Types!$A:$A,0)))))</f>
        <v/>
      </c>
      <c r="AK835" s="43">
        <f>IF(AG835=1,AF835,MAX(AQ835*AS835,AF835))</f>
        <v/>
      </c>
      <c r="AL835" s="43">
        <f>IF(AG835=1,AD835,AK835*(1+AJ835)/2)</f>
        <v/>
      </c>
      <c r="AM835" s="43">
        <f>IF(AG835=1,AE835,AK835*(1-AJ835)/2)</f>
        <v/>
      </c>
      <c r="AN835" s="45">
        <f>IF(AH835="","",AH835-T835)</f>
        <v/>
      </c>
      <c r="AO835" s="51">
        <f>IF(AG835=1,1,IF(U835&gt;0,MIN(AF835/U835,0.99),0))</f>
        <v/>
      </c>
      <c r="AP835" s="43">
        <f>IF(AG835=1,AI835*AF835,0)</f>
        <v/>
      </c>
      <c r="AQ835" s="43">
        <f>N835*(F835+G835)/H835</f>
        <v/>
      </c>
      <c r="AR835" s="43">
        <f>O835*AQ835</f>
        <v/>
      </c>
      <c r="AS835" s="52">
        <f>IF(AG835=1,IF(AQ835&gt;0,AF835/AQ835,1),IFERROR(INDEX(Types!$K:$K,MATCH($A835&amp;"|"&amp;$D835,Types!$A:$A,0)),INDEX(Dashboard!$X$6:$X$22,MATCH($A835,Dashboard!$A$6:$A$22,0))))</f>
        <v/>
      </c>
      <c r="AT835" s="43">
        <f>AQ835*INDEX(Dashboard!$Y$6:$Y$22,MATCH($A835,Dashboard!$A$6:$A$22,0))</f>
        <v/>
      </c>
      <c r="AU835" s="53">
        <f>IF(AND(AG835=1,AT835&gt;0,AF835&gt;0),100*AF835/AT835,"")</f>
        <v/>
      </c>
      <c r="AV835" s="44">
        <f>IF(AU835="","",T835/(AU835/100))</f>
        <v/>
      </c>
      <c r="AW835" s="53">
        <f>IF(AU835="","",IF(AND(ABS(AH835)&gt;=0.1,ABS(T835)&gt;=0.05,SIGN(AH835)=SIGN(T835)),100*T835/AH835,""))</f>
        <v/>
      </c>
      <c r="AX835" s="45">
        <f>IF(AU835="","",T835-AV835)</f>
        <v/>
      </c>
      <c r="AY835" s="45">
        <f>IF(AU835="","",AH835-AV835)</f>
        <v/>
      </c>
      <c r="AZ835" s="54">
        <f>(AL835-AM835)-T835*AT835</f>
        <v/>
      </c>
      <c r="BA835" s="43">
        <f>IF(AU835="",0,(AH835-T835)*AF835)</f>
        <v/>
      </c>
      <c r="BB835" s="43">
        <f>IF(AU835="",0,T835*(AF835-AT835))</f>
        <v/>
      </c>
      <c r="BC835" s="51" t="n">
        <v>0.007635919364691508</v>
      </c>
      <c r="BD835" s="51" t="n">
        <v>0.02779474648747709</v>
      </c>
      <c r="BE835" s="51" t="n">
        <v>0.1840068787618229</v>
      </c>
      <c r="BF835" s="43" t="n">
        <v>3274</v>
      </c>
    </row>
    <row r="836">
      <c r="A836" s="42" t="inlineStr">
        <is>
          <t>NE</t>
        </is>
      </c>
      <c r="B836" s="42" t="inlineStr">
        <is>
          <t>31127</t>
        </is>
      </c>
      <c r="C836" s="42" t="inlineStr">
        <is>
          <t>Nemaha</t>
        </is>
      </c>
      <c r="D836" s="42" t="inlineStr">
        <is>
          <t>Small town &amp; rural</t>
        </is>
      </c>
      <c r="E836" s="42" t="inlineStr"/>
      <c r="F836" s="43" t="n">
        <v>915</v>
      </c>
      <c r="G836" s="43" t="n">
        <v>2443</v>
      </c>
      <c r="H836" s="43" t="n">
        <v>3418</v>
      </c>
      <c r="I836" s="43" t="n">
        <v>921</v>
      </c>
      <c r="J836" s="43" t="n">
        <v>2428</v>
      </c>
      <c r="K836" s="42" t="inlineStr">
        <is>
          <t>Governor</t>
        </is>
      </c>
      <c r="L836" s="43" t="n">
        <v>571</v>
      </c>
      <c r="M836" s="43" t="n">
        <v>1655</v>
      </c>
      <c r="N836" s="43" t="n">
        <v>2335</v>
      </c>
      <c r="O836" s="44">
        <f>IFERROR((F836-G836)/(F836+G836),"")</f>
        <v/>
      </c>
      <c r="P836" s="44">
        <f>IFERROR((I836-J836)/(I836+J836),"")</f>
        <v/>
      </c>
      <c r="Q836" s="45">
        <f>IFERROR(O836-P836,"")</f>
        <v/>
      </c>
      <c r="R836" s="44">
        <f>IFERROR((L836-M836)/(L836+M836),"")</f>
        <v/>
      </c>
      <c r="S836" s="46">
        <f>H836/SUMIFS(Counties!$H$2:$H$1583,Counties!$A$2:$A$1583,$A836)</f>
        <v/>
      </c>
      <c r="T836" s="44">
        <f>O836+INDEX(Dashboard!$F$6:$F$22,MATCH($A836,Dashboard!$A$6:$A$22,0))</f>
        <v/>
      </c>
      <c r="U836" s="43">
        <f>AQ836*INDEX(Dashboard!$G$6:$G$22,MATCH($A836,Dashboard!$A$6:$A$22,0))</f>
        <v/>
      </c>
      <c r="V836" s="47" t="n"/>
      <c r="W836" s="47" t="n"/>
      <c r="X836" s="47" t="n"/>
      <c r="Y836" s="48" t="n"/>
      <c r="Z836" s="49" t="n"/>
      <c r="AA836" s="49" t="n"/>
      <c r="AB836" s="49" t="n"/>
      <c r="AC836" s="50" t="n"/>
      <c r="AD836" s="43">
        <f>IF(Z836&lt;&gt;"",Z836,N(V836))</f>
        <v/>
      </c>
      <c r="AE836" s="43">
        <f>IF(AA836&lt;&gt;"",AA836,N(W836))</f>
        <v/>
      </c>
      <c r="AF836" s="43">
        <f>AD836+AE836</f>
        <v/>
      </c>
      <c r="AG836" s="42">
        <f>IF(UPPER(AC836)="Y",1,IF(AF836=0,0,IF(AND(Z836="",Y836&lt;&gt;""),IF(Y836&gt;=0.999,1,0),IF(AF836&gt;=U836,1,0))))</f>
        <v/>
      </c>
      <c r="AH836" s="44">
        <f>IF(AF836&gt;0,(AD836-AE836)/AF836,"")</f>
        <v/>
      </c>
      <c r="AI836" s="45">
        <f>IF(AG836=1,AH836-O836,"")</f>
        <v/>
      </c>
      <c r="AJ836" s="44">
        <f>IF(AG836=1,AH836,MAX(-1,MIN(1,O836+INDEX(Types!$H:$H,MATCH($A836&amp;"|"&amp;$D836,Types!$A:$A,0)))))</f>
        <v/>
      </c>
      <c r="AK836" s="43">
        <f>IF(AG836=1,AF836,MAX(AQ836*AS836,AF836))</f>
        <v/>
      </c>
      <c r="AL836" s="43">
        <f>IF(AG836=1,AD836,AK836*(1+AJ836)/2)</f>
        <v/>
      </c>
      <c r="AM836" s="43">
        <f>IF(AG836=1,AE836,AK836*(1-AJ836)/2)</f>
        <v/>
      </c>
      <c r="AN836" s="45">
        <f>IF(AH836="","",AH836-T836)</f>
        <v/>
      </c>
      <c r="AO836" s="51">
        <f>IF(AG836=1,1,IF(U836&gt;0,MIN(AF836/U836,0.99),0))</f>
        <v/>
      </c>
      <c r="AP836" s="43">
        <f>IF(AG836=1,AI836*AF836,0)</f>
        <v/>
      </c>
      <c r="AQ836" s="43">
        <f>N836*(F836+G836)/H836</f>
        <v/>
      </c>
      <c r="AR836" s="43">
        <f>O836*AQ836</f>
        <v/>
      </c>
      <c r="AS836" s="52">
        <f>IF(AG836=1,IF(AQ836&gt;0,AF836/AQ836,1),IFERROR(INDEX(Types!$K:$K,MATCH($A836&amp;"|"&amp;$D836,Types!$A:$A,0)),INDEX(Dashboard!$X$6:$X$22,MATCH($A836,Dashboard!$A$6:$A$22,0))))</f>
        <v/>
      </c>
      <c r="AT836" s="43">
        <f>AQ836*INDEX(Dashboard!$Y$6:$Y$22,MATCH($A836,Dashboard!$A$6:$A$22,0))</f>
        <v/>
      </c>
      <c r="AU836" s="53">
        <f>IF(AND(AG836=1,AT836&gt;0,AF836&gt;0),100*AF836/AT836,"")</f>
        <v/>
      </c>
      <c r="AV836" s="44">
        <f>IF(AU836="","",T836/(AU836/100))</f>
        <v/>
      </c>
      <c r="AW836" s="53">
        <f>IF(AU836="","",IF(AND(ABS(AH836)&gt;=0.1,ABS(T836)&gt;=0.05,SIGN(AH836)=SIGN(T836)),100*T836/AH836,""))</f>
        <v/>
      </c>
      <c r="AX836" s="45">
        <f>IF(AU836="","",T836-AV836)</f>
        <v/>
      </c>
      <c r="AY836" s="45">
        <f>IF(AU836="","",AH836-AV836)</f>
        <v/>
      </c>
      <c r="AZ836" s="54">
        <f>(AL836-AM836)-T836*AT836</f>
        <v/>
      </c>
      <c r="BA836" s="43">
        <f>IF(AU836="",0,(AH836-T836)*AF836)</f>
        <v/>
      </c>
      <c r="BB836" s="43">
        <f>IF(AU836="",0,T836*(AF836-AT836))</f>
        <v/>
      </c>
      <c r="BC836" s="51" t="n">
        <v>0.0146975692481628</v>
      </c>
      <c r="BD836" s="51" t="n">
        <v>0.03335217637083098</v>
      </c>
      <c r="BE836" s="51" t="n">
        <v>0.291621563108898</v>
      </c>
      <c r="BF836" s="43" t="n">
        <v>7076</v>
      </c>
    </row>
    <row r="837">
      <c r="A837" s="42" t="inlineStr">
        <is>
          <t>NE</t>
        </is>
      </c>
      <c r="B837" s="42" t="inlineStr">
        <is>
          <t>31129</t>
        </is>
      </c>
      <c r="C837" s="42" t="inlineStr">
        <is>
          <t>Nuckolls</t>
        </is>
      </c>
      <c r="D837" s="42" t="inlineStr">
        <is>
          <t>Small town &amp; rural</t>
        </is>
      </c>
      <c r="E837" s="42" t="inlineStr"/>
      <c r="F837" s="43" t="n">
        <v>399</v>
      </c>
      <c r="G837" s="43" t="n">
        <v>1836</v>
      </c>
      <c r="H837" s="43" t="n">
        <v>2258</v>
      </c>
      <c r="I837" s="43" t="n">
        <v>409</v>
      </c>
      <c r="J837" s="43" t="n">
        <v>1857</v>
      </c>
      <c r="K837" s="42" t="inlineStr">
        <is>
          <t>Governor</t>
        </is>
      </c>
      <c r="L837" s="43" t="n">
        <v>234</v>
      </c>
      <c r="M837" s="43" t="n">
        <v>1276</v>
      </c>
      <c r="N837" s="43" t="n">
        <v>1558</v>
      </c>
      <c r="O837" s="44">
        <f>IFERROR((F837-G837)/(F837+G837),"")</f>
        <v/>
      </c>
      <c r="P837" s="44">
        <f>IFERROR((I837-J837)/(I837+J837),"")</f>
        <v/>
      </c>
      <c r="Q837" s="45">
        <f>IFERROR(O837-P837,"")</f>
        <v/>
      </c>
      <c r="R837" s="44">
        <f>IFERROR((L837-M837)/(L837+M837),"")</f>
        <v/>
      </c>
      <c r="S837" s="46">
        <f>H837/SUMIFS(Counties!$H$2:$H$1583,Counties!$A$2:$A$1583,$A837)</f>
        <v/>
      </c>
      <c r="T837" s="44">
        <f>O837+INDEX(Dashboard!$F$6:$F$22,MATCH($A837,Dashboard!$A$6:$A$22,0))</f>
        <v/>
      </c>
      <c r="U837" s="43">
        <f>AQ837*INDEX(Dashboard!$G$6:$G$22,MATCH($A837,Dashboard!$A$6:$A$22,0))</f>
        <v/>
      </c>
      <c r="V837" s="47" t="n"/>
      <c r="W837" s="47" t="n"/>
      <c r="X837" s="47" t="n"/>
      <c r="Y837" s="48" t="n"/>
      <c r="Z837" s="49" t="n"/>
      <c r="AA837" s="49" t="n"/>
      <c r="AB837" s="49" t="n"/>
      <c r="AC837" s="50" t="n"/>
      <c r="AD837" s="43">
        <f>IF(Z837&lt;&gt;"",Z837,N(V837))</f>
        <v/>
      </c>
      <c r="AE837" s="43">
        <f>IF(AA837&lt;&gt;"",AA837,N(W837))</f>
        <v/>
      </c>
      <c r="AF837" s="43">
        <f>AD837+AE837</f>
        <v/>
      </c>
      <c r="AG837" s="42">
        <f>IF(UPPER(AC837)="Y",1,IF(AF837=0,0,IF(AND(Z837="",Y837&lt;&gt;""),IF(Y837&gt;=0.999,1,0),IF(AF837&gt;=U837,1,0))))</f>
        <v/>
      </c>
      <c r="AH837" s="44">
        <f>IF(AF837&gt;0,(AD837-AE837)/AF837,"")</f>
        <v/>
      </c>
      <c r="AI837" s="45">
        <f>IF(AG837=1,AH837-O837,"")</f>
        <v/>
      </c>
      <c r="AJ837" s="44">
        <f>IF(AG837=1,AH837,MAX(-1,MIN(1,O837+INDEX(Types!$H:$H,MATCH($A837&amp;"|"&amp;$D837,Types!$A:$A,0)))))</f>
        <v/>
      </c>
      <c r="AK837" s="43">
        <f>IF(AG837=1,AF837,MAX(AQ837*AS837,AF837))</f>
        <v/>
      </c>
      <c r="AL837" s="43">
        <f>IF(AG837=1,AD837,AK837*(1+AJ837)/2)</f>
        <v/>
      </c>
      <c r="AM837" s="43">
        <f>IF(AG837=1,AE837,AK837*(1-AJ837)/2)</f>
        <v/>
      </c>
      <c r="AN837" s="45">
        <f>IF(AH837="","",AH837-T837)</f>
        <v/>
      </c>
      <c r="AO837" s="51">
        <f>IF(AG837=1,1,IF(U837&gt;0,MIN(AF837/U837,0.99),0))</f>
        <v/>
      </c>
      <c r="AP837" s="43">
        <f>IF(AG837=1,AI837*AF837,0)</f>
        <v/>
      </c>
      <c r="AQ837" s="43">
        <f>N837*(F837+G837)/H837</f>
        <v/>
      </c>
      <c r="AR837" s="43">
        <f>O837*AQ837</f>
        <v/>
      </c>
      <c r="AS837" s="52">
        <f>IF(AG837=1,IF(AQ837&gt;0,AF837/AQ837,1),IFERROR(INDEX(Types!$K:$K,MATCH($A837&amp;"|"&amp;$D837,Types!$A:$A,0)),INDEX(Dashboard!$X$6:$X$22,MATCH($A837,Dashboard!$A$6:$A$22,0))))</f>
        <v/>
      </c>
      <c r="AT837" s="43">
        <f>AQ837*INDEX(Dashboard!$Y$6:$Y$22,MATCH($A837,Dashboard!$A$6:$A$22,0))</f>
        <v/>
      </c>
      <c r="AU837" s="53">
        <f>IF(AND(AG837=1,AT837&gt;0,AF837&gt;0),100*AF837/AT837,"")</f>
        <v/>
      </c>
      <c r="AV837" s="44">
        <f>IF(AU837="","",T837/(AU837/100))</f>
        <v/>
      </c>
      <c r="AW837" s="53">
        <f>IF(AU837="","",IF(AND(ABS(AH837)&gt;=0.1,ABS(T837)&gt;=0.05,SIGN(AH837)=SIGN(T837)),100*T837/AH837,""))</f>
        <v/>
      </c>
      <c r="AX837" s="45">
        <f>IF(AU837="","",T837-AV837)</f>
        <v/>
      </c>
      <c r="AY837" s="45">
        <f>IF(AU837="","",AH837-AV837)</f>
        <v/>
      </c>
      <c r="AZ837" s="54">
        <f>(AL837-AM837)-T837*AT837</f>
        <v/>
      </c>
      <c r="BA837" s="43">
        <f>IF(AU837="",0,(AH837-T837)*AF837)</f>
        <v/>
      </c>
      <c r="BB837" s="43">
        <f>IF(AU837="",0,T837*(AF837-AT837))</f>
        <v/>
      </c>
      <c r="BC837" s="51" t="n">
        <v>0.00293040293040293</v>
      </c>
      <c r="BD837" s="51" t="n">
        <v>0.03931623931623932</v>
      </c>
      <c r="BE837" s="51" t="n">
        <v>0.2664941785252264</v>
      </c>
      <c r="BF837" s="43" t="n">
        <v>4095</v>
      </c>
    </row>
    <row r="838">
      <c r="A838" s="42" t="inlineStr">
        <is>
          <t>NE</t>
        </is>
      </c>
      <c r="B838" s="42" t="inlineStr">
        <is>
          <t>31131</t>
        </is>
      </c>
      <c r="C838" s="42" t="inlineStr">
        <is>
          <t>Otoe</t>
        </is>
      </c>
      <c r="D838" s="42" t="inlineStr">
        <is>
          <t>Small town &amp; rural</t>
        </is>
      </c>
      <c r="E838" s="42" t="inlineStr"/>
      <c r="F838" s="43" t="n">
        <v>2463</v>
      </c>
      <c r="G838" s="43" t="n">
        <v>5651</v>
      </c>
      <c r="H838" s="43" t="n">
        <v>8198</v>
      </c>
      <c r="I838" s="43" t="n">
        <v>2490</v>
      </c>
      <c r="J838" s="43" t="n">
        <v>5649</v>
      </c>
      <c r="K838" s="42" t="inlineStr">
        <is>
          <t>Governor</t>
        </is>
      </c>
      <c r="L838" s="43" t="n">
        <v>1593</v>
      </c>
      <c r="M838" s="43" t="n">
        <v>3920</v>
      </c>
      <c r="N838" s="43" t="n">
        <v>5751</v>
      </c>
      <c r="O838" s="44">
        <f>IFERROR((F838-G838)/(F838+G838),"")</f>
        <v/>
      </c>
      <c r="P838" s="44">
        <f>IFERROR((I838-J838)/(I838+J838),"")</f>
        <v/>
      </c>
      <c r="Q838" s="45">
        <f>IFERROR(O838-P838,"")</f>
        <v/>
      </c>
      <c r="R838" s="44">
        <f>IFERROR((L838-M838)/(L838+M838),"")</f>
        <v/>
      </c>
      <c r="S838" s="46">
        <f>H838/SUMIFS(Counties!$H$2:$H$1583,Counties!$A$2:$A$1583,$A838)</f>
        <v/>
      </c>
      <c r="T838" s="44">
        <f>O838+INDEX(Dashboard!$F$6:$F$22,MATCH($A838,Dashboard!$A$6:$A$22,0))</f>
        <v/>
      </c>
      <c r="U838" s="43">
        <f>AQ838*INDEX(Dashboard!$G$6:$G$22,MATCH($A838,Dashboard!$A$6:$A$22,0))</f>
        <v/>
      </c>
      <c r="V838" s="47" t="n"/>
      <c r="W838" s="47" t="n"/>
      <c r="X838" s="47" t="n"/>
      <c r="Y838" s="48" t="n"/>
      <c r="Z838" s="49" t="n"/>
      <c r="AA838" s="49" t="n"/>
      <c r="AB838" s="49" t="n"/>
      <c r="AC838" s="50" t="n"/>
      <c r="AD838" s="43">
        <f>IF(Z838&lt;&gt;"",Z838,N(V838))</f>
        <v/>
      </c>
      <c r="AE838" s="43">
        <f>IF(AA838&lt;&gt;"",AA838,N(W838))</f>
        <v/>
      </c>
      <c r="AF838" s="43">
        <f>AD838+AE838</f>
        <v/>
      </c>
      <c r="AG838" s="42">
        <f>IF(UPPER(AC838)="Y",1,IF(AF838=0,0,IF(AND(Z838="",Y838&lt;&gt;""),IF(Y838&gt;=0.999,1,0),IF(AF838&gt;=U838,1,0))))</f>
        <v/>
      </c>
      <c r="AH838" s="44">
        <f>IF(AF838&gt;0,(AD838-AE838)/AF838,"")</f>
        <v/>
      </c>
      <c r="AI838" s="45">
        <f>IF(AG838=1,AH838-O838,"")</f>
        <v/>
      </c>
      <c r="AJ838" s="44">
        <f>IF(AG838=1,AH838,MAX(-1,MIN(1,O838+INDEX(Types!$H:$H,MATCH($A838&amp;"|"&amp;$D838,Types!$A:$A,0)))))</f>
        <v/>
      </c>
      <c r="AK838" s="43">
        <f>IF(AG838=1,AF838,MAX(AQ838*AS838,AF838))</f>
        <v/>
      </c>
      <c r="AL838" s="43">
        <f>IF(AG838=1,AD838,AK838*(1+AJ838)/2)</f>
        <v/>
      </c>
      <c r="AM838" s="43">
        <f>IF(AG838=1,AE838,AK838*(1-AJ838)/2)</f>
        <v/>
      </c>
      <c r="AN838" s="45">
        <f>IF(AH838="","",AH838-T838)</f>
        <v/>
      </c>
      <c r="AO838" s="51">
        <f>IF(AG838=1,1,IF(U838&gt;0,MIN(AF838/U838,0.99),0))</f>
        <v/>
      </c>
      <c r="AP838" s="43">
        <f>IF(AG838=1,AI838*AF838,0)</f>
        <v/>
      </c>
      <c r="AQ838" s="43">
        <f>N838*(F838+G838)/H838</f>
        <v/>
      </c>
      <c r="AR838" s="43">
        <f>O838*AQ838</f>
        <v/>
      </c>
      <c r="AS838" s="52">
        <f>IF(AG838=1,IF(AQ838&gt;0,AF838/AQ838,1),IFERROR(INDEX(Types!$K:$K,MATCH($A838&amp;"|"&amp;$D838,Types!$A:$A,0)),INDEX(Dashboard!$X$6:$X$22,MATCH($A838,Dashboard!$A$6:$A$22,0))))</f>
        <v/>
      </c>
      <c r="AT838" s="43">
        <f>AQ838*INDEX(Dashboard!$Y$6:$Y$22,MATCH($A838,Dashboard!$A$6:$A$22,0))</f>
        <v/>
      </c>
      <c r="AU838" s="53">
        <f>IF(AND(AG838=1,AT838&gt;0,AF838&gt;0),100*AF838/AT838,"")</f>
        <v/>
      </c>
      <c r="AV838" s="44">
        <f>IF(AU838="","",T838/(AU838/100))</f>
        <v/>
      </c>
      <c r="AW838" s="53">
        <f>IF(AU838="","",IF(AND(ABS(AH838)&gt;=0.1,ABS(T838)&gt;=0.05,SIGN(AH838)=SIGN(T838)),100*T838/AH838,""))</f>
        <v/>
      </c>
      <c r="AX838" s="45">
        <f>IF(AU838="","",T838-AV838)</f>
        <v/>
      </c>
      <c r="AY838" s="45">
        <f>IF(AU838="","",AH838-AV838)</f>
        <v/>
      </c>
      <c r="AZ838" s="54">
        <f>(AL838-AM838)-T838*AT838</f>
        <v/>
      </c>
      <c r="BA838" s="43">
        <f>IF(AU838="",0,(AH838-T838)*AF838)</f>
        <v/>
      </c>
      <c r="BB838" s="43">
        <f>IF(AU838="",0,T838*(AF838-AT838))</f>
        <v/>
      </c>
      <c r="BC838" s="51" t="n">
        <v>0.01040710131619223</v>
      </c>
      <c r="BD838" s="51" t="n">
        <v>0.09090909090909091</v>
      </c>
      <c r="BE838" s="51" t="n">
        <v>0.2718129926610492</v>
      </c>
      <c r="BF838" s="43" t="n">
        <v>16335</v>
      </c>
    </row>
    <row r="839">
      <c r="A839" s="42" t="inlineStr">
        <is>
          <t>NE</t>
        </is>
      </c>
      <c r="B839" s="42" t="inlineStr">
        <is>
          <t>31133</t>
        </is>
      </c>
      <c r="C839" s="42" t="inlineStr">
        <is>
          <t>Pawnee</t>
        </is>
      </c>
      <c r="D839" s="42" t="inlineStr">
        <is>
          <t>Small town &amp; rural</t>
        </is>
      </c>
      <c r="E839" s="42" t="inlineStr"/>
      <c r="F839" s="43" t="n">
        <v>284</v>
      </c>
      <c r="G839" s="43" t="n">
        <v>1085</v>
      </c>
      <c r="H839" s="43" t="n">
        <v>1379</v>
      </c>
      <c r="I839" s="43" t="n">
        <v>322</v>
      </c>
      <c r="J839" s="43" t="n">
        <v>1071</v>
      </c>
      <c r="K839" s="42" t="inlineStr">
        <is>
          <t>Governor</t>
        </is>
      </c>
      <c r="L839" s="43" t="n">
        <v>224</v>
      </c>
      <c r="M839" s="43" t="n">
        <v>817</v>
      </c>
      <c r="N839" s="43" t="n">
        <v>1081</v>
      </c>
      <c r="O839" s="44">
        <f>IFERROR((F839-G839)/(F839+G839),"")</f>
        <v/>
      </c>
      <c r="P839" s="44">
        <f>IFERROR((I839-J839)/(I839+J839),"")</f>
        <v/>
      </c>
      <c r="Q839" s="45">
        <f>IFERROR(O839-P839,"")</f>
        <v/>
      </c>
      <c r="R839" s="44">
        <f>IFERROR((L839-M839)/(L839+M839),"")</f>
        <v/>
      </c>
      <c r="S839" s="46">
        <f>H839/SUMIFS(Counties!$H$2:$H$1583,Counties!$A$2:$A$1583,$A839)</f>
        <v/>
      </c>
      <c r="T839" s="44">
        <f>O839+INDEX(Dashboard!$F$6:$F$22,MATCH($A839,Dashboard!$A$6:$A$22,0))</f>
        <v/>
      </c>
      <c r="U839" s="43">
        <f>AQ839*INDEX(Dashboard!$G$6:$G$22,MATCH($A839,Dashboard!$A$6:$A$22,0))</f>
        <v/>
      </c>
      <c r="V839" s="47" t="n"/>
      <c r="W839" s="47" t="n"/>
      <c r="X839" s="47" t="n"/>
      <c r="Y839" s="48" t="n"/>
      <c r="Z839" s="49" t="n"/>
      <c r="AA839" s="49" t="n"/>
      <c r="AB839" s="49" t="n"/>
      <c r="AC839" s="50" t="n"/>
      <c r="AD839" s="43">
        <f>IF(Z839&lt;&gt;"",Z839,N(V839))</f>
        <v/>
      </c>
      <c r="AE839" s="43">
        <f>IF(AA839&lt;&gt;"",AA839,N(W839))</f>
        <v/>
      </c>
      <c r="AF839" s="43">
        <f>AD839+AE839</f>
        <v/>
      </c>
      <c r="AG839" s="42">
        <f>IF(UPPER(AC839)="Y",1,IF(AF839=0,0,IF(AND(Z839="",Y839&lt;&gt;""),IF(Y839&gt;=0.999,1,0),IF(AF839&gt;=U839,1,0))))</f>
        <v/>
      </c>
      <c r="AH839" s="44">
        <f>IF(AF839&gt;0,(AD839-AE839)/AF839,"")</f>
        <v/>
      </c>
      <c r="AI839" s="45">
        <f>IF(AG839=1,AH839-O839,"")</f>
        <v/>
      </c>
      <c r="AJ839" s="44">
        <f>IF(AG839=1,AH839,MAX(-1,MIN(1,O839+INDEX(Types!$H:$H,MATCH($A839&amp;"|"&amp;$D839,Types!$A:$A,0)))))</f>
        <v/>
      </c>
      <c r="AK839" s="43">
        <f>IF(AG839=1,AF839,MAX(AQ839*AS839,AF839))</f>
        <v/>
      </c>
      <c r="AL839" s="43">
        <f>IF(AG839=1,AD839,AK839*(1+AJ839)/2)</f>
        <v/>
      </c>
      <c r="AM839" s="43">
        <f>IF(AG839=1,AE839,AK839*(1-AJ839)/2)</f>
        <v/>
      </c>
      <c r="AN839" s="45">
        <f>IF(AH839="","",AH839-T839)</f>
        <v/>
      </c>
      <c r="AO839" s="51">
        <f>IF(AG839=1,1,IF(U839&gt;0,MIN(AF839/U839,0.99),0))</f>
        <v/>
      </c>
      <c r="AP839" s="43">
        <f>IF(AG839=1,AI839*AF839,0)</f>
        <v/>
      </c>
      <c r="AQ839" s="43">
        <f>N839*(F839+G839)/H839</f>
        <v/>
      </c>
      <c r="AR839" s="43">
        <f>O839*AQ839</f>
        <v/>
      </c>
      <c r="AS839" s="52">
        <f>IF(AG839=1,IF(AQ839&gt;0,AF839/AQ839,1),IFERROR(INDEX(Types!$K:$K,MATCH($A839&amp;"|"&amp;$D839,Types!$A:$A,0)),INDEX(Dashboard!$X$6:$X$22,MATCH($A839,Dashboard!$A$6:$A$22,0))))</f>
        <v/>
      </c>
      <c r="AT839" s="43">
        <f>AQ839*INDEX(Dashboard!$Y$6:$Y$22,MATCH($A839,Dashboard!$A$6:$A$22,0))</f>
        <v/>
      </c>
      <c r="AU839" s="53">
        <f>IF(AND(AG839=1,AT839&gt;0,AF839&gt;0),100*AF839/AT839,"")</f>
        <v/>
      </c>
      <c r="AV839" s="44">
        <f>IF(AU839="","",T839/(AU839/100))</f>
        <v/>
      </c>
      <c r="AW839" s="53">
        <f>IF(AU839="","",IF(AND(ABS(AH839)&gt;=0.1,ABS(T839)&gt;=0.05,SIGN(AH839)=SIGN(T839)),100*T839/AH839,""))</f>
        <v/>
      </c>
      <c r="AX839" s="45">
        <f>IF(AU839="","",T839-AV839)</f>
        <v/>
      </c>
      <c r="AY839" s="45">
        <f>IF(AU839="","",AH839-AV839)</f>
        <v/>
      </c>
      <c r="AZ839" s="54">
        <f>(AL839-AM839)-T839*AT839</f>
        <v/>
      </c>
      <c r="BA839" s="43">
        <f>IF(AU839="",0,(AH839-T839)*AF839)</f>
        <v/>
      </c>
      <c r="BB839" s="43">
        <f>IF(AU839="",0,T839*(AF839-AT839))</f>
        <v/>
      </c>
      <c r="BC839" s="51" t="n">
        <v>0.008359872611464968</v>
      </c>
      <c r="BD839" s="51" t="n">
        <v>0.01950636942675159</v>
      </c>
      <c r="BE839" s="51" t="n">
        <v>0.2037564029595902</v>
      </c>
      <c r="BF839" s="43" t="n">
        <v>2512</v>
      </c>
    </row>
    <row r="840">
      <c r="A840" s="42" t="inlineStr">
        <is>
          <t>NE</t>
        </is>
      </c>
      <c r="B840" s="42" t="inlineStr">
        <is>
          <t>31135</t>
        </is>
      </c>
      <c r="C840" s="42" t="inlineStr">
        <is>
          <t>Perkins</t>
        </is>
      </c>
      <c r="D840" s="42" t="inlineStr">
        <is>
          <t>Small town &amp; rural</t>
        </is>
      </c>
      <c r="E840" s="42" t="inlineStr"/>
      <c r="F840" s="43" t="n">
        <v>187</v>
      </c>
      <c r="G840" s="43" t="n">
        <v>1224</v>
      </c>
      <c r="H840" s="43" t="n">
        <v>1426</v>
      </c>
      <c r="I840" s="43" t="n">
        <v>199</v>
      </c>
      <c r="J840" s="43" t="n">
        <v>1321</v>
      </c>
      <c r="K840" s="42" t="inlineStr">
        <is>
          <t>Governor</t>
        </is>
      </c>
      <c r="L840" s="43" t="n">
        <v>135</v>
      </c>
      <c r="M840" s="43" t="n">
        <v>918</v>
      </c>
      <c r="N840" s="43" t="n">
        <v>1098</v>
      </c>
      <c r="O840" s="44">
        <f>IFERROR((F840-G840)/(F840+G840),"")</f>
        <v/>
      </c>
      <c r="P840" s="44">
        <f>IFERROR((I840-J840)/(I840+J840),"")</f>
        <v/>
      </c>
      <c r="Q840" s="45">
        <f>IFERROR(O840-P840,"")</f>
        <v/>
      </c>
      <c r="R840" s="44">
        <f>IFERROR((L840-M840)/(L840+M840),"")</f>
        <v/>
      </c>
      <c r="S840" s="46">
        <f>H840/SUMIFS(Counties!$H$2:$H$1583,Counties!$A$2:$A$1583,$A840)</f>
        <v/>
      </c>
      <c r="T840" s="44">
        <f>O840+INDEX(Dashboard!$F$6:$F$22,MATCH($A840,Dashboard!$A$6:$A$22,0))</f>
        <v/>
      </c>
      <c r="U840" s="43">
        <f>AQ840*INDEX(Dashboard!$G$6:$G$22,MATCH($A840,Dashboard!$A$6:$A$22,0))</f>
        <v/>
      </c>
      <c r="V840" s="47" t="n"/>
      <c r="W840" s="47" t="n"/>
      <c r="X840" s="47" t="n"/>
      <c r="Y840" s="48" t="n"/>
      <c r="Z840" s="49" t="n"/>
      <c r="AA840" s="49" t="n"/>
      <c r="AB840" s="49" t="n"/>
      <c r="AC840" s="50" t="n"/>
      <c r="AD840" s="43">
        <f>IF(Z840&lt;&gt;"",Z840,N(V840))</f>
        <v/>
      </c>
      <c r="AE840" s="43">
        <f>IF(AA840&lt;&gt;"",AA840,N(W840))</f>
        <v/>
      </c>
      <c r="AF840" s="43">
        <f>AD840+AE840</f>
        <v/>
      </c>
      <c r="AG840" s="42">
        <f>IF(UPPER(AC840)="Y",1,IF(AF840=0,0,IF(AND(Z840="",Y840&lt;&gt;""),IF(Y840&gt;=0.999,1,0),IF(AF840&gt;=U840,1,0))))</f>
        <v/>
      </c>
      <c r="AH840" s="44">
        <f>IF(AF840&gt;0,(AD840-AE840)/AF840,"")</f>
        <v/>
      </c>
      <c r="AI840" s="45">
        <f>IF(AG840=1,AH840-O840,"")</f>
        <v/>
      </c>
      <c r="AJ840" s="44">
        <f>IF(AG840=1,AH840,MAX(-1,MIN(1,O840+INDEX(Types!$H:$H,MATCH($A840&amp;"|"&amp;$D840,Types!$A:$A,0)))))</f>
        <v/>
      </c>
      <c r="AK840" s="43">
        <f>IF(AG840=1,AF840,MAX(AQ840*AS840,AF840))</f>
        <v/>
      </c>
      <c r="AL840" s="43">
        <f>IF(AG840=1,AD840,AK840*(1+AJ840)/2)</f>
        <v/>
      </c>
      <c r="AM840" s="43">
        <f>IF(AG840=1,AE840,AK840*(1-AJ840)/2)</f>
        <v/>
      </c>
      <c r="AN840" s="45">
        <f>IF(AH840="","",AH840-T840)</f>
        <v/>
      </c>
      <c r="AO840" s="51">
        <f>IF(AG840=1,1,IF(U840&gt;0,MIN(AF840/U840,0.99),0))</f>
        <v/>
      </c>
      <c r="AP840" s="43">
        <f>IF(AG840=1,AI840*AF840,0)</f>
        <v/>
      </c>
      <c r="AQ840" s="43">
        <f>N840*(F840+G840)/H840</f>
        <v/>
      </c>
      <c r="AR840" s="43">
        <f>O840*AQ840</f>
        <v/>
      </c>
      <c r="AS840" s="52">
        <f>IF(AG840=1,IF(AQ840&gt;0,AF840/AQ840,1),IFERROR(INDEX(Types!$K:$K,MATCH($A840&amp;"|"&amp;$D840,Types!$A:$A,0)),INDEX(Dashboard!$X$6:$X$22,MATCH($A840,Dashboard!$A$6:$A$22,0))))</f>
        <v/>
      </c>
      <c r="AT840" s="43">
        <f>AQ840*INDEX(Dashboard!$Y$6:$Y$22,MATCH($A840,Dashboard!$A$6:$A$22,0))</f>
        <v/>
      </c>
      <c r="AU840" s="53">
        <f>IF(AND(AG840=1,AT840&gt;0,AF840&gt;0),100*AF840/AT840,"")</f>
        <v/>
      </c>
      <c r="AV840" s="44">
        <f>IF(AU840="","",T840/(AU840/100))</f>
        <v/>
      </c>
      <c r="AW840" s="53">
        <f>IF(AU840="","",IF(AND(ABS(AH840)&gt;=0.1,ABS(T840)&gt;=0.05,SIGN(AH840)=SIGN(T840)),100*T840/AH840,""))</f>
        <v/>
      </c>
      <c r="AX840" s="45">
        <f>IF(AU840="","",T840-AV840)</f>
        <v/>
      </c>
      <c r="AY840" s="45">
        <f>IF(AU840="","",AH840-AV840)</f>
        <v/>
      </c>
      <c r="AZ840" s="54">
        <f>(AL840-AM840)-T840*AT840</f>
        <v/>
      </c>
      <c r="BA840" s="43">
        <f>IF(AU840="",0,(AH840-T840)*AF840)</f>
        <v/>
      </c>
      <c r="BB840" s="43">
        <f>IF(AU840="",0,T840*(AF840-AT840))</f>
        <v/>
      </c>
      <c r="BC840" s="51" t="n">
        <v>0.007513416815742397</v>
      </c>
      <c r="BD840" s="51" t="n">
        <v>0.05760286225402504</v>
      </c>
      <c r="BE840" s="51" t="n">
        <v>0.2572151898734177</v>
      </c>
      <c r="BF840" s="43" t="n">
        <v>2795</v>
      </c>
    </row>
    <row r="841">
      <c r="A841" s="42" t="inlineStr">
        <is>
          <t>NE</t>
        </is>
      </c>
      <c r="B841" s="42" t="inlineStr">
        <is>
          <t>31137</t>
        </is>
      </c>
      <c r="C841" s="42" t="inlineStr">
        <is>
          <t>Phelps</t>
        </is>
      </c>
      <c r="D841" s="42" t="inlineStr">
        <is>
          <t>Small town &amp; rural</t>
        </is>
      </c>
      <c r="E841" s="42" t="inlineStr"/>
      <c r="F841" s="43" t="n">
        <v>758</v>
      </c>
      <c r="G841" s="43" t="n">
        <v>4158</v>
      </c>
      <c r="H841" s="43" t="n">
        <v>4965</v>
      </c>
      <c r="I841" s="43" t="n">
        <v>752</v>
      </c>
      <c r="J841" s="43" t="n">
        <v>4157</v>
      </c>
      <c r="K841" s="42" t="inlineStr">
        <is>
          <t>Governor</t>
        </is>
      </c>
      <c r="L841" s="43" t="n">
        <v>509</v>
      </c>
      <c r="M841" s="43" t="n">
        <v>3012</v>
      </c>
      <c r="N841" s="43" t="n">
        <v>3675</v>
      </c>
      <c r="O841" s="44">
        <f>IFERROR((F841-G841)/(F841+G841),"")</f>
        <v/>
      </c>
      <c r="P841" s="44">
        <f>IFERROR((I841-J841)/(I841+J841),"")</f>
        <v/>
      </c>
      <c r="Q841" s="45">
        <f>IFERROR(O841-P841,"")</f>
        <v/>
      </c>
      <c r="R841" s="44">
        <f>IFERROR((L841-M841)/(L841+M841),"")</f>
        <v/>
      </c>
      <c r="S841" s="46">
        <f>H841/SUMIFS(Counties!$H$2:$H$1583,Counties!$A$2:$A$1583,$A841)</f>
        <v/>
      </c>
      <c r="T841" s="44">
        <f>O841+INDEX(Dashboard!$F$6:$F$22,MATCH($A841,Dashboard!$A$6:$A$22,0))</f>
        <v/>
      </c>
      <c r="U841" s="43">
        <f>AQ841*INDEX(Dashboard!$G$6:$G$22,MATCH($A841,Dashboard!$A$6:$A$22,0))</f>
        <v/>
      </c>
      <c r="V841" s="47" t="n"/>
      <c r="W841" s="47" t="n"/>
      <c r="X841" s="47" t="n"/>
      <c r="Y841" s="48" t="n"/>
      <c r="Z841" s="49" t="n"/>
      <c r="AA841" s="49" t="n"/>
      <c r="AB841" s="49" t="n"/>
      <c r="AC841" s="50" t="n"/>
      <c r="AD841" s="43">
        <f>IF(Z841&lt;&gt;"",Z841,N(V841))</f>
        <v/>
      </c>
      <c r="AE841" s="43">
        <f>IF(AA841&lt;&gt;"",AA841,N(W841))</f>
        <v/>
      </c>
      <c r="AF841" s="43">
        <f>AD841+AE841</f>
        <v/>
      </c>
      <c r="AG841" s="42">
        <f>IF(UPPER(AC841)="Y",1,IF(AF841=0,0,IF(AND(Z841="",Y841&lt;&gt;""),IF(Y841&gt;=0.999,1,0),IF(AF841&gt;=U841,1,0))))</f>
        <v/>
      </c>
      <c r="AH841" s="44">
        <f>IF(AF841&gt;0,(AD841-AE841)/AF841,"")</f>
        <v/>
      </c>
      <c r="AI841" s="45">
        <f>IF(AG841=1,AH841-O841,"")</f>
        <v/>
      </c>
      <c r="AJ841" s="44">
        <f>IF(AG841=1,AH841,MAX(-1,MIN(1,O841+INDEX(Types!$H:$H,MATCH($A841&amp;"|"&amp;$D841,Types!$A:$A,0)))))</f>
        <v/>
      </c>
      <c r="AK841" s="43">
        <f>IF(AG841=1,AF841,MAX(AQ841*AS841,AF841))</f>
        <v/>
      </c>
      <c r="AL841" s="43">
        <f>IF(AG841=1,AD841,AK841*(1+AJ841)/2)</f>
        <v/>
      </c>
      <c r="AM841" s="43">
        <f>IF(AG841=1,AE841,AK841*(1-AJ841)/2)</f>
        <v/>
      </c>
      <c r="AN841" s="45">
        <f>IF(AH841="","",AH841-T841)</f>
        <v/>
      </c>
      <c r="AO841" s="51">
        <f>IF(AG841=1,1,IF(U841&gt;0,MIN(AF841/U841,0.99),0))</f>
        <v/>
      </c>
      <c r="AP841" s="43">
        <f>IF(AG841=1,AI841*AF841,0)</f>
        <v/>
      </c>
      <c r="AQ841" s="43">
        <f>N841*(F841+G841)/H841</f>
        <v/>
      </c>
      <c r="AR841" s="43">
        <f>O841*AQ841</f>
        <v/>
      </c>
      <c r="AS841" s="52">
        <f>IF(AG841=1,IF(AQ841&gt;0,AF841/AQ841,1),IFERROR(INDEX(Types!$K:$K,MATCH($A841&amp;"|"&amp;$D841,Types!$A:$A,0)),INDEX(Dashboard!$X$6:$X$22,MATCH($A841,Dashboard!$A$6:$A$22,0))))</f>
        <v/>
      </c>
      <c r="AT841" s="43">
        <f>AQ841*INDEX(Dashboard!$Y$6:$Y$22,MATCH($A841,Dashboard!$A$6:$A$22,0))</f>
        <v/>
      </c>
      <c r="AU841" s="53">
        <f>IF(AND(AG841=1,AT841&gt;0,AF841&gt;0),100*AF841/AT841,"")</f>
        <v/>
      </c>
      <c r="AV841" s="44">
        <f>IF(AU841="","",T841/(AU841/100))</f>
        <v/>
      </c>
      <c r="AW841" s="53">
        <f>IF(AU841="","",IF(AND(ABS(AH841)&gt;=0.1,ABS(T841)&gt;=0.05,SIGN(AH841)=SIGN(T841)),100*T841/AH841,""))</f>
        <v/>
      </c>
      <c r="AX841" s="45">
        <f>IF(AU841="","",T841-AV841)</f>
        <v/>
      </c>
      <c r="AY841" s="45">
        <f>IF(AU841="","",AH841-AV841)</f>
        <v/>
      </c>
      <c r="AZ841" s="54">
        <f>(AL841-AM841)-T841*AT841</f>
        <v/>
      </c>
      <c r="BA841" s="43">
        <f>IF(AU841="",0,(AH841-T841)*AF841)</f>
        <v/>
      </c>
      <c r="BB841" s="43">
        <f>IF(AU841="",0,T841*(AF841-AT841))</f>
        <v/>
      </c>
      <c r="BC841" s="51" t="n">
        <v>0.004526885282102241</v>
      </c>
      <c r="BD841" s="51" t="n">
        <v>0.07209892900518935</v>
      </c>
      <c r="BE841" s="51" t="n">
        <v>0.2674418604651163</v>
      </c>
      <c r="BF841" s="43" t="n">
        <v>9057</v>
      </c>
    </row>
    <row r="842">
      <c r="A842" s="42" t="inlineStr">
        <is>
          <t>NE</t>
        </is>
      </c>
      <c r="B842" s="42" t="inlineStr">
        <is>
          <t>31139</t>
        </is>
      </c>
      <c r="C842" s="42" t="inlineStr">
        <is>
          <t>Pierce</t>
        </is>
      </c>
      <c r="D842" s="42" t="inlineStr">
        <is>
          <t>Small town &amp; rural</t>
        </is>
      </c>
      <c r="E842" s="42" t="inlineStr"/>
      <c r="F842" s="43" t="n">
        <v>446</v>
      </c>
      <c r="G842" s="43" t="n">
        <v>3420</v>
      </c>
      <c r="H842" s="43" t="n">
        <v>3897</v>
      </c>
      <c r="I842" s="43" t="n">
        <v>480</v>
      </c>
      <c r="J842" s="43" t="n">
        <v>3462</v>
      </c>
      <c r="K842" s="42" t="inlineStr">
        <is>
          <t>Governor</t>
        </is>
      </c>
      <c r="L842" s="43" t="n">
        <v>288</v>
      </c>
      <c r="M842" s="43" t="n">
        <v>2463</v>
      </c>
      <c r="N842" s="43" t="n">
        <v>2851</v>
      </c>
      <c r="O842" s="44">
        <f>IFERROR((F842-G842)/(F842+G842),"")</f>
        <v/>
      </c>
      <c r="P842" s="44">
        <f>IFERROR((I842-J842)/(I842+J842),"")</f>
        <v/>
      </c>
      <c r="Q842" s="45">
        <f>IFERROR(O842-P842,"")</f>
        <v/>
      </c>
      <c r="R842" s="44">
        <f>IFERROR((L842-M842)/(L842+M842),"")</f>
        <v/>
      </c>
      <c r="S842" s="46">
        <f>H842/SUMIFS(Counties!$H$2:$H$1583,Counties!$A$2:$A$1583,$A842)</f>
        <v/>
      </c>
      <c r="T842" s="44">
        <f>O842+INDEX(Dashboard!$F$6:$F$22,MATCH($A842,Dashboard!$A$6:$A$22,0))</f>
        <v/>
      </c>
      <c r="U842" s="43">
        <f>AQ842*INDEX(Dashboard!$G$6:$G$22,MATCH($A842,Dashboard!$A$6:$A$22,0))</f>
        <v/>
      </c>
      <c r="V842" s="47" t="n"/>
      <c r="W842" s="47" t="n"/>
      <c r="X842" s="47" t="n"/>
      <c r="Y842" s="48" t="n"/>
      <c r="Z842" s="49" t="n"/>
      <c r="AA842" s="49" t="n"/>
      <c r="AB842" s="49" t="n"/>
      <c r="AC842" s="50" t="n"/>
      <c r="AD842" s="43">
        <f>IF(Z842&lt;&gt;"",Z842,N(V842))</f>
        <v/>
      </c>
      <c r="AE842" s="43">
        <f>IF(AA842&lt;&gt;"",AA842,N(W842))</f>
        <v/>
      </c>
      <c r="AF842" s="43">
        <f>AD842+AE842</f>
        <v/>
      </c>
      <c r="AG842" s="42">
        <f>IF(UPPER(AC842)="Y",1,IF(AF842=0,0,IF(AND(Z842="",Y842&lt;&gt;""),IF(Y842&gt;=0.999,1,0),IF(AF842&gt;=U842,1,0))))</f>
        <v/>
      </c>
      <c r="AH842" s="44">
        <f>IF(AF842&gt;0,(AD842-AE842)/AF842,"")</f>
        <v/>
      </c>
      <c r="AI842" s="45">
        <f>IF(AG842=1,AH842-O842,"")</f>
        <v/>
      </c>
      <c r="AJ842" s="44">
        <f>IF(AG842=1,AH842,MAX(-1,MIN(1,O842+INDEX(Types!$H:$H,MATCH($A842&amp;"|"&amp;$D842,Types!$A:$A,0)))))</f>
        <v/>
      </c>
      <c r="AK842" s="43">
        <f>IF(AG842=1,AF842,MAX(AQ842*AS842,AF842))</f>
        <v/>
      </c>
      <c r="AL842" s="43">
        <f>IF(AG842=1,AD842,AK842*(1+AJ842)/2)</f>
        <v/>
      </c>
      <c r="AM842" s="43">
        <f>IF(AG842=1,AE842,AK842*(1-AJ842)/2)</f>
        <v/>
      </c>
      <c r="AN842" s="45">
        <f>IF(AH842="","",AH842-T842)</f>
        <v/>
      </c>
      <c r="AO842" s="51">
        <f>IF(AG842=1,1,IF(U842&gt;0,MIN(AF842/U842,0.99),0))</f>
        <v/>
      </c>
      <c r="AP842" s="43">
        <f>IF(AG842=1,AI842*AF842,0)</f>
        <v/>
      </c>
      <c r="AQ842" s="43">
        <f>N842*(F842+G842)/H842</f>
        <v/>
      </c>
      <c r="AR842" s="43">
        <f>O842*AQ842</f>
        <v/>
      </c>
      <c r="AS842" s="52">
        <f>IF(AG842=1,IF(AQ842&gt;0,AF842/AQ842,1),IFERROR(INDEX(Types!$K:$K,MATCH($A842&amp;"|"&amp;$D842,Types!$A:$A,0)),INDEX(Dashboard!$X$6:$X$22,MATCH($A842,Dashboard!$A$6:$A$22,0))))</f>
        <v/>
      </c>
      <c r="AT842" s="43">
        <f>AQ842*INDEX(Dashboard!$Y$6:$Y$22,MATCH($A842,Dashboard!$A$6:$A$22,0))</f>
        <v/>
      </c>
      <c r="AU842" s="53">
        <f>IF(AND(AG842=1,AT842&gt;0,AF842&gt;0),100*AF842/AT842,"")</f>
        <v/>
      </c>
      <c r="AV842" s="44">
        <f>IF(AU842="","",T842/(AU842/100))</f>
        <v/>
      </c>
      <c r="AW842" s="53">
        <f>IF(AU842="","",IF(AND(ABS(AH842)&gt;=0.1,ABS(T842)&gt;=0.05,SIGN(AH842)=SIGN(T842)),100*T842/AH842,""))</f>
        <v/>
      </c>
      <c r="AX842" s="45">
        <f>IF(AU842="","",T842-AV842)</f>
        <v/>
      </c>
      <c r="AY842" s="45">
        <f>IF(AU842="","",AH842-AV842)</f>
        <v/>
      </c>
      <c r="AZ842" s="54">
        <f>(AL842-AM842)-T842*AT842</f>
        <v/>
      </c>
      <c r="BA842" s="43">
        <f>IF(AU842="",0,(AH842-T842)*AF842)</f>
        <v/>
      </c>
      <c r="BB842" s="43">
        <f>IF(AU842="",0,T842*(AF842-AT842))</f>
        <v/>
      </c>
      <c r="BC842" s="51" t="n">
        <v>0.005206192629127277</v>
      </c>
      <c r="BD842" s="51" t="n">
        <v>0.03123715577476367</v>
      </c>
      <c r="BE842" s="51" t="n">
        <v>0.2292298362644027</v>
      </c>
      <c r="BF842" s="43" t="n">
        <v>7299</v>
      </c>
    </row>
    <row r="843">
      <c r="A843" s="42" t="inlineStr">
        <is>
          <t>NE</t>
        </is>
      </c>
      <c r="B843" s="42" t="inlineStr">
        <is>
          <t>31141</t>
        </is>
      </c>
      <c r="C843" s="42" t="inlineStr">
        <is>
          <t>Platte</t>
        </is>
      </c>
      <c r="D843" s="42" t="inlineStr">
        <is>
          <t>Small town &amp; rural</t>
        </is>
      </c>
      <c r="E843" s="42" t="inlineStr"/>
      <c r="F843" s="43" t="n">
        <v>3191</v>
      </c>
      <c r="G843" s="43" t="n">
        <v>12326</v>
      </c>
      <c r="H843" s="43" t="n">
        <v>15658</v>
      </c>
      <c r="I843" s="43" t="n">
        <v>3260</v>
      </c>
      <c r="J843" s="43" t="n">
        <v>12186</v>
      </c>
      <c r="K843" s="42" t="inlineStr">
        <is>
          <t>Governor</t>
        </is>
      </c>
      <c r="L843" s="43" t="n">
        <v>1695</v>
      </c>
      <c r="M843" s="43" t="n">
        <v>9103</v>
      </c>
      <c r="N843" s="43" t="n">
        <v>11106</v>
      </c>
      <c r="O843" s="44">
        <f>IFERROR((F843-G843)/(F843+G843),"")</f>
        <v/>
      </c>
      <c r="P843" s="44">
        <f>IFERROR((I843-J843)/(I843+J843),"")</f>
        <v/>
      </c>
      <c r="Q843" s="45">
        <f>IFERROR(O843-P843,"")</f>
        <v/>
      </c>
      <c r="R843" s="44">
        <f>IFERROR((L843-M843)/(L843+M843),"")</f>
        <v/>
      </c>
      <c r="S843" s="46">
        <f>H843/SUMIFS(Counties!$H$2:$H$1583,Counties!$A$2:$A$1583,$A843)</f>
        <v/>
      </c>
      <c r="T843" s="44">
        <f>O843+INDEX(Dashboard!$F$6:$F$22,MATCH($A843,Dashboard!$A$6:$A$22,0))</f>
        <v/>
      </c>
      <c r="U843" s="43">
        <f>AQ843*INDEX(Dashboard!$G$6:$G$22,MATCH($A843,Dashboard!$A$6:$A$22,0))</f>
        <v/>
      </c>
      <c r="V843" s="47" t="n"/>
      <c r="W843" s="47" t="n"/>
      <c r="X843" s="47" t="n"/>
      <c r="Y843" s="48" t="n"/>
      <c r="Z843" s="49" t="n"/>
      <c r="AA843" s="49" t="n"/>
      <c r="AB843" s="49" t="n"/>
      <c r="AC843" s="50" t="n"/>
      <c r="AD843" s="43">
        <f>IF(Z843&lt;&gt;"",Z843,N(V843))</f>
        <v/>
      </c>
      <c r="AE843" s="43">
        <f>IF(AA843&lt;&gt;"",AA843,N(W843))</f>
        <v/>
      </c>
      <c r="AF843" s="43">
        <f>AD843+AE843</f>
        <v/>
      </c>
      <c r="AG843" s="42">
        <f>IF(UPPER(AC843)="Y",1,IF(AF843=0,0,IF(AND(Z843="",Y843&lt;&gt;""),IF(Y843&gt;=0.999,1,0),IF(AF843&gt;=U843,1,0))))</f>
        <v/>
      </c>
      <c r="AH843" s="44">
        <f>IF(AF843&gt;0,(AD843-AE843)/AF843,"")</f>
        <v/>
      </c>
      <c r="AI843" s="45">
        <f>IF(AG843=1,AH843-O843,"")</f>
        <v/>
      </c>
      <c r="AJ843" s="44">
        <f>IF(AG843=1,AH843,MAX(-1,MIN(1,O843+INDEX(Types!$H:$H,MATCH($A843&amp;"|"&amp;$D843,Types!$A:$A,0)))))</f>
        <v/>
      </c>
      <c r="AK843" s="43">
        <f>IF(AG843=1,AF843,MAX(AQ843*AS843,AF843))</f>
        <v/>
      </c>
      <c r="AL843" s="43">
        <f>IF(AG843=1,AD843,AK843*(1+AJ843)/2)</f>
        <v/>
      </c>
      <c r="AM843" s="43">
        <f>IF(AG843=1,AE843,AK843*(1-AJ843)/2)</f>
        <v/>
      </c>
      <c r="AN843" s="45">
        <f>IF(AH843="","",AH843-T843)</f>
        <v/>
      </c>
      <c r="AO843" s="51">
        <f>IF(AG843=1,1,IF(U843&gt;0,MIN(AF843/U843,0.99),0))</f>
        <v/>
      </c>
      <c r="AP843" s="43">
        <f>IF(AG843=1,AI843*AF843,0)</f>
        <v/>
      </c>
      <c r="AQ843" s="43">
        <f>N843*(F843+G843)/H843</f>
        <v/>
      </c>
      <c r="AR843" s="43">
        <f>O843*AQ843</f>
        <v/>
      </c>
      <c r="AS843" s="52">
        <f>IF(AG843=1,IF(AQ843&gt;0,AF843/AQ843,1),IFERROR(INDEX(Types!$K:$K,MATCH($A843&amp;"|"&amp;$D843,Types!$A:$A,0)),INDEX(Dashboard!$X$6:$X$22,MATCH($A843,Dashboard!$A$6:$A$22,0))))</f>
        <v/>
      </c>
      <c r="AT843" s="43">
        <f>AQ843*INDEX(Dashboard!$Y$6:$Y$22,MATCH($A843,Dashboard!$A$6:$A$22,0))</f>
        <v/>
      </c>
      <c r="AU843" s="53">
        <f>IF(AND(AG843=1,AT843&gt;0,AF843&gt;0),100*AF843/AT843,"")</f>
        <v/>
      </c>
      <c r="AV843" s="44">
        <f>IF(AU843="","",T843/(AU843/100))</f>
        <v/>
      </c>
      <c r="AW843" s="53">
        <f>IF(AU843="","",IF(AND(ABS(AH843)&gt;=0.1,ABS(T843)&gt;=0.05,SIGN(AH843)=SIGN(T843)),100*T843/AH843,""))</f>
        <v/>
      </c>
      <c r="AX843" s="45">
        <f>IF(AU843="","",T843-AV843)</f>
        <v/>
      </c>
      <c r="AY843" s="45">
        <f>IF(AU843="","",AH843-AV843)</f>
        <v/>
      </c>
      <c r="AZ843" s="54">
        <f>(AL843-AM843)-T843*AT843</f>
        <v/>
      </c>
      <c r="BA843" s="43">
        <f>IF(AU843="",0,(AH843-T843)*AF843)</f>
        <v/>
      </c>
      <c r="BB843" s="43">
        <f>IF(AU843="",0,T843*(AF843-AT843))</f>
        <v/>
      </c>
      <c r="BC843" s="51" t="n">
        <v>0.01103759137796527</v>
      </c>
      <c r="BD843" s="51" t="n">
        <v>0.2425091739142997</v>
      </c>
      <c r="BE843" s="51" t="n">
        <v>0.2408664582402859</v>
      </c>
      <c r="BF843" s="43" t="n">
        <v>34609</v>
      </c>
    </row>
    <row r="844">
      <c r="A844" s="42" t="inlineStr">
        <is>
          <t>NE</t>
        </is>
      </c>
      <c r="B844" s="42" t="inlineStr">
        <is>
          <t>31143</t>
        </is>
      </c>
      <c r="C844" s="42" t="inlineStr">
        <is>
          <t>Polk</t>
        </is>
      </c>
      <c r="D844" s="42" t="inlineStr">
        <is>
          <t>Small town &amp; rural</t>
        </is>
      </c>
      <c r="E844" s="42" t="inlineStr"/>
      <c r="F844" s="43" t="n">
        <v>501</v>
      </c>
      <c r="G844" s="43" t="n">
        <v>2296</v>
      </c>
      <c r="H844" s="43" t="n">
        <v>2819</v>
      </c>
      <c r="I844" s="43" t="n">
        <v>530</v>
      </c>
      <c r="J844" s="43" t="n">
        <v>2291</v>
      </c>
      <c r="K844" s="42" t="inlineStr">
        <is>
          <t>Governor</t>
        </is>
      </c>
      <c r="L844" s="43" t="n">
        <v>321</v>
      </c>
      <c r="M844" s="43" t="n">
        <v>1658</v>
      </c>
      <c r="N844" s="43" t="n">
        <v>2052</v>
      </c>
      <c r="O844" s="44">
        <f>IFERROR((F844-G844)/(F844+G844),"")</f>
        <v/>
      </c>
      <c r="P844" s="44">
        <f>IFERROR((I844-J844)/(I844+J844),"")</f>
        <v/>
      </c>
      <c r="Q844" s="45">
        <f>IFERROR(O844-P844,"")</f>
        <v/>
      </c>
      <c r="R844" s="44">
        <f>IFERROR((L844-M844)/(L844+M844),"")</f>
        <v/>
      </c>
      <c r="S844" s="46">
        <f>H844/SUMIFS(Counties!$H$2:$H$1583,Counties!$A$2:$A$1583,$A844)</f>
        <v/>
      </c>
      <c r="T844" s="44">
        <f>O844+INDEX(Dashboard!$F$6:$F$22,MATCH($A844,Dashboard!$A$6:$A$22,0))</f>
        <v/>
      </c>
      <c r="U844" s="43">
        <f>AQ844*INDEX(Dashboard!$G$6:$G$22,MATCH($A844,Dashboard!$A$6:$A$22,0))</f>
        <v/>
      </c>
      <c r="V844" s="47" t="n"/>
      <c r="W844" s="47" t="n"/>
      <c r="X844" s="47" t="n"/>
      <c r="Y844" s="48" t="n"/>
      <c r="Z844" s="49" t="n"/>
      <c r="AA844" s="49" t="n"/>
      <c r="AB844" s="49" t="n"/>
      <c r="AC844" s="50" t="n"/>
      <c r="AD844" s="43">
        <f>IF(Z844&lt;&gt;"",Z844,N(V844))</f>
        <v/>
      </c>
      <c r="AE844" s="43">
        <f>IF(AA844&lt;&gt;"",AA844,N(W844))</f>
        <v/>
      </c>
      <c r="AF844" s="43">
        <f>AD844+AE844</f>
        <v/>
      </c>
      <c r="AG844" s="42">
        <f>IF(UPPER(AC844)="Y",1,IF(AF844=0,0,IF(AND(Z844="",Y844&lt;&gt;""),IF(Y844&gt;=0.999,1,0),IF(AF844&gt;=U844,1,0))))</f>
        <v/>
      </c>
      <c r="AH844" s="44">
        <f>IF(AF844&gt;0,(AD844-AE844)/AF844,"")</f>
        <v/>
      </c>
      <c r="AI844" s="45">
        <f>IF(AG844=1,AH844-O844,"")</f>
        <v/>
      </c>
      <c r="AJ844" s="44">
        <f>IF(AG844=1,AH844,MAX(-1,MIN(1,O844+INDEX(Types!$H:$H,MATCH($A844&amp;"|"&amp;$D844,Types!$A:$A,0)))))</f>
        <v/>
      </c>
      <c r="AK844" s="43">
        <f>IF(AG844=1,AF844,MAX(AQ844*AS844,AF844))</f>
        <v/>
      </c>
      <c r="AL844" s="43">
        <f>IF(AG844=1,AD844,AK844*(1+AJ844)/2)</f>
        <v/>
      </c>
      <c r="AM844" s="43">
        <f>IF(AG844=1,AE844,AK844*(1-AJ844)/2)</f>
        <v/>
      </c>
      <c r="AN844" s="45">
        <f>IF(AH844="","",AH844-T844)</f>
        <v/>
      </c>
      <c r="AO844" s="51">
        <f>IF(AG844=1,1,IF(U844&gt;0,MIN(AF844/U844,0.99),0))</f>
        <v/>
      </c>
      <c r="AP844" s="43">
        <f>IF(AG844=1,AI844*AF844,0)</f>
        <v/>
      </c>
      <c r="AQ844" s="43">
        <f>N844*(F844+G844)/H844</f>
        <v/>
      </c>
      <c r="AR844" s="43">
        <f>O844*AQ844</f>
        <v/>
      </c>
      <c r="AS844" s="52">
        <f>IF(AG844=1,IF(AQ844&gt;0,AF844/AQ844,1),IFERROR(INDEX(Types!$K:$K,MATCH($A844&amp;"|"&amp;$D844,Types!$A:$A,0)),INDEX(Dashboard!$X$6:$X$22,MATCH($A844,Dashboard!$A$6:$A$22,0))))</f>
        <v/>
      </c>
      <c r="AT844" s="43">
        <f>AQ844*INDEX(Dashboard!$Y$6:$Y$22,MATCH($A844,Dashboard!$A$6:$A$22,0))</f>
        <v/>
      </c>
      <c r="AU844" s="53">
        <f>IF(AND(AG844=1,AT844&gt;0,AF844&gt;0),100*AF844/AT844,"")</f>
        <v/>
      </c>
      <c r="AV844" s="44">
        <f>IF(AU844="","",T844/(AU844/100))</f>
        <v/>
      </c>
      <c r="AW844" s="53">
        <f>IF(AU844="","",IF(AND(ABS(AH844)&gt;=0.1,ABS(T844)&gt;=0.05,SIGN(AH844)=SIGN(T844)),100*T844/AH844,""))</f>
        <v/>
      </c>
      <c r="AX844" s="45">
        <f>IF(AU844="","",T844-AV844)</f>
        <v/>
      </c>
      <c r="AY844" s="45">
        <f>IF(AU844="","",AH844-AV844)</f>
        <v/>
      </c>
      <c r="AZ844" s="54">
        <f>(AL844-AM844)-T844*AT844</f>
        <v/>
      </c>
      <c r="BA844" s="43">
        <f>IF(AU844="",0,(AH844-T844)*AF844)</f>
        <v/>
      </c>
      <c r="BB844" s="43">
        <f>IF(AU844="",0,T844*(AF844-AT844))</f>
        <v/>
      </c>
      <c r="BC844" s="51" t="n">
        <v>0.004016832440703902</v>
      </c>
      <c r="BD844" s="51" t="n">
        <v>0.06828615149196633</v>
      </c>
      <c r="BE844" s="51" t="n">
        <v>0.1857968620974401</v>
      </c>
      <c r="BF844" s="43" t="n">
        <v>5228</v>
      </c>
    </row>
    <row r="845">
      <c r="A845" s="42" t="inlineStr">
        <is>
          <t>NE</t>
        </is>
      </c>
      <c r="B845" s="42" t="inlineStr">
        <is>
          <t>31145</t>
        </is>
      </c>
      <c r="C845" s="42" t="inlineStr">
        <is>
          <t>Red Willow</t>
        </is>
      </c>
      <c r="D845" s="42" t="inlineStr">
        <is>
          <t>Small town &amp; rural</t>
        </is>
      </c>
      <c r="E845" s="42" t="inlineStr"/>
      <c r="F845" s="43" t="n">
        <v>815</v>
      </c>
      <c r="G845" s="43" t="n">
        <v>4457</v>
      </c>
      <c r="H845" s="43" t="n">
        <v>5323</v>
      </c>
      <c r="I845" s="43" t="n">
        <v>811</v>
      </c>
      <c r="J845" s="43" t="n">
        <v>4525</v>
      </c>
      <c r="K845" s="42" t="inlineStr">
        <is>
          <t>Governor</t>
        </is>
      </c>
      <c r="L845" s="43" t="n">
        <v>608</v>
      </c>
      <c r="M845" s="43" t="n">
        <v>3174</v>
      </c>
      <c r="N845" s="43" t="n">
        <v>3986</v>
      </c>
      <c r="O845" s="44">
        <f>IFERROR((F845-G845)/(F845+G845),"")</f>
        <v/>
      </c>
      <c r="P845" s="44">
        <f>IFERROR((I845-J845)/(I845+J845),"")</f>
        <v/>
      </c>
      <c r="Q845" s="45">
        <f>IFERROR(O845-P845,"")</f>
        <v/>
      </c>
      <c r="R845" s="44">
        <f>IFERROR((L845-M845)/(L845+M845),"")</f>
        <v/>
      </c>
      <c r="S845" s="46">
        <f>H845/SUMIFS(Counties!$H$2:$H$1583,Counties!$A$2:$A$1583,$A845)</f>
        <v/>
      </c>
      <c r="T845" s="44">
        <f>O845+INDEX(Dashboard!$F$6:$F$22,MATCH($A845,Dashboard!$A$6:$A$22,0))</f>
        <v/>
      </c>
      <c r="U845" s="43">
        <f>AQ845*INDEX(Dashboard!$G$6:$G$22,MATCH($A845,Dashboard!$A$6:$A$22,0))</f>
        <v/>
      </c>
      <c r="V845" s="47" t="n"/>
      <c r="W845" s="47" t="n"/>
      <c r="X845" s="47" t="n"/>
      <c r="Y845" s="48" t="n"/>
      <c r="Z845" s="49" t="n"/>
      <c r="AA845" s="49" t="n"/>
      <c r="AB845" s="49" t="n"/>
      <c r="AC845" s="50" t="n"/>
      <c r="AD845" s="43">
        <f>IF(Z845&lt;&gt;"",Z845,N(V845))</f>
        <v/>
      </c>
      <c r="AE845" s="43">
        <f>IF(AA845&lt;&gt;"",AA845,N(W845))</f>
        <v/>
      </c>
      <c r="AF845" s="43">
        <f>AD845+AE845</f>
        <v/>
      </c>
      <c r="AG845" s="42">
        <f>IF(UPPER(AC845)="Y",1,IF(AF845=0,0,IF(AND(Z845="",Y845&lt;&gt;""),IF(Y845&gt;=0.999,1,0),IF(AF845&gt;=U845,1,0))))</f>
        <v/>
      </c>
      <c r="AH845" s="44">
        <f>IF(AF845&gt;0,(AD845-AE845)/AF845,"")</f>
        <v/>
      </c>
      <c r="AI845" s="45">
        <f>IF(AG845=1,AH845-O845,"")</f>
        <v/>
      </c>
      <c r="AJ845" s="44">
        <f>IF(AG845=1,AH845,MAX(-1,MIN(1,O845+INDEX(Types!$H:$H,MATCH($A845&amp;"|"&amp;$D845,Types!$A:$A,0)))))</f>
        <v/>
      </c>
      <c r="AK845" s="43">
        <f>IF(AG845=1,AF845,MAX(AQ845*AS845,AF845))</f>
        <v/>
      </c>
      <c r="AL845" s="43">
        <f>IF(AG845=1,AD845,AK845*(1+AJ845)/2)</f>
        <v/>
      </c>
      <c r="AM845" s="43">
        <f>IF(AG845=1,AE845,AK845*(1-AJ845)/2)</f>
        <v/>
      </c>
      <c r="AN845" s="45">
        <f>IF(AH845="","",AH845-T845)</f>
        <v/>
      </c>
      <c r="AO845" s="51">
        <f>IF(AG845=1,1,IF(U845&gt;0,MIN(AF845/U845,0.99),0))</f>
        <v/>
      </c>
      <c r="AP845" s="43">
        <f>IF(AG845=1,AI845*AF845,0)</f>
        <v/>
      </c>
      <c r="AQ845" s="43">
        <f>N845*(F845+G845)/H845</f>
        <v/>
      </c>
      <c r="AR845" s="43">
        <f>O845*AQ845</f>
        <v/>
      </c>
      <c r="AS845" s="52">
        <f>IF(AG845=1,IF(AQ845&gt;0,AF845/AQ845,1),IFERROR(INDEX(Types!$K:$K,MATCH($A845&amp;"|"&amp;$D845,Types!$A:$A,0)),INDEX(Dashboard!$X$6:$X$22,MATCH($A845,Dashboard!$A$6:$A$22,0))))</f>
        <v/>
      </c>
      <c r="AT845" s="43">
        <f>AQ845*INDEX(Dashboard!$Y$6:$Y$22,MATCH($A845,Dashboard!$A$6:$A$22,0))</f>
        <v/>
      </c>
      <c r="AU845" s="53">
        <f>IF(AND(AG845=1,AT845&gt;0,AF845&gt;0),100*AF845/AT845,"")</f>
        <v/>
      </c>
      <c r="AV845" s="44">
        <f>IF(AU845="","",T845/(AU845/100))</f>
        <v/>
      </c>
      <c r="AW845" s="53">
        <f>IF(AU845="","",IF(AND(ABS(AH845)&gt;=0.1,ABS(T845)&gt;=0.05,SIGN(AH845)=SIGN(T845)),100*T845/AH845,""))</f>
        <v/>
      </c>
      <c r="AX845" s="45">
        <f>IF(AU845="","",T845-AV845)</f>
        <v/>
      </c>
      <c r="AY845" s="45">
        <f>IF(AU845="","",AH845-AV845)</f>
        <v/>
      </c>
      <c r="AZ845" s="54">
        <f>(AL845-AM845)-T845*AT845</f>
        <v/>
      </c>
      <c r="BA845" s="43">
        <f>IF(AU845="",0,(AH845-T845)*AF845)</f>
        <v/>
      </c>
      <c r="BB845" s="43">
        <f>IF(AU845="",0,T845*(AF845-AT845))</f>
        <v/>
      </c>
      <c r="BC845" s="51" t="n">
        <v>0.01319690159701635</v>
      </c>
      <c r="BD845" s="51" t="n">
        <v>0.06263746772496892</v>
      </c>
      <c r="BE845" s="51" t="n">
        <v>0.260327141668977</v>
      </c>
      <c r="BF845" s="43" t="n">
        <v>10457</v>
      </c>
    </row>
    <row r="846">
      <c r="A846" s="42" t="inlineStr">
        <is>
          <t>NE</t>
        </is>
      </c>
      <c r="B846" s="42" t="inlineStr">
        <is>
          <t>31147</t>
        </is>
      </c>
      <c r="C846" s="42" t="inlineStr">
        <is>
          <t>Richardson</t>
        </is>
      </c>
      <c r="D846" s="42" t="inlineStr">
        <is>
          <t>Small town &amp; rural</t>
        </is>
      </c>
      <c r="E846" s="42" t="inlineStr"/>
      <c r="F846" s="43" t="n">
        <v>934</v>
      </c>
      <c r="G846" s="43" t="n">
        <v>2962</v>
      </c>
      <c r="H846" s="43" t="n">
        <v>3942</v>
      </c>
      <c r="I846" s="43" t="n">
        <v>996</v>
      </c>
      <c r="J846" s="43" t="n">
        <v>3073</v>
      </c>
      <c r="K846" s="42" t="inlineStr">
        <is>
          <t>Governor</t>
        </is>
      </c>
      <c r="L846" s="43" t="n">
        <v>766</v>
      </c>
      <c r="M846" s="43" t="n">
        <v>1987</v>
      </c>
      <c r="N846" s="43" t="n">
        <v>2918</v>
      </c>
      <c r="O846" s="44">
        <f>IFERROR((F846-G846)/(F846+G846),"")</f>
        <v/>
      </c>
      <c r="P846" s="44">
        <f>IFERROR((I846-J846)/(I846+J846),"")</f>
        <v/>
      </c>
      <c r="Q846" s="45">
        <f>IFERROR(O846-P846,"")</f>
        <v/>
      </c>
      <c r="R846" s="44">
        <f>IFERROR((L846-M846)/(L846+M846),"")</f>
        <v/>
      </c>
      <c r="S846" s="46">
        <f>H846/SUMIFS(Counties!$H$2:$H$1583,Counties!$A$2:$A$1583,$A846)</f>
        <v/>
      </c>
      <c r="T846" s="44">
        <f>O846+INDEX(Dashboard!$F$6:$F$22,MATCH($A846,Dashboard!$A$6:$A$22,0))</f>
        <v/>
      </c>
      <c r="U846" s="43">
        <f>AQ846*INDEX(Dashboard!$G$6:$G$22,MATCH($A846,Dashboard!$A$6:$A$22,0))</f>
        <v/>
      </c>
      <c r="V846" s="47" t="n"/>
      <c r="W846" s="47" t="n"/>
      <c r="X846" s="47" t="n"/>
      <c r="Y846" s="48" t="n"/>
      <c r="Z846" s="49" t="n"/>
      <c r="AA846" s="49" t="n"/>
      <c r="AB846" s="49" t="n"/>
      <c r="AC846" s="50" t="n"/>
      <c r="AD846" s="43">
        <f>IF(Z846&lt;&gt;"",Z846,N(V846))</f>
        <v/>
      </c>
      <c r="AE846" s="43">
        <f>IF(AA846&lt;&gt;"",AA846,N(W846))</f>
        <v/>
      </c>
      <c r="AF846" s="43">
        <f>AD846+AE846</f>
        <v/>
      </c>
      <c r="AG846" s="42">
        <f>IF(UPPER(AC846)="Y",1,IF(AF846=0,0,IF(AND(Z846="",Y846&lt;&gt;""),IF(Y846&gt;=0.999,1,0),IF(AF846&gt;=U846,1,0))))</f>
        <v/>
      </c>
      <c r="AH846" s="44">
        <f>IF(AF846&gt;0,(AD846-AE846)/AF846,"")</f>
        <v/>
      </c>
      <c r="AI846" s="45">
        <f>IF(AG846=1,AH846-O846,"")</f>
        <v/>
      </c>
      <c r="AJ846" s="44">
        <f>IF(AG846=1,AH846,MAX(-1,MIN(1,O846+INDEX(Types!$H:$H,MATCH($A846&amp;"|"&amp;$D846,Types!$A:$A,0)))))</f>
        <v/>
      </c>
      <c r="AK846" s="43">
        <f>IF(AG846=1,AF846,MAX(AQ846*AS846,AF846))</f>
        <v/>
      </c>
      <c r="AL846" s="43">
        <f>IF(AG846=1,AD846,AK846*(1+AJ846)/2)</f>
        <v/>
      </c>
      <c r="AM846" s="43">
        <f>IF(AG846=1,AE846,AK846*(1-AJ846)/2)</f>
        <v/>
      </c>
      <c r="AN846" s="45">
        <f>IF(AH846="","",AH846-T846)</f>
        <v/>
      </c>
      <c r="AO846" s="51">
        <f>IF(AG846=1,1,IF(U846&gt;0,MIN(AF846/U846,0.99),0))</f>
        <v/>
      </c>
      <c r="AP846" s="43">
        <f>IF(AG846=1,AI846*AF846,0)</f>
        <v/>
      </c>
      <c r="AQ846" s="43">
        <f>N846*(F846+G846)/H846</f>
        <v/>
      </c>
      <c r="AR846" s="43">
        <f>O846*AQ846</f>
        <v/>
      </c>
      <c r="AS846" s="52">
        <f>IF(AG846=1,IF(AQ846&gt;0,AF846/AQ846,1),IFERROR(INDEX(Types!$K:$K,MATCH($A846&amp;"|"&amp;$D846,Types!$A:$A,0)),INDEX(Dashboard!$X$6:$X$22,MATCH($A846,Dashboard!$A$6:$A$22,0))))</f>
        <v/>
      </c>
      <c r="AT846" s="43">
        <f>AQ846*INDEX(Dashboard!$Y$6:$Y$22,MATCH($A846,Dashboard!$A$6:$A$22,0))</f>
        <v/>
      </c>
      <c r="AU846" s="53">
        <f>IF(AND(AG846=1,AT846&gt;0,AF846&gt;0),100*AF846/AT846,"")</f>
        <v/>
      </c>
      <c r="AV846" s="44">
        <f>IF(AU846="","",T846/(AU846/100))</f>
        <v/>
      </c>
      <c r="AW846" s="53">
        <f>IF(AU846="","",IF(AND(ABS(AH846)&gt;=0.1,ABS(T846)&gt;=0.05,SIGN(AH846)=SIGN(T846)),100*T846/AH846,""))</f>
        <v/>
      </c>
      <c r="AX846" s="45">
        <f>IF(AU846="","",T846-AV846)</f>
        <v/>
      </c>
      <c r="AY846" s="45">
        <f>IF(AU846="","",AH846-AV846)</f>
        <v/>
      </c>
      <c r="AZ846" s="54">
        <f>(AL846-AM846)-T846*AT846</f>
        <v/>
      </c>
      <c r="BA846" s="43">
        <f>IF(AU846="",0,(AH846-T846)*AF846)</f>
        <v/>
      </c>
      <c r="BB846" s="43">
        <f>IF(AU846="",0,T846*(AF846-AT846))</f>
        <v/>
      </c>
      <c r="BC846" s="51" t="n">
        <v>0.004682013265704252</v>
      </c>
      <c r="BD846" s="51" t="n">
        <v>0.02510079334113669</v>
      </c>
      <c r="BE846" s="51" t="n">
        <v>0.2237762237762238</v>
      </c>
      <c r="BF846" s="43" t="n">
        <v>7689</v>
      </c>
    </row>
    <row r="847">
      <c r="A847" s="42" t="inlineStr">
        <is>
          <t>NE</t>
        </is>
      </c>
      <c r="B847" s="42" t="inlineStr">
        <is>
          <t>31149</t>
        </is>
      </c>
      <c r="C847" s="42" t="inlineStr">
        <is>
          <t>Rock</t>
        </is>
      </c>
      <c r="D847" s="42" t="inlineStr">
        <is>
          <t>Small town &amp; rural</t>
        </is>
      </c>
      <c r="E847" s="42" t="inlineStr"/>
      <c r="F847" s="43" t="n">
        <v>85</v>
      </c>
      <c r="G847" s="43" t="n">
        <v>745</v>
      </c>
      <c r="H847" s="43" t="n">
        <v>834</v>
      </c>
      <c r="I847" s="43" t="n">
        <v>84</v>
      </c>
      <c r="J847" s="43" t="n">
        <v>744</v>
      </c>
      <c r="K847" s="42" t="inlineStr">
        <is>
          <t>Governor</t>
        </is>
      </c>
      <c r="L847" s="43" t="n">
        <v>63</v>
      </c>
      <c r="M847" s="43" t="n">
        <v>504</v>
      </c>
      <c r="N847" s="43" t="n">
        <v>585</v>
      </c>
      <c r="O847" s="44">
        <f>IFERROR((F847-G847)/(F847+G847),"")</f>
        <v/>
      </c>
      <c r="P847" s="44">
        <f>IFERROR((I847-J847)/(I847+J847),"")</f>
        <v/>
      </c>
      <c r="Q847" s="45">
        <f>IFERROR(O847-P847,"")</f>
        <v/>
      </c>
      <c r="R847" s="44">
        <f>IFERROR((L847-M847)/(L847+M847),"")</f>
        <v/>
      </c>
      <c r="S847" s="46">
        <f>H847/SUMIFS(Counties!$H$2:$H$1583,Counties!$A$2:$A$1583,$A847)</f>
        <v/>
      </c>
      <c r="T847" s="44">
        <f>O847+INDEX(Dashboard!$F$6:$F$22,MATCH($A847,Dashboard!$A$6:$A$22,0))</f>
        <v/>
      </c>
      <c r="U847" s="43">
        <f>AQ847*INDEX(Dashboard!$G$6:$G$22,MATCH($A847,Dashboard!$A$6:$A$22,0))</f>
        <v/>
      </c>
      <c r="V847" s="47" t="n"/>
      <c r="W847" s="47" t="n"/>
      <c r="X847" s="47" t="n"/>
      <c r="Y847" s="48" t="n"/>
      <c r="Z847" s="49" t="n"/>
      <c r="AA847" s="49" t="n"/>
      <c r="AB847" s="49" t="n"/>
      <c r="AC847" s="50" t="n"/>
      <c r="AD847" s="43">
        <f>IF(Z847&lt;&gt;"",Z847,N(V847))</f>
        <v/>
      </c>
      <c r="AE847" s="43">
        <f>IF(AA847&lt;&gt;"",AA847,N(W847))</f>
        <v/>
      </c>
      <c r="AF847" s="43">
        <f>AD847+AE847</f>
        <v/>
      </c>
      <c r="AG847" s="42">
        <f>IF(UPPER(AC847)="Y",1,IF(AF847=0,0,IF(AND(Z847="",Y847&lt;&gt;""),IF(Y847&gt;=0.999,1,0),IF(AF847&gt;=U847,1,0))))</f>
        <v/>
      </c>
      <c r="AH847" s="44">
        <f>IF(AF847&gt;0,(AD847-AE847)/AF847,"")</f>
        <v/>
      </c>
      <c r="AI847" s="45">
        <f>IF(AG847=1,AH847-O847,"")</f>
        <v/>
      </c>
      <c r="AJ847" s="44">
        <f>IF(AG847=1,AH847,MAX(-1,MIN(1,O847+INDEX(Types!$H:$H,MATCH($A847&amp;"|"&amp;$D847,Types!$A:$A,0)))))</f>
        <v/>
      </c>
      <c r="AK847" s="43">
        <f>IF(AG847=1,AF847,MAX(AQ847*AS847,AF847))</f>
        <v/>
      </c>
      <c r="AL847" s="43">
        <f>IF(AG847=1,AD847,AK847*(1+AJ847)/2)</f>
        <v/>
      </c>
      <c r="AM847" s="43">
        <f>IF(AG847=1,AE847,AK847*(1-AJ847)/2)</f>
        <v/>
      </c>
      <c r="AN847" s="45">
        <f>IF(AH847="","",AH847-T847)</f>
        <v/>
      </c>
      <c r="AO847" s="51">
        <f>IF(AG847=1,1,IF(U847&gt;0,MIN(AF847/U847,0.99),0))</f>
        <v/>
      </c>
      <c r="AP847" s="43">
        <f>IF(AG847=1,AI847*AF847,0)</f>
        <v/>
      </c>
      <c r="AQ847" s="43">
        <f>N847*(F847+G847)/H847</f>
        <v/>
      </c>
      <c r="AR847" s="43">
        <f>O847*AQ847</f>
        <v/>
      </c>
      <c r="AS847" s="52">
        <f>IF(AG847=1,IF(AQ847&gt;0,AF847/AQ847,1),IFERROR(INDEX(Types!$K:$K,MATCH($A847&amp;"|"&amp;$D847,Types!$A:$A,0)),INDEX(Dashboard!$X$6:$X$22,MATCH($A847,Dashboard!$A$6:$A$22,0))))</f>
        <v/>
      </c>
      <c r="AT847" s="43">
        <f>AQ847*INDEX(Dashboard!$Y$6:$Y$22,MATCH($A847,Dashboard!$A$6:$A$22,0))</f>
        <v/>
      </c>
      <c r="AU847" s="53">
        <f>IF(AND(AG847=1,AT847&gt;0,AF847&gt;0),100*AF847/AT847,"")</f>
        <v/>
      </c>
      <c r="AV847" s="44">
        <f>IF(AU847="","",T847/(AU847/100))</f>
        <v/>
      </c>
      <c r="AW847" s="53">
        <f>IF(AU847="","",IF(AND(ABS(AH847)&gt;=0.1,ABS(T847)&gt;=0.05,SIGN(AH847)=SIGN(T847)),100*T847/AH847,""))</f>
        <v/>
      </c>
      <c r="AX847" s="45">
        <f>IF(AU847="","",T847-AV847)</f>
        <v/>
      </c>
      <c r="AY847" s="45">
        <f>IF(AU847="","",AH847-AV847)</f>
        <v/>
      </c>
      <c r="AZ847" s="54">
        <f>(AL847-AM847)-T847*AT847</f>
        <v/>
      </c>
      <c r="BA847" s="43">
        <f>IF(AU847="",0,(AH847-T847)*AF847)</f>
        <v/>
      </c>
      <c r="BB847" s="43">
        <f>IF(AU847="",0,T847*(AF847-AT847))</f>
        <v/>
      </c>
      <c r="BC847" s="51" t="n">
        <v>0.001573564122738002</v>
      </c>
      <c r="BD847" s="51" t="n">
        <v>0.02360346184107003</v>
      </c>
      <c r="BE847" s="51" t="n">
        <v>0.2904255319148936</v>
      </c>
      <c r="BF847" s="43" t="n">
        <v>1271</v>
      </c>
    </row>
    <row r="848">
      <c r="A848" s="42" t="inlineStr">
        <is>
          <t>NE</t>
        </is>
      </c>
      <c r="B848" s="42" t="inlineStr">
        <is>
          <t>31151</t>
        </is>
      </c>
      <c r="C848" s="42" t="inlineStr">
        <is>
          <t>Saline</t>
        </is>
      </c>
      <c r="D848" s="42" t="inlineStr">
        <is>
          <t>Small town &amp; rural</t>
        </is>
      </c>
      <c r="E848" s="42" t="inlineStr"/>
      <c r="F848" s="43" t="n">
        <v>1855</v>
      </c>
      <c r="G848" s="43" t="n">
        <v>3734</v>
      </c>
      <c r="H848" s="43" t="n">
        <v>5655</v>
      </c>
      <c r="I848" s="43" t="n">
        <v>1986</v>
      </c>
      <c r="J848" s="43" t="n">
        <v>3631</v>
      </c>
      <c r="K848" s="42" t="inlineStr">
        <is>
          <t>Governor</t>
        </is>
      </c>
      <c r="L848" s="43" t="n">
        <v>1188</v>
      </c>
      <c r="M848" s="43" t="n">
        <v>2388</v>
      </c>
      <c r="N848" s="43" t="n">
        <v>3755</v>
      </c>
      <c r="O848" s="44">
        <f>IFERROR((F848-G848)/(F848+G848),"")</f>
        <v/>
      </c>
      <c r="P848" s="44">
        <f>IFERROR((I848-J848)/(I848+J848),"")</f>
        <v/>
      </c>
      <c r="Q848" s="45">
        <f>IFERROR(O848-P848,"")</f>
        <v/>
      </c>
      <c r="R848" s="44">
        <f>IFERROR((L848-M848)/(L848+M848),"")</f>
        <v/>
      </c>
      <c r="S848" s="46">
        <f>H848/SUMIFS(Counties!$H$2:$H$1583,Counties!$A$2:$A$1583,$A848)</f>
        <v/>
      </c>
      <c r="T848" s="44">
        <f>O848+INDEX(Dashboard!$F$6:$F$22,MATCH($A848,Dashboard!$A$6:$A$22,0))</f>
        <v/>
      </c>
      <c r="U848" s="43">
        <f>AQ848*INDEX(Dashboard!$G$6:$G$22,MATCH($A848,Dashboard!$A$6:$A$22,0))</f>
        <v/>
      </c>
      <c r="V848" s="47" t="n"/>
      <c r="W848" s="47" t="n"/>
      <c r="X848" s="47" t="n"/>
      <c r="Y848" s="48" t="n"/>
      <c r="Z848" s="49" t="n"/>
      <c r="AA848" s="49" t="n"/>
      <c r="AB848" s="49" t="n"/>
      <c r="AC848" s="50" t="n"/>
      <c r="AD848" s="43">
        <f>IF(Z848&lt;&gt;"",Z848,N(V848))</f>
        <v/>
      </c>
      <c r="AE848" s="43">
        <f>IF(AA848&lt;&gt;"",AA848,N(W848))</f>
        <v/>
      </c>
      <c r="AF848" s="43">
        <f>AD848+AE848</f>
        <v/>
      </c>
      <c r="AG848" s="42">
        <f>IF(UPPER(AC848)="Y",1,IF(AF848=0,0,IF(AND(Z848="",Y848&lt;&gt;""),IF(Y848&gt;=0.999,1,0),IF(AF848&gt;=U848,1,0))))</f>
        <v/>
      </c>
      <c r="AH848" s="44">
        <f>IF(AF848&gt;0,(AD848-AE848)/AF848,"")</f>
        <v/>
      </c>
      <c r="AI848" s="45">
        <f>IF(AG848=1,AH848-O848,"")</f>
        <v/>
      </c>
      <c r="AJ848" s="44">
        <f>IF(AG848=1,AH848,MAX(-1,MIN(1,O848+INDEX(Types!$H:$H,MATCH($A848&amp;"|"&amp;$D848,Types!$A:$A,0)))))</f>
        <v/>
      </c>
      <c r="AK848" s="43">
        <f>IF(AG848=1,AF848,MAX(AQ848*AS848,AF848))</f>
        <v/>
      </c>
      <c r="AL848" s="43">
        <f>IF(AG848=1,AD848,AK848*(1+AJ848)/2)</f>
        <v/>
      </c>
      <c r="AM848" s="43">
        <f>IF(AG848=1,AE848,AK848*(1-AJ848)/2)</f>
        <v/>
      </c>
      <c r="AN848" s="45">
        <f>IF(AH848="","",AH848-T848)</f>
        <v/>
      </c>
      <c r="AO848" s="51">
        <f>IF(AG848=1,1,IF(U848&gt;0,MIN(AF848/U848,0.99),0))</f>
        <v/>
      </c>
      <c r="AP848" s="43">
        <f>IF(AG848=1,AI848*AF848,0)</f>
        <v/>
      </c>
      <c r="AQ848" s="43">
        <f>N848*(F848+G848)/H848</f>
        <v/>
      </c>
      <c r="AR848" s="43">
        <f>O848*AQ848</f>
        <v/>
      </c>
      <c r="AS848" s="52">
        <f>IF(AG848=1,IF(AQ848&gt;0,AF848/AQ848,1),IFERROR(INDEX(Types!$K:$K,MATCH($A848&amp;"|"&amp;$D848,Types!$A:$A,0)),INDEX(Dashboard!$X$6:$X$22,MATCH($A848,Dashboard!$A$6:$A$22,0))))</f>
        <v/>
      </c>
      <c r="AT848" s="43">
        <f>AQ848*INDEX(Dashboard!$Y$6:$Y$22,MATCH($A848,Dashboard!$A$6:$A$22,0))</f>
        <v/>
      </c>
      <c r="AU848" s="53">
        <f>IF(AND(AG848=1,AT848&gt;0,AF848&gt;0),100*AF848/AT848,"")</f>
        <v/>
      </c>
      <c r="AV848" s="44">
        <f>IF(AU848="","",T848/(AU848/100))</f>
        <v/>
      </c>
      <c r="AW848" s="53">
        <f>IF(AU848="","",IF(AND(ABS(AH848)&gt;=0.1,ABS(T848)&gt;=0.05,SIGN(AH848)=SIGN(T848)),100*T848/AH848,""))</f>
        <v/>
      </c>
      <c r="AX848" s="45">
        <f>IF(AU848="","",T848-AV848)</f>
        <v/>
      </c>
      <c r="AY848" s="45">
        <f>IF(AU848="","",AH848-AV848)</f>
        <v/>
      </c>
      <c r="AZ848" s="54">
        <f>(AL848-AM848)-T848*AT848</f>
        <v/>
      </c>
      <c r="BA848" s="43">
        <f>IF(AU848="",0,(AH848-T848)*AF848)</f>
        <v/>
      </c>
      <c r="BB848" s="43">
        <f>IF(AU848="",0,T848*(AF848-AT848))</f>
        <v/>
      </c>
      <c r="BC848" s="51" t="n">
        <v>0.01140501545860529</v>
      </c>
      <c r="BD848" s="51" t="n">
        <v>0.2971487461353487</v>
      </c>
      <c r="BE848" s="51" t="n">
        <v>0.2012667904335481</v>
      </c>
      <c r="BF848" s="43" t="n">
        <v>14555</v>
      </c>
    </row>
    <row r="849">
      <c r="A849" s="42" t="inlineStr">
        <is>
          <t>NE</t>
        </is>
      </c>
      <c r="B849" s="42" t="inlineStr">
        <is>
          <t>31153</t>
        </is>
      </c>
      <c r="C849" s="42" t="inlineStr">
        <is>
          <t>Sarpy</t>
        </is>
      </c>
      <c r="D849" s="42" t="inlineStr">
        <is>
          <t>College suburb/metro</t>
        </is>
      </c>
      <c r="E849" s="42" t="inlineStr">
        <is>
          <t>★</t>
        </is>
      </c>
      <c r="F849" s="43" t="n">
        <v>43825</v>
      </c>
      <c r="G849" s="43" t="n">
        <v>55567</v>
      </c>
      <c r="H849" s="43" t="n">
        <v>100735</v>
      </c>
      <c r="I849" s="43" t="n">
        <v>41206</v>
      </c>
      <c r="J849" s="43" t="n">
        <v>51979</v>
      </c>
      <c r="K849" s="42" t="inlineStr">
        <is>
          <t>Governor</t>
        </is>
      </c>
      <c r="L849" s="43" t="n">
        <v>26039</v>
      </c>
      <c r="M849" s="43" t="n">
        <v>35821</v>
      </c>
      <c r="N849" s="43" t="n">
        <v>64436</v>
      </c>
      <c r="O849" s="44">
        <f>IFERROR((F849-G849)/(F849+G849),"")</f>
        <v/>
      </c>
      <c r="P849" s="44">
        <f>IFERROR((I849-J849)/(I849+J849),"")</f>
        <v/>
      </c>
      <c r="Q849" s="45">
        <f>IFERROR(O849-P849,"")</f>
        <v/>
      </c>
      <c r="R849" s="44">
        <f>IFERROR((L849-M849)/(L849+M849),"")</f>
        <v/>
      </c>
      <c r="S849" s="46">
        <f>H849/SUMIFS(Counties!$H$2:$H$1583,Counties!$A$2:$A$1583,$A849)</f>
        <v/>
      </c>
      <c r="T849" s="44">
        <f>O849+INDEX(Dashboard!$F$6:$F$22,MATCH($A849,Dashboard!$A$6:$A$22,0))</f>
        <v/>
      </c>
      <c r="U849" s="43">
        <f>AQ849*INDEX(Dashboard!$G$6:$G$22,MATCH($A849,Dashboard!$A$6:$A$22,0))</f>
        <v/>
      </c>
      <c r="V849" s="47" t="n"/>
      <c r="W849" s="47" t="n"/>
      <c r="X849" s="47" t="n"/>
      <c r="Y849" s="48" t="n"/>
      <c r="Z849" s="49" t="n"/>
      <c r="AA849" s="49" t="n"/>
      <c r="AB849" s="49" t="n"/>
      <c r="AC849" s="50" t="n"/>
      <c r="AD849" s="43">
        <f>IF(Z849&lt;&gt;"",Z849,N(V849))</f>
        <v/>
      </c>
      <c r="AE849" s="43">
        <f>IF(AA849&lt;&gt;"",AA849,N(W849))</f>
        <v/>
      </c>
      <c r="AF849" s="43">
        <f>AD849+AE849</f>
        <v/>
      </c>
      <c r="AG849" s="42">
        <f>IF(UPPER(AC849)="Y",1,IF(AF849=0,0,IF(AND(Z849="",Y849&lt;&gt;""),IF(Y849&gt;=0.999,1,0),IF(AF849&gt;=U849,1,0))))</f>
        <v/>
      </c>
      <c r="AH849" s="44">
        <f>IF(AF849&gt;0,(AD849-AE849)/AF849,"")</f>
        <v/>
      </c>
      <c r="AI849" s="45">
        <f>IF(AG849=1,AH849-O849,"")</f>
        <v/>
      </c>
      <c r="AJ849" s="44">
        <f>IF(AG849=1,AH849,MAX(-1,MIN(1,O849+INDEX(Types!$H:$H,MATCH($A849&amp;"|"&amp;$D849,Types!$A:$A,0)))))</f>
        <v/>
      </c>
      <c r="AK849" s="43">
        <f>IF(AG849=1,AF849,MAX(AQ849*AS849,AF849))</f>
        <v/>
      </c>
      <c r="AL849" s="43">
        <f>IF(AG849=1,AD849,AK849*(1+AJ849)/2)</f>
        <v/>
      </c>
      <c r="AM849" s="43">
        <f>IF(AG849=1,AE849,AK849*(1-AJ849)/2)</f>
        <v/>
      </c>
      <c r="AN849" s="45">
        <f>IF(AH849="","",AH849-T849)</f>
        <v/>
      </c>
      <c r="AO849" s="51">
        <f>IF(AG849=1,1,IF(U849&gt;0,MIN(AF849/U849,0.99),0))</f>
        <v/>
      </c>
      <c r="AP849" s="43">
        <f>IF(AG849=1,AI849*AF849,0)</f>
        <v/>
      </c>
      <c r="AQ849" s="43">
        <f>N849*(F849+G849)/H849</f>
        <v/>
      </c>
      <c r="AR849" s="43">
        <f>O849*AQ849</f>
        <v/>
      </c>
      <c r="AS849" s="52">
        <f>IF(AG849=1,IF(AQ849&gt;0,AF849/AQ849,1),IFERROR(INDEX(Types!$K:$K,MATCH($A849&amp;"|"&amp;$D849,Types!$A:$A,0)),INDEX(Dashboard!$X$6:$X$22,MATCH($A849,Dashboard!$A$6:$A$22,0))))</f>
        <v/>
      </c>
      <c r="AT849" s="43">
        <f>AQ849*INDEX(Dashboard!$Y$6:$Y$22,MATCH($A849,Dashboard!$A$6:$A$22,0))</f>
        <v/>
      </c>
      <c r="AU849" s="53">
        <f>IF(AND(AG849=1,AT849&gt;0,AF849&gt;0),100*AF849/AT849,"")</f>
        <v/>
      </c>
      <c r="AV849" s="44">
        <f>IF(AU849="","",T849/(AU849/100))</f>
        <v/>
      </c>
      <c r="AW849" s="53">
        <f>IF(AU849="","",IF(AND(ABS(AH849)&gt;=0.1,ABS(T849)&gt;=0.05,SIGN(AH849)=SIGN(T849)),100*T849/AH849,""))</f>
        <v/>
      </c>
      <c r="AX849" s="45">
        <f>IF(AU849="","",T849-AV849)</f>
        <v/>
      </c>
      <c r="AY849" s="45">
        <f>IF(AU849="","",AH849-AV849)</f>
        <v/>
      </c>
      <c r="AZ849" s="54">
        <f>(AL849-AM849)-T849*AT849</f>
        <v/>
      </c>
      <c r="BA849" s="43">
        <f>IF(AU849="",0,(AH849-T849)*AF849)</f>
        <v/>
      </c>
      <c r="BB849" s="43">
        <f>IF(AU849="",0,T849*(AF849-AT849))</f>
        <v/>
      </c>
      <c r="BC849" s="51" t="n">
        <v>0.04297449546241357</v>
      </c>
      <c r="BD849" s="51" t="n">
        <v>0.118287423831584</v>
      </c>
      <c r="BE849" s="51" t="n">
        <v>0.4186825337480412</v>
      </c>
      <c r="BF849" s="43" t="n">
        <v>199886</v>
      </c>
    </row>
    <row r="850">
      <c r="A850" s="42" t="inlineStr">
        <is>
          <t>NE</t>
        </is>
      </c>
      <c r="B850" s="42" t="inlineStr">
        <is>
          <t>31155</t>
        </is>
      </c>
      <c r="C850" s="42" t="inlineStr">
        <is>
          <t>Saunders</t>
        </is>
      </c>
      <c r="D850" s="42" t="inlineStr">
        <is>
          <t>Small town &amp; rural</t>
        </is>
      </c>
      <c r="E850" s="42" t="inlineStr"/>
      <c r="F850" s="43" t="n">
        <v>3558</v>
      </c>
      <c r="G850" s="43" t="n">
        <v>9854</v>
      </c>
      <c r="H850" s="43" t="n">
        <v>13565</v>
      </c>
      <c r="I850" s="43" t="n">
        <v>3331</v>
      </c>
      <c r="J850" s="43" t="n">
        <v>9108</v>
      </c>
      <c r="K850" s="42" t="inlineStr">
        <is>
          <t>Governor</t>
        </is>
      </c>
      <c r="L850" s="43" t="n">
        <v>2316</v>
      </c>
      <c r="M850" s="43" t="n">
        <v>6842</v>
      </c>
      <c r="N850" s="43" t="n">
        <v>9606</v>
      </c>
      <c r="O850" s="44">
        <f>IFERROR((F850-G850)/(F850+G850),"")</f>
        <v/>
      </c>
      <c r="P850" s="44">
        <f>IFERROR((I850-J850)/(I850+J850),"")</f>
        <v/>
      </c>
      <c r="Q850" s="45">
        <f>IFERROR(O850-P850,"")</f>
        <v/>
      </c>
      <c r="R850" s="44">
        <f>IFERROR((L850-M850)/(L850+M850),"")</f>
        <v/>
      </c>
      <c r="S850" s="46">
        <f>H850/SUMIFS(Counties!$H$2:$H$1583,Counties!$A$2:$A$1583,$A850)</f>
        <v/>
      </c>
      <c r="T850" s="44">
        <f>O850+INDEX(Dashboard!$F$6:$F$22,MATCH($A850,Dashboard!$A$6:$A$22,0))</f>
        <v/>
      </c>
      <c r="U850" s="43">
        <f>AQ850*INDEX(Dashboard!$G$6:$G$22,MATCH($A850,Dashboard!$A$6:$A$22,0))</f>
        <v/>
      </c>
      <c r="V850" s="47" t="n"/>
      <c r="W850" s="47" t="n"/>
      <c r="X850" s="47" t="n"/>
      <c r="Y850" s="48" t="n"/>
      <c r="Z850" s="49" t="n"/>
      <c r="AA850" s="49" t="n"/>
      <c r="AB850" s="49" t="n"/>
      <c r="AC850" s="50" t="n"/>
      <c r="AD850" s="43">
        <f>IF(Z850&lt;&gt;"",Z850,N(V850))</f>
        <v/>
      </c>
      <c r="AE850" s="43">
        <f>IF(AA850&lt;&gt;"",AA850,N(W850))</f>
        <v/>
      </c>
      <c r="AF850" s="43">
        <f>AD850+AE850</f>
        <v/>
      </c>
      <c r="AG850" s="42">
        <f>IF(UPPER(AC850)="Y",1,IF(AF850=0,0,IF(AND(Z850="",Y850&lt;&gt;""),IF(Y850&gt;=0.999,1,0),IF(AF850&gt;=U850,1,0))))</f>
        <v/>
      </c>
      <c r="AH850" s="44">
        <f>IF(AF850&gt;0,(AD850-AE850)/AF850,"")</f>
        <v/>
      </c>
      <c r="AI850" s="45">
        <f>IF(AG850=1,AH850-O850,"")</f>
        <v/>
      </c>
      <c r="AJ850" s="44">
        <f>IF(AG850=1,AH850,MAX(-1,MIN(1,O850+INDEX(Types!$H:$H,MATCH($A850&amp;"|"&amp;$D850,Types!$A:$A,0)))))</f>
        <v/>
      </c>
      <c r="AK850" s="43">
        <f>IF(AG850=1,AF850,MAX(AQ850*AS850,AF850))</f>
        <v/>
      </c>
      <c r="AL850" s="43">
        <f>IF(AG850=1,AD850,AK850*(1+AJ850)/2)</f>
        <v/>
      </c>
      <c r="AM850" s="43">
        <f>IF(AG850=1,AE850,AK850*(1-AJ850)/2)</f>
        <v/>
      </c>
      <c r="AN850" s="45">
        <f>IF(AH850="","",AH850-T850)</f>
        <v/>
      </c>
      <c r="AO850" s="51">
        <f>IF(AG850=1,1,IF(U850&gt;0,MIN(AF850/U850,0.99),0))</f>
        <v/>
      </c>
      <c r="AP850" s="43">
        <f>IF(AG850=1,AI850*AF850,0)</f>
        <v/>
      </c>
      <c r="AQ850" s="43">
        <f>N850*(F850+G850)/H850</f>
        <v/>
      </c>
      <c r="AR850" s="43">
        <f>O850*AQ850</f>
        <v/>
      </c>
      <c r="AS850" s="52">
        <f>IF(AG850=1,IF(AQ850&gt;0,AF850/AQ850,1),IFERROR(INDEX(Types!$K:$K,MATCH($A850&amp;"|"&amp;$D850,Types!$A:$A,0)),INDEX(Dashboard!$X$6:$X$22,MATCH($A850,Dashboard!$A$6:$A$22,0))))</f>
        <v/>
      </c>
      <c r="AT850" s="43">
        <f>AQ850*INDEX(Dashboard!$Y$6:$Y$22,MATCH($A850,Dashboard!$A$6:$A$22,0))</f>
        <v/>
      </c>
      <c r="AU850" s="53">
        <f>IF(AND(AG850=1,AT850&gt;0,AF850&gt;0),100*AF850/AT850,"")</f>
        <v/>
      </c>
      <c r="AV850" s="44">
        <f>IF(AU850="","",T850/(AU850/100))</f>
        <v/>
      </c>
      <c r="AW850" s="53">
        <f>IF(AU850="","",IF(AND(ABS(AH850)&gt;=0.1,ABS(T850)&gt;=0.05,SIGN(AH850)=SIGN(T850)),100*T850/AH850,""))</f>
        <v/>
      </c>
      <c r="AX850" s="45">
        <f>IF(AU850="","",T850-AV850)</f>
        <v/>
      </c>
      <c r="AY850" s="45">
        <f>IF(AU850="","",AH850-AV850)</f>
        <v/>
      </c>
      <c r="AZ850" s="54">
        <f>(AL850-AM850)-T850*AT850</f>
        <v/>
      </c>
      <c r="BA850" s="43">
        <f>IF(AU850="",0,(AH850-T850)*AF850)</f>
        <v/>
      </c>
      <c r="BB850" s="43">
        <f>IF(AU850="",0,T850*(AF850-AT850))</f>
        <v/>
      </c>
      <c r="BC850" s="51" t="n">
        <v>0.005966841409879384</v>
      </c>
      <c r="BD850" s="51" t="n">
        <v>0.02812939521800281</v>
      </c>
      <c r="BE850" s="51" t="n">
        <v>0.3030361507783353</v>
      </c>
      <c r="BF850" s="43" t="n">
        <v>23463</v>
      </c>
    </row>
    <row r="851">
      <c r="A851" s="42" t="inlineStr">
        <is>
          <t>NE</t>
        </is>
      </c>
      <c r="B851" s="42" t="inlineStr">
        <is>
          <t>31157</t>
        </is>
      </c>
      <c r="C851" s="42" t="inlineStr">
        <is>
          <t>Scotts Bluff</t>
        </is>
      </c>
      <c r="D851" s="42" t="inlineStr">
        <is>
          <t>Small town &amp; rural</t>
        </is>
      </c>
      <c r="E851" s="42" t="inlineStr"/>
      <c r="F851" s="43" t="n">
        <v>3856</v>
      </c>
      <c r="G851" s="43" t="n">
        <v>11033</v>
      </c>
      <c r="H851" s="43" t="n">
        <v>15040</v>
      </c>
      <c r="I851" s="43" t="n">
        <v>4196</v>
      </c>
      <c r="J851" s="43" t="n">
        <v>10952</v>
      </c>
      <c r="K851" s="42" t="inlineStr">
        <is>
          <t>Governor</t>
        </is>
      </c>
      <c r="L851" s="43" t="n">
        <v>2259</v>
      </c>
      <c r="M851" s="43" t="n">
        <v>7125</v>
      </c>
      <c r="N851" s="43" t="n">
        <v>9816</v>
      </c>
      <c r="O851" s="44">
        <f>IFERROR((F851-G851)/(F851+G851),"")</f>
        <v/>
      </c>
      <c r="P851" s="44">
        <f>IFERROR((I851-J851)/(I851+J851),"")</f>
        <v/>
      </c>
      <c r="Q851" s="45">
        <f>IFERROR(O851-P851,"")</f>
        <v/>
      </c>
      <c r="R851" s="44">
        <f>IFERROR((L851-M851)/(L851+M851),"")</f>
        <v/>
      </c>
      <c r="S851" s="46">
        <f>H851/SUMIFS(Counties!$H$2:$H$1583,Counties!$A$2:$A$1583,$A851)</f>
        <v/>
      </c>
      <c r="T851" s="44">
        <f>O851+INDEX(Dashboard!$F$6:$F$22,MATCH($A851,Dashboard!$A$6:$A$22,0))</f>
        <v/>
      </c>
      <c r="U851" s="43">
        <f>AQ851*INDEX(Dashboard!$G$6:$G$22,MATCH($A851,Dashboard!$A$6:$A$22,0))</f>
        <v/>
      </c>
      <c r="V851" s="47" t="n"/>
      <c r="W851" s="47" t="n"/>
      <c r="X851" s="47" t="n"/>
      <c r="Y851" s="48" t="n"/>
      <c r="Z851" s="49" t="n"/>
      <c r="AA851" s="49" t="n"/>
      <c r="AB851" s="49" t="n"/>
      <c r="AC851" s="50" t="n"/>
      <c r="AD851" s="43">
        <f>IF(Z851&lt;&gt;"",Z851,N(V851))</f>
        <v/>
      </c>
      <c r="AE851" s="43">
        <f>IF(AA851&lt;&gt;"",AA851,N(W851))</f>
        <v/>
      </c>
      <c r="AF851" s="43">
        <f>AD851+AE851</f>
        <v/>
      </c>
      <c r="AG851" s="42">
        <f>IF(UPPER(AC851)="Y",1,IF(AF851=0,0,IF(AND(Z851="",Y851&lt;&gt;""),IF(Y851&gt;=0.999,1,0),IF(AF851&gt;=U851,1,0))))</f>
        <v/>
      </c>
      <c r="AH851" s="44">
        <f>IF(AF851&gt;0,(AD851-AE851)/AF851,"")</f>
        <v/>
      </c>
      <c r="AI851" s="45">
        <f>IF(AG851=1,AH851-O851,"")</f>
        <v/>
      </c>
      <c r="AJ851" s="44">
        <f>IF(AG851=1,AH851,MAX(-1,MIN(1,O851+INDEX(Types!$H:$H,MATCH($A851&amp;"|"&amp;$D851,Types!$A:$A,0)))))</f>
        <v/>
      </c>
      <c r="AK851" s="43">
        <f>IF(AG851=1,AF851,MAX(AQ851*AS851,AF851))</f>
        <v/>
      </c>
      <c r="AL851" s="43">
        <f>IF(AG851=1,AD851,AK851*(1+AJ851)/2)</f>
        <v/>
      </c>
      <c r="AM851" s="43">
        <f>IF(AG851=1,AE851,AK851*(1-AJ851)/2)</f>
        <v/>
      </c>
      <c r="AN851" s="45">
        <f>IF(AH851="","",AH851-T851)</f>
        <v/>
      </c>
      <c r="AO851" s="51">
        <f>IF(AG851=1,1,IF(U851&gt;0,MIN(AF851/U851,0.99),0))</f>
        <v/>
      </c>
      <c r="AP851" s="43">
        <f>IF(AG851=1,AI851*AF851,0)</f>
        <v/>
      </c>
      <c r="AQ851" s="43">
        <f>N851*(F851+G851)/H851</f>
        <v/>
      </c>
      <c r="AR851" s="43">
        <f>O851*AQ851</f>
        <v/>
      </c>
      <c r="AS851" s="52">
        <f>IF(AG851=1,IF(AQ851&gt;0,AF851/AQ851,1),IFERROR(INDEX(Types!$K:$K,MATCH($A851&amp;"|"&amp;$D851,Types!$A:$A,0)),INDEX(Dashboard!$X$6:$X$22,MATCH($A851,Dashboard!$A$6:$A$22,0))))</f>
        <v/>
      </c>
      <c r="AT851" s="43">
        <f>AQ851*INDEX(Dashboard!$Y$6:$Y$22,MATCH($A851,Dashboard!$A$6:$A$22,0))</f>
        <v/>
      </c>
      <c r="AU851" s="53">
        <f>IF(AND(AG851=1,AT851&gt;0,AF851&gt;0),100*AF851/AT851,"")</f>
        <v/>
      </c>
      <c r="AV851" s="44">
        <f>IF(AU851="","",T851/(AU851/100))</f>
        <v/>
      </c>
      <c r="AW851" s="53">
        <f>IF(AU851="","",IF(AND(ABS(AH851)&gt;=0.1,ABS(T851)&gt;=0.05,SIGN(AH851)=SIGN(T851)),100*T851/AH851,""))</f>
        <v/>
      </c>
      <c r="AX851" s="45">
        <f>IF(AU851="","",T851-AV851)</f>
        <v/>
      </c>
      <c r="AY851" s="45">
        <f>IF(AU851="","",AH851-AV851)</f>
        <v/>
      </c>
      <c r="AZ851" s="54">
        <f>(AL851-AM851)-T851*AT851</f>
        <v/>
      </c>
      <c r="BA851" s="43">
        <f>IF(AU851="",0,(AH851-T851)*AF851)</f>
        <v/>
      </c>
      <c r="BB851" s="43">
        <f>IF(AU851="",0,T851*(AF851-AT851))</f>
        <v/>
      </c>
      <c r="BC851" s="51" t="n">
        <v>0.007423177119807277</v>
      </c>
      <c r="BD851" s="51" t="n">
        <v>0.2413512983556962</v>
      </c>
      <c r="BE851" s="51" t="n">
        <v>0.2590235289286741</v>
      </c>
      <c r="BF851" s="43" t="n">
        <v>35699</v>
      </c>
    </row>
    <row r="852">
      <c r="A852" s="42" t="inlineStr">
        <is>
          <t>NE</t>
        </is>
      </c>
      <c r="B852" s="42" t="inlineStr">
        <is>
          <t>31159</t>
        </is>
      </c>
      <c r="C852" s="42" t="inlineStr">
        <is>
          <t>Seward</t>
        </is>
      </c>
      <c r="D852" s="42" t="inlineStr">
        <is>
          <t>Small town &amp; rural</t>
        </is>
      </c>
      <c r="E852" s="42" t="inlineStr"/>
      <c r="F852" s="43" t="n">
        <v>2388</v>
      </c>
      <c r="G852" s="43" t="n">
        <v>6667</v>
      </c>
      <c r="H852" s="43" t="n">
        <v>9184</v>
      </c>
      <c r="I852" s="43" t="n">
        <v>2438</v>
      </c>
      <c r="J852" s="43" t="n">
        <v>6490</v>
      </c>
      <c r="K852" s="42" t="inlineStr">
        <is>
          <t>Governor</t>
        </is>
      </c>
      <c r="L852" s="43" t="n">
        <v>1556</v>
      </c>
      <c r="M852" s="43" t="n">
        <v>4921</v>
      </c>
      <c r="N852" s="43" t="n">
        <v>6721</v>
      </c>
      <c r="O852" s="44">
        <f>IFERROR((F852-G852)/(F852+G852),"")</f>
        <v/>
      </c>
      <c r="P852" s="44">
        <f>IFERROR((I852-J852)/(I852+J852),"")</f>
        <v/>
      </c>
      <c r="Q852" s="45">
        <f>IFERROR(O852-P852,"")</f>
        <v/>
      </c>
      <c r="R852" s="44">
        <f>IFERROR((L852-M852)/(L852+M852),"")</f>
        <v/>
      </c>
      <c r="S852" s="46">
        <f>H852/SUMIFS(Counties!$H$2:$H$1583,Counties!$A$2:$A$1583,$A852)</f>
        <v/>
      </c>
      <c r="T852" s="44">
        <f>O852+INDEX(Dashboard!$F$6:$F$22,MATCH($A852,Dashboard!$A$6:$A$22,0))</f>
        <v/>
      </c>
      <c r="U852" s="43">
        <f>AQ852*INDEX(Dashboard!$G$6:$G$22,MATCH($A852,Dashboard!$A$6:$A$22,0))</f>
        <v/>
      </c>
      <c r="V852" s="47" t="n"/>
      <c r="W852" s="47" t="n"/>
      <c r="X852" s="47" t="n"/>
      <c r="Y852" s="48" t="n"/>
      <c r="Z852" s="49" t="n"/>
      <c r="AA852" s="49" t="n"/>
      <c r="AB852" s="49" t="n"/>
      <c r="AC852" s="50" t="n"/>
      <c r="AD852" s="43">
        <f>IF(Z852&lt;&gt;"",Z852,N(V852))</f>
        <v/>
      </c>
      <c r="AE852" s="43">
        <f>IF(AA852&lt;&gt;"",AA852,N(W852))</f>
        <v/>
      </c>
      <c r="AF852" s="43">
        <f>AD852+AE852</f>
        <v/>
      </c>
      <c r="AG852" s="42">
        <f>IF(UPPER(AC852)="Y",1,IF(AF852=0,0,IF(AND(Z852="",Y852&lt;&gt;""),IF(Y852&gt;=0.999,1,0),IF(AF852&gt;=U852,1,0))))</f>
        <v/>
      </c>
      <c r="AH852" s="44">
        <f>IF(AF852&gt;0,(AD852-AE852)/AF852,"")</f>
        <v/>
      </c>
      <c r="AI852" s="45">
        <f>IF(AG852=1,AH852-O852,"")</f>
        <v/>
      </c>
      <c r="AJ852" s="44">
        <f>IF(AG852=1,AH852,MAX(-1,MIN(1,O852+INDEX(Types!$H:$H,MATCH($A852&amp;"|"&amp;$D852,Types!$A:$A,0)))))</f>
        <v/>
      </c>
      <c r="AK852" s="43">
        <f>IF(AG852=1,AF852,MAX(AQ852*AS852,AF852))</f>
        <v/>
      </c>
      <c r="AL852" s="43">
        <f>IF(AG852=1,AD852,AK852*(1+AJ852)/2)</f>
        <v/>
      </c>
      <c r="AM852" s="43">
        <f>IF(AG852=1,AE852,AK852*(1-AJ852)/2)</f>
        <v/>
      </c>
      <c r="AN852" s="45">
        <f>IF(AH852="","",AH852-T852)</f>
        <v/>
      </c>
      <c r="AO852" s="51">
        <f>IF(AG852=1,1,IF(U852&gt;0,MIN(AF852/U852,0.99),0))</f>
        <v/>
      </c>
      <c r="AP852" s="43">
        <f>IF(AG852=1,AI852*AF852,0)</f>
        <v/>
      </c>
      <c r="AQ852" s="43">
        <f>N852*(F852+G852)/H852</f>
        <v/>
      </c>
      <c r="AR852" s="43">
        <f>O852*AQ852</f>
        <v/>
      </c>
      <c r="AS852" s="52">
        <f>IF(AG852=1,IF(AQ852&gt;0,AF852/AQ852,1),IFERROR(INDEX(Types!$K:$K,MATCH($A852&amp;"|"&amp;$D852,Types!$A:$A,0)),INDEX(Dashboard!$X$6:$X$22,MATCH($A852,Dashboard!$A$6:$A$22,0))))</f>
        <v/>
      </c>
      <c r="AT852" s="43">
        <f>AQ852*INDEX(Dashboard!$Y$6:$Y$22,MATCH($A852,Dashboard!$A$6:$A$22,0))</f>
        <v/>
      </c>
      <c r="AU852" s="53">
        <f>IF(AND(AG852=1,AT852&gt;0,AF852&gt;0),100*AF852/AT852,"")</f>
        <v/>
      </c>
      <c r="AV852" s="44">
        <f>IF(AU852="","",T852/(AU852/100))</f>
        <v/>
      </c>
      <c r="AW852" s="53">
        <f>IF(AU852="","",IF(AND(ABS(AH852)&gt;=0.1,ABS(T852)&gt;=0.05,SIGN(AH852)=SIGN(T852)),100*T852/AH852,""))</f>
        <v/>
      </c>
      <c r="AX852" s="45">
        <f>IF(AU852="","",T852-AV852)</f>
        <v/>
      </c>
      <c r="AY852" s="45">
        <f>IF(AU852="","",AH852-AV852)</f>
        <v/>
      </c>
      <c r="AZ852" s="54">
        <f>(AL852-AM852)-T852*AT852</f>
        <v/>
      </c>
      <c r="BA852" s="43">
        <f>IF(AU852="",0,(AH852-T852)*AF852)</f>
        <v/>
      </c>
      <c r="BB852" s="43">
        <f>IF(AU852="",0,T852*(AF852-AT852))</f>
        <v/>
      </c>
      <c r="BC852" s="51" t="n">
        <v>0.007865995133269198</v>
      </c>
      <c r="BD852" s="51" t="n">
        <v>0.03050195235131006</v>
      </c>
      <c r="BE852" s="51" t="n">
        <v>0.3162123126918217</v>
      </c>
      <c r="BF852" s="43" t="n">
        <v>17671</v>
      </c>
    </row>
    <row r="853">
      <c r="A853" s="42" t="inlineStr">
        <is>
          <t>NE</t>
        </is>
      </c>
      <c r="B853" s="42" t="inlineStr">
        <is>
          <t>31161</t>
        </is>
      </c>
      <c r="C853" s="42" t="inlineStr">
        <is>
          <t>Sheridan</t>
        </is>
      </c>
      <c r="D853" s="42" t="inlineStr">
        <is>
          <t>Small town &amp; rural</t>
        </is>
      </c>
      <c r="E853" s="42" t="inlineStr"/>
      <c r="F853" s="43" t="n">
        <v>362</v>
      </c>
      <c r="G853" s="43" t="n">
        <v>2102</v>
      </c>
      <c r="H853" s="43" t="n">
        <v>2484</v>
      </c>
      <c r="I853" s="43" t="n">
        <v>340</v>
      </c>
      <c r="J853" s="43" t="n">
        <v>2292</v>
      </c>
      <c r="K853" s="42" t="inlineStr">
        <is>
          <t>Governor</t>
        </is>
      </c>
      <c r="L853" s="43" t="n">
        <v>226</v>
      </c>
      <c r="M853" s="43" t="n">
        <v>1349</v>
      </c>
      <c r="N853" s="43" t="n">
        <v>1678</v>
      </c>
      <c r="O853" s="44">
        <f>IFERROR((F853-G853)/(F853+G853),"")</f>
        <v/>
      </c>
      <c r="P853" s="44">
        <f>IFERROR((I853-J853)/(I853+J853),"")</f>
        <v/>
      </c>
      <c r="Q853" s="45">
        <f>IFERROR(O853-P853,"")</f>
        <v/>
      </c>
      <c r="R853" s="44">
        <f>IFERROR((L853-M853)/(L853+M853),"")</f>
        <v/>
      </c>
      <c r="S853" s="46">
        <f>H853/SUMIFS(Counties!$H$2:$H$1583,Counties!$A$2:$A$1583,$A853)</f>
        <v/>
      </c>
      <c r="T853" s="44">
        <f>O853+INDEX(Dashboard!$F$6:$F$22,MATCH($A853,Dashboard!$A$6:$A$22,0))</f>
        <v/>
      </c>
      <c r="U853" s="43">
        <f>AQ853*INDEX(Dashboard!$G$6:$G$22,MATCH($A853,Dashboard!$A$6:$A$22,0))</f>
        <v/>
      </c>
      <c r="V853" s="47" t="n"/>
      <c r="W853" s="47" t="n"/>
      <c r="X853" s="47" t="n"/>
      <c r="Y853" s="48" t="n"/>
      <c r="Z853" s="49" t="n"/>
      <c r="AA853" s="49" t="n"/>
      <c r="AB853" s="49" t="n"/>
      <c r="AC853" s="50" t="n"/>
      <c r="AD853" s="43">
        <f>IF(Z853&lt;&gt;"",Z853,N(V853))</f>
        <v/>
      </c>
      <c r="AE853" s="43">
        <f>IF(AA853&lt;&gt;"",AA853,N(W853))</f>
        <v/>
      </c>
      <c r="AF853" s="43">
        <f>AD853+AE853</f>
        <v/>
      </c>
      <c r="AG853" s="42">
        <f>IF(UPPER(AC853)="Y",1,IF(AF853=0,0,IF(AND(Z853="",Y853&lt;&gt;""),IF(Y853&gt;=0.999,1,0),IF(AF853&gt;=U853,1,0))))</f>
        <v/>
      </c>
      <c r="AH853" s="44">
        <f>IF(AF853&gt;0,(AD853-AE853)/AF853,"")</f>
        <v/>
      </c>
      <c r="AI853" s="45">
        <f>IF(AG853=1,AH853-O853,"")</f>
        <v/>
      </c>
      <c r="AJ853" s="44">
        <f>IF(AG853=1,AH853,MAX(-1,MIN(1,O853+INDEX(Types!$H:$H,MATCH($A853&amp;"|"&amp;$D853,Types!$A:$A,0)))))</f>
        <v/>
      </c>
      <c r="AK853" s="43">
        <f>IF(AG853=1,AF853,MAX(AQ853*AS853,AF853))</f>
        <v/>
      </c>
      <c r="AL853" s="43">
        <f>IF(AG853=1,AD853,AK853*(1+AJ853)/2)</f>
        <v/>
      </c>
      <c r="AM853" s="43">
        <f>IF(AG853=1,AE853,AK853*(1-AJ853)/2)</f>
        <v/>
      </c>
      <c r="AN853" s="45">
        <f>IF(AH853="","",AH853-T853)</f>
        <v/>
      </c>
      <c r="AO853" s="51">
        <f>IF(AG853=1,1,IF(U853&gt;0,MIN(AF853/U853,0.99),0))</f>
        <v/>
      </c>
      <c r="AP853" s="43">
        <f>IF(AG853=1,AI853*AF853,0)</f>
        <v/>
      </c>
      <c r="AQ853" s="43">
        <f>N853*(F853+G853)/H853</f>
        <v/>
      </c>
      <c r="AR853" s="43">
        <f>O853*AQ853</f>
        <v/>
      </c>
      <c r="AS853" s="52">
        <f>IF(AG853=1,IF(AQ853&gt;0,AF853/AQ853,1),IFERROR(INDEX(Types!$K:$K,MATCH($A853&amp;"|"&amp;$D853,Types!$A:$A,0)),INDEX(Dashboard!$X$6:$X$22,MATCH($A853,Dashboard!$A$6:$A$22,0))))</f>
        <v/>
      </c>
      <c r="AT853" s="43">
        <f>AQ853*INDEX(Dashboard!$Y$6:$Y$22,MATCH($A853,Dashboard!$A$6:$A$22,0))</f>
        <v/>
      </c>
      <c r="AU853" s="53">
        <f>IF(AND(AG853=1,AT853&gt;0,AF853&gt;0),100*AF853/AT853,"")</f>
        <v/>
      </c>
      <c r="AV853" s="44">
        <f>IF(AU853="","",T853/(AU853/100))</f>
        <v/>
      </c>
      <c r="AW853" s="53">
        <f>IF(AU853="","",IF(AND(ABS(AH853)&gt;=0.1,ABS(T853)&gt;=0.05,SIGN(AH853)=SIGN(T853)),100*T853/AH853,""))</f>
        <v/>
      </c>
      <c r="AX853" s="45">
        <f>IF(AU853="","",T853-AV853)</f>
        <v/>
      </c>
      <c r="AY853" s="45">
        <f>IF(AU853="","",AH853-AV853)</f>
        <v/>
      </c>
      <c r="AZ853" s="54">
        <f>(AL853-AM853)-T853*AT853</f>
        <v/>
      </c>
      <c r="BA853" s="43">
        <f>IF(AU853="",0,(AH853-T853)*AF853)</f>
        <v/>
      </c>
      <c r="BB853" s="43">
        <f>IF(AU853="",0,T853*(AF853-AT853))</f>
        <v/>
      </c>
      <c r="BC853" s="51" t="n">
        <v>0.006493506493506494</v>
      </c>
      <c r="BD853" s="51" t="n">
        <v>0.0570211038961039</v>
      </c>
      <c r="BE853" s="51" t="n">
        <v>0.2173793103448276</v>
      </c>
      <c r="BF853" s="43" t="n">
        <v>4928</v>
      </c>
    </row>
    <row r="854">
      <c r="A854" s="42" t="inlineStr">
        <is>
          <t>NE</t>
        </is>
      </c>
      <c r="B854" s="42" t="inlineStr">
        <is>
          <t>31163</t>
        </is>
      </c>
      <c r="C854" s="42" t="inlineStr">
        <is>
          <t>Sherman</t>
        </is>
      </c>
      <c r="D854" s="42" t="inlineStr">
        <is>
          <t>Small town &amp; rural</t>
        </is>
      </c>
      <c r="E854" s="42" t="inlineStr"/>
      <c r="F854" s="43" t="n">
        <v>328</v>
      </c>
      <c r="G854" s="43" t="n">
        <v>1344</v>
      </c>
      <c r="H854" s="43" t="n">
        <v>1687</v>
      </c>
      <c r="I854" s="43" t="n">
        <v>343</v>
      </c>
      <c r="J854" s="43" t="n">
        <v>1322</v>
      </c>
      <c r="K854" s="42" t="inlineStr">
        <is>
          <t>Governor</t>
        </is>
      </c>
      <c r="L854" s="43" t="n">
        <v>246</v>
      </c>
      <c r="M854" s="43" t="n">
        <v>896</v>
      </c>
      <c r="N854" s="43" t="n">
        <v>1220</v>
      </c>
      <c r="O854" s="44">
        <f>IFERROR((F854-G854)/(F854+G854),"")</f>
        <v/>
      </c>
      <c r="P854" s="44">
        <f>IFERROR((I854-J854)/(I854+J854),"")</f>
        <v/>
      </c>
      <c r="Q854" s="45">
        <f>IFERROR(O854-P854,"")</f>
        <v/>
      </c>
      <c r="R854" s="44">
        <f>IFERROR((L854-M854)/(L854+M854),"")</f>
        <v/>
      </c>
      <c r="S854" s="46">
        <f>H854/SUMIFS(Counties!$H$2:$H$1583,Counties!$A$2:$A$1583,$A854)</f>
        <v/>
      </c>
      <c r="T854" s="44">
        <f>O854+INDEX(Dashboard!$F$6:$F$22,MATCH($A854,Dashboard!$A$6:$A$22,0))</f>
        <v/>
      </c>
      <c r="U854" s="43">
        <f>AQ854*INDEX(Dashboard!$G$6:$G$22,MATCH($A854,Dashboard!$A$6:$A$22,0))</f>
        <v/>
      </c>
      <c r="V854" s="47" t="n"/>
      <c r="W854" s="47" t="n"/>
      <c r="X854" s="47" t="n"/>
      <c r="Y854" s="48" t="n"/>
      <c r="Z854" s="49" t="n"/>
      <c r="AA854" s="49" t="n"/>
      <c r="AB854" s="49" t="n"/>
      <c r="AC854" s="50" t="n"/>
      <c r="AD854" s="43">
        <f>IF(Z854&lt;&gt;"",Z854,N(V854))</f>
        <v/>
      </c>
      <c r="AE854" s="43">
        <f>IF(AA854&lt;&gt;"",AA854,N(W854))</f>
        <v/>
      </c>
      <c r="AF854" s="43">
        <f>AD854+AE854</f>
        <v/>
      </c>
      <c r="AG854" s="42">
        <f>IF(UPPER(AC854)="Y",1,IF(AF854=0,0,IF(AND(Z854="",Y854&lt;&gt;""),IF(Y854&gt;=0.999,1,0),IF(AF854&gt;=U854,1,0))))</f>
        <v/>
      </c>
      <c r="AH854" s="44">
        <f>IF(AF854&gt;0,(AD854-AE854)/AF854,"")</f>
        <v/>
      </c>
      <c r="AI854" s="45">
        <f>IF(AG854=1,AH854-O854,"")</f>
        <v/>
      </c>
      <c r="AJ854" s="44">
        <f>IF(AG854=1,AH854,MAX(-1,MIN(1,O854+INDEX(Types!$H:$H,MATCH($A854&amp;"|"&amp;$D854,Types!$A:$A,0)))))</f>
        <v/>
      </c>
      <c r="AK854" s="43">
        <f>IF(AG854=1,AF854,MAX(AQ854*AS854,AF854))</f>
        <v/>
      </c>
      <c r="AL854" s="43">
        <f>IF(AG854=1,AD854,AK854*(1+AJ854)/2)</f>
        <v/>
      </c>
      <c r="AM854" s="43">
        <f>IF(AG854=1,AE854,AK854*(1-AJ854)/2)</f>
        <v/>
      </c>
      <c r="AN854" s="45">
        <f>IF(AH854="","",AH854-T854)</f>
        <v/>
      </c>
      <c r="AO854" s="51">
        <f>IF(AG854=1,1,IF(U854&gt;0,MIN(AF854/U854,0.99),0))</f>
        <v/>
      </c>
      <c r="AP854" s="43">
        <f>IF(AG854=1,AI854*AF854,0)</f>
        <v/>
      </c>
      <c r="AQ854" s="43">
        <f>N854*(F854+G854)/H854</f>
        <v/>
      </c>
      <c r="AR854" s="43">
        <f>O854*AQ854</f>
        <v/>
      </c>
      <c r="AS854" s="52">
        <f>IF(AG854=1,IF(AQ854&gt;0,AF854/AQ854,1),IFERROR(INDEX(Types!$K:$K,MATCH($A854&amp;"|"&amp;$D854,Types!$A:$A,0)),INDEX(Dashboard!$X$6:$X$22,MATCH($A854,Dashboard!$A$6:$A$22,0))))</f>
        <v/>
      </c>
      <c r="AT854" s="43">
        <f>AQ854*INDEX(Dashboard!$Y$6:$Y$22,MATCH($A854,Dashboard!$A$6:$A$22,0))</f>
        <v/>
      </c>
      <c r="AU854" s="53">
        <f>IF(AND(AG854=1,AT854&gt;0,AF854&gt;0),100*AF854/AT854,"")</f>
        <v/>
      </c>
      <c r="AV854" s="44">
        <f>IF(AU854="","",T854/(AU854/100))</f>
        <v/>
      </c>
      <c r="AW854" s="53">
        <f>IF(AU854="","",IF(AND(ABS(AH854)&gt;=0.1,ABS(T854)&gt;=0.05,SIGN(AH854)=SIGN(T854)),100*T854/AH854,""))</f>
        <v/>
      </c>
      <c r="AX854" s="45">
        <f>IF(AU854="","",T854-AV854)</f>
        <v/>
      </c>
      <c r="AY854" s="45">
        <f>IF(AU854="","",AH854-AV854)</f>
        <v/>
      </c>
      <c r="AZ854" s="54">
        <f>(AL854-AM854)-T854*AT854</f>
        <v/>
      </c>
      <c r="BA854" s="43">
        <f>IF(AU854="",0,(AH854-T854)*AF854)</f>
        <v/>
      </c>
      <c r="BB854" s="43">
        <f>IF(AU854="",0,T854*(AF854-AT854))</f>
        <v/>
      </c>
      <c r="BC854" s="51" t="n">
        <v>0.00670465973851827</v>
      </c>
      <c r="BD854" s="51" t="n">
        <v>0.02849480388870265</v>
      </c>
      <c r="BE854" s="51" t="n">
        <v>0.1884939195509822</v>
      </c>
      <c r="BF854" s="43" t="n">
        <v>2983</v>
      </c>
    </row>
    <row r="855">
      <c r="A855" s="42" t="inlineStr">
        <is>
          <t>NE</t>
        </is>
      </c>
      <c r="B855" s="42" t="inlineStr">
        <is>
          <t>31165</t>
        </is>
      </c>
      <c r="C855" s="42" t="inlineStr">
        <is>
          <t>Sioux</t>
        </is>
      </c>
      <c r="D855" s="42" t="inlineStr">
        <is>
          <t>Small town &amp; rural</t>
        </is>
      </c>
      <c r="E855" s="42" t="inlineStr"/>
      <c r="F855" s="43" t="n">
        <v>77</v>
      </c>
      <c r="G855" s="43" t="n">
        <v>597</v>
      </c>
      <c r="H855" s="43" t="n">
        <v>678</v>
      </c>
      <c r="I855" s="43" t="n">
        <v>72</v>
      </c>
      <c r="J855" s="43" t="n">
        <v>642</v>
      </c>
      <c r="K855" s="42" t="inlineStr">
        <is>
          <t>Governor</t>
        </is>
      </c>
      <c r="L855" s="43" t="n">
        <v>56</v>
      </c>
      <c r="M855" s="43" t="n">
        <v>427</v>
      </c>
      <c r="N855" s="43" t="n">
        <v>501</v>
      </c>
      <c r="O855" s="44">
        <f>IFERROR((F855-G855)/(F855+G855),"")</f>
        <v/>
      </c>
      <c r="P855" s="44">
        <f>IFERROR((I855-J855)/(I855+J855),"")</f>
        <v/>
      </c>
      <c r="Q855" s="45">
        <f>IFERROR(O855-P855,"")</f>
        <v/>
      </c>
      <c r="R855" s="44">
        <f>IFERROR((L855-M855)/(L855+M855),"")</f>
        <v/>
      </c>
      <c r="S855" s="46">
        <f>H855/SUMIFS(Counties!$H$2:$H$1583,Counties!$A$2:$A$1583,$A855)</f>
        <v/>
      </c>
      <c r="T855" s="44">
        <f>O855+INDEX(Dashboard!$F$6:$F$22,MATCH($A855,Dashboard!$A$6:$A$22,0))</f>
        <v/>
      </c>
      <c r="U855" s="43">
        <f>AQ855*INDEX(Dashboard!$G$6:$G$22,MATCH($A855,Dashboard!$A$6:$A$22,0))</f>
        <v/>
      </c>
      <c r="V855" s="47" t="n"/>
      <c r="W855" s="47" t="n"/>
      <c r="X855" s="47" t="n"/>
      <c r="Y855" s="48" t="n"/>
      <c r="Z855" s="49" t="n"/>
      <c r="AA855" s="49" t="n"/>
      <c r="AB855" s="49" t="n"/>
      <c r="AC855" s="50" t="n"/>
      <c r="AD855" s="43">
        <f>IF(Z855&lt;&gt;"",Z855,N(V855))</f>
        <v/>
      </c>
      <c r="AE855" s="43">
        <f>IF(AA855&lt;&gt;"",AA855,N(W855))</f>
        <v/>
      </c>
      <c r="AF855" s="43">
        <f>AD855+AE855</f>
        <v/>
      </c>
      <c r="AG855" s="42">
        <f>IF(UPPER(AC855)="Y",1,IF(AF855=0,0,IF(AND(Z855="",Y855&lt;&gt;""),IF(Y855&gt;=0.999,1,0),IF(AF855&gt;=U855,1,0))))</f>
        <v/>
      </c>
      <c r="AH855" s="44">
        <f>IF(AF855&gt;0,(AD855-AE855)/AF855,"")</f>
        <v/>
      </c>
      <c r="AI855" s="45">
        <f>IF(AG855=1,AH855-O855,"")</f>
        <v/>
      </c>
      <c r="AJ855" s="44">
        <f>IF(AG855=1,AH855,MAX(-1,MIN(1,O855+INDEX(Types!$H:$H,MATCH($A855&amp;"|"&amp;$D855,Types!$A:$A,0)))))</f>
        <v/>
      </c>
      <c r="AK855" s="43">
        <f>IF(AG855=1,AF855,MAX(AQ855*AS855,AF855))</f>
        <v/>
      </c>
      <c r="AL855" s="43">
        <f>IF(AG855=1,AD855,AK855*(1+AJ855)/2)</f>
        <v/>
      </c>
      <c r="AM855" s="43">
        <f>IF(AG855=1,AE855,AK855*(1-AJ855)/2)</f>
        <v/>
      </c>
      <c r="AN855" s="45">
        <f>IF(AH855="","",AH855-T855)</f>
        <v/>
      </c>
      <c r="AO855" s="51">
        <f>IF(AG855=1,1,IF(U855&gt;0,MIN(AF855/U855,0.99),0))</f>
        <v/>
      </c>
      <c r="AP855" s="43">
        <f>IF(AG855=1,AI855*AF855,0)</f>
        <v/>
      </c>
      <c r="AQ855" s="43">
        <f>N855*(F855+G855)/H855</f>
        <v/>
      </c>
      <c r="AR855" s="43">
        <f>O855*AQ855</f>
        <v/>
      </c>
      <c r="AS855" s="52">
        <f>IF(AG855=1,IF(AQ855&gt;0,AF855/AQ855,1),IFERROR(INDEX(Types!$K:$K,MATCH($A855&amp;"|"&amp;$D855,Types!$A:$A,0)),INDEX(Dashboard!$X$6:$X$22,MATCH($A855,Dashboard!$A$6:$A$22,0))))</f>
        <v/>
      </c>
      <c r="AT855" s="43">
        <f>AQ855*INDEX(Dashboard!$Y$6:$Y$22,MATCH($A855,Dashboard!$A$6:$A$22,0))</f>
        <v/>
      </c>
      <c r="AU855" s="53">
        <f>IF(AND(AG855=1,AT855&gt;0,AF855&gt;0),100*AF855/AT855,"")</f>
        <v/>
      </c>
      <c r="AV855" s="44">
        <f>IF(AU855="","",T855/(AU855/100))</f>
        <v/>
      </c>
      <c r="AW855" s="53">
        <f>IF(AU855="","",IF(AND(ABS(AH855)&gt;=0.1,ABS(T855)&gt;=0.05,SIGN(AH855)=SIGN(T855)),100*T855/AH855,""))</f>
        <v/>
      </c>
      <c r="AX855" s="45">
        <f>IF(AU855="","",T855-AV855)</f>
        <v/>
      </c>
      <c r="AY855" s="45">
        <f>IF(AU855="","",AH855-AV855)</f>
        <v/>
      </c>
      <c r="AZ855" s="54">
        <f>(AL855-AM855)-T855*AT855</f>
        <v/>
      </c>
      <c r="BA855" s="43">
        <f>IF(AU855="",0,(AH855-T855)*AF855)</f>
        <v/>
      </c>
      <c r="BB855" s="43">
        <f>IF(AU855="",0,T855*(AF855-AT855))</f>
        <v/>
      </c>
      <c r="BC855" s="51" t="n">
        <v>0.005199306759098787</v>
      </c>
      <c r="BD855" s="51" t="n">
        <v>0.05979202772963605</v>
      </c>
      <c r="BE855" s="51" t="n">
        <v>0.2505938242280285</v>
      </c>
      <c r="BF855" s="43" t="n">
        <v>1154</v>
      </c>
    </row>
    <row r="856">
      <c r="A856" s="42" t="inlineStr">
        <is>
          <t>NE</t>
        </is>
      </c>
      <c r="B856" s="42" t="inlineStr">
        <is>
          <t>31167</t>
        </is>
      </c>
      <c r="C856" s="42" t="inlineStr">
        <is>
          <t>Stanton</t>
        </is>
      </c>
      <c r="D856" s="42" t="inlineStr">
        <is>
          <t>Small town &amp; rural</t>
        </is>
      </c>
      <c r="E856" s="42" t="inlineStr"/>
      <c r="F856" s="43" t="n">
        <v>492</v>
      </c>
      <c r="G856" s="43" t="n">
        <v>2536</v>
      </c>
      <c r="H856" s="43" t="n">
        <v>3064</v>
      </c>
      <c r="I856" s="43" t="n">
        <v>532</v>
      </c>
      <c r="J856" s="43" t="n">
        <v>2561</v>
      </c>
      <c r="K856" s="42" t="inlineStr">
        <is>
          <t>Governor</t>
        </is>
      </c>
      <c r="L856" s="43" t="n">
        <v>340</v>
      </c>
      <c r="M856" s="43" t="n">
        <v>1967</v>
      </c>
      <c r="N856" s="43" t="n">
        <v>2441</v>
      </c>
      <c r="O856" s="44">
        <f>IFERROR((F856-G856)/(F856+G856),"")</f>
        <v/>
      </c>
      <c r="P856" s="44">
        <f>IFERROR((I856-J856)/(I856+J856),"")</f>
        <v/>
      </c>
      <c r="Q856" s="45">
        <f>IFERROR(O856-P856,"")</f>
        <v/>
      </c>
      <c r="R856" s="44">
        <f>IFERROR((L856-M856)/(L856+M856),"")</f>
        <v/>
      </c>
      <c r="S856" s="46">
        <f>H856/SUMIFS(Counties!$H$2:$H$1583,Counties!$A$2:$A$1583,$A856)</f>
        <v/>
      </c>
      <c r="T856" s="44">
        <f>O856+INDEX(Dashboard!$F$6:$F$22,MATCH($A856,Dashboard!$A$6:$A$22,0))</f>
        <v/>
      </c>
      <c r="U856" s="43">
        <f>AQ856*INDEX(Dashboard!$G$6:$G$22,MATCH($A856,Dashboard!$A$6:$A$22,0))</f>
        <v/>
      </c>
      <c r="V856" s="47" t="n"/>
      <c r="W856" s="47" t="n"/>
      <c r="X856" s="47" t="n"/>
      <c r="Y856" s="48" t="n"/>
      <c r="Z856" s="49" t="n"/>
      <c r="AA856" s="49" t="n"/>
      <c r="AB856" s="49" t="n"/>
      <c r="AC856" s="50" t="n"/>
      <c r="AD856" s="43">
        <f>IF(Z856&lt;&gt;"",Z856,N(V856))</f>
        <v/>
      </c>
      <c r="AE856" s="43">
        <f>IF(AA856&lt;&gt;"",AA856,N(W856))</f>
        <v/>
      </c>
      <c r="AF856" s="43">
        <f>AD856+AE856</f>
        <v/>
      </c>
      <c r="AG856" s="42">
        <f>IF(UPPER(AC856)="Y",1,IF(AF856=0,0,IF(AND(Z856="",Y856&lt;&gt;""),IF(Y856&gt;=0.999,1,0),IF(AF856&gt;=U856,1,0))))</f>
        <v/>
      </c>
      <c r="AH856" s="44">
        <f>IF(AF856&gt;0,(AD856-AE856)/AF856,"")</f>
        <v/>
      </c>
      <c r="AI856" s="45">
        <f>IF(AG856=1,AH856-O856,"")</f>
        <v/>
      </c>
      <c r="AJ856" s="44">
        <f>IF(AG856=1,AH856,MAX(-1,MIN(1,O856+INDEX(Types!$H:$H,MATCH($A856&amp;"|"&amp;$D856,Types!$A:$A,0)))))</f>
        <v/>
      </c>
      <c r="AK856" s="43">
        <f>IF(AG856=1,AF856,MAX(AQ856*AS856,AF856))</f>
        <v/>
      </c>
      <c r="AL856" s="43">
        <f>IF(AG856=1,AD856,AK856*(1+AJ856)/2)</f>
        <v/>
      </c>
      <c r="AM856" s="43">
        <f>IF(AG856=1,AE856,AK856*(1-AJ856)/2)</f>
        <v/>
      </c>
      <c r="AN856" s="45">
        <f>IF(AH856="","",AH856-T856)</f>
        <v/>
      </c>
      <c r="AO856" s="51">
        <f>IF(AG856=1,1,IF(U856&gt;0,MIN(AF856/U856,0.99),0))</f>
        <v/>
      </c>
      <c r="AP856" s="43">
        <f>IF(AG856=1,AI856*AF856,0)</f>
        <v/>
      </c>
      <c r="AQ856" s="43">
        <f>N856*(F856+G856)/H856</f>
        <v/>
      </c>
      <c r="AR856" s="43">
        <f>O856*AQ856</f>
        <v/>
      </c>
      <c r="AS856" s="52">
        <f>IF(AG856=1,IF(AQ856&gt;0,AF856/AQ856,1),IFERROR(INDEX(Types!$K:$K,MATCH($A856&amp;"|"&amp;$D856,Types!$A:$A,0)),INDEX(Dashboard!$X$6:$X$22,MATCH($A856,Dashboard!$A$6:$A$22,0))))</f>
        <v/>
      </c>
      <c r="AT856" s="43">
        <f>AQ856*INDEX(Dashboard!$Y$6:$Y$22,MATCH($A856,Dashboard!$A$6:$A$22,0))</f>
        <v/>
      </c>
      <c r="AU856" s="53">
        <f>IF(AND(AG856=1,AT856&gt;0,AF856&gt;0),100*AF856/AT856,"")</f>
        <v/>
      </c>
      <c r="AV856" s="44">
        <f>IF(AU856="","",T856/(AU856/100))</f>
        <v/>
      </c>
      <c r="AW856" s="53">
        <f>IF(AU856="","",IF(AND(ABS(AH856)&gt;=0.1,ABS(T856)&gt;=0.05,SIGN(AH856)=SIGN(T856)),100*T856/AH856,""))</f>
        <v/>
      </c>
      <c r="AX856" s="45">
        <f>IF(AU856="","",T856-AV856)</f>
        <v/>
      </c>
      <c r="AY856" s="45">
        <f>IF(AU856="","",AH856-AV856)</f>
        <v/>
      </c>
      <c r="AZ856" s="54">
        <f>(AL856-AM856)-T856*AT856</f>
        <v/>
      </c>
      <c r="BA856" s="43">
        <f>IF(AU856="",0,(AH856-T856)*AF856)</f>
        <v/>
      </c>
      <c r="BB856" s="43">
        <f>IF(AU856="",0,T856*(AF856-AT856))</f>
        <v/>
      </c>
      <c r="BC856" s="51" t="n">
        <v>0.009050546448087431</v>
      </c>
      <c r="BD856" s="51" t="n">
        <v>0.07257513661202186</v>
      </c>
      <c r="BE856" s="51" t="n">
        <v>0.2234706616729089</v>
      </c>
      <c r="BF856" s="43" t="n">
        <v>5856</v>
      </c>
    </row>
    <row r="857">
      <c r="A857" s="42" t="inlineStr">
        <is>
          <t>NE</t>
        </is>
      </c>
      <c r="B857" s="42" t="inlineStr">
        <is>
          <t>31169</t>
        </is>
      </c>
      <c r="C857" s="42" t="inlineStr">
        <is>
          <t>Thayer</t>
        </is>
      </c>
      <c r="D857" s="42" t="inlineStr">
        <is>
          <t>Small town &amp; rural</t>
        </is>
      </c>
      <c r="E857" s="42" t="inlineStr"/>
      <c r="F857" s="43" t="n">
        <v>544</v>
      </c>
      <c r="G857" s="43" t="n">
        <v>2278</v>
      </c>
      <c r="H857" s="43" t="n">
        <v>2852</v>
      </c>
      <c r="I857" s="43" t="n">
        <v>624</v>
      </c>
      <c r="J857" s="43" t="n">
        <v>2308</v>
      </c>
      <c r="K857" s="42" t="inlineStr">
        <is>
          <t>Governor</t>
        </is>
      </c>
      <c r="L857" s="43" t="n">
        <v>373</v>
      </c>
      <c r="M857" s="43" t="n">
        <v>1707</v>
      </c>
      <c r="N857" s="43" t="n">
        <v>2160</v>
      </c>
      <c r="O857" s="44">
        <f>IFERROR((F857-G857)/(F857+G857),"")</f>
        <v/>
      </c>
      <c r="P857" s="44">
        <f>IFERROR((I857-J857)/(I857+J857),"")</f>
        <v/>
      </c>
      <c r="Q857" s="45">
        <f>IFERROR(O857-P857,"")</f>
        <v/>
      </c>
      <c r="R857" s="44">
        <f>IFERROR((L857-M857)/(L857+M857),"")</f>
        <v/>
      </c>
      <c r="S857" s="46">
        <f>H857/SUMIFS(Counties!$H$2:$H$1583,Counties!$A$2:$A$1583,$A857)</f>
        <v/>
      </c>
      <c r="T857" s="44">
        <f>O857+INDEX(Dashboard!$F$6:$F$22,MATCH($A857,Dashboard!$A$6:$A$22,0))</f>
        <v/>
      </c>
      <c r="U857" s="43">
        <f>AQ857*INDEX(Dashboard!$G$6:$G$22,MATCH($A857,Dashboard!$A$6:$A$22,0))</f>
        <v/>
      </c>
      <c r="V857" s="47" t="n"/>
      <c r="W857" s="47" t="n"/>
      <c r="X857" s="47" t="n"/>
      <c r="Y857" s="48" t="n"/>
      <c r="Z857" s="49" t="n"/>
      <c r="AA857" s="49" t="n"/>
      <c r="AB857" s="49" t="n"/>
      <c r="AC857" s="50" t="n"/>
      <c r="AD857" s="43">
        <f>IF(Z857&lt;&gt;"",Z857,N(V857))</f>
        <v/>
      </c>
      <c r="AE857" s="43">
        <f>IF(AA857&lt;&gt;"",AA857,N(W857))</f>
        <v/>
      </c>
      <c r="AF857" s="43">
        <f>AD857+AE857</f>
        <v/>
      </c>
      <c r="AG857" s="42">
        <f>IF(UPPER(AC857)="Y",1,IF(AF857=0,0,IF(AND(Z857="",Y857&lt;&gt;""),IF(Y857&gt;=0.999,1,0),IF(AF857&gt;=U857,1,0))))</f>
        <v/>
      </c>
      <c r="AH857" s="44">
        <f>IF(AF857&gt;0,(AD857-AE857)/AF857,"")</f>
        <v/>
      </c>
      <c r="AI857" s="45">
        <f>IF(AG857=1,AH857-O857,"")</f>
        <v/>
      </c>
      <c r="AJ857" s="44">
        <f>IF(AG857=1,AH857,MAX(-1,MIN(1,O857+INDEX(Types!$H:$H,MATCH($A857&amp;"|"&amp;$D857,Types!$A:$A,0)))))</f>
        <v/>
      </c>
      <c r="AK857" s="43">
        <f>IF(AG857=1,AF857,MAX(AQ857*AS857,AF857))</f>
        <v/>
      </c>
      <c r="AL857" s="43">
        <f>IF(AG857=1,AD857,AK857*(1+AJ857)/2)</f>
        <v/>
      </c>
      <c r="AM857" s="43">
        <f>IF(AG857=1,AE857,AK857*(1-AJ857)/2)</f>
        <v/>
      </c>
      <c r="AN857" s="45">
        <f>IF(AH857="","",AH857-T857)</f>
        <v/>
      </c>
      <c r="AO857" s="51">
        <f>IF(AG857=1,1,IF(U857&gt;0,MIN(AF857/U857,0.99),0))</f>
        <v/>
      </c>
      <c r="AP857" s="43">
        <f>IF(AG857=1,AI857*AF857,0)</f>
        <v/>
      </c>
      <c r="AQ857" s="43">
        <f>N857*(F857+G857)/H857</f>
        <v/>
      </c>
      <c r="AR857" s="43">
        <f>O857*AQ857</f>
        <v/>
      </c>
      <c r="AS857" s="52">
        <f>IF(AG857=1,IF(AQ857&gt;0,AF857/AQ857,1),IFERROR(INDEX(Types!$K:$K,MATCH($A857&amp;"|"&amp;$D857,Types!$A:$A,0)),INDEX(Dashboard!$X$6:$X$22,MATCH($A857,Dashboard!$A$6:$A$22,0))))</f>
        <v/>
      </c>
      <c r="AT857" s="43">
        <f>AQ857*INDEX(Dashboard!$Y$6:$Y$22,MATCH($A857,Dashboard!$A$6:$A$22,0))</f>
        <v/>
      </c>
      <c r="AU857" s="53">
        <f>IF(AND(AG857=1,AT857&gt;0,AF857&gt;0),100*AF857/AT857,"")</f>
        <v/>
      </c>
      <c r="AV857" s="44">
        <f>IF(AU857="","",T857/(AU857/100))</f>
        <v/>
      </c>
      <c r="AW857" s="53">
        <f>IF(AU857="","",IF(AND(ABS(AH857)&gt;=0.1,ABS(T857)&gt;=0.05,SIGN(AH857)=SIGN(T857)),100*T857/AH857,""))</f>
        <v/>
      </c>
      <c r="AX857" s="45">
        <f>IF(AU857="","",T857-AV857)</f>
        <v/>
      </c>
      <c r="AY857" s="45">
        <f>IF(AU857="","",AH857-AV857)</f>
        <v/>
      </c>
      <c r="AZ857" s="54">
        <f>(AL857-AM857)-T857*AT857</f>
        <v/>
      </c>
      <c r="BA857" s="43">
        <f>IF(AU857="",0,(AH857-T857)*AF857)</f>
        <v/>
      </c>
      <c r="BB857" s="43">
        <f>IF(AU857="",0,T857*(AF857-AT857))</f>
        <v/>
      </c>
      <c r="BC857" s="51" t="n">
        <v>0.007869124042244772</v>
      </c>
      <c r="BD857" s="51" t="n">
        <v>0.03520397597846345</v>
      </c>
      <c r="BE857" s="51" t="n">
        <v>0.2302178899082569</v>
      </c>
      <c r="BF857" s="43" t="n">
        <v>4829</v>
      </c>
    </row>
    <row r="858">
      <c r="A858" s="42" t="inlineStr">
        <is>
          <t>NE</t>
        </is>
      </c>
      <c r="B858" s="42" t="inlineStr">
        <is>
          <t>31171</t>
        </is>
      </c>
      <c r="C858" s="42" t="inlineStr">
        <is>
          <t>Thomas</t>
        </is>
      </c>
      <c r="D858" s="42" t="inlineStr">
        <is>
          <t>Small town &amp; rural</t>
        </is>
      </c>
      <c r="E858" s="42" t="inlineStr"/>
      <c r="F858" s="43" t="n">
        <v>44</v>
      </c>
      <c r="G858" s="43" t="n">
        <v>348</v>
      </c>
      <c r="H858" s="43" t="n">
        <v>393</v>
      </c>
      <c r="I858" s="43" t="n">
        <v>45</v>
      </c>
      <c r="J858" s="43" t="n">
        <v>377</v>
      </c>
      <c r="K858" s="42" t="inlineStr">
        <is>
          <t>Governor</t>
        </is>
      </c>
      <c r="L858" s="43" t="n">
        <v>29</v>
      </c>
      <c r="M858" s="43" t="n">
        <v>265</v>
      </c>
      <c r="N858" s="43" t="n">
        <v>306</v>
      </c>
      <c r="O858" s="44">
        <f>IFERROR((F858-G858)/(F858+G858),"")</f>
        <v/>
      </c>
      <c r="P858" s="44">
        <f>IFERROR((I858-J858)/(I858+J858),"")</f>
        <v/>
      </c>
      <c r="Q858" s="45">
        <f>IFERROR(O858-P858,"")</f>
        <v/>
      </c>
      <c r="R858" s="44">
        <f>IFERROR((L858-M858)/(L858+M858),"")</f>
        <v/>
      </c>
      <c r="S858" s="46">
        <f>H858/SUMIFS(Counties!$H$2:$H$1583,Counties!$A$2:$A$1583,$A858)</f>
        <v/>
      </c>
      <c r="T858" s="44">
        <f>O858+INDEX(Dashboard!$F$6:$F$22,MATCH($A858,Dashboard!$A$6:$A$22,0))</f>
        <v/>
      </c>
      <c r="U858" s="43">
        <f>AQ858*INDEX(Dashboard!$G$6:$G$22,MATCH($A858,Dashboard!$A$6:$A$22,0))</f>
        <v/>
      </c>
      <c r="V858" s="47" t="n"/>
      <c r="W858" s="47" t="n"/>
      <c r="X858" s="47" t="n"/>
      <c r="Y858" s="48" t="n"/>
      <c r="Z858" s="49" t="n"/>
      <c r="AA858" s="49" t="n"/>
      <c r="AB858" s="49" t="n"/>
      <c r="AC858" s="50" t="n"/>
      <c r="AD858" s="43">
        <f>IF(Z858&lt;&gt;"",Z858,N(V858))</f>
        <v/>
      </c>
      <c r="AE858" s="43">
        <f>IF(AA858&lt;&gt;"",AA858,N(W858))</f>
        <v/>
      </c>
      <c r="AF858" s="43">
        <f>AD858+AE858</f>
        <v/>
      </c>
      <c r="AG858" s="42">
        <f>IF(UPPER(AC858)="Y",1,IF(AF858=0,0,IF(AND(Z858="",Y858&lt;&gt;""),IF(Y858&gt;=0.999,1,0),IF(AF858&gt;=U858,1,0))))</f>
        <v/>
      </c>
      <c r="AH858" s="44">
        <f>IF(AF858&gt;0,(AD858-AE858)/AF858,"")</f>
        <v/>
      </c>
      <c r="AI858" s="45">
        <f>IF(AG858=1,AH858-O858,"")</f>
        <v/>
      </c>
      <c r="AJ858" s="44">
        <f>IF(AG858=1,AH858,MAX(-1,MIN(1,O858+INDEX(Types!$H:$H,MATCH($A858&amp;"|"&amp;$D858,Types!$A:$A,0)))))</f>
        <v/>
      </c>
      <c r="AK858" s="43">
        <f>IF(AG858=1,AF858,MAX(AQ858*AS858,AF858))</f>
        <v/>
      </c>
      <c r="AL858" s="43">
        <f>IF(AG858=1,AD858,AK858*(1+AJ858)/2)</f>
        <v/>
      </c>
      <c r="AM858" s="43">
        <f>IF(AG858=1,AE858,AK858*(1-AJ858)/2)</f>
        <v/>
      </c>
      <c r="AN858" s="45">
        <f>IF(AH858="","",AH858-T858)</f>
        <v/>
      </c>
      <c r="AO858" s="51">
        <f>IF(AG858=1,1,IF(U858&gt;0,MIN(AF858/U858,0.99),0))</f>
        <v/>
      </c>
      <c r="AP858" s="43">
        <f>IF(AG858=1,AI858*AF858,0)</f>
        <v/>
      </c>
      <c r="AQ858" s="43">
        <f>N858*(F858+G858)/H858</f>
        <v/>
      </c>
      <c r="AR858" s="43">
        <f>O858*AQ858</f>
        <v/>
      </c>
      <c r="AS858" s="52">
        <f>IF(AG858=1,IF(AQ858&gt;0,AF858/AQ858,1),IFERROR(INDEX(Types!$K:$K,MATCH($A858&amp;"|"&amp;$D858,Types!$A:$A,0)),INDEX(Dashboard!$X$6:$X$22,MATCH($A858,Dashboard!$A$6:$A$22,0))))</f>
        <v/>
      </c>
      <c r="AT858" s="43">
        <f>AQ858*INDEX(Dashboard!$Y$6:$Y$22,MATCH($A858,Dashboard!$A$6:$A$22,0))</f>
        <v/>
      </c>
      <c r="AU858" s="53">
        <f>IF(AND(AG858=1,AT858&gt;0,AF858&gt;0),100*AF858/AT858,"")</f>
        <v/>
      </c>
      <c r="AV858" s="44">
        <f>IF(AU858="","",T858/(AU858/100))</f>
        <v/>
      </c>
      <c r="AW858" s="53">
        <f>IF(AU858="","",IF(AND(ABS(AH858)&gt;=0.1,ABS(T858)&gt;=0.05,SIGN(AH858)=SIGN(T858)),100*T858/AH858,""))</f>
        <v/>
      </c>
      <c r="AX858" s="45">
        <f>IF(AU858="","",T858-AV858)</f>
        <v/>
      </c>
      <c r="AY858" s="45">
        <f>IF(AU858="","",AH858-AV858)</f>
        <v/>
      </c>
      <c r="AZ858" s="54">
        <f>(AL858-AM858)-T858*AT858</f>
        <v/>
      </c>
      <c r="BA858" s="43">
        <f>IF(AU858="",0,(AH858-T858)*AF858)</f>
        <v/>
      </c>
      <c r="BB858" s="43">
        <f>IF(AU858="",0,T858*(AF858-AT858))</f>
        <v/>
      </c>
      <c r="BC858" s="51" t="n">
        <v>0.01329394387001477</v>
      </c>
      <c r="BD858" s="51" t="n">
        <v>0.05612998522895125</v>
      </c>
      <c r="BE858" s="51" t="n">
        <v>0.2693069306930693</v>
      </c>
      <c r="BF858" s="43" t="n">
        <v>677</v>
      </c>
    </row>
    <row r="859">
      <c r="A859" s="42" t="inlineStr">
        <is>
          <t>NE</t>
        </is>
      </c>
      <c r="B859" s="42" t="inlineStr">
        <is>
          <t>31173</t>
        </is>
      </c>
      <c r="C859" s="42" t="inlineStr">
        <is>
          <t>Thurston</t>
        </is>
      </c>
      <c r="D859" s="42" t="inlineStr">
        <is>
          <t>Native American</t>
        </is>
      </c>
      <c r="E859" s="42" t="inlineStr"/>
      <c r="F859" s="43" t="n">
        <v>978</v>
      </c>
      <c r="G859" s="43" t="n">
        <v>1125</v>
      </c>
      <c r="H859" s="43" t="n">
        <v>2123</v>
      </c>
      <c r="I859" s="43" t="n">
        <v>1122</v>
      </c>
      <c r="J859" s="43" t="n">
        <v>1180</v>
      </c>
      <c r="K859" s="42" t="inlineStr">
        <is>
          <t>Governor</t>
        </is>
      </c>
      <c r="L859" s="43" t="n">
        <v>424</v>
      </c>
      <c r="M859" s="43" t="n">
        <v>824</v>
      </c>
      <c r="N859" s="43" t="n">
        <v>1290</v>
      </c>
      <c r="O859" s="44">
        <f>IFERROR((F859-G859)/(F859+G859),"")</f>
        <v/>
      </c>
      <c r="P859" s="44">
        <f>IFERROR((I859-J859)/(I859+J859),"")</f>
        <v/>
      </c>
      <c r="Q859" s="45">
        <f>IFERROR(O859-P859,"")</f>
        <v/>
      </c>
      <c r="R859" s="44">
        <f>IFERROR((L859-M859)/(L859+M859),"")</f>
        <v/>
      </c>
      <c r="S859" s="46">
        <f>H859/SUMIFS(Counties!$H$2:$H$1583,Counties!$A$2:$A$1583,$A859)</f>
        <v/>
      </c>
      <c r="T859" s="44">
        <f>O859+INDEX(Dashboard!$F$6:$F$22,MATCH($A859,Dashboard!$A$6:$A$22,0))</f>
        <v/>
      </c>
      <c r="U859" s="43">
        <f>AQ859*INDEX(Dashboard!$G$6:$G$22,MATCH($A859,Dashboard!$A$6:$A$22,0))</f>
        <v/>
      </c>
      <c r="V859" s="47" t="n"/>
      <c r="W859" s="47" t="n"/>
      <c r="X859" s="47" t="n"/>
      <c r="Y859" s="48" t="n"/>
      <c r="Z859" s="49" t="n"/>
      <c r="AA859" s="49" t="n"/>
      <c r="AB859" s="49" t="n"/>
      <c r="AC859" s="50" t="n"/>
      <c r="AD859" s="43">
        <f>IF(Z859&lt;&gt;"",Z859,N(V859))</f>
        <v/>
      </c>
      <c r="AE859" s="43">
        <f>IF(AA859&lt;&gt;"",AA859,N(W859))</f>
        <v/>
      </c>
      <c r="AF859" s="43">
        <f>AD859+AE859</f>
        <v/>
      </c>
      <c r="AG859" s="42">
        <f>IF(UPPER(AC859)="Y",1,IF(AF859=0,0,IF(AND(Z859="",Y859&lt;&gt;""),IF(Y859&gt;=0.999,1,0),IF(AF859&gt;=U859,1,0))))</f>
        <v/>
      </c>
      <c r="AH859" s="44">
        <f>IF(AF859&gt;0,(AD859-AE859)/AF859,"")</f>
        <v/>
      </c>
      <c r="AI859" s="45">
        <f>IF(AG859=1,AH859-O859,"")</f>
        <v/>
      </c>
      <c r="AJ859" s="44">
        <f>IF(AG859=1,AH859,MAX(-1,MIN(1,O859+INDEX(Types!$H:$H,MATCH($A859&amp;"|"&amp;$D859,Types!$A:$A,0)))))</f>
        <v/>
      </c>
      <c r="AK859" s="43">
        <f>IF(AG859=1,AF859,MAX(AQ859*AS859,AF859))</f>
        <v/>
      </c>
      <c r="AL859" s="43">
        <f>IF(AG859=1,AD859,AK859*(1+AJ859)/2)</f>
        <v/>
      </c>
      <c r="AM859" s="43">
        <f>IF(AG859=1,AE859,AK859*(1-AJ859)/2)</f>
        <v/>
      </c>
      <c r="AN859" s="45">
        <f>IF(AH859="","",AH859-T859)</f>
        <v/>
      </c>
      <c r="AO859" s="51">
        <f>IF(AG859=1,1,IF(U859&gt;0,MIN(AF859/U859,0.99),0))</f>
        <v/>
      </c>
      <c r="AP859" s="43">
        <f>IF(AG859=1,AI859*AF859,0)</f>
        <v/>
      </c>
      <c r="AQ859" s="43">
        <f>N859*(F859+G859)/H859</f>
        <v/>
      </c>
      <c r="AR859" s="43">
        <f>O859*AQ859</f>
        <v/>
      </c>
      <c r="AS859" s="52">
        <f>IF(AG859=1,IF(AQ859&gt;0,AF859/AQ859,1),IFERROR(INDEX(Types!$K:$K,MATCH($A859&amp;"|"&amp;$D859,Types!$A:$A,0)),INDEX(Dashboard!$X$6:$X$22,MATCH($A859,Dashboard!$A$6:$A$22,0))))</f>
        <v/>
      </c>
      <c r="AT859" s="43">
        <f>AQ859*INDEX(Dashboard!$Y$6:$Y$22,MATCH($A859,Dashboard!$A$6:$A$22,0))</f>
        <v/>
      </c>
      <c r="AU859" s="53">
        <f>IF(AND(AG859=1,AT859&gt;0,AF859&gt;0),100*AF859/AT859,"")</f>
        <v/>
      </c>
      <c r="AV859" s="44">
        <f>IF(AU859="","",T859/(AU859/100))</f>
        <v/>
      </c>
      <c r="AW859" s="53">
        <f>IF(AU859="","",IF(AND(ABS(AH859)&gt;=0.1,ABS(T859)&gt;=0.05,SIGN(AH859)=SIGN(T859)),100*T859/AH859,""))</f>
        <v/>
      </c>
      <c r="AX859" s="45">
        <f>IF(AU859="","",T859-AV859)</f>
        <v/>
      </c>
      <c r="AY859" s="45">
        <f>IF(AU859="","",AH859-AV859)</f>
        <v/>
      </c>
      <c r="AZ859" s="54">
        <f>(AL859-AM859)-T859*AT859</f>
        <v/>
      </c>
      <c r="BA859" s="43">
        <f>IF(AU859="",0,(AH859-T859)*AF859)</f>
        <v/>
      </c>
      <c r="BB859" s="43">
        <f>IF(AU859="",0,T859*(AF859-AT859))</f>
        <v/>
      </c>
      <c r="BC859" s="51" t="n">
        <v>0.00579533323166082</v>
      </c>
      <c r="BD859" s="51" t="n">
        <v>0.05581820954704896</v>
      </c>
      <c r="BE859" s="51" t="n">
        <v>0.202490525175961</v>
      </c>
      <c r="BF859" s="43" t="n">
        <v>6557</v>
      </c>
    </row>
    <row r="860">
      <c r="A860" s="42" t="inlineStr">
        <is>
          <t>NE</t>
        </is>
      </c>
      <c r="B860" s="42" t="inlineStr">
        <is>
          <t>31175</t>
        </is>
      </c>
      <c r="C860" s="42" t="inlineStr">
        <is>
          <t>Valley</t>
        </is>
      </c>
      <c r="D860" s="42" t="inlineStr">
        <is>
          <t>Small town &amp; rural</t>
        </is>
      </c>
      <c r="E860" s="42" t="inlineStr"/>
      <c r="F860" s="43" t="n">
        <v>403</v>
      </c>
      <c r="G860" s="43" t="n">
        <v>1872</v>
      </c>
      <c r="H860" s="43" t="n">
        <v>2299</v>
      </c>
      <c r="I860" s="43" t="n">
        <v>412</v>
      </c>
      <c r="J860" s="43" t="n">
        <v>1901</v>
      </c>
      <c r="K860" s="42" t="inlineStr">
        <is>
          <t>Governor</t>
        </is>
      </c>
      <c r="L860" s="43" t="n">
        <v>278</v>
      </c>
      <c r="M860" s="43" t="n">
        <v>1414</v>
      </c>
      <c r="N860" s="43" t="n">
        <v>1770</v>
      </c>
      <c r="O860" s="44">
        <f>IFERROR((F860-G860)/(F860+G860),"")</f>
        <v/>
      </c>
      <c r="P860" s="44">
        <f>IFERROR((I860-J860)/(I860+J860),"")</f>
        <v/>
      </c>
      <c r="Q860" s="45">
        <f>IFERROR(O860-P860,"")</f>
        <v/>
      </c>
      <c r="R860" s="44">
        <f>IFERROR((L860-M860)/(L860+M860),"")</f>
        <v/>
      </c>
      <c r="S860" s="46">
        <f>H860/SUMIFS(Counties!$H$2:$H$1583,Counties!$A$2:$A$1583,$A860)</f>
        <v/>
      </c>
      <c r="T860" s="44">
        <f>O860+INDEX(Dashboard!$F$6:$F$22,MATCH($A860,Dashboard!$A$6:$A$22,0))</f>
        <v/>
      </c>
      <c r="U860" s="43">
        <f>AQ860*INDEX(Dashboard!$G$6:$G$22,MATCH($A860,Dashboard!$A$6:$A$22,0))</f>
        <v/>
      </c>
      <c r="V860" s="47" t="n"/>
      <c r="W860" s="47" t="n"/>
      <c r="X860" s="47" t="n"/>
      <c r="Y860" s="48" t="n"/>
      <c r="Z860" s="49" t="n"/>
      <c r="AA860" s="49" t="n"/>
      <c r="AB860" s="49" t="n"/>
      <c r="AC860" s="50" t="n"/>
      <c r="AD860" s="43">
        <f>IF(Z860&lt;&gt;"",Z860,N(V860))</f>
        <v/>
      </c>
      <c r="AE860" s="43">
        <f>IF(AA860&lt;&gt;"",AA860,N(W860))</f>
        <v/>
      </c>
      <c r="AF860" s="43">
        <f>AD860+AE860</f>
        <v/>
      </c>
      <c r="AG860" s="42">
        <f>IF(UPPER(AC860)="Y",1,IF(AF860=0,0,IF(AND(Z860="",Y860&lt;&gt;""),IF(Y860&gt;=0.999,1,0),IF(AF860&gt;=U860,1,0))))</f>
        <v/>
      </c>
      <c r="AH860" s="44">
        <f>IF(AF860&gt;0,(AD860-AE860)/AF860,"")</f>
        <v/>
      </c>
      <c r="AI860" s="45">
        <f>IF(AG860=1,AH860-O860,"")</f>
        <v/>
      </c>
      <c r="AJ860" s="44">
        <f>IF(AG860=1,AH860,MAX(-1,MIN(1,O860+INDEX(Types!$H:$H,MATCH($A860&amp;"|"&amp;$D860,Types!$A:$A,0)))))</f>
        <v/>
      </c>
      <c r="AK860" s="43">
        <f>IF(AG860=1,AF860,MAX(AQ860*AS860,AF860))</f>
        <v/>
      </c>
      <c r="AL860" s="43">
        <f>IF(AG860=1,AD860,AK860*(1+AJ860)/2)</f>
        <v/>
      </c>
      <c r="AM860" s="43">
        <f>IF(AG860=1,AE860,AK860*(1-AJ860)/2)</f>
        <v/>
      </c>
      <c r="AN860" s="45">
        <f>IF(AH860="","",AH860-T860)</f>
        <v/>
      </c>
      <c r="AO860" s="51">
        <f>IF(AG860=1,1,IF(U860&gt;0,MIN(AF860/U860,0.99),0))</f>
        <v/>
      </c>
      <c r="AP860" s="43">
        <f>IF(AG860=1,AI860*AF860,0)</f>
        <v/>
      </c>
      <c r="AQ860" s="43">
        <f>N860*(F860+G860)/H860</f>
        <v/>
      </c>
      <c r="AR860" s="43">
        <f>O860*AQ860</f>
        <v/>
      </c>
      <c r="AS860" s="52">
        <f>IF(AG860=1,IF(AQ860&gt;0,AF860/AQ860,1),IFERROR(INDEX(Types!$K:$K,MATCH($A860&amp;"|"&amp;$D860,Types!$A:$A,0)),INDEX(Dashboard!$X$6:$X$22,MATCH($A860,Dashboard!$A$6:$A$22,0))))</f>
        <v/>
      </c>
      <c r="AT860" s="43">
        <f>AQ860*INDEX(Dashboard!$Y$6:$Y$22,MATCH($A860,Dashboard!$A$6:$A$22,0))</f>
        <v/>
      </c>
      <c r="AU860" s="53">
        <f>IF(AND(AG860=1,AT860&gt;0,AF860&gt;0),100*AF860/AT860,"")</f>
        <v/>
      </c>
      <c r="AV860" s="44">
        <f>IF(AU860="","",T860/(AU860/100))</f>
        <v/>
      </c>
      <c r="AW860" s="53">
        <f>IF(AU860="","",IF(AND(ABS(AH860)&gt;=0.1,ABS(T860)&gt;=0.05,SIGN(AH860)=SIGN(T860)),100*T860/AH860,""))</f>
        <v/>
      </c>
      <c r="AX860" s="45">
        <f>IF(AU860="","",T860-AV860)</f>
        <v/>
      </c>
      <c r="AY860" s="45">
        <f>IF(AU860="","",AH860-AV860)</f>
        <v/>
      </c>
      <c r="AZ860" s="54">
        <f>(AL860-AM860)-T860*AT860</f>
        <v/>
      </c>
      <c r="BA860" s="43">
        <f>IF(AU860="",0,(AH860-T860)*AF860)</f>
        <v/>
      </c>
      <c r="BB860" s="43">
        <f>IF(AU860="",0,T860*(AF860-AT860))</f>
        <v/>
      </c>
      <c r="BC860" s="51" t="n">
        <v>0.005234297108673978</v>
      </c>
      <c r="BD860" s="51" t="n">
        <v>0.03788634097706879</v>
      </c>
      <c r="BE860" s="51" t="n">
        <v>0.2763836369886559</v>
      </c>
      <c r="BF860" s="43" t="n">
        <v>4012</v>
      </c>
    </row>
    <row r="861">
      <c r="A861" s="42" t="inlineStr">
        <is>
          <t>NE</t>
        </is>
      </c>
      <c r="B861" s="42" t="inlineStr">
        <is>
          <t>31177</t>
        </is>
      </c>
      <c r="C861" s="42" t="inlineStr">
        <is>
          <t>Washington</t>
        </is>
      </c>
      <c r="D861" s="42" t="inlineStr">
        <is>
          <t>Small town &amp; rural</t>
        </is>
      </c>
      <c r="E861" s="42" t="inlineStr"/>
      <c r="F861" s="43" t="n">
        <v>3538</v>
      </c>
      <c r="G861" s="43" t="n">
        <v>8855</v>
      </c>
      <c r="H861" s="43" t="n">
        <v>12545</v>
      </c>
      <c r="I861" s="43" t="n">
        <v>3554</v>
      </c>
      <c r="J861" s="43" t="n">
        <v>8583</v>
      </c>
      <c r="K861" s="42" t="inlineStr">
        <is>
          <t>Governor</t>
        </is>
      </c>
      <c r="L861" s="43" t="n">
        <v>2227</v>
      </c>
      <c r="M861" s="43" t="n">
        <v>6244</v>
      </c>
      <c r="N861" s="43" t="n">
        <v>8803</v>
      </c>
      <c r="O861" s="44">
        <f>IFERROR((F861-G861)/(F861+G861),"")</f>
        <v/>
      </c>
      <c r="P861" s="44">
        <f>IFERROR((I861-J861)/(I861+J861),"")</f>
        <v/>
      </c>
      <c r="Q861" s="45">
        <f>IFERROR(O861-P861,"")</f>
        <v/>
      </c>
      <c r="R861" s="44">
        <f>IFERROR((L861-M861)/(L861+M861),"")</f>
        <v/>
      </c>
      <c r="S861" s="46">
        <f>H861/SUMIFS(Counties!$H$2:$H$1583,Counties!$A$2:$A$1583,$A861)</f>
        <v/>
      </c>
      <c r="T861" s="44">
        <f>O861+INDEX(Dashboard!$F$6:$F$22,MATCH($A861,Dashboard!$A$6:$A$22,0))</f>
        <v/>
      </c>
      <c r="U861" s="43">
        <f>AQ861*INDEX(Dashboard!$G$6:$G$22,MATCH($A861,Dashboard!$A$6:$A$22,0))</f>
        <v/>
      </c>
      <c r="V861" s="47" t="n"/>
      <c r="W861" s="47" t="n"/>
      <c r="X861" s="47" t="n"/>
      <c r="Y861" s="48" t="n"/>
      <c r="Z861" s="49" t="n"/>
      <c r="AA861" s="49" t="n"/>
      <c r="AB861" s="49" t="n"/>
      <c r="AC861" s="50" t="n"/>
      <c r="AD861" s="43">
        <f>IF(Z861&lt;&gt;"",Z861,N(V861))</f>
        <v/>
      </c>
      <c r="AE861" s="43">
        <f>IF(AA861&lt;&gt;"",AA861,N(W861))</f>
        <v/>
      </c>
      <c r="AF861" s="43">
        <f>AD861+AE861</f>
        <v/>
      </c>
      <c r="AG861" s="42">
        <f>IF(UPPER(AC861)="Y",1,IF(AF861=0,0,IF(AND(Z861="",Y861&lt;&gt;""),IF(Y861&gt;=0.999,1,0),IF(AF861&gt;=U861,1,0))))</f>
        <v/>
      </c>
      <c r="AH861" s="44">
        <f>IF(AF861&gt;0,(AD861-AE861)/AF861,"")</f>
        <v/>
      </c>
      <c r="AI861" s="45">
        <f>IF(AG861=1,AH861-O861,"")</f>
        <v/>
      </c>
      <c r="AJ861" s="44">
        <f>IF(AG861=1,AH861,MAX(-1,MIN(1,O861+INDEX(Types!$H:$H,MATCH($A861&amp;"|"&amp;$D861,Types!$A:$A,0)))))</f>
        <v/>
      </c>
      <c r="AK861" s="43">
        <f>IF(AG861=1,AF861,MAX(AQ861*AS861,AF861))</f>
        <v/>
      </c>
      <c r="AL861" s="43">
        <f>IF(AG861=1,AD861,AK861*(1+AJ861)/2)</f>
        <v/>
      </c>
      <c r="AM861" s="43">
        <f>IF(AG861=1,AE861,AK861*(1-AJ861)/2)</f>
        <v/>
      </c>
      <c r="AN861" s="45">
        <f>IF(AH861="","",AH861-T861)</f>
        <v/>
      </c>
      <c r="AO861" s="51">
        <f>IF(AG861=1,1,IF(U861&gt;0,MIN(AF861/U861,0.99),0))</f>
        <v/>
      </c>
      <c r="AP861" s="43">
        <f>IF(AG861=1,AI861*AF861,0)</f>
        <v/>
      </c>
      <c r="AQ861" s="43">
        <f>N861*(F861+G861)/H861</f>
        <v/>
      </c>
      <c r="AR861" s="43">
        <f>O861*AQ861</f>
        <v/>
      </c>
      <c r="AS861" s="52">
        <f>IF(AG861=1,IF(AQ861&gt;0,AF861/AQ861,1),IFERROR(INDEX(Types!$K:$K,MATCH($A861&amp;"|"&amp;$D861,Types!$A:$A,0)),INDEX(Dashboard!$X$6:$X$22,MATCH($A861,Dashboard!$A$6:$A$22,0))))</f>
        <v/>
      </c>
      <c r="AT861" s="43">
        <f>AQ861*INDEX(Dashboard!$Y$6:$Y$22,MATCH($A861,Dashboard!$A$6:$A$22,0))</f>
        <v/>
      </c>
      <c r="AU861" s="53">
        <f>IF(AND(AG861=1,AT861&gt;0,AF861&gt;0),100*AF861/AT861,"")</f>
        <v/>
      </c>
      <c r="AV861" s="44">
        <f>IF(AU861="","",T861/(AU861/100))</f>
        <v/>
      </c>
      <c r="AW861" s="53">
        <f>IF(AU861="","",IF(AND(ABS(AH861)&gt;=0.1,ABS(T861)&gt;=0.05,SIGN(AH861)=SIGN(T861)),100*T861/AH861,""))</f>
        <v/>
      </c>
      <c r="AX861" s="45">
        <f>IF(AU861="","",T861-AV861)</f>
        <v/>
      </c>
      <c r="AY861" s="45">
        <f>IF(AU861="","",AH861-AV861)</f>
        <v/>
      </c>
      <c r="AZ861" s="54">
        <f>(AL861-AM861)-T861*AT861</f>
        <v/>
      </c>
      <c r="BA861" s="43">
        <f>IF(AU861="",0,(AH861-T861)*AF861)</f>
        <v/>
      </c>
      <c r="BB861" s="43">
        <f>IF(AU861="",0,T861*(AF861-AT861))</f>
        <v/>
      </c>
      <c r="BC861" s="51" t="n">
        <v>0.008698940998487141</v>
      </c>
      <c r="BD861" s="51" t="n">
        <v>0.03588313161875945</v>
      </c>
      <c r="BE861" s="51" t="n">
        <v>0.3651423400849168</v>
      </c>
      <c r="BF861" s="43" t="n">
        <v>21152</v>
      </c>
    </row>
    <row r="862">
      <c r="A862" s="42" t="inlineStr">
        <is>
          <t>NE</t>
        </is>
      </c>
      <c r="B862" s="42" t="inlineStr">
        <is>
          <t>31179</t>
        </is>
      </c>
      <c r="C862" s="42" t="inlineStr">
        <is>
          <t>Wayne</t>
        </is>
      </c>
      <c r="D862" s="42" t="inlineStr">
        <is>
          <t>Small town &amp; rural</t>
        </is>
      </c>
      <c r="E862" s="42" t="inlineStr"/>
      <c r="F862" s="43" t="n">
        <v>1006</v>
      </c>
      <c r="G862" s="43" t="n">
        <v>3011</v>
      </c>
      <c r="H862" s="43" t="n">
        <v>4073</v>
      </c>
      <c r="I862" s="43" t="n">
        <v>1022</v>
      </c>
      <c r="J862" s="43" t="n">
        <v>3055</v>
      </c>
      <c r="K862" s="42" t="inlineStr">
        <is>
          <t>Governor</t>
        </is>
      </c>
      <c r="L862" s="43" t="n">
        <v>685</v>
      </c>
      <c r="M862" s="43" t="n">
        <v>2215</v>
      </c>
      <c r="N862" s="43" t="n">
        <v>3023</v>
      </c>
      <c r="O862" s="44">
        <f>IFERROR((F862-G862)/(F862+G862),"")</f>
        <v/>
      </c>
      <c r="P862" s="44">
        <f>IFERROR((I862-J862)/(I862+J862),"")</f>
        <v/>
      </c>
      <c r="Q862" s="45">
        <f>IFERROR(O862-P862,"")</f>
        <v/>
      </c>
      <c r="R862" s="44">
        <f>IFERROR((L862-M862)/(L862+M862),"")</f>
        <v/>
      </c>
      <c r="S862" s="46">
        <f>H862/SUMIFS(Counties!$H$2:$H$1583,Counties!$A$2:$A$1583,$A862)</f>
        <v/>
      </c>
      <c r="T862" s="44">
        <f>O862+INDEX(Dashboard!$F$6:$F$22,MATCH($A862,Dashboard!$A$6:$A$22,0))</f>
        <v/>
      </c>
      <c r="U862" s="43">
        <f>AQ862*INDEX(Dashboard!$G$6:$G$22,MATCH($A862,Dashboard!$A$6:$A$22,0))</f>
        <v/>
      </c>
      <c r="V862" s="47" t="n"/>
      <c r="W862" s="47" t="n"/>
      <c r="X862" s="47" t="n"/>
      <c r="Y862" s="48" t="n"/>
      <c r="Z862" s="49" t="n"/>
      <c r="AA862" s="49" t="n"/>
      <c r="AB862" s="49" t="n"/>
      <c r="AC862" s="50" t="n"/>
      <c r="AD862" s="43">
        <f>IF(Z862&lt;&gt;"",Z862,N(V862))</f>
        <v/>
      </c>
      <c r="AE862" s="43">
        <f>IF(AA862&lt;&gt;"",AA862,N(W862))</f>
        <v/>
      </c>
      <c r="AF862" s="43">
        <f>AD862+AE862</f>
        <v/>
      </c>
      <c r="AG862" s="42">
        <f>IF(UPPER(AC862)="Y",1,IF(AF862=0,0,IF(AND(Z862="",Y862&lt;&gt;""),IF(Y862&gt;=0.999,1,0),IF(AF862&gt;=U862,1,0))))</f>
        <v/>
      </c>
      <c r="AH862" s="44">
        <f>IF(AF862&gt;0,(AD862-AE862)/AF862,"")</f>
        <v/>
      </c>
      <c r="AI862" s="45">
        <f>IF(AG862=1,AH862-O862,"")</f>
        <v/>
      </c>
      <c r="AJ862" s="44">
        <f>IF(AG862=1,AH862,MAX(-1,MIN(1,O862+INDEX(Types!$H:$H,MATCH($A862&amp;"|"&amp;$D862,Types!$A:$A,0)))))</f>
        <v/>
      </c>
      <c r="AK862" s="43">
        <f>IF(AG862=1,AF862,MAX(AQ862*AS862,AF862))</f>
        <v/>
      </c>
      <c r="AL862" s="43">
        <f>IF(AG862=1,AD862,AK862*(1+AJ862)/2)</f>
        <v/>
      </c>
      <c r="AM862" s="43">
        <f>IF(AG862=1,AE862,AK862*(1-AJ862)/2)</f>
        <v/>
      </c>
      <c r="AN862" s="45">
        <f>IF(AH862="","",AH862-T862)</f>
        <v/>
      </c>
      <c r="AO862" s="51">
        <f>IF(AG862=1,1,IF(U862&gt;0,MIN(AF862/U862,0.99),0))</f>
        <v/>
      </c>
      <c r="AP862" s="43">
        <f>IF(AG862=1,AI862*AF862,0)</f>
        <v/>
      </c>
      <c r="AQ862" s="43">
        <f>N862*(F862+G862)/H862</f>
        <v/>
      </c>
      <c r="AR862" s="43">
        <f>O862*AQ862</f>
        <v/>
      </c>
      <c r="AS862" s="52">
        <f>IF(AG862=1,IF(AQ862&gt;0,AF862/AQ862,1),IFERROR(INDEX(Types!$K:$K,MATCH($A862&amp;"|"&amp;$D862,Types!$A:$A,0)),INDEX(Dashboard!$X$6:$X$22,MATCH($A862,Dashboard!$A$6:$A$22,0))))</f>
        <v/>
      </c>
      <c r="AT862" s="43">
        <f>AQ862*INDEX(Dashboard!$Y$6:$Y$22,MATCH($A862,Dashboard!$A$6:$A$22,0))</f>
        <v/>
      </c>
      <c r="AU862" s="53">
        <f>IF(AND(AG862=1,AT862&gt;0,AF862&gt;0),100*AF862/AT862,"")</f>
        <v/>
      </c>
      <c r="AV862" s="44">
        <f>IF(AU862="","",T862/(AU862/100))</f>
        <v/>
      </c>
      <c r="AW862" s="53">
        <f>IF(AU862="","",IF(AND(ABS(AH862)&gt;=0.1,ABS(T862)&gt;=0.05,SIGN(AH862)=SIGN(T862)),100*T862/AH862,""))</f>
        <v/>
      </c>
      <c r="AX862" s="45">
        <f>IF(AU862="","",T862-AV862)</f>
        <v/>
      </c>
      <c r="AY862" s="45">
        <f>IF(AU862="","",AH862-AV862)</f>
        <v/>
      </c>
      <c r="AZ862" s="54">
        <f>(AL862-AM862)-T862*AT862</f>
        <v/>
      </c>
      <c r="BA862" s="43">
        <f>IF(AU862="",0,(AH862-T862)*AF862)</f>
        <v/>
      </c>
      <c r="BB862" s="43">
        <f>IF(AU862="",0,T862*(AF862-AT862))</f>
        <v/>
      </c>
      <c r="BC862" s="51" t="n">
        <v>0.01681182904597934</v>
      </c>
      <c r="BD862" s="51" t="n">
        <v>0.1016811829045979</v>
      </c>
      <c r="BE862" s="51" t="n">
        <v>0.2936435244550284</v>
      </c>
      <c r="BF862" s="43" t="n">
        <v>9874</v>
      </c>
    </row>
    <row r="863">
      <c r="A863" s="42" t="inlineStr">
        <is>
          <t>NE</t>
        </is>
      </c>
      <c r="B863" s="42" t="inlineStr">
        <is>
          <t>31181</t>
        </is>
      </c>
      <c r="C863" s="42" t="inlineStr">
        <is>
          <t>Webster</t>
        </is>
      </c>
      <c r="D863" s="42" t="inlineStr">
        <is>
          <t>Small town &amp; rural</t>
        </is>
      </c>
      <c r="E863" s="42" t="inlineStr"/>
      <c r="F863" s="43" t="n">
        <v>296</v>
      </c>
      <c r="G863" s="43" t="n">
        <v>1449</v>
      </c>
      <c r="H863" s="43" t="n">
        <v>1763</v>
      </c>
      <c r="I863" s="43" t="n">
        <v>335</v>
      </c>
      <c r="J863" s="43" t="n">
        <v>1511</v>
      </c>
      <c r="K863" s="42" t="inlineStr">
        <is>
          <t>Governor</t>
        </is>
      </c>
      <c r="L863" s="43" t="n">
        <v>207</v>
      </c>
      <c r="M863" s="43" t="n">
        <v>1021</v>
      </c>
      <c r="N863" s="43" t="n">
        <v>1283</v>
      </c>
      <c r="O863" s="44">
        <f>IFERROR((F863-G863)/(F863+G863),"")</f>
        <v/>
      </c>
      <c r="P863" s="44">
        <f>IFERROR((I863-J863)/(I863+J863),"")</f>
        <v/>
      </c>
      <c r="Q863" s="45">
        <f>IFERROR(O863-P863,"")</f>
        <v/>
      </c>
      <c r="R863" s="44">
        <f>IFERROR((L863-M863)/(L863+M863),"")</f>
        <v/>
      </c>
      <c r="S863" s="46">
        <f>H863/SUMIFS(Counties!$H$2:$H$1583,Counties!$A$2:$A$1583,$A863)</f>
        <v/>
      </c>
      <c r="T863" s="44">
        <f>O863+INDEX(Dashboard!$F$6:$F$22,MATCH($A863,Dashboard!$A$6:$A$22,0))</f>
        <v/>
      </c>
      <c r="U863" s="43">
        <f>AQ863*INDEX(Dashboard!$G$6:$G$22,MATCH($A863,Dashboard!$A$6:$A$22,0))</f>
        <v/>
      </c>
      <c r="V863" s="47" t="n"/>
      <c r="W863" s="47" t="n"/>
      <c r="X863" s="47" t="n"/>
      <c r="Y863" s="48" t="n"/>
      <c r="Z863" s="49" t="n"/>
      <c r="AA863" s="49" t="n"/>
      <c r="AB863" s="49" t="n"/>
      <c r="AC863" s="50" t="n"/>
      <c r="AD863" s="43">
        <f>IF(Z863&lt;&gt;"",Z863,N(V863))</f>
        <v/>
      </c>
      <c r="AE863" s="43">
        <f>IF(AA863&lt;&gt;"",AA863,N(W863))</f>
        <v/>
      </c>
      <c r="AF863" s="43">
        <f>AD863+AE863</f>
        <v/>
      </c>
      <c r="AG863" s="42">
        <f>IF(UPPER(AC863)="Y",1,IF(AF863=0,0,IF(AND(Z863="",Y863&lt;&gt;""),IF(Y863&gt;=0.999,1,0),IF(AF863&gt;=U863,1,0))))</f>
        <v/>
      </c>
      <c r="AH863" s="44">
        <f>IF(AF863&gt;0,(AD863-AE863)/AF863,"")</f>
        <v/>
      </c>
      <c r="AI863" s="45">
        <f>IF(AG863=1,AH863-O863,"")</f>
        <v/>
      </c>
      <c r="AJ863" s="44">
        <f>IF(AG863=1,AH863,MAX(-1,MIN(1,O863+INDEX(Types!$H:$H,MATCH($A863&amp;"|"&amp;$D863,Types!$A:$A,0)))))</f>
        <v/>
      </c>
      <c r="AK863" s="43">
        <f>IF(AG863=1,AF863,MAX(AQ863*AS863,AF863))</f>
        <v/>
      </c>
      <c r="AL863" s="43">
        <f>IF(AG863=1,AD863,AK863*(1+AJ863)/2)</f>
        <v/>
      </c>
      <c r="AM863" s="43">
        <f>IF(AG863=1,AE863,AK863*(1-AJ863)/2)</f>
        <v/>
      </c>
      <c r="AN863" s="45">
        <f>IF(AH863="","",AH863-T863)</f>
        <v/>
      </c>
      <c r="AO863" s="51">
        <f>IF(AG863=1,1,IF(U863&gt;0,MIN(AF863/U863,0.99),0))</f>
        <v/>
      </c>
      <c r="AP863" s="43">
        <f>IF(AG863=1,AI863*AF863,0)</f>
        <v/>
      </c>
      <c r="AQ863" s="43">
        <f>N863*(F863+G863)/H863</f>
        <v/>
      </c>
      <c r="AR863" s="43">
        <f>O863*AQ863</f>
        <v/>
      </c>
      <c r="AS863" s="52">
        <f>IF(AG863=1,IF(AQ863&gt;0,AF863/AQ863,1),IFERROR(INDEX(Types!$K:$K,MATCH($A863&amp;"|"&amp;$D863,Types!$A:$A,0)),INDEX(Dashboard!$X$6:$X$22,MATCH($A863,Dashboard!$A$6:$A$22,0))))</f>
        <v/>
      </c>
      <c r="AT863" s="43">
        <f>AQ863*INDEX(Dashboard!$Y$6:$Y$22,MATCH($A863,Dashboard!$A$6:$A$22,0))</f>
        <v/>
      </c>
      <c r="AU863" s="53">
        <f>IF(AND(AG863=1,AT863&gt;0,AF863&gt;0),100*AF863/AT863,"")</f>
        <v/>
      </c>
      <c r="AV863" s="44">
        <f>IF(AU863="","",T863/(AU863/100))</f>
        <v/>
      </c>
      <c r="AW863" s="53">
        <f>IF(AU863="","",IF(AND(ABS(AH863)&gt;=0.1,ABS(T863)&gt;=0.05,SIGN(AH863)=SIGN(T863)),100*T863/AH863,""))</f>
        <v/>
      </c>
      <c r="AX863" s="45">
        <f>IF(AU863="","",T863-AV863)</f>
        <v/>
      </c>
      <c r="AY863" s="45">
        <f>IF(AU863="","",AH863-AV863)</f>
        <v/>
      </c>
      <c r="AZ863" s="54">
        <f>(AL863-AM863)-T863*AT863</f>
        <v/>
      </c>
      <c r="BA863" s="43">
        <f>IF(AU863="",0,(AH863-T863)*AF863)</f>
        <v/>
      </c>
      <c r="BB863" s="43">
        <f>IF(AU863="",0,T863*(AF863-AT863))</f>
        <v/>
      </c>
      <c r="BC863" s="51" t="n">
        <v>0.007460459564309161</v>
      </c>
      <c r="BD863" s="51" t="n">
        <v>0.06326469710534169</v>
      </c>
      <c r="BE863" s="51" t="n">
        <v>0.2187629721876297</v>
      </c>
      <c r="BF863" s="43" t="n">
        <v>3351</v>
      </c>
    </row>
    <row r="864">
      <c r="A864" s="42" t="inlineStr">
        <is>
          <t>NE</t>
        </is>
      </c>
      <c r="B864" s="42" t="inlineStr">
        <is>
          <t>31183</t>
        </is>
      </c>
      <c r="C864" s="42" t="inlineStr">
        <is>
          <t>Wheeler</t>
        </is>
      </c>
      <c r="D864" s="42" t="inlineStr">
        <is>
          <t>Small town &amp; rural</t>
        </is>
      </c>
      <c r="E864" s="42" t="inlineStr"/>
      <c r="F864" s="43" t="n">
        <v>57</v>
      </c>
      <c r="G864" s="43" t="n">
        <v>424</v>
      </c>
      <c r="H864" s="43" t="n">
        <v>486</v>
      </c>
      <c r="I864" s="43" t="n">
        <v>59</v>
      </c>
      <c r="J864" s="43" t="n">
        <v>438</v>
      </c>
      <c r="K864" s="42" t="inlineStr">
        <is>
          <t>Governor</t>
        </is>
      </c>
      <c r="L864" s="43" t="n">
        <v>39</v>
      </c>
      <c r="M864" s="43" t="n">
        <v>227</v>
      </c>
      <c r="N864" s="43" t="n">
        <v>280</v>
      </c>
      <c r="O864" s="44">
        <f>IFERROR((F864-G864)/(F864+G864),"")</f>
        <v/>
      </c>
      <c r="P864" s="44">
        <f>IFERROR((I864-J864)/(I864+J864),"")</f>
        <v/>
      </c>
      <c r="Q864" s="45">
        <f>IFERROR(O864-P864,"")</f>
        <v/>
      </c>
      <c r="R864" s="44">
        <f>IFERROR((L864-M864)/(L864+M864),"")</f>
        <v/>
      </c>
      <c r="S864" s="46">
        <f>H864/SUMIFS(Counties!$H$2:$H$1583,Counties!$A$2:$A$1583,$A864)</f>
        <v/>
      </c>
      <c r="T864" s="44">
        <f>O864+INDEX(Dashboard!$F$6:$F$22,MATCH($A864,Dashboard!$A$6:$A$22,0))</f>
        <v/>
      </c>
      <c r="U864" s="43">
        <f>AQ864*INDEX(Dashboard!$G$6:$G$22,MATCH($A864,Dashboard!$A$6:$A$22,0))</f>
        <v/>
      </c>
      <c r="V864" s="47" t="n"/>
      <c r="W864" s="47" t="n"/>
      <c r="X864" s="47" t="n"/>
      <c r="Y864" s="48" t="n"/>
      <c r="Z864" s="49" t="n"/>
      <c r="AA864" s="49" t="n"/>
      <c r="AB864" s="49" t="n"/>
      <c r="AC864" s="50" t="n"/>
      <c r="AD864" s="43">
        <f>IF(Z864&lt;&gt;"",Z864,N(V864))</f>
        <v/>
      </c>
      <c r="AE864" s="43">
        <f>IF(AA864&lt;&gt;"",AA864,N(W864))</f>
        <v/>
      </c>
      <c r="AF864" s="43">
        <f>AD864+AE864</f>
        <v/>
      </c>
      <c r="AG864" s="42">
        <f>IF(UPPER(AC864)="Y",1,IF(AF864=0,0,IF(AND(Z864="",Y864&lt;&gt;""),IF(Y864&gt;=0.999,1,0),IF(AF864&gt;=U864,1,0))))</f>
        <v/>
      </c>
      <c r="AH864" s="44">
        <f>IF(AF864&gt;0,(AD864-AE864)/AF864,"")</f>
        <v/>
      </c>
      <c r="AI864" s="45">
        <f>IF(AG864=1,AH864-O864,"")</f>
        <v/>
      </c>
      <c r="AJ864" s="44">
        <f>IF(AG864=1,AH864,MAX(-1,MIN(1,O864+INDEX(Types!$H:$H,MATCH($A864&amp;"|"&amp;$D864,Types!$A:$A,0)))))</f>
        <v/>
      </c>
      <c r="AK864" s="43">
        <f>IF(AG864=1,AF864,MAX(AQ864*AS864,AF864))</f>
        <v/>
      </c>
      <c r="AL864" s="43">
        <f>IF(AG864=1,AD864,AK864*(1+AJ864)/2)</f>
        <v/>
      </c>
      <c r="AM864" s="43">
        <f>IF(AG864=1,AE864,AK864*(1-AJ864)/2)</f>
        <v/>
      </c>
      <c r="AN864" s="45">
        <f>IF(AH864="","",AH864-T864)</f>
        <v/>
      </c>
      <c r="AO864" s="51">
        <f>IF(AG864=1,1,IF(U864&gt;0,MIN(AF864/U864,0.99),0))</f>
        <v/>
      </c>
      <c r="AP864" s="43">
        <f>IF(AG864=1,AI864*AF864,0)</f>
        <v/>
      </c>
      <c r="AQ864" s="43">
        <f>N864*(F864+G864)/H864</f>
        <v/>
      </c>
      <c r="AR864" s="43">
        <f>O864*AQ864</f>
        <v/>
      </c>
      <c r="AS864" s="52">
        <f>IF(AG864=1,IF(AQ864&gt;0,AF864/AQ864,1),IFERROR(INDEX(Types!$K:$K,MATCH($A864&amp;"|"&amp;$D864,Types!$A:$A,0)),INDEX(Dashboard!$X$6:$X$22,MATCH($A864,Dashboard!$A$6:$A$22,0))))</f>
        <v/>
      </c>
      <c r="AT864" s="43">
        <f>AQ864*INDEX(Dashboard!$Y$6:$Y$22,MATCH($A864,Dashboard!$A$6:$A$22,0))</f>
        <v/>
      </c>
      <c r="AU864" s="53">
        <f>IF(AND(AG864=1,AT864&gt;0,AF864&gt;0),100*AF864/AT864,"")</f>
        <v/>
      </c>
      <c r="AV864" s="44">
        <f>IF(AU864="","",T864/(AU864/100))</f>
        <v/>
      </c>
      <c r="AW864" s="53">
        <f>IF(AU864="","",IF(AND(ABS(AH864)&gt;=0.1,ABS(T864)&gt;=0.05,SIGN(AH864)=SIGN(T864)),100*T864/AH864,""))</f>
        <v/>
      </c>
      <c r="AX864" s="45">
        <f>IF(AU864="","",T864-AV864)</f>
        <v/>
      </c>
      <c r="AY864" s="45">
        <f>IF(AU864="","",AH864-AV864)</f>
        <v/>
      </c>
      <c r="AZ864" s="54">
        <f>(AL864-AM864)-T864*AT864</f>
        <v/>
      </c>
      <c r="BA864" s="43">
        <f>IF(AU864="",0,(AH864-T864)*AF864)</f>
        <v/>
      </c>
      <c r="BB864" s="43">
        <f>IF(AU864="",0,T864*(AF864-AT864))</f>
        <v/>
      </c>
      <c r="BC864" s="51" t="n">
        <v>0.003870967741935484</v>
      </c>
      <c r="BD864" s="51" t="n">
        <v>0.04258064516129032</v>
      </c>
      <c r="BE864" s="51" t="n">
        <v>0.2958860759493671</v>
      </c>
      <c r="BF864" s="43" t="n">
        <v>775</v>
      </c>
    </row>
    <row r="865">
      <c r="A865" s="42" t="inlineStr">
        <is>
          <t>NE</t>
        </is>
      </c>
      <c r="B865" s="42" t="inlineStr">
        <is>
          <t>31185</t>
        </is>
      </c>
      <c r="C865" s="42" t="inlineStr">
        <is>
          <t>York</t>
        </is>
      </c>
      <c r="D865" s="42" t="inlineStr">
        <is>
          <t>Small town &amp; rural</t>
        </is>
      </c>
      <c r="E865" s="42" t="inlineStr"/>
      <c r="F865" s="43" t="n">
        <v>1648</v>
      </c>
      <c r="G865" s="43" t="n">
        <v>5234</v>
      </c>
      <c r="H865" s="43" t="n">
        <v>6984</v>
      </c>
      <c r="I865" s="43" t="n">
        <v>1630</v>
      </c>
      <c r="J865" s="43" t="n">
        <v>5337</v>
      </c>
      <c r="K865" s="42" t="inlineStr">
        <is>
          <t>Governor</t>
        </is>
      </c>
      <c r="L865" s="43" t="n">
        <v>971</v>
      </c>
      <c r="M865" s="43" t="n">
        <v>3821</v>
      </c>
      <c r="N865" s="43" t="n">
        <v>5011</v>
      </c>
      <c r="O865" s="44">
        <f>IFERROR((F865-G865)/(F865+G865),"")</f>
        <v/>
      </c>
      <c r="P865" s="44">
        <f>IFERROR((I865-J865)/(I865+J865),"")</f>
        <v/>
      </c>
      <c r="Q865" s="45">
        <f>IFERROR(O865-P865,"")</f>
        <v/>
      </c>
      <c r="R865" s="44">
        <f>IFERROR((L865-M865)/(L865+M865),"")</f>
        <v/>
      </c>
      <c r="S865" s="46">
        <f>H865/SUMIFS(Counties!$H$2:$H$1583,Counties!$A$2:$A$1583,$A865)</f>
        <v/>
      </c>
      <c r="T865" s="44">
        <f>O865+INDEX(Dashboard!$F$6:$F$22,MATCH($A865,Dashboard!$A$6:$A$22,0))</f>
        <v/>
      </c>
      <c r="U865" s="43">
        <f>AQ865*INDEX(Dashboard!$G$6:$G$22,MATCH($A865,Dashboard!$A$6:$A$22,0))</f>
        <v/>
      </c>
      <c r="V865" s="47" t="n"/>
      <c r="W865" s="47" t="n"/>
      <c r="X865" s="47" t="n"/>
      <c r="Y865" s="48" t="n"/>
      <c r="Z865" s="49" t="n"/>
      <c r="AA865" s="49" t="n"/>
      <c r="AB865" s="49" t="n"/>
      <c r="AC865" s="50" t="n"/>
      <c r="AD865" s="43">
        <f>IF(Z865&lt;&gt;"",Z865,N(V865))</f>
        <v/>
      </c>
      <c r="AE865" s="43">
        <f>IF(AA865&lt;&gt;"",AA865,N(W865))</f>
        <v/>
      </c>
      <c r="AF865" s="43">
        <f>AD865+AE865</f>
        <v/>
      </c>
      <c r="AG865" s="42">
        <f>IF(UPPER(AC865)="Y",1,IF(AF865=0,0,IF(AND(Z865="",Y865&lt;&gt;""),IF(Y865&gt;=0.999,1,0),IF(AF865&gt;=U865,1,0))))</f>
        <v/>
      </c>
      <c r="AH865" s="44">
        <f>IF(AF865&gt;0,(AD865-AE865)/AF865,"")</f>
        <v/>
      </c>
      <c r="AI865" s="45">
        <f>IF(AG865=1,AH865-O865,"")</f>
        <v/>
      </c>
      <c r="AJ865" s="44">
        <f>IF(AG865=1,AH865,MAX(-1,MIN(1,O865+INDEX(Types!$H:$H,MATCH($A865&amp;"|"&amp;$D865,Types!$A:$A,0)))))</f>
        <v/>
      </c>
      <c r="AK865" s="43">
        <f>IF(AG865=1,AF865,MAX(AQ865*AS865,AF865))</f>
        <v/>
      </c>
      <c r="AL865" s="43">
        <f>IF(AG865=1,AD865,AK865*(1+AJ865)/2)</f>
        <v/>
      </c>
      <c r="AM865" s="43">
        <f>IF(AG865=1,AE865,AK865*(1-AJ865)/2)</f>
        <v/>
      </c>
      <c r="AN865" s="45">
        <f>IF(AH865="","",AH865-T865)</f>
        <v/>
      </c>
      <c r="AO865" s="51">
        <f>IF(AG865=1,1,IF(U865&gt;0,MIN(AF865/U865,0.99),0))</f>
        <v/>
      </c>
      <c r="AP865" s="43">
        <f>IF(AG865=1,AI865*AF865,0)</f>
        <v/>
      </c>
      <c r="AQ865" s="43">
        <f>N865*(F865+G865)/H865</f>
        <v/>
      </c>
      <c r="AR865" s="43">
        <f>O865*AQ865</f>
        <v/>
      </c>
      <c r="AS865" s="52">
        <f>IF(AG865=1,IF(AQ865&gt;0,AF865/AQ865,1),IFERROR(INDEX(Types!$K:$K,MATCH($A865&amp;"|"&amp;$D865,Types!$A:$A,0)),INDEX(Dashboard!$X$6:$X$22,MATCH($A865,Dashboard!$A$6:$A$22,0))))</f>
        <v/>
      </c>
      <c r="AT865" s="43">
        <f>AQ865*INDEX(Dashboard!$Y$6:$Y$22,MATCH($A865,Dashboard!$A$6:$A$22,0))</f>
        <v/>
      </c>
      <c r="AU865" s="53">
        <f>IF(AND(AG865=1,AT865&gt;0,AF865&gt;0),100*AF865/AT865,"")</f>
        <v/>
      </c>
      <c r="AV865" s="44">
        <f>IF(AU865="","",T865/(AU865/100))</f>
        <v/>
      </c>
      <c r="AW865" s="53">
        <f>IF(AU865="","",IF(AND(ABS(AH865)&gt;=0.1,ABS(T865)&gt;=0.05,SIGN(AH865)=SIGN(T865)),100*T865/AH865,""))</f>
        <v/>
      </c>
      <c r="AX865" s="45">
        <f>IF(AU865="","",T865-AV865)</f>
        <v/>
      </c>
      <c r="AY865" s="45">
        <f>IF(AU865="","",AH865-AV865)</f>
        <v/>
      </c>
      <c r="AZ865" s="54">
        <f>(AL865-AM865)-T865*AT865</f>
        <v/>
      </c>
      <c r="BA865" s="43">
        <f>IF(AU865="",0,(AH865-T865)*AF865)</f>
        <v/>
      </c>
      <c r="BB865" s="43">
        <f>IF(AU865="",0,T865*(AF865-AT865))</f>
        <v/>
      </c>
      <c r="BC865" s="51" t="n">
        <v>0.01713569239342435</v>
      </c>
      <c r="BD865" s="51" t="n">
        <v>0.06303984396767902</v>
      </c>
      <c r="BE865" s="51" t="n">
        <v>0.238626878130217</v>
      </c>
      <c r="BF865" s="43" t="n">
        <v>14356</v>
      </c>
    </row>
    <row r="866">
      <c r="A866" s="42" t="inlineStr">
        <is>
          <t>NH</t>
        </is>
      </c>
      <c r="B866" s="42" t="inlineStr">
        <is>
          <t>33001</t>
        </is>
      </c>
      <c r="C866" s="42" t="inlineStr">
        <is>
          <t>Belknap</t>
        </is>
      </c>
      <c r="D866" s="42" t="inlineStr">
        <is>
          <t>Small town &amp; rural</t>
        </is>
      </c>
      <c r="E866" s="42" t="inlineStr">
        <is>
          <t>★</t>
        </is>
      </c>
      <c r="F866" s="43" t="n">
        <v>17469</v>
      </c>
      <c r="G866" s="43" t="n">
        <v>22765</v>
      </c>
      <c r="H866" s="43" t="n">
        <v>40550</v>
      </c>
      <c r="I866" s="43" t="n">
        <v>16894</v>
      </c>
      <c r="J866" s="43" t="n">
        <v>20899</v>
      </c>
      <c r="K866" s="42" t="inlineStr">
        <is>
          <t>US Senate</t>
        </is>
      </c>
      <c r="L866" s="43" t="n">
        <v>13669</v>
      </c>
      <c r="M866" s="43" t="n">
        <v>16591</v>
      </c>
      <c r="N866" s="43" t="n">
        <v>30797</v>
      </c>
      <c r="O866" s="44">
        <f>IFERROR((F866-G866)/(F866+G866),"")</f>
        <v/>
      </c>
      <c r="P866" s="44">
        <f>IFERROR((I866-J866)/(I866+J866),"")</f>
        <v/>
      </c>
      <c r="Q866" s="45">
        <f>IFERROR(O866-P866,"")</f>
        <v/>
      </c>
      <c r="R866" s="44">
        <f>IFERROR((L866-M866)/(L866+M866),"")</f>
        <v/>
      </c>
      <c r="S866" s="46">
        <f>H866/SUMIFS(Counties!$H$2:$H$1583,Counties!$A$2:$A$1583,$A866)</f>
        <v/>
      </c>
      <c r="T866" s="44">
        <f>O866+INDEX(Dashboard!$F$6:$F$22,MATCH($A866,Dashboard!$A$6:$A$22,0))</f>
        <v/>
      </c>
      <c r="U866" s="43">
        <f>AQ866*INDEX(Dashboard!$G$6:$G$22,MATCH($A866,Dashboard!$A$6:$A$22,0))</f>
        <v/>
      </c>
      <c r="V866" s="47" t="n"/>
      <c r="W866" s="47" t="n"/>
      <c r="X866" s="47" t="n"/>
      <c r="Y866" s="48" t="n"/>
      <c r="Z866" s="49" t="n"/>
      <c r="AA866" s="49" t="n"/>
      <c r="AB866" s="49" t="n"/>
      <c r="AC866" s="50" t="n"/>
      <c r="AD866" s="43">
        <f>IF(Z866&lt;&gt;"",Z866,N(V866))</f>
        <v/>
      </c>
      <c r="AE866" s="43">
        <f>IF(AA866&lt;&gt;"",AA866,N(W866))</f>
        <v/>
      </c>
      <c r="AF866" s="43">
        <f>AD866+AE866</f>
        <v/>
      </c>
      <c r="AG866" s="42">
        <f>IF(UPPER(AC866)="Y",1,IF(AF866=0,0,IF(AND(Z866="",Y866&lt;&gt;""),IF(Y866&gt;=0.999,1,0),IF(AF866&gt;=U866,1,0))))</f>
        <v/>
      </c>
      <c r="AH866" s="44">
        <f>IF(AF866&gt;0,(AD866-AE866)/AF866,"")</f>
        <v/>
      </c>
      <c r="AI866" s="45">
        <f>IF(AG866=1,AH866-O866,"")</f>
        <v/>
      </c>
      <c r="AJ866" s="44">
        <f>IF(AG866=1,AH866,MAX(-1,MIN(1,O866+INDEX(Types!$H:$H,MATCH($A866&amp;"|"&amp;$D866,Types!$A:$A,0)))))</f>
        <v/>
      </c>
      <c r="AK866" s="43">
        <f>IF(AG866=1,AF866,MAX(AQ866*AS866,AF866))</f>
        <v/>
      </c>
      <c r="AL866" s="43">
        <f>IF(AG866=1,AD866,AK866*(1+AJ866)/2)</f>
        <v/>
      </c>
      <c r="AM866" s="43">
        <f>IF(AG866=1,AE866,AK866*(1-AJ866)/2)</f>
        <v/>
      </c>
      <c r="AN866" s="45">
        <f>IF(AH866="","",AH866-T866)</f>
        <v/>
      </c>
      <c r="AO866" s="51">
        <f>IF(AG866=1,1,IF(U866&gt;0,MIN(AF866/U866,0.99),0))</f>
        <v/>
      </c>
      <c r="AP866" s="43">
        <f>IF(AG866=1,AI866*AF866,0)</f>
        <v/>
      </c>
      <c r="AQ866" s="43">
        <f>N866*(F866+G866)/H866</f>
        <v/>
      </c>
      <c r="AR866" s="43">
        <f>O866*AQ866</f>
        <v/>
      </c>
      <c r="AS866" s="52">
        <f>IF(AG866=1,IF(AQ866&gt;0,AF866/AQ866,1),IFERROR(INDEX(Types!$K:$K,MATCH($A866&amp;"|"&amp;$D866,Types!$A:$A,0)),INDEX(Dashboard!$X$6:$X$22,MATCH($A866,Dashboard!$A$6:$A$22,0))))</f>
        <v/>
      </c>
      <c r="AT866" s="43">
        <f>AQ866*INDEX(Dashboard!$Y$6:$Y$22,MATCH($A866,Dashboard!$A$6:$A$22,0))</f>
        <v/>
      </c>
      <c r="AU866" s="53">
        <f>IF(AND(AG866=1,AT866&gt;0,AF866&gt;0),100*AF866/AT866,"")</f>
        <v/>
      </c>
      <c r="AV866" s="44">
        <f>IF(AU866="","",T866/(AU866/100))</f>
        <v/>
      </c>
      <c r="AW866" s="53">
        <f>IF(AU866="","",IF(AND(ABS(AH866)&gt;=0.1,ABS(T866)&gt;=0.05,SIGN(AH866)=SIGN(T866)),100*T866/AH866,""))</f>
        <v/>
      </c>
      <c r="AX866" s="45">
        <f>IF(AU866="","",T866-AV866)</f>
        <v/>
      </c>
      <c r="AY866" s="45">
        <f>IF(AU866="","",AH866-AV866)</f>
        <v/>
      </c>
      <c r="AZ866" s="54">
        <f>(AL866-AM866)-T866*AT866</f>
        <v/>
      </c>
      <c r="BA866" s="43">
        <f>IF(AU866="",0,(AH866-T866)*AF866)</f>
        <v/>
      </c>
      <c r="BB866" s="43">
        <f>IF(AU866="",0,T866*(AF866-AT866))</f>
        <v/>
      </c>
      <c r="BC866" s="51" t="n">
        <v>0.006858689467451982</v>
      </c>
      <c r="BD866" s="51" t="n">
        <v>0.02374398326848847</v>
      </c>
      <c r="BE866" s="51" t="n">
        <v>0.3257467120088499</v>
      </c>
      <c r="BF866" s="43" t="n">
        <v>65027</v>
      </c>
    </row>
    <row r="867">
      <c r="A867" s="42" t="inlineStr">
        <is>
          <t>NH</t>
        </is>
      </c>
      <c r="B867" s="42" t="inlineStr">
        <is>
          <t>33003</t>
        </is>
      </c>
      <c r="C867" s="42" t="inlineStr">
        <is>
          <t>Carroll</t>
        </is>
      </c>
      <c r="D867" s="42" t="inlineStr">
        <is>
          <t>Small town &amp; rural</t>
        </is>
      </c>
      <c r="E867" s="42" t="inlineStr"/>
      <c r="F867" s="43" t="n">
        <v>16827</v>
      </c>
      <c r="G867" s="43" t="n">
        <v>17407</v>
      </c>
      <c r="H867" s="43" t="n">
        <v>34498</v>
      </c>
      <c r="I867" s="43" t="n">
        <v>16649</v>
      </c>
      <c r="J867" s="43" t="n">
        <v>16150</v>
      </c>
      <c r="K867" s="42" t="inlineStr">
        <is>
          <t>US Senate</t>
        </is>
      </c>
      <c r="L867" s="43" t="n">
        <v>13708</v>
      </c>
      <c r="M867" s="43" t="n">
        <v>13014</v>
      </c>
      <c r="N867" s="43" t="n">
        <v>27137</v>
      </c>
      <c r="O867" s="44">
        <f>IFERROR((F867-G867)/(F867+G867),"")</f>
        <v/>
      </c>
      <c r="P867" s="44">
        <f>IFERROR((I867-J867)/(I867+J867),"")</f>
        <v/>
      </c>
      <c r="Q867" s="45">
        <f>IFERROR(O867-P867,"")</f>
        <v/>
      </c>
      <c r="R867" s="44">
        <f>IFERROR((L867-M867)/(L867+M867),"")</f>
        <v/>
      </c>
      <c r="S867" s="46">
        <f>H867/SUMIFS(Counties!$H$2:$H$1583,Counties!$A$2:$A$1583,$A867)</f>
        <v/>
      </c>
      <c r="T867" s="44">
        <f>O867+INDEX(Dashboard!$F$6:$F$22,MATCH($A867,Dashboard!$A$6:$A$22,0))</f>
        <v/>
      </c>
      <c r="U867" s="43">
        <f>AQ867*INDEX(Dashboard!$G$6:$G$22,MATCH($A867,Dashboard!$A$6:$A$22,0))</f>
        <v/>
      </c>
      <c r="V867" s="47" t="n"/>
      <c r="W867" s="47" t="n"/>
      <c r="X867" s="47" t="n"/>
      <c r="Y867" s="48" t="n"/>
      <c r="Z867" s="49" t="n"/>
      <c r="AA867" s="49" t="n"/>
      <c r="AB867" s="49" t="n"/>
      <c r="AC867" s="50" t="n"/>
      <c r="AD867" s="43">
        <f>IF(Z867&lt;&gt;"",Z867,N(V867))</f>
        <v/>
      </c>
      <c r="AE867" s="43">
        <f>IF(AA867&lt;&gt;"",AA867,N(W867))</f>
        <v/>
      </c>
      <c r="AF867" s="43">
        <f>AD867+AE867</f>
        <v/>
      </c>
      <c r="AG867" s="42">
        <f>IF(UPPER(AC867)="Y",1,IF(AF867=0,0,IF(AND(Z867="",Y867&lt;&gt;""),IF(Y867&gt;=0.999,1,0),IF(AF867&gt;=U867,1,0))))</f>
        <v/>
      </c>
      <c r="AH867" s="44">
        <f>IF(AF867&gt;0,(AD867-AE867)/AF867,"")</f>
        <v/>
      </c>
      <c r="AI867" s="45">
        <f>IF(AG867=1,AH867-O867,"")</f>
        <v/>
      </c>
      <c r="AJ867" s="44">
        <f>IF(AG867=1,AH867,MAX(-1,MIN(1,O867+INDEX(Types!$H:$H,MATCH($A867&amp;"|"&amp;$D867,Types!$A:$A,0)))))</f>
        <v/>
      </c>
      <c r="AK867" s="43">
        <f>IF(AG867=1,AF867,MAX(AQ867*AS867,AF867))</f>
        <v/>
      </c>
      <c r="AL867" s="43">
        <f>IF(AG867=1,AD867,AK867*(1+AJ867)/2)</f>
        <v/>
      </c>
      <c r="AM867" s="43">
        <f>IF(AG867=1,AE867,AK867*(1-AJ867)/2)</f>
        <v/>
      </c>
      <c r="AN867" s="45">
        <f>IF(AH867="","",AH867-T867)</f>
        <v/>
      </c>
      <c r="AO867" s="51">
        <f>IF(AG867=1,1,IF(U867&gt;0,MIN(AF867/U867,0.99),0))</f>
        <v/>
      </c>
      <c r="AP867" s="43">
        <f>IF(AG867=1,AI867*AF867,0)</f>
        <v/>
      </c>
      <c r="AQ867" s="43">
        <f>N867*(F867+G867)/H867</f>
        <v/>
      </c>
      <c r="AR867" s="43">
        <f>O867*AQ867</f>
        <v/>
      </c>
      <c r="AS867" s="52">
        <f>IF(AG867=1,IF(AQ867&gt;0,AF867/AQ867,1),IFERROR(INDEX(Types!$K:$K,MATCH($A867&amp;"|"&amp;$D867,Types!$A:$A,0)),INDEX(Dashboard!$X$6:$X$22,MATCH($A867,Dashboard!$A$6:$A$22,0))))</f>
        <v/>
      </c>
      <c r="AT867" s="43">
        <f>AQ867*INDEX(Dashboard!$Y$6:$Y$22,MATCH($A867,Dashboard!$A$6:$A$22,0))</f>
        <v/>
      </c>
      <c r="AU867" s="53">
        <f>IF(AND(AG867=1,AT867&gt;0,AF867&gt;0),100*AF867/AT867,"")</f>
        <v/>
      </c>
      <c r="AV867" s="44">
        <f>IF(AU867="","",T867/(AU867/100))</f>
        <v/>
      </c>
      <c r="AW867" s="53">
        <f>IF(AU867="","",IF(AND(ABS(AH867)&gt;=0.1,ABS(T867)&gt;=0.05,SIGN(AH867)=SIGN(T867)),100*T867/AH867,""))</f>
        <v/>
      </c>
      <c r="AX867" s="45">
        <f>IF(AU867="","",T867-AV867)</f>
        <v/>
      </c>
      <c r="AY867" s="45">
        <f>IF(AU867="","",AH867-AV867)</f>
        <v/>
      </c>
      <c r="AZ867" s="54">
        <f>(AL867-AM867)-T867*AT867</f>
        <v/>
      </c>
      <c r="BA867" s="43">
        <f>IF(AU867="",0,(AH867-T867)*AF867)</f>
        <v/>
      </c>
      <c r="BB867" s="43">
        <f>IF(AU867="",0,T867*(AF867-AT867))</f>
        <v/>
      </c>
      <c r="BC867" s="51" t="n">
        <v>0.005948749237339841</v>
      </c>
      <c r="BD867" s="51" t="n">
        <v>0.01801784624771202</v>
      </c>
      <c r="BE867" s="51" t="n">
        <v>0.3879496756437979</v>
      </c>
      <c r="BF867" s="43" t="n">
        <v>52448</v>
      </c>
    </row>
    <row r="868">
      <c r="A868" s="42" t="inlineStr">
        <is>
          <t>NH</t>
        </is>
      </c>
      <c r="B868" s="42" t="inlineStr">
        <is>
          <t>33005</t>
        </is>
      </c>
      <c r="C868" s="42" t="inlineStr">
        <is>
          <t>Cheshire</t>
        </is>
      </c>
      <c r="D868" s="42" t="inlineStr">
        <is>
          <t>Small town &amp; rural</t>
        </is>
      </c>
      <c r="E868" s="42" t="inlineStr"/>
      <c r="F868" s="43" t="n">
        <v>24579</v>
      </c>
      <c r="G868" s="43" t="n">
        <v>20142</v>
      </c>
      <c r="H868" s="43" t="n">
        <v>45200</v>
      </c>
      <c r="I868" s="43" t="n">
        <v>25506</v>
      </c>
      <c r="J868" s="43" t="n">
        <v>17892</v>
      </c>
      <c r="K868" s="42" t="inlineStr">
        <is>
          <t>US Senate</t>
        </is>
      </c>
      <c r="L868" s="43" t="n">
        <v>20083</v>
      </c>
      <c r="M868" s="43" t="n">
        <v>13241</v>
      </c>
      <c r="N868" s="43" t="n">
        <v>34008</v>
      </c>
      <c r="O868" s="44">
        <f>IFERROR((F868-G868)/(F868+G868),"")</f>
        <v/>
      </c>
      <c r="P868" s="44">
        <f>IFERROR((I868-J868)/(I868+J868),"")</f>
        <v/>
      </c>
      <c r="Q868" s="45">
        <f>IFERROR(O868-P868,"")</f>
        <v/>
      </c>
      <c r="R868" s="44">
        <f>IFERROR((L868-M868)/(L868+M868),"")</f>
        <v/>
      </c>
      <c r="S868" s="46">
        <f>H868/SUMIFS(Counties!$H$2:$H$1583,Counties!$A$2:$A$1583,$A868)</f>
        <v/>
      </c>
      <c r="T868" s="44">
        <f>O868+INDEX(Dashboard!$F$6:$F$22,MATCH($A868,Dashboard!$A$6:$A$22,0))</f>
        <v/>
      </c>
      <c r="U868" s="43">
        <f>AQ868*INDEX(Dashboard!$G$6:$G$22,MATCH($A868,Dashboard!$A$6:$A$22,0))</f>
        <v/>
      </c>
      <c r="V868" s="47" t="n"/>
      <c r="W868" s="47" t="n"/>
      <c r="X868" s="47" t="n"/>
      <c r="Y868" s="48" t="n"/>
      <c r="Z868" s="49" t="n"/>
      <c r="AA868" s="49" t="n"/>
      <c r="AB868" s="49" t="n"/>
      <c r="AC868" s="50" t="n"/>
      <c r="AD868" s="43">
        <f>IF(Z868&lt;&gt;"",Z868,N(V868))</f>
        <v/>
      </c>
      <c r="AE868" s="43">
        <f>IF(AA868&lt;&gt;"",AA868,N(W868))</f>
        <v/>
      </c>
      <c r="AF868" s="43">
        <f>AD868+AE868</f>
        <v/>
      </c>
      <c r="AG868" s="42">
        <f>IF(UPPER(AC868)="Y",1,IF(AF868=0,0,IF(AND(Z868="",Y868&lt;&gt;""),IF(Y868&gt;=0.999,1,0),IF(AF868&gt;=U868,1,0))))</f>
        <v/>
      </c>
      <c r="AH868" s="44">
        <f>IF(AF868&gt;0,(AD868-AE868)/AF868,"")</f>
        <v/>
      </c>
      <c r="AI868" s="45">
        <f>IF(AG868=1,AH868-O868,"")</f>
        <v/>
      </c>
      <c r="AJ868" s="44">
        <f>IF(AG868=1,AH868,MAX(-1,MIN(1,O868+INDEX(Types!$H:$H,MATCH($A868&amp;"|"&amp;$D868,Types!$A:$A,0)))))</f>
        <v/>
      </c>
      <c r="AK868" s="43">
        <f>IF(AG868=1,AF868,MAX(AQ868*AS868,AF868))</f>
        <v/>
      </c>
      <c r="AL868" s="43">
        <f>IF(AG868=1,AD868,AK868*(1+AJ868)/2)</f>
        <v/>
      </c>
      <c r="AM868" s="43">
        <f>IF(AG868=1,AE868,AK868*(1-AJ868)/2)</f>
        <v/>
      </c>
      <c r="AN868" s="45">
        <f>IF(AH868="","",AH868-T868)</f>
        <v/>
      </c>
      <c r="AO868" s="51">
        <f>IF(AG868=1,1,IF(U868&gt;0,MIN(AF868/U868,0.99),0))</f>
        <v/>
      </c>
      <c r="AP868" s="43">
        <f>IF(AG868=1,AI868*AF868,0)</f>
        <v/>
      </c>
      <c r="AQ868" s="43">
        <f>N868*(F868+G868)/H868</f>
        <v/>
      </c>
      <c r="AR868" s="43">
        <f>O868*AQ868</f>
        <v/>
      </c>
      <c r="AS868" s="52">
        <f>IF(AG868=1,IF(AQ868&gt;0,AF868/AQ868,1),IFERROR(INDEX(Types!$K:$K,MATCH($A868&amp;"|"&amp;$D868,Types!$A:$A,0)),INDEX(Dashboard!$X$6:$X$22,MATCH($A868,Dashboard!$A$6:$A$22,0))))</f>
        <v/>
      </c>
      <c r="AT868" s="43">
        <f>AQ868*INDEX(Dashboard!$Y$6:$Y$22,MATCH($A868,Dashboard!$A$6:$A$22,0))</f>
        <v/>
      </c>
      <c r="AU868" s="53">
        <f>IF(AND(AG868=1,AT868&gt;0,AF868&gt;0),100*AF868/AT868,"")</f>
        <v/>
      </c>
      <c r="AV868" s="44">
        <f>IF(AU868="","",T868/(AU868/100))</f>
        <v/>
      </c>
      <c r="AW868" s="53">
        <f>IF(AU868="","",IF(AND(ABS(AH868)&gt;=0.1,ABS(T868)&gt;=0.05,SIGN(AH868)=SIGN(T868)),100*T868/AH868,""))</f>
        <v/>
      </c>
      <c r="AX868" s="45">
        <f>IF(AU868="","",T868-AV868)</f>
        <v/>
      </c>
      <c r="AY868" s="45">
        <f>IF(AU868="","",AH868-AV868)</f>
        <v/>
      </c>
      <c r="AZ868" s="54">
        <f>(AL868-AM868)-T868*AT868</f>
        <v/>
      </c>
      <c r="BA868" s="43">
        <f>IF(AU868="",0,(AH868-T868)*AF868)</f>
        <v/>
      </c>
      <c r="BB868" s="43">
        <f>IF(AU868="",0,T868*(AF868-AT868))</f>
        <v/>
      </c>
      <c r="BC868" s="51" t="n">
        <v>0.008661184252860251</v>
      </c>
      <c r="BD868" s="51" t="n">
        <v>0.02714180919655612</v>
      </c>
      <c r="BE868" s="51" t="n">
        <v>0.3531541315956195</v>
      </c>
      <c r="BF868" s="43" t="n">
        <v>77703</v>
      </c>
    </row>
    <row r="869">
      <c r="A869" s="42" t="inlineStr">
        <is>
          <t>NH</t>
        </is>
      </c>
      <c r="B869" s="42" t="inlineStr">
        <is>
          <t>33007</t>
        </is>
      </c>
      <c r="C869" s="42" t="inlineStr">
        <is>
          <t>Coos</t>
        </is>
      </c>
      <c r="D869" s="42" t="inlineStr">
        <is>
          <t>Small town &amp; rural</t>
        </is>
      </c>
      <c r="E869" s="42" t="inlineStr">
        <is>
          <t>★</t>
        </is>
      </c>
      <c r="F869" s="43" t="n">
        <v>7355</v>
      </c>
      <c r="G869" s="43" t="n">
        <v>9731</v>
      </c>
      <c r="H869" s="43" t="n">
        <v>17230</v>
      </c>
      <c r="I869" s="43" t="n">
        <v>7640</v>
      </c>
      <c r="J869" s="43" t="n">
        <v>8617</v>
      </c>
      <c r="K869" s="42" t="inlineStr">
        <is>
          <t>US Senate</t>
        </is>
      </c>
      <c r="L869" s="43" t="n">
        <v>6059</v>
      </c>
      <c r="M869" s="43" t="n">
        <v>6491</v>
      </c>
      <c r="N869" s="43" t="n">
        <v>12903</v>
      </c>
      <c r="O869" s="44">
        <f>IFERROR((F869-G869)/(F869+G869),"")</f>
        <v/>
      </c>
      <c r="P869" s="44">
        <f>IFERROR((I869-J869)/(I869+J869),"")</f>
        <v/>
      </c>
      <c r="Q869" s="45">
        <f>IFERROR(O869-P869,"")</f>
        <v/>
      </c>
      <c r="R869" s="44">
        <f>IFERROR((L869-M869)/(L869+M869),"")</f>
        <v/>
      </c>
      <c r="S869" s="46">
        <f>H869/SUMIFS(Counties!$H$2:$H$1583,Counties!$A$2:$A$1583,$A869)</f>
        <v/>
      </c>
      <c r="T869" s="44">
        <f>O869+INDEX(Dashboard!$F$6:$F$22,MATCH($A869,Dashboard!$A$6:$A$22,0))</f>
        <v/>
      </c>
      <c r="U869" s="43">
        <f>AQ869*INDEX(Dashboard!$G$6:$G$22,MATCH($A869,Dashboard!$A$6:$A$22,0))</f>
        <v/>
      </c>
      <c r="V869" s="47" t="n"/>
      <c r="W869" s="47" t="n"/>
      <c r="X869" s="47" t="n"/>
      <c r="Y869" s="48" t="n"/>
      <c r="Z869" s="49" t="n"/>
      <c r="AA869" s="49" t="n"/>
      <c r="AB869" s="49" t="n"/>
      <c r="AC869" s="50" t="n"/>
      <c r="AD869" s="43">
        <f>IF(Z869&lt;&gt;"",Z869,N(V869))</f>
        <v/>
      </c>
      <c r="AE869" s="43">
        <f>IF(AA869&lt;&gt;"",AA869,N(W869))</f>
        <v/>
      </c>
      <c r="AF869" s="43">
        <f>AD869+AE869</f>
        <v/>
      </c>
      <c r="AG869" s="42">
        <f>IF(UPPER(AC869)="Y",1,IF(AF869=0,0,IF(AND(Z869="",Y869&lt;&gt;""),IF(Y869&gt;=0.999,1,0),IF(AF869&gt;=U869,1,0))))</f>
        <v/>
      </c>
      <c r="AH869" s="44">
        <f>IF(AF869&gt;0,(AD869-AE869)/AF869,"")</f>
        <v/>
      </c>
      <c r="AI869" s="45">
        <f>IF(AG869=1,AH869-O869,"")</f>
        <v/>
      </c>
      <c r="AJ869" s="44">
        <f>IF(AG869=1,AH869,MAX(-1,MIN(1,O869+INDEX(Types!$H:$H,MATCH($A869&amp;"|"&amp;$D869,Types!$A:$A,0)))))</f>
        <v/>
      </c>
      <c r="AK869" s="43">
        <f>IF(AG869=1,AF869,MAX(AQ869*AS869,AF869))</f>
        <v/>
      </c>
      <c r="AL869" s="43">
        <f>IF(AG869=1,AD869,AK869*(1+AJ869)/2)</f>
        <v/>
      </c>
      <c r="AM869" s="43">
        <f>IF(AG869=1,AE869,AK869*(1-AJ869)/2)</f>
        <v/>
      </c>
      <c r="AN869" s="45">
        <f>IF(AH869="","",AH869-T869)</f>
        <v/>
      </c>
      <c r="AO869" s="51">
        <f>IF(AG869=1,1,IF(U869&gt;0,MIN(AF869/U869,0.99),0))</f>
        <v/>
      </c>
      <c r="AP869" s="43">
        <f>IF(AG869=1,AI869*AF869,0)</f>
        <v/>
      </c>
      <c r="AQ869" s="43">
        <f>N869*(F869+G869)/H869</f>
        <v/>
      </c>
      <c r="AR869" s="43">
        <f>O869*AQ869</f>
        <v/>
      </c>
      <c r="AS869" s="52">
        <f>IF(AG869=1,IF(AQ869&gt;0,AF869/AQ869,1),IFERROR(INDEX(Types!$K:$K,MATCH($A869&amp;"|"&amp;$D869,Types!$A:$A,0)),INDEX(Dashboard!$X$6:$X$22,MATCH($A869,Dashboard!$A$6:$A$22,0))))</f>
        <v/>
      </c>
      <c r="AT869" s="43">
        <f>AQ869*INDEX(Dashboard!$Y$6:$Y$22,MATCH($A869,Dashboard!$A$6:$A$22,0))</f>
        <v/>
      </c>
      <c r="AU869" s="53">
        <f>IF(AND(AG869=1,AT869&gt;0,AF869&gt;0),100*AF869/AT869,"")</f>
        <v/>
      </c>
      <c r="AV869" s="44">
        <f>IF(AU869="","",T869/(AU869/100))</f>
        <v/>
      </c>
      <c r="AW869" s="53">
        <f>IF(AU869="","",IF(AND(ABS(AH869)&gt;=0.1,ABS(T869)&gt;=0.05,SIGN(AH869)=SIGN(T869)),100*T869/AH869,""))</f>
        <v/>
      </c>
      <c r="AX869" s="45">
        <f>IF(AU869="","",T869-AV869)</f>
        <v/>
      </c>
      <c r="AY869" s="45">
        <f>IF(AU869="","",AH869-AV869)</f>
        <v/>
      </c>
      <c r="AZ869" s="54">
        <f>(AL869-AM869)-T869*AT869</f>
        <v/>
      </c>
      <c r="BA869" s="43">
        <f>IF(AU869="",0,(AH869-T869)*AF869)</f>
        <v/>
      </c>
      <c r="BB869" s="43">
        <f>IF(AU869="",0,T869*(AF869-AT869))</f>
        <v/>
      </c>
      <c r="BC869" s="51" t="n">
        <v>0.008542649496366187</v>
      </c>
      <c r="BD869" s="51" t="n">
        <v>0.02435292617620808</v>
      </c>
      <c r="BE869" s="51" t="n">
        <v>0.2016981671225048</v>
      </c>
      <c r="BF869" s="43" t="n">
        <v>31372</v>
      </c>
    </row>
    <row r="870">
      <c r="A870" s="42" t="inlineStr">
        <is>
          <t>NH</t>
        </is>
      </c>
      <c r="B870" s="42" t="inlineStr">
        <is>
          <t>33009</t>
        </is>
      </c>
      <c r="C870" s="42" t="inlineStr">
        <is>
          <t>Grafton</t>
        </is>
      </c>
      <c r="D870" s="42" t="inlineStr">
        <is>
          <t>Small town &amp; rural</t>
        </is>
      </c>
      <c r="E870" s="42" t="inlineStr">
        <is>
          <t>★</t>
        </is>
      </c>
      <c r="F870" s="43" t="n">
        <v>32998</v>
      </c>
      <c r="G870" s="43" t="n">
        <v>21911</v>
      </c>
      <c r="H870" s="43" t="n">
        <v>55603</v>
      </c>
      <c r="I870" s="43" t="n">
        <v>33180</v>
      </c>
      <c r="J870" s="43" t="n">
        <v>19905</v>
      </c>
      <c r="K870" s="42" t="inlineStr">
        <is>
          <t>US Senate</t>
        </is>
      </c>
      <c r="L870" s="43" t="n">
        <v>26337</v>
      </c>
      <c r="M870" s="43" t="n">
        <v>15544</v>
      </c>
      <c r="N870" s="43" t="n">
        <v>42772</v>
      </c>
      <c r="O870" s="44">
        <f>IFERROR((F870-G870)/(F870+G870),"")</f>
        <v/>
      </c>
      <c r="P870" s="44">
        <f>IFERROR((I870-J870)/(I870+J870),"")</f>
        <v/>
      </c>
      <c r="Q870" s="45">
        <f>IFERROR(O870-P870,"")</f>
        <v/>
      </c>
      <c r="R870" s="44">
        <f>IFERROR((L870-M870)/(L870+M870),"")</f>
        <v/>
      </c>
      <c r="S870" s="46">
        <f>H870/SUMIFS(Counties!$H$2:$H$1583,Counties!$A$2:$A$1583,$A870)</f>
        <v/>
      </c>
      <c r="T870" s="44">
        <f>O870+INDEX(Dashboard!$F$6:$F$22,MATCH($A870,Dashboard!$A$6:$A$22,0))</f>
        <v/>
      </c>
      <c r="U870" s="43">
        <f>AQ870*INDEX(Dashboard!$G$6:$G$22,MATCH($A870,Dashboard!$A$6:$A$22,0))</f>
        <v/>
      </c>
      <c r="V870" s="47" t="n"/>
      <c r="W870" s="47" t="n"/>
      <c r="X870" s="47" t="n"/>
      <c r="Y870" s="48" t="n"/>
      <c r="Z870" s="49" t="n"/>
      <c r="AA870" s="49" t="n"/>
      <c r="AB870" s="49" t="n"/>
      <c r="AC870" s="50" t="n"/>
      <c r="AD870" s="43">
        <f>IF(Z870&lt;&gt;"",Z870,N(V870))</f>
        <v/>
      </c>
      <c r="AE870" s="43">
        <f>IF(AA870&lt;&gt;"",AA870,N(W870))</f>
        <v/>
      </c>
      <c r="AF870" s="43">
        <f>AD870+AE870</f>
        <v/>
      </c>
      <c r="AG870" s="42">
        <f>IF(UPPER(AC870)="Y",1,IF(AF870=0,0,IF(AND(Z870="",Y870&lt;&gt;""),IF(Y870&gt;=0.999,1,0),IF(AF870&gt;=U870,1,0))))</f>
        <v/>
      </c>
      <c r="AH870" s="44">
        <f>IF(AF870&gt;0,(AD870-AE870)/AF870,"")</f>
        <v/>
      </c>
      <c r="AI870" s="45">
        <f>IF(AG870=1,AH870-O870,"")</f>
        <v/>
      </c>
      <c r="AJ870" s="44">
        <f>IF(AG870=1,AH870,MAX(-1,MIN(1,O870+INDEX(Types!$H:$H,MATCH($A870&amp;"|"&amp;$D870,Types!$A:$A,0)))))</f>
        <v/>
      </c>
      <c r="AK870" s="43">
        <f>IF(AG870=1,AF870,MAX(AQ870*AS870,AF870))</f>
        <v/>
      </c>
      <c r="AL870" s="43">
        <f>IF(AG870=1,AD870,AK870*(1+AJ870)/2)</f>
        <v/>
      </c>
      <c r="AM870" s="43">
        <f>IF(AG870=1,AE870,AK870*(1-AJ870)/2)</f>
        <v/>
      </c>
      <c r="AN870" s="45">
        <f>IF(AH870="","",AH870-T870)</f>
        <v/>
      </c>
      <c r="AO870" s="51">
        <f>IF(AG870=1,1,IF(U870&gt;0,MIN(AF870/U870,0.99),0))</f>
        <v/>
      </c>
      <c r="AP870" s="43">
        <f>IF(AG870=1,AI870*AF870,0)</f>
        <v/>
      </c>
      <c r="AQ870" s="43">
        <f>N870*(F870+G870)/H870</f>
        <v/>
      </c>
      <c r="AR870" s="43">
        <f>O870*AQ870</f>
        <v/>
      </c>
      <c r="AS870" s="52">
        <f>IF(AG870=1,IF(AQ870&gt;0,AF870/AQ870,1),IFERROR(INDEX(Types!$K:$K,MATCH($A870&amp;"|"&amp;$D870,Types!$A:$A,0)),INDEX(Dashboard!$X$6:$X$22,MATCH($A870,Dashboard!$A$6:$A$22,0))))</f>
        <v/>
      </c>
      <c r="AT870" s="43">
        <f>AQ870*INDEX(Dashboard!$Y$6:$Y$22,MATCH($A870,Dashboard!$A$6:$A$22,0))</f>
        <v/>
      </c>
      <c r="AU870" s="53">
        <f>IF(AND(AG870=1,AT870&gt;0,AF870&gt;0),100*AF870/AT870,"")</f>
        <v/>
      </c>
      <c r="AV870" s="44">
        <f>IF(AU870="","",T870/(AU870/100))</f>
        <v/>
      </c>
      <c r="AW870" s="53">
        <f>IF(AU870="","",IF(AND(ABS(AH870)&gt;=0.1,ABS(T870)&gt;=0.05,SIGN(AH870)=SIGN(T870)),100*T870/AH870,""))</f>
        <v/>
      </c>
      <c r="AX870" s="45">
        <f>IF(AU870="","",T870-AV870)</f>
        <v/>
      </c>
      <c r="AY870" s="45">
        <f>IF(AU870="","",AH870-AV870)</f>
        <v/>
      </c>
      <c r="AZ870" s="54">
        <f>(AL870-AM870)-T870*AT870</f>
        <v/>
      </c>
      <c r="BA870" s="43">
        <f>IF(AU870="",0,(AH870-T870)*AF870)</f>
        <v/>
      </c>
      <c r="BB870" s="43">
        <f>IF(AU870="",0,T870*(AF870-AT870))</f>
        <v/>
      </c>
      <c r="BC870" s="51" t="n">
        <v>0.01377407510789513</v>
      </c>
      <c r="BD870" s="51" t="n">
        <v>0.02922294033023426</v>
      </c>
      <c r="BE870" s="51" t="n">
        <v>0.4483746740251077</v>
      </c>
      <c r="BF870" s="43" t="n">
        <v>93146</v>
      </c>
    </row>
    <row r="871">
      <c r="A871" s="42" t="inlineStr">
        <is>
          <t>NH</t>
        </is>
      </c>
      <c r="B871" s="42" t="inlineStr">
        <is>
          <t>33011</t>
        </is>
      </c>
      <c r="C871" s="42" t="inlineStr">
        <is>
          <t>Hillsborough</t>
        </is>
      </c>
      <c r="D871" s="42" t="inlineStr">
        <is>
          <t>College suburb/metro</t>
        </is>
      </c>
      <c r="E871" s="42" t="inlineStr">
        <is>
          <t>★</t>
        </is>
      </c>
      <c r="F871" s="43" t="n">
        <v>118780</v>
      </c>
      <c r="G871" s="43" t="n">
        <v>112068</v>
      </c>
      <c r="H871" s="43" t="n">
        <v>233234</v>
      </c>
      <c r="I871" s="43" t="n">
        <v>122344</v>
      </c>
      <c r="J871" s="43" t="n">
        <v>104625</v>
      </c>
      <c r="K871" s="42" t="inlineStr">
        <is>
          <t>US Senate</t>
        </is>
      </c>
      <c r="L871" s="43" t="n">
        <v>91776</v>
      </c>
      <c r="M871" s="43" t="n">
        <v>76862</v>
      </c>
      <c r="N871" s="43" t="n">
        <v>172376</v>
      </c>
      <c r="O871" s="44">
        <f>IFERROR((F871-G871)/(F871+G871),"")</f>
        <v/>
      </c>
      <c r="P871" s="44">
        <f>IFERROR((I871-J871)/(I871+J871),"")</f>
        <v/>
      </c>
      <c r="Q871" s="45">
        <f>IFERROR(O871-P871,"")</f>
        <v/>
      </c>
      <c r="R871" s="44">
        <f>IFERROR((L871-M871)/(L871+M871),"")</f>
        <v/>
      </c>
      <c r="S871" s="46">
        <f>H871/SUMIFS(Counties!$H$2:$H$1583,Counties!$A$2:$A$1583,$A871)</f>
        <v/>
      </c>
      <c r="T871" s="44">
        <f>O871+INDEX(Dashboard!$F$6:$F$22,MATCH($A871,Dashboard!$A$6:$A$22,0))</f>
        <v/>
      </c>
      <c r="U871" s="43">
        <f>AQ871*INDEX(Dashboard!$G$6:$G$22,MATCH($A871,Dashboard!$A$6:$A$22,0))</f>
        <v/>
      </c>
      <c r="V871" s="47" t="n"/>
      <c r="W871" s="47" t="n"/>
      <c r="X871" s="47" t="n"/>
      <c r="Y871" s="48" t="n"/>
      <c r="Z871" s="49" t="n"/>
      <c r="AA871" s="49" t="n"/>
      <c r="AB871" s="49" t="n"/>
      <c r="AC871" s="50" t="n"/>
      <c r="AD871" s="43">
        <f>IF(Z871&lt;&gt;"",Z871,N(V871))</f>
        <v/>
      </c>
      <c r="AE871" s="43">
        <f>IF(AA871&lt;&gt;"",AA871,N(W871))</f>
        <v/>
      </c>
      <c r="AF871" s="43">
        <f>AD871+AE871</f>
        <v/>
      </c>
      <c r="AG871" s="42">
        <f>IF(UPPER(AC871)="Y",1,IF(AF871=0,0,IF(AND(Z871="",Y871&lt;&gt;""),IF(Y871&gt;=0.999,1,0),IF(AF871&gt;=U871,1,0))))</f>
        <v/>
      </c>
      <c r="AH871" s="44">
        <f>IF(AF871&gt;0,(AD871-AE871)/AF871,"")</f>
        <v/>
      </c>
      <c r="AI871" s="45">
        <f>IF(AG871=1,AH871-O871,"")</f>
        <v/>
      </c>
      <c r="AJ871" s="44">
        <f>IF(AG871=1,AH871,MAX(-1,MIN(1,O871+INDEX(Types!$H:$H,MATCH($A871&amp;"|"&amp;$D871,Types!$A:$A,0)))))</f>
        <v/>
      </c>
      <c r="AK871" s="43">
        <f>IF(AG871=1,AF871,MAX(AQ871*AS871,AF871))</f>
        <v/>
      </c>
      <c r="AL871" s="43">
        <f>IF(AG871=1,AD871,AK871*(1+AJ871)/2)</f>
        <v/>
      </c>
      <c r="AM871" s="43">
        <f>IF(AG871=1,AE871,AK871*(1-AJ871)/2)</f>
        <v/>
      </c>
      <c r="AN871" s="45">
        <f>IF(AH871="","",AH871-T871)</f>
        <v/>
      </c>
      <c r="AO871" s="51">
        <f>IF(AG871=1,1,IF(U871&gt;0,MIN(AF871/U871,0.99),0))</f>
        <v/>
      </c>
      <c r="AP871" s="43">
        <f>IF(AG871=1,AI871*AF871,0)</f>
        <v/>
      </c>
      <c r="AQ871" s="43">
        <f>N871*(F871+G871)/H871</f>
        <v/>
      </c>
      <c r="AR871" s="43">
        <f>O871*AQ871</f>
        <v/>
      </c>
      <c r="AS871" s="52">
        <f>IF(AG871=1,IF(AQ871&gt;0,AF871/AQ871,1),IFERROR(INDEX(Types!$K:$K,MATCH($A871&amp;"|"&amp;$D871,Types!$A:$A,0)),INDEX(Dashboard!$X$6:$X$22,MATCH($A871,Dashboard!$A$6:$A$22,0))))</f>
        <v/>
      </c>
      <c r="AT871" s="43">
        <f>AQ871*INDEX(Dashboard!$Y$6:$Y$22,MATCH($A871,Dashboard!$A$6:$A$22,0))</f>
        <v/>
      </c>
      <c r="AU871" s="53">
        <f>IF(AND(AG871=1,AT871&gt;0,AF871&gt;0),100*AF871/AT871,"")</f>
        <v/>
      </c>
      <c r="AV871" s="44">
        <f>IF(AU871="","",T871/(AU871/100))</f>
        <v/>
      </c>
      <c r="AW871" s="53">
        <f>IF(AU871="","",IF(AND(ABS(AH871)&gt;=0.1,ABS(T871)&gt;=0.05,SIGN(AH871)=SIGN(T871)),100*T871/AH871,""))</f>
        <v/>
      </c>
      <c r="AX871" s="45">
        <f>IF(AU871="","",T871-AV871)</f>
        <v/>
      </c>
      <c r="AY871" s="45">
        <f>IF(AU871="","",AH871-AV871)</f>
        <v/>
      </c>
      <c r="AZ871" s="54">
        <f>(AL871-AM871)-T871*AT871</f>
        <v/>
      </c>
      <c r="BA871" s="43">
        <f>IF(AU871="",0,(AH871-T871)*AF871)</f>
        <v/>
      </c>
      <c r="BB871" s="43">
        <f>IF(AU871="",0,T871*(AF871-AT871))</f>
        <v/>
      </c>
      <c r="BC871" s="51" t="n">
        <v>0.02813124482279328</v>
      </c>
      <c r="BD871" s="51" t="n">
        <v>0.0881634429536169</v>
      </c>
      <c r="BE871" s="51" t="n">
        <v>0.4062034820813797</v>
      </c>
      <c r="BF871" s="43" t="n">
        <v>427354</v>
      </c>
    </row>
    <row r="872">
      <c r="A872" s="42" t="inlineStr">
        <is>
          <t>NH</t>
        </is>
      </c>
      <c r="B872" s="42" t="inlineStr">
        <is>
          <t>33013</t>
        </is>
      </c>
      <c r="C872" s="42" t="inlineStr">
        <is>
          <t>Merrimack</t>
        </is>
      </c>
      <c r="D872" s="42" t="inlineStr">
        <is>
          <t>Mid-size/working metro</t>
        </is>
      </c>
      <c r="E872" s="42" t="inlineStr">
        <is>
          <t>★</t>
        </is>
      </c>
      <c r="F872" s="43" t="n">
        <v>48181</v>
      </c>
      <c r="G872" s="43" t="n">
        <v>43365</v>
      </c>
      <c r="H872" s="43" t="n">
        <v>92475</v>
      </c>
      <c r="I872" s="43" t="n">
        <v>48533</v>
      </c>
      <c r="J872" s="43" t="n">
        <v>39711</v>
      </c>
      <c r="K872" s="42" t="inlineStr">
        <is>
          <t>US Senate</t>
        </is>
      </c>
      <c r="L872" s="43" t="n">
        <v>39367</v>
      </c>
      <c r="M872" s="43" t="n">
        <v>29965</v>
      </c>
      <c r="N872" s="43" t="n">
        <v>70858</v>
      </c>
      <c r="O872" s="44">
        <f>IFERROR((F872-G872)/(F872+G872),"")</f>
        <v/>
      </c>
      <c r="P872" s="44">
        <f>IFERROR((I872-J872)/(I872+J872),"")</f>
        <v/>
      </c>
      <c r="Q872" s="45">
        <f>IFERROR(O872-P872,"")</f>
        <v/>
      </c>
      <c r="R872" s="44">
        <f>IFERROR((L872-M872)/(L872+M872),"")</f>
        <v/>
      </c>
      <c r="S872" s="46">
        <f>H872/SUMIFS(Counties!$H$2:$H$1583,Counties!$A$2:$A$1583,$A872)</f>
        <v/>
      </c>
      <c r="T872" s="44">
        <f>O872+INDEX(Dashboard!$F$6:$F$22,MATCH($A872,Dashboard!$A$6:$A$22,0))</f>
        <v/>
      </c>
      <c r="U872" s="43">
        <f>AQ872*INDEX(Dashboard!$G$6:$G$22,MATCH($A872,Dashboard!$A$6:$A$22,0))</f>
        <v/>
      </c>
      <c r="V872" s="47" t="n"/>
      <c r="W872" s="47" t="n"/>
      <c r="X872" s="47" t="n"/>
      <c r="Y872" s="48" t="n"/>
      <c r="Z872" s="49" t="n"/>
      <c r="AA872" s="49" t="n"/>
      <c r="AB872" s="49" t="n"/>
      <c r="AC872" s="50" t="n"/>
      <c r="AD872" s="43">
        <f>IF(Z872&lt;&gt;"",Z872,N(V872))</f>
        <v/>
      </c>
      <c r="AE872" s="43">
        <f>IF(AA872&lt;&gt;"",AA872,N(W872))</f>
        <v/>
      </c>
      <c r="AF872" s="43">
        <f>AD872+AE872</f>
        <v/>
      </c>
      <c r="AG872" s="42">
        <f>IF(UPPER(AC872)="Y",1,IF(AF872=0,0,IF(AND(Z872="",Y872&lt;&gt;""),IF(Y872&gt;=0.999,1,0),IF(AF872&gt;=U872,1,0))))</f>
        <v/>
      </c>
      <c r="AH872" s="44">
        <f>IF(AF872&gt;0,(AD872-AE872)/AF872,"")</f>
        <v/>
      </c>
      <c r="AI872" s="45">
        <f>IF(AG872=1,AH872-O872,"")</f>
        <v/>
      </c>
      <c r="AJ872" s="44">
        <f>IF(AG872=1,AH872,MAX(-1,MIN(1,O872+INDEX(Types!$H:$H,MATCH($A872&amp;"|"&amp;$D872,Types!$A:$A,0)))))</f>
        <v/>
      </c>
      <c r="AK872" s="43">
        <f>IF(AG872=1,AF872,MAX(AQ872*AS872,AF872))</f>
        <v/>
      </c>
      <c r="AL872" s="43">
        <f>IF(AG872=1,AD872,AK872*(1+AJ872)/2)</f>
        <v/>
      </c>
      <c r="AM872" s="43">
        <f>IF(AG872=1,AE872,AK872*(1-AJ872)/2)</f>
        <v/>
      </c>
      <c r="AN872" s="45">
        <f>IF(AH872="","",AH872-T872)</f>
        <v/>
      </c>
      <c r="AO872" s="51">
        <f>IF(AG872=1,1,IF(U872&gt;0,MIN(AF872/U872,0.99),0))</f>
        <v/>
      </c>
      <c r="AP872" s="43">
        <f>IF(AG872=1,AI872*AF872,0)</f>
        <v/>
      </c>
      <c r="AQ872" s="43">
        <f>N872*(F872+G872)/H872</f>
        <v/>
      </c>
      <c r="AR872" s="43">
        <f>O872*AQ872</f>
        <v/>
      </c>
      <c r="AS872" s="52">
        <f>IF(AG872=1,IF(AQ872&gt;0,AF872/AQ872,1),IFERROR(INDEX(Types!$K:$K,MATCH($A872&amp;"|"&amp;$D872,Types!$A:$A,0)),INDEX(Dashboard!$X$6:$X$22,MATCH($A872,Dashboard!$A$6:$A$22,0))))</f>
        <v/>
      </c>
      <c r="AT872" s="43">
        <f>AQ872*INDEX(Dashboard!$Y$6:$Y$22,MATCH($A872,Dashboard!$A$6:$A$22,0))</f>
        <v/>
      </c>
      <c r="AU872" s="53">
        <f>IF(AND(AG872=1,AT872&gt;0,AF872&gt;0),100*AF872/AT872,"")</f>
        <v/>
      </c>
      <c r="AV872" s="44">
        <f>IF(AU872="","",T872/(AU872/100))</f>
        <v/>
      </c>
      <c r="AW872" s="53">
        <f>IF(AU872="","",IF(AND(ABS(AH872)&gt;=0.1,ABS(T872)&gt;=0.05,SIGN(AH872)=SIGN(T872)),100*T872/AH872,""))</f>
        <v/>
      </c>
      <c r="AX872" s="45">
        <f>IF(AU872="","",T872-AV872)</f>
        <v/>
      </c>
      <c r="AY872" s="45">
        <f>IF(AU872="","",AH872-AV872)</f>
        <v/>
      </c>
      <c r="AZ872" s="54">
        <f>(AL872-AM872)-T872*AT872</f>
        <v/>
      </c>
      <c r="BA872" s="43">
        <f>IF(AU872="",0,(AH872-T872)*AF872)</f>
        <v/>
      </c>
      <c r="BB872" s="43">
        <f>IF(AU872="",0,T872*(AF872-AT872))</f>
        <v/>
      </c>
      <c r="BC872" s="51" t="n">
        <v>0.01800092932662012</v>
      </c>
      <c r="BD872" s="51" t="n">
        <v>0.02826171365282649</v>
      </c>
      <c r="BE872" s="51" t="n">
        <v>0.3807981296068248</v>
      </c>
      <c r="BF872" s="43" t="n">
        <v>157103</v>
      </c>
    </row>
    <row r="873">
      <c r="A873" s="42" t="inlineStr">
        <is>
          <t>NH</t>
        </is>
      </c>
      <c r="B873" s="42" t="inlineStr">
        <is>
          <t>33015</t>
        </is>
      </c>
      <c r="C873" s="42" t="inlineStr">
        <is>
          <t>Rockingham</t>
        </is>
      </c>
      <c r="D873" s="42" t="inlineStr">
        <is>
          <t>College suburb/metro</t>
        </is>
      </c>
      <c r="E873" s="42" t="inlineStr">
        <is>
          <t>★</t>
        </is>
      </c>
      <c r="F873" s="43" t="n">
        <v>97616</v>
      </c>
      <c r="G873" s="43" t="n">
        <v>102542</v>
      </c>
      <c r="H873" s="43" t="n">
        <v>201949</v>
      </c>
      <c r="I873" s="43" t="n">
        <v>100064</v>
      </c>
      <c r="J873" s="43" t="n">
        <v>95858</v>
      </c>
      <c r="K873" s="42" t="inlineStr">
        <is>
          <t>US Senate</t>
        </is>
      </c>
      <c r="L873" s="43" t="n">
        <v>78047</v>
      </c>
      <c r="M873" s="43" t="n">
        <v>73244</v>
      </c>
      <c r="N873" s="43" t="n">
        <v>154387</v>
      </c>
      <c r="O873" s="44">
        <f>IFERROR((F873-G873)/(F873+G873),"")</f>
        <v/>
      </c>
      <c r="P873" s="44">
        <f>IFERROR((I873-J873)/(I873+J873),"")</f>
        <v/>
      </c>
      <c r="Q873" s="45">
        <f>IFERROR(O873-P873,"")</f>
        <v/>
      </c>
      <c r="R873" s="44">
        <f>IFERROR((L873-M873)/(L873+M873),"")</f>
        <v/>
      </c>
      <c r="S873" s="46">
        <f>H873/SUMIFS(Counties!$H$2:$H$1583,Counties!$A$2:$A$1583,$A873)</f>
        <v/>
      </c>
      <c r="T873" s="44">
        <f>O873+INDEX(Dashboard!$F$6:$F$22,MATCH($A873,Dashboard!$A$6:$A$22,0))</f>
        <v/>
      </c>
      <c r="U873" s="43">
        <f>AQ873*INDEX(Dashboard!$G$6:$G$22,MATCH($A873,Dashboard!$A$6:$A$22,0))</f>
        <v/>
      </c>
      <c r="V873" s="47" t="n"/>
      <c r="W873" s="47" t="n"/>
      <c r="X873" s="47" t="n"/>
      <c r="Y873" s="48" t="n"/>
      <c r="Z873" s="49" t="n"/>
      <c r="AA873" s="49" t="n"/>
      <c r="AB873" s="49" t="n"/>
      <c r="AC873" s="50" t="n"/>
      <c r="AD873" s="43">
        <f>IF(Z873&lt;&gt;"",Z873,N(V873))</f>
        <v/>
      </c>
      <c r="AE873" s="43">
        <f>IF(AA873&lt;&gt;"",AA873,N(W873))</f>
        <v/>
      </c>
      <c r="AF873" s="43">
        <f>AD873+AE873</f>
        <v/>
      </c>
      <c r="AG873" s="42">
        <f>IF(UPPER(AC873)="Y",1,IF(AF873=0,0,IF(AND(Z873="",Y873&lt;&gt;""),IF(Y873&gt;=0.999,1,0),IF(AF873&gt;=U873,1,0))))</f>
        <v/>
      </c>
      <c r="AH873" s="44">
        <f>IF(AF873&gt;0,(AD873-AE873)/AF873,"")</f>
        <v/>
      </c>
      <c r="AI873" s="45">
        <f>IF(AG873=1,AH873-O873,"")</f>
        <v/>
      </c>
      <c r="AJ873" s="44">
        <f>IF(AG873=1,AH873,MAX(-1,MIN(1,O873+INDEX(Types!$H:$H,MATCH($A873&amp;"|"&amp;$D873,Types!$A:$A,0)))))</f>
        <v/>
      </c>
      <c r="AK873" s="43">
        <f>IF(AG873=1,AF873,MAX(AQ873*AS873,AF873))</f>
        <v/>
      </c>
      <c r="AL873" s="43">
        <f>IF(AG873=1,AD873,AK873*(1+AJ873)/2)</f>
        <v/>
      </c>
      <c r="AM873" s="43">
        <f>IF(AG873=1,AE873,AK873*(1-AJ873)/2)</f>
        <v/>
      </c>
      <c r="AN873" s="45">
        <f>IF(AH873="","",AH873-T873)</f>
        <v/>
      </c>
      <c r="AO873" s="51">
        <f>IF(AG873=1,1,IF(U873&gt;0,MIN(AF873/U873,0.99),0))</f>
        <v/>
      </c>
      <c r="AP873" s="43">
        <f>IF(AG873=1,AI873*AF873,0)</f>
        <v/>
      </c>
      <c r="AQ873" s="43">
        <f>N873*(F873+G873)/H873</f>
        <v/>
      </c>
      <c r="AR873" s="43">
        <f>O873*AQ873</f>
        <v/>
      </c>
      <c r="AS873" s="52">
        <f>IF(AG873=1,IF(AQ873&gt;0,AF873/AQ873,1),IFERROR(INDEX(Types!$K:$K,MATCH($A873&amp;"|"&amp;$D873,Types!$A:$A,0)),INDEX(Dashboard!$X$6:$X$22,MATCH($A873,Dashboard!$A$6:$A$22,0))))</f>
        <v/>
      </c>
      <c r="AT873" s="43">
        <f>AQ873*INDEX(Dashboard!$Y$6:$Y$22,MATCH($A873,Dashboard!$A$6:$A$22,0))</f>
        <v/>
      </c>
      <c r="AU873" s="53">
        <f>IF(AND(AG873=1,AT873&gt;0,AF873&gt;0),100*AF873/AT873,"")</f>
        <v/>
      </c>
      <c r="AV873" s="44">
        <f>IF(AU873="","",T873/(AU873/100))</f>
        <v/>
      </c>
      <c r="AW873" s="53">
        <f>IF(AU873="","",IF(AND(ABS(AH873)&gt;=0.1,ABS(T873)&gt;=0.05,SIGN(AH873)=SIGN(T873)),100*T873/AH873,""))</f>
        <v/>
      </c>
      <c r="AX873" s="45">
        <f>IF(AU873="","",T873-AV873)</f>
        <v/>
      </c>
      <c r="AY873" s="45">
        <f>IF(AU873="","",AH873-AV873)</f>
        <v/>
      </c>
      <c r="AZ873" s="54">
        <f>(AL873-AM873)-T873*AT873</f>
        <v/>
      </c>
      <c r="BA873" s="43">
        <f>IF(AU873="",0,(AH873-T873)*AF873)</f>
        <v/>
      </c>
      <c r="BB873" s="43">
        <f>IF(AU873="",0,T873*(AF873-AT873))</f>
        <v/>
      </c>
      <c r="BC873" s="51" t="n">
        <v>0.008977545222941854</v>
      </c>
      <c r="BD873" s="51" t="n">
        <v>0.03843911078958118</v>
      </c>
      <c r="BE873" s="51" t="n">
        <v>0.4478056459676218</v>
      </c>
      <c r="BF873" s="43" t="n">
        <v>320689</v>
      </c>
    </row>
    <row r="874">
      <c r="A874" s="42" t="inlineStr">
        <is>
          <t>NH</t>
        </is>
      </c>
      <c r="B874" s="42" t="inlineStr">
        <is>
          <t>33017</t>
        </is>
      </c>
      <c r="C874" s="42" t="inlineStr">
        <is>
          <t>Strafford</t>
        </is>
      </c>
      <c r="D874" s="42" t="inlineStr">
        <is>
          <t>Mid-size/working metro</t>
        </is>
      </c>
      <c r="E874" s="42" t="inlineStr">
        <is>
          <t>★</t>
        </is>
      </c>
      <c r="F874" s="43" t="n">
        <v>42374</v>
      </c>
      <c r="G874" s="43" t="n">
        <v>33163</v>
      </c>
      <c r="H874" s="43" t="n">
        <v>76323</v>
      </c>
      <c r="I874" s="43" t="n">
        <v>41721</v>
      </c>
      <c r="J874" s="43" t="n">
        <v>30489</v>
      </c>
      <c r="K874" s="42" t="inlineStr">
        <is>
          <t>US Senate</t>
        </is>
      </c>
      <c r="L874" s="43" t="n">
        <v>33240</v>
      </c>
      <c r="M874" s="43" t="n">
        <v>22217</v>
      </c>
      <c r="N874" s="43" t="n">
        <v>56618</v>
      </c>
      <c r="O874" s="44">
        <f>IFERROR((F874-G874)/(F874+G874),"")</f>
        <v/>
      </c>
      <c r="P874" s="44">
        <f>IFERROR((I874-J874)/(I874+J874),"")</f>
        <v/>
      </c>
      <c r="Q874" s="45">
        <f>IFERROR(O874-P874,"")</f>
        <v/>
      </c>
      <c r="R874" s="44">
        <f>IFERROR((L874-M874)/(L874+M874),"")</f>
        <v/>
      </c>
      <c r="S874" s="46">
        <f>H874/SUMIFS(Counties!$H$2:$H$1583,Counties!$A$2:$A$1583,$A874)</f>
        <v/>
      </c>
      <c r="T874" s="44">
        <f>O874+INDEX(Dashboard!$F$6:$F$22,MATCH($A874,Dashboard!$A$6:$A$22,0))</f>
        <v/>
      </c>
      <c r="U874" s="43">
        <f>AQ874*INDEX(Dashboard!$G$6:$G$22,MATCH($A874,Dashboard!$A$6:$A$22,0))</f>
        <v/>
      </c>
      <c r="V874" s="47" t="n"/>
      <c r="W874" s="47" t="n"/>
      <c r="X874" s="47" t="n"/>
      <c r="Y874" s="48" t="n"/>
      <c r="Z874" s="49" t="n"/>
      <c r="AA874" s="49" t="n"/>
      <c r="AB874" s="49" t="n"/>
      <c r="AC874" s="50" t="n"/>
      <c r="AD874" s="43">
        <f>IF(Z874&lt;&gt;"",Z874,N(V874))</f>
        <v/>
      </c>
      <c r="AE874" s="43">
        <f>IF(AA874&lt;&gt;"",AA874,N(W874))</f>
        <v/>
      </c>
      <c r="AF874" s="43">
        <f>AD874+AE874</f>
        <v/>
      </c>
      <c r="AG874" s="42">
        <f>IF(UPPER(AC874)="Y",1,IF(AF874=0,0,IF(AND(Z874="",Y874&lt;&gt;""),IF(Y874&gt;=0.999,1,0),IF(AF874&gt;=U874,1,0))))</f>
        <v/>
      </c>
      <c r="AH874" s="44">
        <f>IF(AF874&gt;0,(AD874-AE874)/AF874,"")</f>
        <v/>
      </c>
      <c r="AI874" s="45">
        <f>IF(AG874=1,AH874-O874,"")</f>
        <v/>
      </c>
      <c r="AJ874" s="44">
        <f>IF(AG874=1,AH874,MAX(-1,MIN(1,O874+INDEX(Types!$H:$H,MATCH($A874&amp;"|"&amp;$D874,Types!$A:$A,0)))))</f>
        <v/>
      </c>
      <c r="AK874" s="43">
        <f>IF(AG874=1,AF874,MAX(AQ874*AS874,AF874))</f>
        <v/>
      </c>
      <c r="AL874" s="43">
        <f>IF(AG874=1,AD874,AK874*(1+AJ874)/2)</f>
        <v/>
      </c>
      <c r="AM874" s="43">
        <f>IF(AG874=1,AE874,AK874*(1-AJ874)/2)</f>
        <v/>
      </c>
      <c r="AN874" s="45">
        <f>IF(AH874="","",AH874-T874)</f>
        <v/>
      </c>
      <c r="AO874" s="51">
        <f>IF(AG874=1,1,IF(U874&gt;0,MIN(AF874/U874,0.99),0))</f>
        <v/>
      </c>
      <c r="AP874" s="43">
        <f>IF(AG874=1,AI874*AF874,0)</f>
        <v/>
      </c>
      <c r="AQ874" s="43">
        <f>N874*(F874+G874)/H874</f>
        <v/>
      </c>
      <c r="AR874" s="43">
        <f>O874*AQ874</f>
        <v/>
      </c>
      <c r="AS874" s="52">
        <f>IF(AG874=1,IF(AQ874&gt;0,AF874/AQ874,1),IFERROR(INDEX(Types!$K:$K,MATCH($A874&amp;"|"&amp;$D874,Types!$A:$A,0)),INDEX(Dashboard!$X$6:$X$22,MATCH($A874,Dashboard!$A$6:$A$22,0))))</f>
        <v/>
      </c>
      <c r="AT874" s="43">
        <f>AQ874*INDEX(Dashboard!$Y$6:$Y$22,MATCH($A874,Dashboard!$A$6:$A$22,0))</f>
        <v/>
      </c>
      <c r="AU874" s="53">
        <f>IF(AND(AG874=1,AT874&gt;0,AF874&gt;0),100*AF874/AT874,"")</f>
        <v/>
      </c>
      <c r="AV874" s="44">
        <f>IF(AU874="","",T874/(AU874/100))</f>
        <v/>
      </c>
      <c r="AW874" s="53">
        <f>IF(AU874="","",IF(AND(ABS(AH874)&gt;=0.1,ABS(T874)&gt;=0.05,SIGN(AH874)=SIGN(T874)),100*T874/AH874,""))</f>
        <v/>
      </c>
      <c r="AX874" s="45">
        <f>IF(AU874="","",T874-AV874)</f>
        <v/>
      </c>
      <c r="AY874" s="45">
        <f>IF(AU874="","",AH874-AV874)</f>
        <v/>
      </c>
      <c r="AZ874" s="54">
        <f>(AL874-AM874)-T874*AT874</f>
        <v/>
      </c>
      <c r="BA874" s="43">
        <f>IF(AU874="",0,(AH874-T874)*AF874)</f>
        <v/>
      </c>
      <c r="BB874" s="43">
        <f>IF(AU874="",0,T874*(AF874-AT874))</f>
        <v/>
      </c>
      <c r="BC874" s="51" t="n">
        <v>0.01266107788026388</v>
      </c>
      <c r="BD874" s="51" t="n">
        <v>0.03305239299625496</v>
      </c>
      <c r="BE874" s="51" t="n">
        <v>0.3849487476001752</v>
      </c>
      <c r="BF874" s="43" t="n">
        <v>133243</v>
      </c>
    </row>
    <row r="875">
      <c r="A875" s="42" t="inlineStr">
        <is>
          <t>NH</t>
        </is>
      </c>
      <c r="B875" s="42" t="inlineStr">
        <is>
          <t>33019</t>
        </is>
      </c>
      <c r="C875" s="42" t="inlineStr">
        <is>
          <t>Sullivan</t>
        </is>
      </c>
      <c r="D875" s="42" t="inlineStr">
        <is>
          <t>Small town &amp; rural</t>
        </is>
      </c>
      <c r="E875" s="42" t="inlineStr"/>
      <c r="F875" s="43" t="n">
        <v>12317</v>
      </c>
      <c r="G875" s="43" t="n">
        <v>12484</v>
      </c>
      <c r="H875" s="43" t="n">
        <v>25091</v>
      </c>
      <c r="I875" s="43" t="n">
        <v>12390</v>
      </c>
      <c r="J875" s="43" t="n">
        <v>11508</v>
      </c>
      <c r="K875" s="42" t="inlineStr">
        <is>
          <t>US Senate</t>
        </is>
      </c>
      <c r="L875" s="43" t="n">
        <v>9907</v>
      </c>
      <c r="M875" s="43" t="n">
        <v>8759</v>
      </c>
      <c r="N875" s="43" t="n">
        <v>19119</v>
      </c>
      <c r="O875" s="44">
        <f>IFERROR((F875-G875)/(F875+G875),"")</f>
        <v/>
      </c>
      <c r="P875" s="44">
        <f>IFERROR((I875-J875)/(I875+J875),"")</f>
        <v/>
      </c>
      <c r="Q875" s="45">
        <f>IFERROR(O875-P875,"")</f>
        <v/>
      </c>
      <c r="R875" s="44">
        <f>IFERROR((L875-M875)/(L875+M875),"")</f>
        <v/>
      </c>
      <c r="S875" s="46">
        <f>H875/SUMIFS(Counties!$H$2:$H$1583,Counties!$A$2:$A$1583,$A875)</f>
        <v/>
      </c>
      <c r="T875" s="44">
        <f>O875+INDEX(Dashboard!$F$6:$F$22,MATCH($A875,Dashboard!$A$6:$A$22,0))</f>
        <v/>
      </c>
      <c r="U875" s="43">
        <f>AQ875*INDEX(Dashboard!$G$6:$G$22,MATCH($A875,Dashboard!$A$6:$A$22,0))</f>
        <v/>
      </c>
      <c r="V875" s="47" t="n"/>
      <c r="W875" s="47" t="n"/>
      <c r="X875" s="47" t="n"/>
      <c r="Y875" s="48" t="n"/>
      <c r="Z875" s="49" t="n"/>
      <c r="AA875" s="49" t="n"/>
      <c r="AB875" s="49" t="n"/>
      <c r="AC875" s="50" t="n"/>
      <c r="AD875" s="43">
        <f>IF(Z875&lt;&gt;"",Z875,N(V875))</f>
        <v/>
      </c>
      <c r="AE875" s="43">
        <f>IF(AA875&lt;&gt;"",AA875,N(W875))</f>
        <v/>
      </c>
      <c r="AF875" s="43">
        <f>AD875+AE875</f>
        <v/>
      </c>
      <c r="AG875" s="42">
        <f>IF(UPPER(AC875)="Y",1,IF(AF875=0,0,IF(AND(Z875="",Y875&lt;&gt;""),IF(Y875&gt;=0.999,1,0),IF(AF875&gt;=U875,1,0))))</f>
        <v/>
      </c>
      <c r="AH875" s="44">
        <f>IF(AF875&gt;0,(AD875-AE875)/AF875,"")</f>
        <v/>
      </c>
      <c r="AI875" s="45">
        <f>IF(AG875=1,AH875-O875,"")</f>
        <v/>
      </c>
      <c r="AJ875" s="44">
        <f>IF(AG875=1,AH875,MAX(-1,MIN(1,O875+INDEX(Types!$H:$H,MATCH($A875&amp;"|"&amp;$D875,Types!$A:$A,0)))))</f>
        <v/>
      </c>
      <c r="AK875" s="43">
        <f>IF(AG875=1,AF875,MAX(AQ875*AS875,AF875))</f>
        <v/>
      </c>
      <c r="AL875" s="43">
        <f>IF(AG875=1,AD875,AK875*(1+AJ875)/2)</f>
        <v/>
      </c>
      <c r="AM875" s="43">
        <f>IF(AG875=1,AE875,AK875*(1-AJ875)/2)</f>
        <v/>
      </c>
      <c r="AN875" s="45">
        <f>IF(AH875="","",AH875-T875)</f>
        <v/>
      </c>
      <c r="AO875" s="51">
        <f>IF(AG875=1,1,IF(U875&gt;0,MIN(AF875/U875,0.99),0))</f>
        <v/>
      </c>
      <c r="AP875" s="43">
        <f>IF(AG875=1,AI875*AF875,0)</f>
        <v/>
      </c>
      <c r="AQ875" s="43">
        <f>N875*(F875+G875)/H875</f>
        <v/>
      </c>
      <c r="AR875" s="43">
        <f>O875*AQ875</f>
        <v/>
      </c>
      <c r="AS875" s="52">
        <f>IF(AG875=1,IF(AQ875&gt;0,AF875/AQ875,1),IFERROR(INDEX(Types!$K:$K,MATCH($A875&amp;"|"&amp;$D875,Types!$A:$A,0)),INDEX(Dashboard!$X$6:$X$22,MATCH($A875,Dashboard!$A$6:$A$22,0))))</f>
        <v/>
      </c>
      <c r="AT875" s="43">
        <f>AQ875*INDEX(Dashboard!$Y$6:$Y$22,MATCH($A875,Dashboard!$A$6:$A$22,0))</f>
        <v/>
      </c>
      <c r="AU875" s="53">
        <f>IF(AND(AG875=1,AT875&gt;0,AF875&gt;0),100*AF875/AT875,"")</f>
        <v/>
      </c>
      <c r="AV875" s="44">
        <f>IF(AU875="","",T875/(AU875/100))</f>
        <v/>
      </c>
      <c r="AW875" s="53">
        <f>IF(AU875="","",IF(AND(ABS(AH875)&gt;=0.1,ABS(T875)&gt;=0.05,SIGN(AH875)=SIGN(T875)),100*T875/AH875,""))</f>
        <v/>
      </c>
      <c r="AX875" s="45">
        <f>IF(AU875="","",T875-AV875)</f>
        <v/>
      </c>
      <c r="AY875" s="45">
        <f>IF(AU875="","",AH875-AV875)</f>
        <v/>
      </c>
      <c r="AZ875" s="54">
        <f>(AL875-AM875)-T875*AT875</f>
        <v/>
      </c>
      <c r="BA875" s="43">
        <f>IF(AU875="",0,(AH875-T875)*AF875)</f>
        <v/>
      </c>
      <c r="BB875" s="43">
        <f>IF(AU875="",0,T875*(AF875-AT875))</f>
        <v/>
      </c>
      <c r="BC875" s="51" t="n">
        <v>0.009893333939821237</v>
      </c>
      <c r="BD875" s="51" t="n">
        <v>0.02156064499988629</v>
      </c>
      <c r="BE875" s="51" t="n">
        <v>0.3051616044798831</v>
      </c>
      <c r="BF875" s="43" t="n">
        <v>43969</v>
      </c>
    </row>
    <row r="876">
      <c r="A876" s="42" t="inlineStr">
        <is>
          <t>OH</t>
        </is>
      </c>
      <c r="B876" s="42" t="inlineStr">
        <is>
          <t>39001</t>
        </is>
      </c>
      <c r="C876" s="42" t="inlineStr">
        <is>
          <t>Adams</t>
        </is>
      </c>
      <c r="D876" s="42" t="inlineStr">
        <is>
          <t>Small town &amp; rural</t>
        </is>
      </c>
      <c r="E876" s="42" t="inlineStr"/>
      <c r="F876" s="43" t="n">
        <v>2098</v>
      </c>
      <c r="G876" s="43" t="n">
        <v>10269</v>
      </c>
      <c r="H876" s="43" t="n">
        <v>12429</v>
      </c>
      <c r="I876" s="43" t="n">
        <v>2156</v>
      </c>
      <c r="J876" s="43" t="n">
        <v>9870</v>
      </c>
      <c r="K876" s="42" t="inlineStr">
        <is>
          <t>US Senate</t>
        </is>
      </c>
      <c r="L876" s="43" t="n">
        <v>1976</v>
      </c>
      <c r="M876" s="43" t="n">
        <v>6749</v>
      </c>
      <c r="N876" s="43" t="n">
        <v>8726</v>
      </c>
      <c r="O876" s="44">
        <f>IFERROR((F876-G876)/(F876+G876),"")</f>
        <v/>
      </c>
      <c r="P876" s="44">
        <f>IFERROR((I876-J876)/(I876+J876),"")</f>
        <v/>
      </c>
      <c r="Q876" s="45">
        <f>IFERROR(O876-P876,"")</f>
        <v/>
      </c>
      <c r="R876" s="44">
        <f>IFERROR((L876-M876)/(L876+M876),"")</f>
        <v/>
      </c>
      <c r="S876" s="46">
        <f>H876/SUMIFS(Counties!$H$2:$H$1583,Counties!$A$2:$A$1583,$A876)</f>
        <v/>
      </c>
      <c r="T876" s="44">
        <f>O876+INDEX(Dashboard!$F$6:$F$22,MATCH($A876,Dashboard!$A$6:$A$22,0))</f>
        <v/>
      </c>
      <c r="U876" s="43">
        <f>AQ876*INDEX(Dashboard!$G$6:$G$22,MATCH($A876,Dashboard!$A$6:$A$22,0))</f>
        <v/>
      </c>
      <c r="V876" s="47" t="n"/>
      <c r="W876" s="47" t="n"/>
      <c r="X876" s="47" t="n"/>
      <c r="Y876" s="48" t="n"/>
      <c r="Z876" s="49" t="n"/>
      <c r="AA876" s="49" t="n"/>
      <c r="AB876" s="49" t="n"/>
      <c r="AC876" s="50" t="n"/>
      <c r="AD876" s="43">
        <f>IF(Z876&lt;&gt;"",Z876,N(V876))</f>
        <v/>
      </c>
      <c r="AE876" s="43">
        <f>IF(AA876&lt;&gt;"",AA876,N(W876))</f>
        <v/>
      </c>
      <c r="AF876" s="43">
        <f>AD876+AE876</f>
        <v/>
      </c>
      <c r="AG876" s="42">
        <f>IF(UPPER(AC876)="Y",1,IF(AF876=0,0,IF(AND(Z876="",Y876&lt;&gt;""),IF(Y876&gt;=0.999,1,0),IF(AF876&gt;=U876,1,0))))</f>
        <v/>
      </c>
      <c r="AH876" s="44">
        <f>IF(AF876&gt;0,(AD876-AE876)/AF876,"")</f>
        <v/>
      </c>
      <c r="AI876" s="45">
        <f>IF(AG876=1,AH876-O876,"")</f>
        <v/>
      </c>
      <c r="AJ876" s="44">
        <f>IF(AG876=1,AH876,MAX(-1,MIN(1,O876+INDEX(Types!$H:$H,MATCH($A876&amp;"|"&amp;$D876,Types!$A:$A,0)))))</f>
        <v/>
      </c>
      <c r="AK876" s="43">
        <f>IF(AG876=1,AF876,MAX(AQ876*AS876,AF876))</f>
        <v/>
      </c>
      <c r="AL876" s="43">
        <f>IF(AG876=1,AD876,AK876*(1+AJ876)/2)</f>
        <v/>
      </c>
      <c r="AM876" s="43">
        <f>IF(AG876=1,AE876,AK876*(1-AJ876)/2)</f>
        <v/>
      </c>
      <c r="AN876" s="45">
        <f>IF(AH876="","",AH876-T876)</f>
        <v/>
      </c>
      <c r="AO876" s="51">
        <f>IF(AG876=1,1,IF(U876&gt;0,MIN(AF876/U876,0.99),0))</f>
        <v/>
      </c>
      <c r="AP876" s="43">
        <f>IF(AG876=1,AI876*AF876,0)</f>
        <v/>
      </c>
      <c r="AQ876" s="43">
        <f>N876*(F876+G876)/H876</f>
        <v/>
      </c>
      <c r="AR876" s="43">
        <f>O876*AQ876</f>
        <v/>
      </c>
      <c r="AS876" s="52">
        <f>IF(AG876=1,IF(AQ876&gt;0,AF876/AQ876,1),IFERROR(INDEX(Types!$K:$K,MATCH($A876&amp;"|"&amp;$D876,Types!$A:$A,0)),INDEX(Dashboard!$X$6:$X$22,MATCH($A876,Dashboard!$A$6:$A$22,0))))</f>
        <v/>
      </c>
      <c r="AT876" s="43">
        <f>AQ876*INDEX(Dashboard!$Y$6:$Y$22,MATCH($A876,Dashboard!$A$6:$A$22,0))</f>
        <v/>
      </c>
      <c r="AU876" s="53">
        <f>IF(AND(AG876=1,AT876&gt;0,AF876&gt;0),100*AF876/AT876,"")</f>
        <v/>
      </c>
      <c r="AV876" s="44">
        <f>IF(AU876="","",T876/(AU876/100))</f>
        <v/>
      </c>
      <c r="AW876" s="53">
        <f>IF(AU876="","",IF(AND(ABS(AH876)&gt;=0.1,ABS(T876)&gt;=0.05,SIGN(AH876)=SIGN(T876)),100*T876/AH876,""))</f>
        <v/>
      </c>
      <c r="AX876" s="45">
        <f>IF(AU876="","",T876-AV876)</f>
        <v/>
      </c>
      <c r="AY876" s="45">
        <f>IF(AU876="","",AH876-AV876)</f>
        <v/>
      </c>
      <c r="AZ876" s="54">
        <f>(AL876-AM876)-T876*AT876</f>
        <v/>
      </c>
      <c r="BA876" s="43">
        <f>IF(AU876="",0,(AH876-T876)*AF876)</f>
        <v/>
      </c>
      <c r="BB876" s="43">
        <f>IF(AU876="",0,T876*(AF876-AT876))</f>
        <v/>
      </c>
      <c r="BC876" s="51" t="n">
        <v>0.005813742233203735</v>
      </c>
      <c r="BD876" s="51" t="n">
        <v>0.01013771301914901</v>
      </c>
      <c r="BE876" s="51" t="n">
        <v>0.1425149063032368</v>
      </c>
      <c r="BF876" s="43" t="n">
        <v>27521</v>
      </c>
    </row>
    <row r="877">
      <c r="A877" s="42" t="inlineStr">
        <is>
          <t>OH</t>
        </is>
      </c>
      <c r="B877" s="42" t="inlineStr">
        <is>
          <t>39003</t>
        </is>
      </c>
      <c r="C877" s="42" t="inlineStr">
        <is>
          <t>Allen</t>
        </is>
      </c>
      <c r="D877" s="42" t="inlineStr">
        <is>
          <t>Mid-size/working metro</t>
        </is>
      </c>
      <c r="E877" s="42" t="inlineStr"/>
      <c r="F877" s="43" t="n">
        <v>12754</v>
      </c>
      <c r="G877" s="43" t="n">
        <v>33201</v>
      </c>
      <c r="H877" s="43" t="n">
        <v>46361</v>
      </c>
      <c r="I877" s="43" t="n">
        <v>14149</v>
      </c>
      <c r="J877" s="43" t="n">
        <v>33116</v>
      </c>
      <c r="K877" s="42" t="inlineStr">
        <is>
          <t>US Senate</t>
        </is>
      </c>
      <c r="L877" s="43" t="n">
        <v>9428</v>
      </c>
      <c r="M877" s="43" t="n">
        <v>23229</v>
      </c>
      <c r="N877" s="43" t="n">
        <v>32666</v>
      </c>
      <c r="O877" s="44">
        <f>IFERROR((F877-G877)/(F877+G877),"")</f>
        <v/>
      </c>
      <c r="P877" s="44">
        <f>IFERROR((I877-J877)/(I877+J877),"")</f>
        <v/>
      </c>
      <c r="Q877" s="45">
        <f>IFERROR(O877-P877,"")</f>
        <v/>
      </c>
      <c r="R877" s="44">
        <f>IFERROR((L877-M877)/(L877+M877),"")</f>
        <v/>
      </c>
      <c r="S877" s="46">
        <f>H877/SUMIFS(Counties!$H$2:$H$1583,Counties!$A$2:$A$1583,$A877)</f>
        <v/>
      </c>
      <c r="T877" s="44">
        <f>O877+INDEX(Dashboard!$F$6:$F$22,MATCH($A877,Dashboard!$A$6:$A$22,0))</f>
        <v/>
      </c>
      <c r="U877" s="43">
        <f>AQ877*INDEX(Dashboard!$G$6:$G$22,MATCH($A877,Dashboard!$A$6:$A$22,0))</f>
        <v/>
      </c>
      <c r="V877" s="47" t="n"/>
      <c r="W877" s="47" t="n"/>
      <c r="X877" s="47" t="n"/>
      <c r="Y877" s="48" t="n"/>
      <c r="Z877" s="49" t="n"/>
      <c r="AA877" s="49" t="n"/>
      <c r="AB877" s="49" t="n"/>
      <c r="AC877" s="50" t="n"/>
      <c r="AD877" s="43">
        <f>IF(Z877&lt;&gt;"",Z877,N(V877))</f>
        <v/>
      </c>
      <c r="AE877" s="43">
        <f>IF(AA877&lt;&gt;"",AA877,N(W877))</f>
        <v/>
      </c>
      <c r="AF877" s="43">
        <f>AD877+AE877</f>
        <v/>
      </c>
      <c r="AG877" s="42">
        <f>IF(UPPER(AC877)="Y",1,IF(AF877=0,0,IF(AND(Z877="",Y877&lt;&gt;""),IF(Y877&gt;=0.999,1,0),IF(AF877&gt;=U877,1,0))))</f>
        <v/>
      </c>
      <c r="AH877" s="44">
        <f>IF(AF877&gt;0,(AD877-AE877)/AF877,"")</f>
        <v/>
      </c>
      <c r="AI877" s="45">
        <f>IF(AG877=1,AH877-O877,"")</f>
        <v/>
      </c>
      <c r="AJ877" s="44">
        <f>IF(AG877=1,AH877,MAX(-1,MIN(1,O877+INDEX(Types!$H:$H,MATCH($A877&amp;"|"&amp;$D877,Types!$A:$A,0)))))</f>
        <v/>
      </c>
      <c r="AK877" s="43">
        <f>IF(AG877=1,AF877,MAX(AQ877*AS877,AF877))</f>
        <v/>
      </c>
      <c r="AL877" s="43">
        <f>IF(AG877=1,AD877,AK877*(1+AJ877)/2)</f>
        <v/>
      </c>
      <c r="AM877" s="43">
        <f>IF(AG877=1,AE877,AK877*(1-AJ877)/2)</f>
        <v/>
      </c>
      <c r="AN877" s="45">
        <f>IF(AH877="","",AH877-T877)</f>
        <v/>
      </c>
      <c r="AO877" s="51">
        <f>IF(AG877=1,1,IF(U877&gt;0,MIN(AF877/U877,0.99),0))</f>
        <v/>
      </c>
      <c r="AP877" s="43">
        <f>IF(AG877=1,AI877*AF877,0)</f>
        <v/>
      </c>
      <c r="AQ877" s="43">
        <f>N877*(F877+G877)/H877</f>
        <v/>
      </c>
      <c r="AR877" s="43">
        <f>O877*AQ877</f>
        <v/>
      </c>
      <c r="AS877" s="52">
        <f>IF(AG877=1,IF(AQ877&gt;0,AF877/AQ877,1),IFERROR(INDEX(Types!$K:$K,MATCH($A877&amp;"|"&amp;$D877,Types!$A:$A,0)),INDEX(Dashboard!$X$6:$X$22,MATCH($A877,Dashboard!$A$6:$A$22,0))))</f>
        <v/>
      </c>
      <c r="AT877" s="43">
        <f>AQ877*INDEX(Dashboard!$Y$6:$Y$22,MATCH($A877,Dashboard!$A$6:$A$22,0))</f>
        <v/>
      </c>
      <c r="AU877" s="53">
        <f>IF(AND(AG877=1,AT877&gt;0,AF877&gt;0),100*AF877/AT877,"")</f>
        <v/>
      </c>
      <c r="AV877" s="44">
        <f>IF(AU877="","",T877/(AU877/100))</f>
        <v/>
      </c>
      <c r="AW877" s="53">
        <f>IF(AU877="","",IF(AND(ABS(AH877)&gt;=0.1,ABS(T877)&gt;=0.05,SIGN(AH877)=SIGN(T877)),100*T877/AH877,""))</f>
        <v/>
      </c>
      <c r="AX877" s="45">
        <f>IF(AU877="","",T877-AV877)</f>
        <v/>
      </c>
      <c r="AY877" s="45">
        <f>IF(AU877="","",AH877-AV877)</f>
        <v/>
      </c>
      <c r="AZ877" s="54">
        <f>(AL877-AM877)-T877*AT877</f>
        <v/>
      </c>
      <c r="BA877" s="43">
        <f>IF(AU877="",0,(AH877-T877)*AF877)</f>
        <v/>
      </c>
      <c r="BB877" s="43">
        <f>IF(AU877="",0,T877*(AF877-AT877))</f>
        <v/>
      </c>
      <c r="BC877" s="51" t="n">
        <v>0.1183978262163073</v>
      </c>
      <c r="BD877" s="51" t="n">
        <v>0.03745611773339416</v>
      </c>
      <c r="BE877" s="51" t="n">
        <v>0.1993422014325391</v>
      </c>
      <c r="BF877" s="43" t="n">
        <v>100838</v>
      </c>
    </row>
    <row r="878">
      <c r="A878" s="42" t="inlineStr">
        <is>
          <t>OH</t>
        </is>
      </c>
      <c r="B878" s="42" t="inlineStr">
        <is>
          <t>39005</t>
        </is>
      </c>
      <c r="C878" s="42" t="inlineStr">
        <is>
          <t>Ashland</t>
        </is>
      </c>
      <c r="D878" s="42" t="inlineStr">
        <is>
          <t>Small town &amp; rural</t>
        </is>
      </c>
      <c r="E878" s="42" t="inlineStr"/>
      <c r="F878" s="43" t="n">
        <v>6544</v>
      </c>
      <c r="G878" s="43" t="n">
        <v>19863</v>
      </c>
      <c r="H878" s="43" t="n">
        <v>26662</v>
      </c>
      <c r="I878" s="43" t="n">
        <v>6541</v>
      </c>
      <c r="J878" s="43" t="n">
        <v>19407</v>
      </c>
      <c r="K878" s="42" t="inlineStr">
        <is>
          <t>US Senate</t>
        </is>
      </c>
      <c r="L878" s="43" t="n">
        <v>5034</v>
      </c>
      <c r="M878" s="43" t="n">
        <v>13366</v>
      </c>
      <c r="N878" s="43" t="n">
        <v>18409</v>
      </c>
      <c r="O878" s="44">
        <f>IFERROR((F878-G878)/(F878+G878),"")</f>
        <v/>
      </c>
      <c r="P878" s="44">
        <f>IFERROR((I878-J878)/(I878+J878),"")</f>
        <v/>
      </c>
      <c r="Q878" s="45">
        <f>IFERROR(O878-P878,"")</f>
        <v/>
      </c>
      <c r="R878" s="44">
        <f>IFERROR((L878-M878)/(L878+M878),"")</f>
        <v/>
      </c>
      <c r="S878" s="46">
        <f>H878/SUMIFS(Counties!$H$2:$H$1583,Counties!$A$2:$A$1583,$A878)</f>
        <v/>
      </c>
      <c r="T878" s="44">
        <f>O878+INDEX(Dashboard!$F$6:$F$22,MATCH($A878,Dashboard!$A$6:$A$22,0))</f>
        <v/>
      </c>
      <c r="U878" s="43">
        <f>AQ878*INDEX(Dashboard!$G$6:$G$22,MATCH($A878,Dashboard!$A$6:$A$22,0))</f>
        <v/>
      </c>
      <c r="V878" s="47" t="n"/>
      <c r="W878" s="47" t="n"/>
      <c r="X878" s="47" t="n"/>
      <c r="Y878" s="48" t="n"/>
      <c r="Z878" s="49" t="n"/>
      <c r="AA878" s="49" t="n"/>
      <c r="AB878" s="49" t="n"/>
      <c r="AC878" s="50" t="n"/>
      <c r="AD878" s="43">
        <f>IF(Z878&lt;&gt;"",Z878,N(V878))</f>
        <v/>
      </c>
      <c r="AE878" s="43">
        <f>IF(AA878&lt;&gt;"",AA878,N(W878))</f>
        <v/>
      </c>
      <c r="AF878" s="43">
        <f>AD878+AE878</f>
        <v/>
      </c>
      <c r="AG878" s="42">
        <f>IF(UPPER(AC878)="Y",1,IF(AF878=0,0,IF(AND(Z878="",Y878&lt;&gt;""),IF(Y878&gt;=0.999,1,0),IF(AF878&gt;=U878,1,0))))</f>
        <v/>
      </c>
      <c r="AH878" s="44">
        <f>IF(AF878&gt;0,(AD878-AE878)/AF878,"")</f>
        <v/>
      </c>
      <c r="AI878" s="45">
        <f>IF(AG878=1,AH878-O878,"")</f>
        <v/>
      </c>
      <c r="AJ878" s="44">
        <f>IF(AG878=1,AH878,MAX(-1,MIN(1,O878+INDEX(Types!$H:$H,MATCH($A878&amp;"|"&amp;$D878,Types!$A:$A,0)))))</f>
        <v/>
      </c>
      <c r="AK878" s="43">
        <f>IF(AG878=1,AF878,MAX(AQ878*AS878,AF878))</f>
        <v/>
      </c>
      <c r="AL878" s="43">
        <f>IF(AG878=1,AD878,AK878*(1+AJ878)/2)</f>
        <v/>
      </c>
      <c r="AM878" s="43">
        <f>IF(AG878=1,AE878,AK878*(1-AJ878)/2)</f>
        <v/>
      </c>
      <c r="AN878" s="45">
        <f>IF(AH878="","",AH878-T878)</f>
        <v/>
      </c>
      <c r="AO878" s="51">
        <f>IF(AG878=1,1,IF(U878&gt;0,MIN(AF878/U878,0.99),0))</f>
        <v/>
      </c>
      <c r="AP878" s="43">
        <f>IF(AG878=1,AI878*AF878,0)</f>
        <v/>
      </c>
      <c r="AQ878" s="43">
        <f>N878*(F878+G878)/H878</f>
        <v/>
      </c>
      <c r="AR878" s="43">
        <f>O878*AQ878</f>
        <v/>
      </c>
      <c r="AS878" s="52">
        <f>IF(AG878=1,IF(AQ878&gt;0,AF878/AQ878,1),IFERROR(INDEX(Types!$K:$K,MATCH($A878&amp;"|"&amp;$D878,Types!$A:$A,0)),INDEX(Dashboard!$X$6:$X$22,MATCH($A878,Dashboard!$A$6:$A$22,0))))</f>
        <v/>
      </c>
      <c r="AT878" s="43">
        <f>AQ878*INDEX(Dashboard!$Y$6:$Y$22,MATCH($A878,Dashboard!$A$6:$A$22,0))</f>
        <v/>
      </c>
      <c r="AU878" s="53">
        <f>IF(AND(AG878=1,AT878&gt;0,AF878&gt;0),100*AF878/AT878,"")</f>
        <v/>
      </c>
      <c r="AV878" s="44">
        <f>IF(AU878="","",T878/(AU878/100))</f>
        <v/>
      </c>
      <c r="AW878" s="53">
        <f>IF(AU878="","",IF(AND(ABS(AH878)&gt;=0.1,ABS(T878)&gt;=0.05,SIGN(AH878)=SIGN(T878)),100*T878/AH878,""))</f>
        <v/>
      </c>
      <c r="AX878" s="45">
        <f>IF(AU878="","",T878-AV878)</f>
        <v/>
      </c>
      <c r="AY878" s="45">
        <f>IF(AU878="","",AH878-AV878)</f>
        <v/>
      </c>
      <c r="AZ878" s="54">
        <f>(AL878-AM878)-T878*AT878</f>
        <v/>
      </c>
      <c r="BA878" s="43">
        <f>IF(AU878="",0,(AH878-T878)*AF878)</f>
        <v/>
      </c>
      <c r="BB878" s="43">
        <f>IF(AU878="",0,T878*(AF878-AT878))</f>
        <v/>
      </c>
      <c r="BC878" s="51" t="n">
        <v>0.009810308488216133</v>
      </c>
      <c r="BD878" s="51" t="n">
        <v>0.01856677524429967</v>
      </c>
      <c r="BE878" s="51" t="n">
        <v>0.2206422528940338</v>
      </c>
      <c r="BF878" s="43" t="n">
        <v>52190</v>
      </c>
    </row>
    <row r="879">
      <c r="A879" s="42" t="inlineStr">
        <is>
          <t>OH</t>
        </is>
      </c>
      <c r="B879" s="42" t="inlineStr">
        <is>
          <t>39007</t>
        </is>
      </c>
      <c r="C879" s="42" t="inlineStr">
        <is>
          <t>Ashtabula</t>
        </is>
      </c>
      <c r="D879" s="42" t="inlineStr">
        <is>
          <t>Small town &amp; rural</t>
        </is>
      </c>
      <c r="E879" s="42" t="inlineStr"/>
      <c r="F879" s="43" t="n">
        <v>15345</v>
      </c>
      <c r="G879" s="43" t="n">
        <v>27656</v>
      </c>
      <c r="H879" s="43" t="n">
        <v>43368</v>
      </c>
      <c r="I879" s="43" t="n">
        <v>16497</v>
      </c>
      <c r="J879" s="43" t="n">
        <v>26890</v>
      </c>
      <c r="K879" s="42" t="inlineStr">
        <is>
          <t>US Senate</t>
        </is>
      </c>
      <c r="L879" s="43" t="n">
        <v>12561</v>
      </c>
      <c r="M879" s="43" t="n">
        <v>18277</v>
      </c>
      <c r="N879" s="43" t="n">
        <v>30852</v>
      </c>
      <c r="O879" s="44">
        <f>IFERROR((F879-G879)/(F879+G879),"")</f>
        <v/>
      </c>
      <c r="P879" s="44">
        <f>IFERROR((I879-J879)/(I879+J879),"")</f>
        <v/>
      </c>
      <c r="Q879" s="45">
        <f>IFERROR(O879-P879,"")</f>
        <v/>
      </c>
      <c r="R879" s="44">
        <f>IFERROR((L879-M879)/(L879+M879),"")</f>
        <v/>
      </c>
      <c r="S879" s="46">
        <f>H879/SUMIFS(Counties!$H$2:$H$1583,Counties!$A$2:$A$1583,$A879)</f>
        <v/>
      </c>
      <c r="T879" s="44">
        <f>O879+INDEX(Dashboard!$F$6:$F$22,MATCH($A879,Dashboard!$A$6:$A$22,0))</f>
        <v/>
      </c>
      <c r="U879" s="43">
        <f>AQ879*INDEX(Dashboard!$G$6:$G$22,MATCH($A879,Dashboard!$A$6:$A$22,0))</f>
        <v/>
      </c>
      <c r="V879" s="47" t="n"/>
      <c r="W879" s="47" t="n"/>
      <c r="X879" s="47" t="n"/>
      <c r="Y879" s="48" t="n"/>
      <c r="Z879" s="49" t="n"/>
      <c r="AA879" s="49" t="n"/>
      <c r="AB879" s="49" t="n"/>
      <c r="AC879" s="50" t="n"/>
      <c r="AD879" s="43">
        <f>IF(Z879&lt;&gt;"",Z879,N(V879))</f>
        <v/>
      </c>
      <c r="AE879" s="43">
        <f>IF(AA879&lt;&gt;"",AA879,N(W879))</f>
        <v/>
      </c>
      <c r="AF879" s="43">
        <f>AD879+AE879</f>
        <v/>
      </c>
      <c r="AG879" s="42">
        <f>IF(UPPER(AC879)="Y",1,IF(AF879=0,0,IF(AND(Z879="",Y879&lt;&gt;""),IF(Y879&gt;=0.999,1,0),IF(AF879&gt;=U879,1,0))))</f>
        <v/>
      </c>
      <c r="AH879" s="44">
        <f>IF(AF879&gt;0,(AD879-AE879)/AF879,"")</f>
        <v/>
      </c>
      <c r="AI879" s="45">
        <f>IF(AG879=1,AH879-O879,"")</f>
        <v/>
      </c>
      <c r="AJ879" s="44">
        <f>IF(AG879=1,AH879,MAX(-1,MIN(1,O879+INDEX(Types!$H:$H,MATCH($A879&amp;"|"&amp;$D879,Types!$A:$A,0)))))</f>
        <v/>
      </c>
      <c r="AK879" s="43">
        <f>IF(AG879=1,AF879,MAX(AQ879*AS879,AF879))</f>
        <v/>
      </c>
      <c r="AL879" s="43">
        <f>IF(AG879=1,AD879,AK879*(1+AJ879)/2)</f>
        <v/>
      </c>
      <c r="AM879" s="43">
        <f>IF(AG879=1,AE879,AK879*(1-AJ879)/2)</f>
        <v/>
      </c>
      <c r="AN879" s="45">
        <f>IF(AH879="","",AH879-T879)</f>
        <v/>
      </c>
      <c r="AO879" s="51">
        <f>IF(AG879=1,1,IF(U879&gt;0,MIN(AF879/U879,0.99),0))</f>
        <v/>
      </c>
      <c r="AP879" s="43">
        <f>IF(AG879=1,AI879*AF879,0)</f>
        <v/>
      </c>
      <c r="AQ879" s="43">
        <f>N879*(F879+G879)/H879</f>
        <v/>
      </c>
      <c r="AR879" s="43">
        <f>O879*AQ879</f>
        <v/>
      </c>
      <c r="AS879" s="52">
        <f>IF(AG879=1,IF(AQ879&gt;0,AF879/AQ879,1),IFERROR(INDEX(Types!$K:$K,MATCH($A879&amp;"|"&amp;$D879,Types!$A:$A,0)),INDEX(Dashboard!$X$6:$X$22,MATCH($A879,Dashboard!$A$6:$A$22,0))))</f>
        <v/>
      </c>
      <c r="AT879" s="43">
        <f>AQ879*INDEX(Dashboard!$Y$6:$Y$22,MATCH($A879,Dashboard!$A$6:$A$22,0))</f>
        <v/>
      </c>
      <c r="AU879" s="53">
        <f>IF(AND(AG879=1,AT879&gt;0,AF879&gt;0),100*AF879/AT879,"")</f>
        <v/>
      </c>
      <c r="AV879" s="44">
        <f>IF(AU879="","",T879/(AU879/100))</f>
        <v/>
      </c>
      <c r="AW879" s="53">
        <f>IF(AU879="","",IF(AND(ABS(AH879)&gt;=0.1,ABS(T879)&gt;=0.05,SIGN(AH879)=SIGN(T879)),100*T879/AH879,""))</f>
        <v/>
      </c>
      <c r="AX879" s="45">
        <f>IF(AU879="","",T879-AV879)</f>
        <v/>
      </c>
      <c r="AY879" s="45">
        <f>IF(AU879="","",AH879-AV879)</f>
        <v/>
      </c>
      <c r="AZ879" s="54">
        <f>(AL879-AM879)-T879*AT879</f>
        <v/>
      </c>
      <c r="BA879" s="43">
        <f>IF(AU879="",0,(AH879-T879)*AF879)</f>
        <v/>
      </c>
      <c r="BB879" s="43">
        <f>IF(AU879="",0,T879*(AF879-AT879))</f>
        <v/>
      </c>
      <c r="BC879" s="51" t="n">
        <v>0.03727605968299861</v>
      </c>
      <c r="BD879" s="51" t="n">
        <v>0.05099901905106097</v>
      </c>
      <c r="BE879" s="51" t="n">
        <v>0.1597084548104956</v>
      </c>
      <c r="BF879" s="43" t="n">
        <v>96845</v>
      </c>
    </row>
    <row r="880">
      <c r="A880" s="42" t="inlineStr">
        <is>
          <t>OH</t>
        </is>
      </c>
      <c r="B880" s="42" t="inlineStr">
        <is>
          <t>39009</t>
        </is>
      </c>
      <c r="C880" s="42" t="inlineStr">
        <is>
          <t>Athens</t>
        </is>
      </c>
      <c r="D880" s="42" t="inlineStr">
        <is>
          <t>Small town &amp; rural</t>
        </is>
      </c>
      <c r="E880" s="42" t="inlineStr"/>
      <c r="F880" s="43" t="n">
        <v>14134</v>
      </c>
      <c r="G880" s="43" t="n">
        <v>11369</v>
      </c>
      <c r="H880" s="43" t="n">
        <v>25726</v>
      </c>
      <c r="I880" s="43" t="n">
        <v>14772</v>
      </c>
      <c r="J880" s="43" t="n">
        <v>10862</v>
      </c>
      <c r="K880" s="42" t="inlineStr">
        <is>
          <t>US Senate</t>
        </is>
      </c>
      <c r="L880" s="43" t="n">
        <v>11578</v>
      </c>
      <c r="M880" s="43" t="n">
        <v>7482</v>
      </c>
      <c r="N880" s="43" t="n">
        <v>19065</v>
      </c>
      <c r="O880" s="44">
        <f>IFERROR((F880-G880)/(F880+G880),"")</f>
        <v/>
      </c>
      <c r="P880" s="44">
        <f>IFERROR((I880-J880)/(I880+J880),"")</f>
        <v/>
      </c>
      <c r="Q880" s="45">
        <f>IFERROR(O880-P880,"")</f>
        <v/>
      </c>
      <c r="R880" s="44">
        <f>IFERROR((L880-M880)/(L880+M880),"")</f>
        <v/>
      </c>
      <c r="S880" s="46">
        <f>H880/SUMIFS(Counties!$H$2:$H$1583,Counties!$A$2:$A$1583,$A880)</f>
        <v/>
      </c>
      <c r="T880" s="44">
        <f>O880+INDEX(Dashboard!$F$6:$F$22,MATCH($A880,Dashboard!$A$6:$A$22,0))</f>
        <v/>
      </c>
      <c r="U880" s="43">
        <f>AQ880*INDEX(Dashboard!$G$6:$G$22,MATCH($A880,Dashboard!$A$6:$A$22,0))</f>
        <v/>
      </c>
      <c r="V880" s="47" t="n"/>
      <c r="W880" s="47" t="n"/>
      <c r="X880" s="47" t="n"/>
      <c r="Y880" s="48" t="n"/>
      <c r="Z880" s="49" t="n"/>
      <c r="AA880" s="49" t="n"/>
      <c r="AB880" s="49" t="n"/>
      <c r="AC880" s="50" t="n"/>
      <c r="AD880" s="43">
        <f>IF(Z880&lt;&gt;"",Z880,N(V880))</f>
        <v/>
      </c>
      <c r="AE880" s="43">
        <f>IF(AA880&lt;&gt;"",AA880,N(W880))</f>
        <v/>
      </c>
      <c r="AF880" s="43">
        <f>AD880+AE880</f>
        <v/>
      </c>
      <c r="AG880" s="42">
        <f>IF(UPPER(AC880)="Y",1,IF(AF880=0,0,IF(AND(Z880="",Y880&lt;&gt;""),IF(Y880&gt;=0.999,1,0),IF(AF880&gt;=U880,1,0))))</f>
        <v/>
      </c>
      <c r="AH880" s="44">
        <f>IF(AF880&gt;0,(AD880-AE880)/AF880,"")</f>
        <v/>
      </c>
      <c r="AI880" s="45">
        <f>IF(AG880=1,AH880-O880,"")</f>
        <v/>
      </c>
      <c r="AJ880" s="44">
        <f>IF(AG880=1,AH880,MAX(-1,MIN(1,O880+INDEX(Types!$H:$H,MATCH($A880&amp;"|"&amp;$D880,Types!$A:$A,0)))))</f>
        <v/>
      </c>
      <c r="AK880" s="43">
        <f>IF(AG880=1,AF880,MAX(AQ880*AS880,AF880))</f>
        <v/>
      </c>
      <c r="AL880" s="43">
        <f>IF(AG880=1,AD880,AK880*(1+AJ880)/2)</f>
        <v/>
      </c>
      <c r="AM880" s="43">
        <f>IF(AG880=1,AE880,AK880*(1-AJ880)/2)</f>
        <v/>
      </c>
      <c r="AN880" s="45">
        <f>IF(AH880="","",AH880-T880)</f>
        <v/>
      </c>
      <c r="AO880" s="51">
        <f>IF(AG880=1,1,IF(U880&gt;0,MIN(AF880/U880,0.99),0))</f>
        <v/>
      </c>
      <c r="AP880" s="43">
        <f>IF(AG880=1,AI880*AF880,0)</f>
        <v/>
      </c>
      <c r="AQ880" s="43">
        <f>N880*(F880+G880)/H880</f>
        <v/>
      </c>
      <c r="AR880" s="43">
        <f>O880*AQ880</f>
        <v/>
      </c>
      <c r="AS880" s="52">
        <f>IF(AG880=1,IF(AQ880&gt;0,AF880/AQ880,1),IFERROR(INDEX(Types!$K:$K,MATCH($A880&amp;"|"&amp;$D880,Types!$A:$A,0)),INDEX(Dashboard!$X$6:$X$22,MATCH($A880,Dashboard!$A$6:$A$22,0))))</f>
        <v/>
      </c>
      <c r="AT880" s="43">
        <f>AQ880*INDEX(Dashboard!$Y$6:$Y$22,MATCH($A880,Dashboard!$A$6:$A$22,0))</f>
        <v/>
      </c>
      <c r="AU880" s="53">
        <f>IF(AND(AG880=1,AT880&gt;0,AF880&gt;0),100*AF880/AT880,"")</f>
        <v/>
      </c>
      <c r="AV880" s="44">
        <f>IF(AU880="","",T880/(AU880/100))</f>
        <v/>
      </c>
      <c r="AW880" s="53">
        <f>IF(AU880="","",IF(AND(ABS(AH880)&gt;=0.1,ABS(T880)&gt;=0.05,SIGN(AH880)=SIGN(T880)),100*T880/AH880,""))</f>
        <v/>
      </c>
      <c r="AX880" s="45">
        <f>IF(AU880="","",T880-AV880)</f>
        <v/>
      </c>
      <c r="AY880" s="45">
        <f>IF(AU880="","",AH880-AV880)</f>
        <v/>
      </c>
      <c r="AZ880" s="54">
        <f>(AL880-AM880)-T880*AT880</f>
        <v/>
      </c>
      <c r="BA880" s="43">
        <f>IF(AU880="",0,(AH880-T880)*AF880)</f>
        <v/>
      </c>
      <c r="BB880" s="43">
        <f>IF(AU880="",0,T880*(AF880-AT880))</f>
        <v/>
      </c>
      <c r="BC880" s="51" t="n">
        <v>0.02793991005645393</v>
      </c>
      <c r="BD880" s="51" t="n">
        <v>0.02288457244920741</v>
      </c>
      <c r="BE880" s="51" t="n">
        <v>0.3542646532992271</v>
      </c>
      <c r="BF880" s="43" t="n">
        <v>62706</v>
      </c>
    </row>
    <row r="881">
      <c r="A881" s="42" t="inlineStr">
        <is>
          <t>OH</t>
        </is>
      </c>
      <c r="B881" s="42" t="inlineStr">
        <is>
          <t>39011</t>
        </is>
      </c>
      <c r="C881" s="42" t="inlineStr">
        <is>
          <t>Auglaize</t>
        </is>
      </c>
      <c r="D881" s="42" t="inlineStr">
        <is>
          <t>Small town &amp; rural</t>
        </is>
      </c>
      <c r="E881" s="42" t="inlineStr"/>
      <c r="F881" s="43" t="n">
        <v>4442</v>
      </c>
      <c r="G881" s="43" t="n">
        <v>20988</v>
      </c>
      <c r="H881" s="43" t="n">
        <v>25623</v>
      </c>
      <c r="I881" s="43" t="n">
        <v>4651</v>
      </c>
      <c r="J881" s="43" t="n">
        <v>20798</v>
      </c>
      <c r="K881" s="42" t="inlineStr">
        <is>
          <t>US Senate</t>
        </is>
      </c>
      <c r="L881" s="43" t="n">
        <v>3641</v>
      </c>
      <c r="M881" s="43" t="n">
        <v>15022</v>
      </c>
      <c r="N881" s="43" t="n">
        <v>18671</v>
      </c>
      <c r="O881" s="44">
        <f>IFERROR((F881-G881)/(F881+G881),"")</f>
        <v/>
      </c>
      <c r="P881" s="44">
        <f>IFERROR((I881-J881)/(I881+J881),"")</f>
        <v/>
      </c>
      <c r="Q881" s="45">
        <f>IFERROR(O881-P881,"")</f>
        <v/>
      </c>
      <c r="R881" s="44">
        <f>IFERROR((L881-M881)/(L881+M881),"")</f>
        <v/>
      </c>
      <c r="S881" s="46">
        <f>H881/SUMIFS(Counties!$H$2:$H$1583,Counties!$A$2:$A$1583,$A881)</f>
        <v/>
      </c>
      <c r="T881" s="44">
        <f>O881+INDEX(Dashboard!$F$6:$F$22,MATCH($A881,Dashboard!$A$6:$A$22,0))</f>
        <v/>
      </c>
      <c r="U881" s="43">
        <f>AQ881*INDEX(Dashboard!$G$6:$G$22,MATCH($A881,Dashboard!$A$6:$A$22,0))</f>
        <v/>
      </c>
      <c r="V881" s="47" t="n"/>
      <c r="W881" s="47" t="n"/>
      <c r="X881" s="47" t="n"/>
      <c r="Y881" s="48" t="n"/>
      <c r="Z881" s="49" t="n"/>
      <c r="AA881" s="49" t="n"/>
      <c r="AB881" s="49" t="n"/>
      <c r="AC881" s="50" t="n"/>
      <c r="AD881" s="43">
        <f>IF(Z881&lt;&gt;"",Z881,N(V881))</f>
        <v/>
      </c>
      <c r="AE881" s="43">
        <f>IF(AA881&lt;&gt;"",AA881,N(W881))</f>
        <v/>
      </c>
      <c r="AF881" s="43">
        <f>AD881+AE881</f>
        <v/>
      </c>
      <c r="AG881" s="42">
        <f>IF(UPPER(AC881)="Y",1,IF(AF881=0,0,IF(AND(Z881="",Y881&lt;&gt;""),IF(Y881&gt;=0.999,1,0),IF(AF881&gt;=U881,1,0))))</f>
        <v/>
      </c>
      <c r="AH881" s="44">
        <f>IF(AF881&gt;0,(AD881-AE881)/AF881,"")</f>
        <v/>
      </c>
      <c r="AI881" s="45">
        <f>IF(AG881=1,AH881-O881,"")</f>
        <v/>
      </c>
      <c r="AJ881" s="44">
        <f>IF(AG881=1,AH881,MAX(-1,MIN(1,O881+INDEX(Types!$H:$H,MATCH($A881&amp;"|"&amp;$D881,Types!$A:$A,0)))))</f>
        <v/>
      </c>
      <c r="AK881" s="43">
        <f>IF(AG881=1,AF881,MAX(AQ881*AS881,AF881))</f>
        <v/>
      </c>
      <c r="AL881" s="43">
        <f>IF(AG881=1,AD881,AK881*(1+AJ881)/2)</f>
        <v/>
      </c>
      <c r="AM881" s="43">
        <f>IF(AG881=1,AE881,AK881*(1-AJ881)/2)</f>
        <v/>
      </c>
      <c r="AN881" s="45">
        <f>IF(AH881="","",AH881-T881)</f>
        <v/>
      </c>
      <c r="AO881" s="51">
        <f>IF(AG881=1,1,IF(U881&gt;0,MIN(AF881/U881,0.99),0))</f>
        <v/>
      </c>
      <c r="AP881" s="43">
        <f>IF(AG881=1,AI881*AF881,0)</f>
        <v/>
      </c>
      <c r="AQ881" s="43">
        <f>N881*(F881+G881)/H881</f>
        <v/>
      </c>
      <c r="AR881" s="43">
        <f>O881*AQ881</f>
        <v/>
      </c>
      <c r="AS881" s="52">
        <f>IF(AG881=1,IF(AQ881&gt;0,AF881/AQ881,1),IFERROR(INDEX(Types!$K:$K,MATCH($A881&amp;"|"&amp;$D881,Types!$A:$A,0)),INDEX(Dashboard!$X$6:$X$22,MATCH($A881,Dashboard!$A$6:$A$22,0))))</f>
        <v/>
      </c>
      <c r="AT881" s="43">
        <f>AQ881*INDEX(Dashboard!$Y$6:$Y$22,MATCH($A881,Dashboard!$A$6:$A$22,0))</f>
        <v/>
      </c>
      <c r="AU881" s="53">
        <f>IF(AND(AG881=1,AT881&gt;0,AF881&gt;0),100*AF881/AT881,"")</f>
        <v/>
      </c>
      <c r="AV881" s="44">
        <f>IF(AU881="","",T881/(AU881/100))</f>
        <v/>
      </c>
      <c r="AW881" s="53">
        <f>IF(AU881="","",IF(AND(ABS(AH881)&gt;=0.1,ABS(T881)&gt;=0.05,SIGN(AH881)=SIGN(T881)),100*T881/AH881,""))</f>
        <v/>
      </c>
      <c r="AX881" s="45">
        <f>IF(AU881="","",T881-AV881)</f>
        <v/>
      </c>
      <c r="AY881" s="45">
        <f>IF(AU881="","",AH881-AV881)</f>
        <v/>
      </c>
      <c r="AZ881" s="54">
        <f>(AL881-AM881)-T881*AT881</f>
        <v/>
      </c>
      <c r="BA881" s="43">
        <f>IF(AU881="",0,(AH881-T881)*AF881)</f>
        <v/>
      </c>
      <c r="BB881" s="43">
        <f>IF(AU881="",0,T881*(AF881-AT881))</f>
        <v/>
      </c>
      <c r="BC881" s="51" t="n">
        <v>0.006948968512486428</v>
      </c>
      <c r="BD881" s="51" t="n">
        <v>0.0193485342019544</v>
      </c>
      <c r="BE881" s="51" t="n">
        <v>0.2075573292791081</v>
      </c>
      <c r="BF881" s="43" t="n">
        <v>46050</v>
      </c>
    </row>
    <row r="882">
      <c r="A882" s="42" t="inlineStr">
        <is>
          <t>OH</t>
        </is>
      </c>
      <c r="B882" s="42" t="inlineStr">
        <is>
          <t>39013</t>
        </is>
      </c>
      <c r="C882" s="42" t="inlineStr">
        <is>
          <t>Belmont</t>
        </is>
      </c>
      <c r="D882" s="42" t="inlineStr">
        <is>
          <t>Small town &amp; rural</t>
        </is>
      </c>
      <c r="E882" s="42" t="inlineStr"/>
      <c r="F882" s="43" t="n">
        <v>8080</v>
      </c>
      <c r="G882" s="43" t="n">
        <v>22758</v>
      </c>
      <c r="H882" s="43" t="n">
        <v>31032</v>
      </c>
      <c r="I882" s="43" t="n">
        <v>9138</v>
      </c>
      <c r="J882" s="43" t="n">
        <v>23560</v>
      </c>
      <c r="K882" s="42" t="inlineStr">
        <is>
          <t>US Senate</t>
        </is>
      </c>
      <c r="L882" s="43" t="n">
        <v>7356</v>
      </c>
      <c r="M882" s="43" t="n">
        <v>15169</v>
      </c>
      <c r="N882" s="43" t="n">
        <v>22530</v>
      </c>
      <c r="O882" s="44">
        <f>IFERROR((F882-G882)/(F882+G882),"")</f>
        <v/>
      </c>
      <c r="P882" s="44">
        <f>IFERROR((I882-J882)/(I882+J882),"")</f>
        <v/>
      </c>
      <c r="Q882" s="45">
        <f>IFERROR(O882-P882,"")</f>
        <v/>
      </c>
      <c r="R882" s="44">
        <f>IFERROR((L882-M882)/(L882+M882),"")</f>
        <v/>
      </c>
      <c r="S882" s="46">
        <f>H882/SUMIFS(Counties!$H$2:$H$1583,Counties!$A$2:$A$1583,$A882)</f>
        <v/>
      </c>
      <c r="T882" s="44">
        <f>O882+INDEX(Dashboard!$F$6:$F$22,MATCH($A882,Dashboard!$A$6:$A$22,0))</f>
        <v/>
      </c>
      <c r="U882" s="43">
        <f>AQ882*INDEX(Dashboard!$G$6:$G$22,MATCH($A882,Dashboard!$A$6:$A$22,0))</f>
        <v/>
      </c>
      <c r="V882" s="47" t="n"/>
      <c r="W882" s="47" t="n"/>
      <c r="X882" s="47" t="n"/>
      <c r="Y882" s="48" t="n"/>
      <c r="Z882" s="49" t="n"/>
      <c r="AA882" s="49" t="n"/>
      <c r="AB882" s="49" t="n"/>
      <c r="AC882" s="50" t="n"/>
      <c r="AD882" s="43">
        <f>IF(Z882&lt;&gt;"",Z882,N(V882))</f>
        <v/>
      </c>
      <c r="AE882" s="43">
        <f>IF(AA882&lt;&gt;"",AA882,N(W882))</f>
        <v/>
      </c>
      <c r="AF882" s="43">
        <f>AD882+AE882</f>
        <v/>
      </c>
      <c r="AG882" s="42">
        <f>IF(UPPER(AC882)="Y",1,IF(AF882=0,0,IF(AND(Z882="",Y882&lt;&gt;""),IF(Y882&gt;=0.999,1,0),IF(AF882&gt;=U882,1,0))))</f>
        <v/>
      </c>
      <c r="AH882" s="44">
        <f>IF(AF882&gt;0,(AD882-AE882)/AF882,"")</f>
        <v/>
      </c>
      <c r="AI882" s="45">
        <f>IF(AG882=1,AH882-O882,"")</f>
        <v/>
      </c>
      <c r="AJ882" s="44">
        <f>IF(AG882=1,AH882,MAX(-1,MIN(1,O882+INDEX(Types!$H:$H,MATCH($A882&amp;"|"&amp;$D882,Types!$A:$A,0)))))</f>
        <v/>
      </c>
      <c r="AK882" s="43">
        <f>IF(AG882=1,AF882,MAX(AQ882*AS882,AF882))</f>
        <v/>
      </c>
      <c r="AL882" s="43">
        <f>IF(AG882=1,AD882,AK882*(1+AJ882)/2)</f>
        <v/>
      </c>
      <c r="AM882" s="43">
        <f>IF(AG882=1,AE882,AK882*(1-AJ882)/2)</f>
        <v/>
      </c>
      <c r="AN882" s="45">
        <f>IF(AH882="","",AH882-T882)</f>
        <v/>
      </c>
      <c r="AO882" s="51">
        <f>IF(AG882=1,1,IF(U882&gt;0,MIN(AF882/U882,0.99),0))</f>
        <v/>
      </c>
      <c r="AP882" s="43">
        <f>IF(AG882=1,AI882*AF882,0)</f>
        <v/>
      </c>
      <c r="AQ882" s="43">
        <f>N882*(F882+G882)/H882</f>
        <v/>
      </c>
      <c r="AR882" s="43">
        <f>O882*AQ882</f>
        <v/>
      </c>
      <c r="AS882" s="52">
        <f>IF(AG882=1,IF(AQ882&gt;0,AF882/AQ882,1),IFERROR(INDEX(Types!$K:$K,MATCH($A882&amp;"|"&amp;$D882,Types!$A:$A,0)),INDEX(Dashboard!$X$6:$X$22,MATCH($A882,Dashboard!$A$6:$A$22,0))))</f>
        <v/>
      </c>
      <c r="AT882" s="43">
        <f>AQ882*INDEX(Dashboard!$Y$6:$Y$22,MATCH($A882,Dashboard!$A$6:$A$22,0))</f>
        <v/>
      </c>
      <c r="AU882" s="53">
        <f>IF(AND(AG882=1,AT882&gt;0,AF882&gt;0),100*AF882/AT882,"")</f>
        <v/>
      </c>
      <c r="AV882" s="44">
        <f>IF(AU882="","",T882/(AU882/100))</f>
        <v/>
      </c>
      <c r="AW882" s="53">
        <f>IF(AU882="","",IF(AND(ABS(AH882)&gt;=0.1,ABS(T882)&gt;=0.05,SIGN(AH882)=SIGN(T882)),100*T882/AH882,""))</f>
        <v/>
      </c>
      <c r="AX882" s="45">
        <f>IF(AU882="","",T882-AV882)</f>
        <v/>
      </c>
      <c r="AY882" s="45">
        <f>IF(AU882="","",AH882-AV882)</f>
        <v/>
      </c>
      <c r="AZ882" s="54">
        <f>(AL882-AM882)-T882*AT882</f>
        <v/>
      </c>
      <c r="BA882" s="43">
        <f>IF(AU882="",0,(AH882-T882)*AF882)</f>
        <v/>
      </c>
      <c r="BB882" s="43">
        <f>IF(AU882="",0,T882*(AF882-AT882))</f>
        <v/>
      </c>
      <c r="BC882" s="51" t="n">
        <v>0.04531870975692412</v>
      </c>
      <c r="BD882" s="51" t="n">
        <v>0.01375581502818941</v>
      </c>
      <c r="BE882" s="51" t="n">
        <v>0.1871861113981606</v>
      </c>
      <c r="BF882" s="43" t="n">
        <v>64918</v>
      </c>
    </row>
    <row r="883">
      <c r="A883" s="42" t="inlineStr">
        <is>
          <t>OH</t>
        </is>
      </c>
      <c r="B883" s="42" t="inlineStr">
        <is>
          <t>39015</t>
        </is>
      </c>
      <c r="C883" s="42" t="inlineStr">
        <is>
          <t>Brown</t>
        </is>
      </c>
      <c r="D883" s="42" t="inlineStr">
        <is>
          <t>Small town &amp; rural</t>
        </is>
      </c>
      <c r="E883" s="42" t="inlineStr"/>
      <c r="F883" s="43" t="n">
        <v>4069</v>
      </c>
      <c r="G883" s="43" t="n">
        <v>17257</v>
      </c>
      <c r="H883" s="43" t="n">
        <v>21442</v>
      </c>
      <c r="I883" s="43" t="n">
        <v>4380</v>
      </c>
      <c r="J883" s="43" t="n">
        <v>16480</v>
      </c>
      <c r="K883" s="42" t="inlineStr">
        <is>
          <t>US Senate</t>
        </is>
      </c>
      <c r="L883" s="43" t="n">
        <v>3300</v>
      </c>
      <c r="M883" s="43" t="n">
        <v>10832</v>
      </c>
      <c r="N883" s="43" t="n">
        <v>14137</v>
      </c>
      <c r="O883" s="44">
        <f>IFERROR((F883-G883)/(F883+G883),"")</f>
        <v/>
      </c>
      <c r="P883" s="44">
        <f>IFERROR((I883-J883)/(I883+J883),"")</f>
        <v/>
      </c>
      <c r="Q883" s="45">
        <f>IFERROR(O883-P883,"")</f>
        <v/>
      </c>
      <c r="R883" s="44">
        <f>IFERROR((L883-M883)/(L883+M883),"")</f>
        <v/>
      </c>
      <c r="S883" s="46">
        <f>H883/SUMIFS(Counties!$H$2:$H$1583,Counties!$A$2:$A$1583,$A883)</f>
        <v/>
      </c>
      <c r="T883" s="44">
        <f>O883+INDEX(Dashboard!$F$6:$F$22,MATCH($A883,Dashboard!$A$6:$A$22,0))</f>
        <v/>
      </c>
      <c r="U883" s="43">
        <f>AQ883*INDEX(Dashboard!$G$6:$G$22,MATCH($A883,Dashboard!$A$6:$A$22,0))</f>
        <v/>
      </c>
      <c r="V883" s="47" t="n"/>
      <c r="W883" s="47" t="n"/>
      <c r="X883" s="47" t="n"/>
      <c r="Y883" s="48" t="n"/>
      <c r="Z883" s="49" t="n"/>
      <c r="AA883" s="49" t="n"/>
      <c r="AB883" s="49" t="n"/>
      <c r="AC883" s="50" t="n"/>
      <c r="AD883" s="43">
        <f>IF(Z883&lt;&gt;"",Z883,N(V883))</f>
        <v/>
      </c>
      <c r="AE883" s="43">
        <f>IF(AA883&lt;&gt;"",AA883,N(W883))</f>
        <v/>
      </c>
      <c r="AF883" s="43">
        <f>AD883+AE883</f>
        <v/>
      </c>
      <c r="AG883" s="42">
        <f>IF(UPPER(AC883)="Y",1,IF(AF883=0,0,IF(AND(Z883="",Y883&lt;&gt;""),IF(Y883&gt;=0.999,1,0),IF(AF883&gt;=U883,1,0))))</f>
        <v/>
      </c>
      <c r="AH883" s="44">
        <f>IF(AF883&gt;0,(AD883-AE883)/AF883,"")</f>
        <v/>
      </c>
      <c r="AI883" s="45">
        <f>IF(AG883=1,AH883-O883,"")</f>
        <v/>
      </c>
      <c r="AJ883" s="44">
        <f>IF(AG883=1,AH883,MAX(-1,MIN(1,O883+INDEX(Types!$H:$H,MATCH($A883&amp;"|"&amp;$D883,Types!$A:$A,0)))))</f>
        <v/>
      </c>
      <c r="AK883" s="43">
        <f>IF(AG883=1,AF883,MAX(AQ883*AS883,AF883))</f>
        <v/>
      </c>
      <c r="AL883" s="43">
        <f>IF(AG883=1,AD883,AK883*(1+AJ883)/2)</f>
        <v/>
      </c>
      <c r="AM883" s="43">
        <f>IF(AG883=1,AE883,AK883*(1-AJ883)/2)</f>
        <v/>
      </c>
      <c r="AN883" s="45">
        <f>IF(AH883="","",AH883-T883)</f>
        <v/>
      </c>
      <c r="AO883" s="51">
        <f>IF(AG883=1,1,IF(U883&gt;0,MIN(AF883/U883,0.99),0))</f>
        <v/>
      </c>
      <c r="AP883" s="43">
        <f>IF(AG883=1,AI883*AF883,0)</f>
        <v/>
      </c>
      <c r="AQ883" s="43">
        <f>N883*(F883+G883)/H883</f>
        <v/>
      </c>
      <c r="AR883" s="43">
        <f>O883*AQ883</f>
        <v/>
      </c>
      <c r="AS883" s="52">
        <f>IF(AG883=1,IF(AQ883&gt;0,AF883/AQ883,1),IFERROR(INDEX(Types!$K:$K,MATCH($A883&amp;"|"&amp;$D883,Types!$A:$A,0)),INDEX(Dashboard!$X$6:$X$22,MATCH($A883,Dashboard!$A$6:$A$22,0))))</f>
        <v/>
      </c>
      <c r="AT883" s="43">
        <f>AQ883*INDEX(Dashboard!$Y$6:$Y$22,MATCH($A883,Dashboard!$A$6:$A$22,0))</f>
        <v/>
      </c>
      <c r="AU883" s="53">
        <f>IF(AND(AG883=1,AT883&gt;0,AF883&gt;0),100*AF883/AT883,"")</f>
        <v/>
      </c>
      <c r="AV883" s="44">
        <f>IF(AU883="","",T883/(AU883/100))</f>
        <v/>
      </c>
      <c r="AW883" s="53">
        <f>IF(AU883="","",IF(AND(ABS(AH883)&gt;=0.1,ABS(T883)&gt;=0.05,SIGN(AH883)=SIGN(T883)),100*T883/AH883,""))</f>
        <v/>
      </c>
      <c r="AX883" s="45">
        <f>IF(AU883="","",T883-AV883)</f>
        <v/>
      </c>
      <c r="AY883" s="45">
        <f>IF(AU883="","",AH883-AV883)</f>
        <v/>
      </c>
      <c r="AZ883" s="54">
        <f>(AL883-AM883)-T883*AT883</f>
        <v/>
      </c>
      <c r="BA883" s="43">
        <f>IF(AU883="",0,(AH883-T883)*AF883)</f>
        <v/>
      </c>
      <c r="BB883" s="43">
        <f>IF(AU883="",0,T883*(AF883-AT883))</f>
        <v/>
      </c>
      <c r="BC883" s="51" t="n">
        <v>0.009594079082623296</v>
      </c>
      <c r="BD883" s="51" t="n">
        <v>0.01256367498914955</v>
      </c>
      <c r="BE883" s="51" t="n">
        <v>0.1577810505645557</v>
      </c>
      <c r="BF883" s="43" t="n">
        <v>43777</v>
      </c>
    </row>
    <row r="884">
      <c r="A884" s="42" t="inlineStr">
        <is>
          <t>OH</t>
        </is>
      </c>
      <c r="B884" s="42" t="inlineStr">
        <is>
          <t>39017</t>
        </is>
      </c>
      <c r="C884" s="42" t="inlineStr">
        <is>
          <t>Butler</t>
        </is>
      </c>
      <c r="D884" s="42" t="inlineStr">
        <is>
          <t>Mid-size/working metro</t>
        </is>
      </c>
      <c r="E884" s="42" t="inlineStr">
        <is>
          <t>★</t>
        </is>
      </c>
      <c r="F884" s="43" t="n">
        <v>66713</v>
      </c>
      <c r="G884" s="43" t="n">
        <v>114831</v>
      </c>
      <c r="H884" s="43" t="n">
        <v>183142</v>
      </c>
      <c r="I884" s="43" t="n">
        <v>69613</v>
      </c>
      <c r="J884" s="43" t="n">
        <v>114392</v>
      </c>
      <c r="K884" s="42" t="inlineStr">
        <is>
          <t>US Senate</t>
        </is>
      </c>
      <c r="L884" s="43" t="n">
        <v>48777</v>
      </c>
      <c r="M884" s="43" t="n">
        <v>79240</v>
      </c>
      <c r="N884" s="43" t="n">
        <v>128052</v>
      </c>
      <c r="O884" s="44">
        <f>IFERROR((F884-G884)/(F884+G884),"")</f>
        <v/>
      </c>
      <c r="P884" s="44">
        <f>IFERROR((I884-J884)/(I884+J884),"")</f>
        <v/>
      </c>
      <c r="Q884" s="45">
        <f>IFERROR(O884-P884,"")</f>
        <v/>
      </c>
      <c r="R884" s="44">
        <f>IFERROR((L884-M884)/(L884+M884),"")</f>
        <v/>
      </c>
      <c r="S884" s="46">
        <f>H884/SUMIFS(Counties!$H$2:$H$1583,Counties!$A$2:$A$1583,$A884)</f>
        <v/>
      </c>
      <c r="T884" s="44">
        <f>O884+INDEX(Dashboard!$F$6:$F$22,MATCH($A884,Dashboard!$A$6:$A$22,0))</f>
        <v/>
      </c>
      <c r="U884" s="43">
        <f>AQ884*INDEX(Dashboard!$G$6:$G$22,MATCH($A884,Dashboard!$A$6:$A$22,0))</f>
        <v/>
      </c>
      <c r="V884" s="47" t="n"/>
      <c r="W884" s="47" t="n"/>
      <c r="X884" s="47" t="n"/>
      <c r="Y884" s="48" t="n"/>
      <c r="Z884" s="49" t="n"/>
      <c r="AA884" s="49" t="n"/>
      <c r="AB884" s="49" t="n"/>
      <c r="AC884" s="50" t="n"/>
      <c r="AD884" s="43">
        <f>IF(Z884&lt;&gt;"",Z884,N(V884))</f>
        <v/>
      </c>
      <c r="AE884" s="43">
        <f>IF(AA884&lt;&gt;"",AA884,N(W884))</f>
        <v/>
      </c>
      <c r="AF884" s="43">
        <f>AD884+AE884</f>
        <v/>
      </c>
      <c r="AG884" s="42">
        <f>IF(UPPER(AC884)="Y",1,IF(AF884=0,0,IF(AND(Z884="",Y884&lt;&gt;""),IF(Y884&gt;=0.999,1,0),IF(AF884&gt;=U884,1,0))))</f>
        <v/>
      </c>
      <c r="AH884" s="44">
        <f>IF(AF884&gt;0,(AD884-AE884)/AF884,"")</f>
        <v/>
      </c>
      <c r="AI884" s="45">
        <f>IF(AG884=1,AH884-O884,"")</f>
        <v/>
      </c>
      <c r="AJ884" s="44">
        <f>IF(AG884=1,AH884,MAX(-1,MIN(1,O884+INDEX(Types!$H:$H,MATCH($A884&amp;"|"&amp;$D884,Types!$A:$A,0)))))</f>
        <v/>
      </c>
      <c r="AK884" s="43">
        <f>IF(AG884=1,AF884,MAX(AQ884*AS884,AF884))</f>
        <v/>
      </c>
      <c r="AL884" s="43">
        <f>IF(AG884=1,AD884,AK884*(1+AJ884)/2)</f>
        <v/>
      </c>
      <c r="AM884" s="43">
        <f>IF(AG884=1,AE884,AK884*(1-AJ884)/2)</f>
        <v/>
      </c>
      <c r="AN884" s="45">
        <f>IF(AH884="","",AH884-T884)</f>
        <v/>
      </c>
      <c r="AO884" s="51">
        <f>IF(AG884=1,1,IF(U884&gt;0,MIN(AF884/U884,0.99),0))</f>
        <v/>
      </c>
      <c r="AP884" s="43">
        <f>IF(AG884=1,AI884*AF884,0)</f>
        <v/>
      </c>
      <c r="AQ884" s="43">
        <f>N884*(F884+G884)/H884</f>
        <v/>
      </c>
      <c r="AR884" s="43">
        <f>O884*AQ884</f>
        <v/>
      </c>
      <c r="AS884" s="52">
        <f>IF(AG884=1,IF(AQ884&gt;0,AF884/AQ884,1),IFERROR(INDEX(Types!$K:$K,MATCH($A884&amp;"|"&amp;$D884,Types!$A:$A,0)),INDEX(Dashboard!$X$6:$X$22,MATCH($A884,Dashboard!$A$6:$A$22,0))))</f>
        <v/>
      </c>
      <c r="AT884" s="43">
        <f>AQ884*INDEX(Dashboard!$Y$6:$Y$22,MATCH($A884,Dashboard!$A$6:$A$22,0))</f>
        <v/>
      </c>
      <c r="AU884" s="53">
        <f>IF(AND(AG884=1,AT884&gt;0,AF884&gt;0),100*AF884/AT884,"")</f>
        <v/>
      </c>
      <c r="AV884" s="44">
        <f>IF(AU884="","",T884/(AU884/100))</f>
        <v/>
      </c>
      <c r="AW884" s="53">
        <f>IF(AU884="","",IF(AND(ABS(AH884)&gt;=0.1,ABS(T884)&gt;=0.05,SIGN(AH884)=SIGN(T884)),100*T884/AH884,""))</f>
        <v/>
      </c>
      <c r="AX884" s="45">
        <f>IF(AU884="","",T884-AV884)</f>
        <v/>
      </c>
      <c r="AY884" s="45">
        <f>IF(AU884="","",AH884-AV884)</f>
        <v/>
      </c>
      <c r="AZ884" s="54">
        <f>(AL884-AM884)-T884*AT884</f>
        <v/>
      </c>
      <c r="BA884" s="43">
        <f>IF(AU884="",0,(AH884-T884)*AF884)</f>
        <v/>
      </c>
      <c r="BB884" s="43">
        <f>IF(AU884="",0,T884*(AF884-AT884))</f>
        <v/>
      </c>
      <c r="BC884" s="51" t="n">
        <v>0.09699956493309893</v>
      </c>
      <c r="BD884" s="51" t="n">
        <v>0.06999997455749117</v>
      </c>
      <c r="BE884" s="51" t="n">
        <v>0.3253044149109621</v>
      </c>
      <c r="BF884" s="43" t="n">
        <v>393043</v>
      </c>
    </row>
    <row r="885">
      <c r="A885" s="42" t="inlineStr">
        <is>
          <t>OH</t>
        </is>
      </c>
      <c r="B885" s="42" t="inlineStr">
        <is>
          <t>39019</t>
        </is>
      </c>
      <c r="C885" s="42" t="inlineStr">
        <is>
          <t>Carroll</t>
        </is>
      </c>
      <c r="D885" s="42" t="inlineStr">
        <is>
          <t>Small town &amp; rural</t>
        </is>
      </c>
      <c r="E885" s="42" t="inlineStr"/>
      <c r="F885" s="43" t="n">
        <v>3071</v>
      </c>
      <c r="G885" s="43" t="n">
        <v>10634</v>
      </c>
      <c r="H885" s="43" t="n">
        <v>13818</v>
      </c>
      <c r="I885" s="43" t="n">
        <v>3251</v>
      </c>
      <c r="J885" s="43" t="n">
        <v>10745</v>
      </c>
      <c r="K885" s="42" t="inlineStr">
        <is>
          <t>US Senate</t>
        </is>
      </c>
      <c r="L885" s="43" t="n">
        <v>2743</v>
      </c>
      <c r="M885" s="43" t="n">
        <v>7372</v>
      </c>
      <c r="N885" s="43" t="n">
        <v>10122</v>
      </c>
      <c r="O885" s="44">
        <f>IFERROR((F885-G885)/(F885+G885),"")</f>
        <v/>
      </c>
      <c r="P885" s="44">
        <f>IFERROR((I885-J885)/(I885+J885),"")</f>
        <v/>
      </c>
      <c r="Q885" s="45">
        <f>IFERROR(O885-P885,"")</f>
        <v/>
      </c>
      <c r="R885" s="44">
        <f>IFERROR((L885-M885)/(L885+M885),"")</f>
        <v/>
      </c>
      <c r="S885" s="46">
        <f>H885/SUMIFS(Counties!$H$2:$H$1583,Counties!$A$2:$A$1583,$A885)</f>
        <v/>
      </c>
      <c r="T885" s="44">
        <f>O885+INDEX(Dashboard!$F$6:$F$22,MATCH($A885,Dashboard!$A$6:$A$22,0))</f>
        <v/>
      </c>
      <c r="U885" s="43">
        <f>AQ885*INDEX(Dashboard!$G$6:$G$22,MATCH($A885,Dashboard!$A$6:$A$22,0))</f>
        <v/>
      </c>
      <c r="V885" s="47" t="n"/>
      <c r="W885" s="47" t="n"/>
      <c r="X885" s="47" t="n"/>
      <c r="Y885" s="48" t="n"/>
      <c r="Z885" s="49" t="n"/>
      <c r="AA885" s="49" t="n"/>
      <c r="AB885" s="49" t="n"/>
      <c r="AC885" s="50" t="n"/>
      <c r="AD885" s="43">
        <f>IF(Z885&lt;&gt;"",Z885,N(V885))</f>
        <v/>
      </c>
      <c r="AE885" s="43">
        <f>IF(AA885&lt;&gt;"",AA885,N(W885))</f>
        <v/>
      </c>
      <c r="AF885" s="43">
        <f>AD885+AE885</f>
        <v/>
      </c>
      <c r="AG885" s="42">
        <f>IF(UPPER(AC885)="Y",1,IF(AF885=0,0,IF(AND(Z885="",Y885&lt;&gt;""),IF(Y885&gt;=0.999,1,0),IF(AF885&gt;=U885,1,0))))</f>
        <v/>
      </c>
      <c r="AH885" s="44">
        <f>IF(AF885&gt;0,(AD885-AE885)/AF885,"")</f>
        <v/>
      </c>
      <c r="AI885" s="45">
        <f>IF(AG885=1,AH885-O885,"")</f>
        <v/>
      </c>
      <c r="AJ885" s="44">
        <f>IF(AG885=1,AH885,MAX(-1,MIN(1,O885+INDEX(Types!$H:$H,MATCH($A885&amp;"|"&amp;$D885,Types!$A:$A,0)))))</f>
        <v/>
      </c>
      <c r="AK885" s="43">
        <f>IF(AG885=1,AF885,MAX(AQ885*AS885,AF885))</f>
        <v/>
      </c>
      <c r="AL885" s="43">
        <f>IF(AG885=1,AD885,AK885*(1+AJ885)/2)</f>
        <v/>
      </c>
      <c r="AM885" s="43">
        <f>IF(AG885=1,AE885,AK885*(1-AJ885)/2)</f>
        <v/>
      </c>
      <c r="AN885" s="45">
        <f>IF(AH885="","",AH885-T885)</f>
        <v/>
      </c>
      <c r="AO885" s="51">
        <f>IF(AG885=1,1,IF(U885&gt;0,MIN(AF885/U885,0.99),0))</f>
        <v/>
      </c>
      <c r="AP885" s="43">
        <f>IF(AG885=1,AI885*AF885,0)</f>
        <v/>
      </c>
      <c r="AQ885" s="43">
        <f>N885*(F885+G885)/H885</f>
        <v/>
      </c>
      <c r="AR885" s="43">
        <f>O885*AQ885</f>
        <v/>
      </c>
      <c r="AS885" s="52">
        <f>IF(AG885=1,IF(AQ885&gt;0,AF885/AQ885,1),IFERROR(INDEX(Types!$K:$K,MATCH($A885&amp;"|"&amp;$D885,Types!$A:$A,0)),INDEX(Dashboard!$X$6:$X$22,MATCH($A885,Dashboard!$A$6:$A$22,0))))</f>
        <v/>
      </c>
      <c r="AT885" s="43">
        <f>AQ885*INDEX(Dashboard!$Y$6:$Y$22,MATCH($A885,Dashboard!$A$6:$A$22,0))</f>
        <v/>
      </c>
      <c r="AU885" s="53">
        <f>IF(AND(AG885=1,AT885&gt;0,AF885&gt;0),100*AF885/AT885,"")</f>
        <v/>
      </c>
      <c r="AV885" s="44">
        <f>IF(AU885="","",T885/(AU885/100))</f>
        <v/>
      </c>
      <c r="AW885" s="53">
        <f>IF(AU885="","",IF(AND(ABS(AH885)&gt;=0.1,ABS(T885)&gt;=0.05,SIGN(AH885)=SIGN(T885)),100*T885/AH885,""))</f>
        <v/>
      </c>
      <c r="AX885" s="45">
        <f>IF(AU885="","",T885-AV885)</f>
        <v/>
      </c>
      <c r="AY885" s="45">
        <f>IF(AU885="","",AH885-AV885)</f>
        <v/>
      </c>
      <c r="AZ885" s="54">
        <f>(AL885-AM885)-T885*AT885</f>
        <v/>
      </c>
      <c r="BA885" s="43">
        <f>IF(AU885="",0,(AH885-T885)*AF885)</f>
        <v/>
      </c>
      <c r="BB885" s="43">
        <f>IF(AU885="",0,T885*(AF885-AT885))</f>
        <v/>
      </c>
      <c r="BC885" s="51" t="n">
        <v>0.007848120188354884</v>
      </c>
      <c r="BD885" s="51" t="n">
        <v>0.0136034083264818</v>
      </c>
      <c r="BE885" s="51" t="n">
        <v>0.1403062548663379</v>
      </c>
      <c r="BF885" s="43" t="n">
        <v>26758</v>
      </c>
    </row>
    <row r="886">
      <c r="A886" s="42" t="inlineStr">
        <is>
          <t>OH</t>
        </is>
      </c>
      <c r="B886" s="42" t="inlineStr">
        <is>
          <t>39021</t>
        </is>
      </c>
      <c r="C886" s="42" t="inlineStr">
        <is>
          <t>Champaign</t>
        </is>
      </c>
      <c r="D886" s="42" t="inlineStr">
        <is>
          <t>Small town &amp; rural</t>
        </is>
      </c>
      <c r="E886" s="42" t="inlineStr"/>
      <c r="F886" s="43" t="n">
        <v>4944</v>
      </c>
      <c r="G886" s="43" t="n">
        <v>15334</v>
      </c>
      <c r="H886" s="43" t="n">
        <v>20468</v>
      </c>
      <c r="I886" s="43" t="n">
        <v>5062</v>
      </c>
      <c r="J886" s="43" t="n">
        <v>14589</v>
      </c>
      <c r="K886" s="42" t="inlineStr">
        <is>
          <t>US Senate</t>
        </is>
      </c>
      <c r="L886" s="43" t="n">
        <v>4095</v>
      </c>
      <c r="M886" s="43" t="n">
        <v>10253</v>
      </c>
      <c r="N886" s="43" t="n">
        <v>14402</v>
      </c>
      <c r="O886" s="44">
        <f>IFERROR((F886-G886)/(F886+G886),"")</f>
        <v/>
      </c>
      <c r="P886" s="44">
        <f>IFERROR((I886-J886)/(I886+J886),"")</f>
        <v/>
      </c>
      <c r="Q886" s="45">
        <f>IFERROR(O886-P886,"")</f>
        <v/>
      </c>
      <c r="R886" s="44">
        <f>IFERROR((L886-M886)/(L886+M886),"")</f>
        <v/>
      </c>
      <c r="S886" s="46">
        <f>H886/SUMIFS(Counties!$H$2:$H$1583,Counties!$A$2:$A$1583,$A886)</f>
        <v/>
      </c>
      <c r="T886" s="44">
        <f>O886+INDEX(Dashboard!$F$6:$F$22,MATCH($A886,Dashboard!$A$6:$A$22,0))</f>
        <v/>
      </c>
      <c r="U886" s="43">
        <f>AQ886*INDEX(Dashboard!$G$6:$G$22,MATCH($A886,Dashboard!$A$6:$A$22,0))</f>
        <v/>
      </c>
      <c r="V886" s="47" t="n"/>
      <c r="W886" s="47" t="n"/>
      <c r="X886" s="47" t="n"/>
      <c r="Y886" s="48" t="n"/>
      <c r="Z886" s="49" t="n"/>
      <c r="AA886" s="49" t="n"/>
      <c r="AB886" s="49" t="n"/>
      <c r="AC886" s="50" t="n"/>
      <c r="AD886" s="43">
        <f>IF(Z886&lt;&gt;"",Z886,N(V886))</f>
        <v/>
      </c>
      <c r="AE886" s="43">
        <f>IF(AA886&lt;&gt;"",AA886,N(W886))</f>
        <v/>
      </c>
      <c r="AF886" s="43">
        <f>AD886+AE886</f>
        <v/>
      </c>
      <c r="AG886" s="42">
        <f>IF(UPPER(AC886)="Y",1,IF(AF886=0,0,IF(AND(Z886="",Y886&lt;&gt;""),IF(Y886&gt;=0.999,1,0),IF(AF886&gt;=U886,1,0))))</f>
        <v/>
      </c>
      <c r="AH886" s="44">
        <f>IF(AF886&gt;0,(AD886-AE886)/AF886,"")</f>
        <v/>
      </c>
      <c r="AI886" s="45">
        <f>IF(AG886=1,AH886-O886,"")</f>
        <v/>
      </c>
      <c r="AJ886" s="44">
        <f>IF(AG886=1,AH886,MAX(-1,MIN(1,O886+INDEX(Types!$H:$H,MATCH($A886&amp;"|"&amp;$D886,Types!$A:$A,0)))))</f>
        <v/>
      </c>
      <c r="AK886" s="43">
        <f>IF(AG886=1,AF886,MAX(AQ886*AS886,AF886))</f>
        <v/>
      </c>
      <c r="AL886" s="43">
        <f>IF(AG886=1,AD886,AK886*(1+AJ886)/2)</f>
        <v/>
      </c>
      <c r="AM886" s="43">
        <f>IF(AG886=1,AE886,AK886*(1-AJ886)/2)</f>
        <v/>
      </c>
      <c r="AN886" s="45">
        <f>IF(AH886="","",AH886-T886)</f>
        <v/>
      </c>
      <c r="AO886" s="51">
        <f>IF(AG886=1,1,IF(U886&gt;0,MIN(AF886/U886,0.99),0))</f>
        <v/>
      </c>
      <c r="AP886" s="43">
        <f>IF(AG886=1,AI886*AF886,0)</f>
        <v/>
      </c>
      <c r="AQ886" s="43">
        <f>N886*(F886+G886)/H886</f>
        <v/>
      </c>
      <c r="AR886" s="43">
        <f>O886*AQ886</f>
        <v/>
      </c>
      <c r="AS886" s="52">
        <f>IF(AG886=1,IF(AQ886&gt;0,AF886/AQ886,1),IFERROR(INDEX(Types!$K:$K,MATCH($A886&amp;"|"&amp;$D886,Types!$A:$A,0)),INDEX(Dashboard!$X$6:$X$22,MATCH($A886,Dashboard!$A$6:$A$22,0))))</f>
        <v/>
      </c>
      <c r="AT886" s="43">
        <f>AQ886*INDEX(Dashboard!$Y$6:$Y$22,MATCH($A886,Dashboard!$A$6:$A$22,0))</f>
        <v/>
      </c>
      <c r="AU886" s="53">
        <f>IF(AND(AG886=1,AT886&gt;0,AF886&gt;0),100*AF886/AT886,"")</f>
        <v/>
      </c>
      <c r="AV886" s="44">
        <f>IF(AU886="","",T886/(AU886/100))</f>
        <v/>
      </c>
      <c r="AW886" s="53">
        <f>IF(AU886="","",IF(AND(ABS(AH886)&gt;=0.1,ABS(T886)&gt;=0.05,SIGN(AH886)=SIGN(T886)),100*T886/AH886,""))</f>
        <v/>
      </c>
      <c r="AX886" s="45">
        <f>IF(AU886="","",T886-AV886)</f>
        <v/>
      </c>
      <c r="AY886" s="45">
        <f>IF(AU886="","",AH886-AV886)</f>
        <v/>
      </c>
      <c r="AZ886" s="54">
        <f>(AL886-AM886)-T886*AT886</f>
        <v/>
      </c>
      <c r="BA886" s="43">
        <f>IF(AU886="",0,(AH886-T886)*AF886)</f>
        <v/>
      </c>
      <c r="BB886" s="43">
        <f>IF(AU886="",0,T886*(AF886-AT886))</f>
        <v/>
      </c>
      <c r="BC886" s="51" t="n">
        <v>0.02092933453468915</v>
      </c>
      <c r="BD886" s="51" t="n">
        <v>0.01830351396576136</v>
      </c>
      <c r="BE886" s="51" t="n">
        <v>0.1910741744160504</v>
      </c>
      <c r="BF886" s="43" t="n">
        <v>38845</v>
      </c>
    </row>
    <row r="887">
      <c r="A887" s="42" t="inlineStr">
        <is>
          <t>OH</t>
        </is>
      </c>
      <c r="B887" s="42" t="inlineStr">
        <is>
          <t>39023</t>
        </is>
      </c>
      <c r="C887" s="42" t="inlineStr">
        <is>
          <t>Clark</t>
        </is>
      </c>
      <c r="D887" s="42" t="inlineStr">
        <is>
          <t>Mid-size/working metro</t>
        </is>
      </c>
      <c r="E887" s="42" t="inlineStr"/>
      <c r="F887" s="43" t="n">
        <v>21847</v>
      </c>
      <c r="G887" s="43" t="n">
        <v>40403</v>
      </c>
      <c r="H887" s="43" t="n">
        <v>62835</v>
      </c>
      <c r="I887" s="43" t="n">
        <v>24076</v>
      </c>
      <c r="J887" s="43" t="n">
        <v>39032</v>
      </c>
      <c r="K887" s="42" t="inlineStr">
        <is>
          <t>US Senate</t>
        </is>
      </c>
      <c r="L887" s="43" t="n">
        <v>17141</v>
      </c>
      <c r="M887" s="43" t="n">
        <v>27131</v>
      </c>
      <c r="N887" s="43" t="n">
        <v>44282</v>
      </c>
      <c r="O887" s="44">
        <f>IFERROR((F887-G887)/(F887+G887),"")</f>
        <v/>
      </c>
      <c r="P887" s="44">
        <f>IFERROR((I887-J887)/(I887+J887),"")</f>
        <v/>
      </c>
      <c r="Q887" s="45">
        <f>IFERROR(O887-P887,"")</f>
        <v/>
      </c>
      <c r="R887" s="44">
        <f>IFERROR((L887-M887)/(L887+M887),"")</f>
        <v/>
      </c>
      <c r="S887" s="46">
        <f>H887/SUMIFS(Counties!$H$2:$H$1583,Counties!$A$2:$A$1583,$A887)</f>
        <v/>
      </c>
      <c r="T887" s="44">
        <f>O887+INDEX(Dashboard!$F$6:$F$22,MATCH($A887,Dashboard!$A$6:$A$22,0))</f>
        <v/>
      </c>
      <c r="U887" s="43">
        <f>AQ887*INDEX(Dashboard!$G$6:$G$22,MATCH($A887,Dashboard!$A$6:$A$22,0))</f>
        <v/>
      </c>
      <c r="V887" s="47" t="n"/>
      <c r="W887" s="47" t="n"/>
      <c r="X887" s="47" t="n"/>
      <c r="Y887" s="48" t="n"/>
      <c r="Z887" s="49" t="n"/>
      <c r="AA887" s="49" t="n"/>
      <c r="AB887" s="49" t="n"/>
      <c r="AC887" s="50" t="n"/>
      <c r="AD887" s="43">
        <f>IF(Z887&lt;&gt;"",Z887,N(V887))</f>
        <v/>
      </c>
      <c r="AE887" s="43">
        <f>IF(AA887&lt;&gt;"",AA887,N(W887))</f>
        <v/>
      </c>
      <c r="AF887" s="43">
        <f>AD887+AE887</f>
        <v/>
      </c>
      <c r="AG887" s="42">
        <f>IF(UPPER(AC887)="Y",1,IF(AF887=0,0,IF(AND(Z887="",Y887&lt;&gt;""),IF(Y887&gt;=0.999,1,0),IF(AF887&gt;=U887,1,0))))</f>
        <v/>
      </c>
      <c r="AH887" s="44">
        <f>IF(AF887&gt;0,(AD887-AE887)/AF887,"")</f>
        <v/>
      </c>
      <c r="AI887" s="45">
        <f>IF(AG887=1,AH887-O887,"")</f>
        <v/>
      </c>
      <c r="AJ887" s="44">
        <f>IF(AG887=1,AH887,MAX(-1,MIN(1,O887+INDEX(Types!$H:$H,MATCH($A887&amp;"|"&amp;$D887,Types!$A:$A,0)))))</f>
        <v/>
      </c>
      <c r="AK887" s="43">
        <f>IF(AG887=1,AF887,MAX(AQ887*AS887,AF887))</f>
        <v/>
      </c>
      <c r="AL887" s="43">
        <f>IF(AG887=1,AD887,AK887*(1+AJ887)/2)</f>
        <v/>
      </c>
      <c r="AM887" s="43">
        <f>IF(AG887=1,AE887,AK887*(1-AJ887)/2)</f>
        <v/>
      </c>
      <c r="AN887" s="45">
        <f>IF(AH887="","",AH887-T887)</f>
        <v/>
      </c>
      <c r="AO887" s="51">
        <f>IF(AG887=1,1,IF(U887&gt;0,MIN(AF887/U887,0.99),0))</f>
        <v/>
      </c>
      <c r="AP887" s="43">
        <f>IF(AG887=1,AI887*AF887,0)</f>
        <v/>
      </c>
      <c r="AQ887" s="43">
        <f>N887*(F887+G887)/H887</f>
        <v/>
      </c>
      <c r="AR887" s="43">
        <f>O887*AQ887</f>
        <v/>
      </c>
      <c r="AS887" s="52">
        <f>IF(AG887=1,IF(AQ887&gt;0,AF887/AQ887,1),IFERROR(INDEX(Types!$K:$K,MATCH($A887&amp;"|"&amp;$D887,Types!$A:$A,0)),INDEX(Dashboard!$X$6:$X$22,MATCH($A887,Dashboard!$A$6:$A$22,0))))</f>
        <v/>
      </c>
      <c r="AT887" s="43">
        <f>AQ887*INDEX(Dashboard!$Y$6:$Y$22,MATCH($A887,Dashboard!$A$6:$A$22,0))</f>
        <v/>
      </c>
      <c r="AU887" s="53">
        <f>IF(AND(AG887=1,AT887&gt;0,AF887&gt;0),100*AF887/AT887,"")</f>
        <v/>
      </c>
      <c r="AV887" s="44">
        <f>IF(AU887="","",T887/(AU887/100))</f>
        <v/>
      </c>
      <c r="AW887" s="53">
        <f>IF(AU887="","",IF(AND(ABS(AH887)&gt;=0.1,ABS(T887)&gt;=0.05,SIGN(AH887)=SIGN(T887)),100*T887/AH887,""))</f>
        <v/>
      </c>
      <c r="AX887" s="45">
        <f>IF(AU887="","",T887-AV887)</f>
        <v/>
      </c>
      <c r="AY887" s="45">
        <f>IF(AU887="","",AH887-AV887)</f>
        <v/>
      </c>
      <c r="AZ887" s="54">
        <f>(AL887-AM887)-T887*AT887</f>
        <v/>
      </c>
      <c r="BA887" s="43">
        <f>IF(AU887="",0,(AH887-T887)*AF887)</f>
        <v/>
      </c>
      <c r="BB887" s="43">
        <f>IF(AU887="",0,T887*(AF887-AT887))</f>
        <v/>
      </c>
      <c r="BC887" s="51" t="n">
        <v>0.09116707525443875</v>
      </c>
      <c r="BD887" s="51" t="n">
        <v>0.04325830176064185</v>
      </c>
      <c r="BE887" s="51" t="n">
        <v>0.1853585550924442</v>
      </c>
      <c r="BF887" s="43" t="n">
        <v>134610</v>
      </c>
    </row>
    <row r="888">
      <c r="A888" s="42" t="inlineStr">
        <is>
          <t>OH</t>
        </is>
      </c>
      <c r="B888" s="42" t="inlineStr">
        <is>
          <t>39025</t>
        </is>
      </c>
      <c r="C888" s="42" t="inlineStr">
        <is>
          <t>Clermont</t>
        </is>
      </c>
      <c r="D888" s="42" t="inlineStr">
        <is>
          <t>Mid-size/working metro</t>
        </is>
      </c>
      <c r="E888" s="42" t="inlineStr"/>
      <c r="F888" s="43" t="n">
        <v>36130</v>
      </c>
      <c r="G888" s="43" t="n">
        <v>76964</v>
      </c>
      <c r="H888" s="43" t="n">
        <v>114115</v>
      </c>
      <c r="I888" s="43" t="n">
        <v>34092</v>
      </c>
      <c r="J888" s="43" t="n">
        <v>74570</v>
      </c>
      <c r="K888" s="42" t="inlineStr">
        <is>
          <t>US Senate</t>
        </is>
      </c>
      <c r="L888" s="43" t="n">
        <v>27084</v>
      </c>
      <c r="M888" s="43" t="n">
        <v>52888</v>
      </c>
      <c r="N888" s="43" t="n">
        <v>80006</v>
      </c>
      <c r="O888" s="44">
        <f>IFERROR((F888-G888)/(F888+G888),"")</f>
        <v/>
      </c>
      <c r="P888" s="44">
        <f>IFERROR((I888-J888)/(I888+J888),"")</f>
        <v/>
      </c>
      <c r="Q888" s="45">
        <f>IFERROR(O888-P888,"")</f>
        <v/>
      </c>
      <c r="R888" s="44">
        <f>IFERROR((L888-M888)/(L888+M888),"")</f>
        <v/>
      </c>
      <c r="S888" s="46">
        <f>H888/SUMIFS(Counties!$H$2:$H$1583,Counties!$A$2:$A$1583,$A888)</f>
        <v/>
      </c>
      <c r="T888" s="44">
        <f>O888+INDEX(Dashboard!$F$6:$F$22,MATCH($A888,Dashboard!$A$6:$A$22,0))</f>
        <v/>
      </c>
      <c r="U888" s="43">
        <f>AQ888*INDEX(Dashboard!$G$6:$G$22,MATCH($A888,Dashboard!$A$6:$A$22,0))</f>
        <v/>
      </c>
      <c r="V888" s="47" t="n"/>
      <c r="W888" s="47" t="n"/>
      <c r="X888" s="47" t="n"/>
      <c r="Y888" s="48" t="n"/>
      <c r="Z888" s="49" t="n"/>
      <c r="AA888" s="49" t="n"/>
      <c r="AB888" s="49" t="n"/>
      <c r="AC888" s="50" t="n"/>
      <c r="AD888" s="43">
        <f>IF(Z888&lt;&gt;"",Z888,N(V888))</f>
        <v/>
      </c>
      <c r="AE888" s="43">
        <f>IF(AA888&lt;&gt;"",AA888,N(W888))</f>
        <v/>
      </c>
      <c r="AF888" s="43">
        <f>AD888+AE888</f>
        <v/>
      </c>
      <c r="AG888" s="42">
        <f>IF(UPPER(AC888)="Y",1,IF(AF888=0,0,IF(AND(Z888="",Y888&lt;&gt;""),IF(Y888&gt;=0.999,1,0),IF(AF888&gt;=U888,1,0))))</f>
        <v/>
      </c>
      <c r="AH888" s="44">
        <f>IF(AF888&gt;0,(AD888-AE888)/AF888,"")</f>
        <v/>
      </c>
      <c r="AI888" s="45">
        <f>IF(AG888=1,AH888-O888,"")</f>
        <v/>
      </c>
      <c r="AJ888" s="44">
        <f>IF(AG888=1,AH888,MAX(-1,MIN(1,O888+INDEX(Types!$H:$H,MATCH($A888&amp;"|"&amp;$D888,Types!$A:$A,0)))))</f>
        <v/>
      </c>
      <c r="AK888" s="43">
        <f>IF(AG888=1,AF888,MAX(AQ888*AS888,AF888))</f>
        <v/>
      </c>
      <c r="AL888" s="43">
        <f>IF(AG888=1,AD888,AK888*(1+AJ888)/2)</f>
        <v/>
      </c>
      <c r="AM888" s="43">
        <f>IF(AG888=1,AE888,AK888*(1-AJ888)/2)</f>
        <v/>
      </c>
      <c r="AN888" s="45">
        <f>IF(AH888="","",AH888-T888)</f>
        <v/>
      </c>
      <c r="AO888" s="51">
        <f>IF(AG888=1,1,IF(U888&gt;0,MIN(AF888/U888,0.99),0))</f>
        <v/>
      </c>
      <c r="AP888" s="43">
        <f>IF(AG888=1,AI888*AF888,0)</f>
        <v/>
      </c>
      <c r="AQ888" s="43">
        <f>N888*(F888+G888)/H888</f>
        <v/>
      </c>
      <c r="AR888" s="43">
        <f>O888*AQ888</f>
        <v/>
      </c>
      <c r="AS888" s="52">
        <f>IF(AG888=1,IF(AQ888&gt;0,AF888/AQ888,1),IFERROR(INDEX(Types!$K:$K,MATCH($A888&amp;"|"&amp;$D888,Types!$A:$A,0)),INDEX(Dashboard!$X$6:$X$22,MATCH($A888,Dashboard!$A$6:$A$22,0))))</f>
        <v/>
      </c>
      <c r="AT888" s="43">
        <f>AQ888*INDEX(Dashboard!$Y$6:$Y$22,MATCH($A888,Dashboard!$A$6:$A$22,0))</f>
        <v/>
      </c>
      <c r="AU888" s="53">
        <f>IF(AND(AG888=1,AT888&gt;0,AF888&gt;0),100*AF888/AT888,"")</f>
        <v/>
      </c>
      <c r="AV888" s="44">
        <f>IF(AU888="","",T888/(AU888/100))</f>
        <v/>
      </c>
      <c r="AW888" s="53">
        <f>IF(AU888="","",IF(AND(ABS(AH888)&gt;=0.1,ABS(T888)&gt;=0.05,SIGN(AH888)=SIGN(T888)),100*T888/AH888,""))</f>
        <v/>
      </c>
      <c r="AX888" s="45">
        <f>IF(AU888="","",T888-AV888)</f>
        <v/>
      </c>
      <c r="AY888" s="45">
        <f>IF(AU888="","",AH888-AV888)</f>
        <v/>
      </c>
      <c r="AZ888" s="54">
        <f>(AL888-AM888)-T888*AT888</f>
        <v/>
      </c>
      <c r="BA888" s="43">
        <f>IF(AU888="",0,(AH888-T888)*AF888)</f>
        <v/>
      </c>
      <c r="BB888" s="43">
        <f>IF(AU888="",0,T888*(AF888-AT888))</f>
        <v/>
      </c>
      <c r="BC888" s="51" t="n">
        <v>0.02044609665427509</v>
      </c>
      <c r="BD888" s="51" t="n">
        <v>0.02617326816749382</v>
      </c>
      <c r="BE888" s="51" t="n">
        <v>0.3139200960430011</v>
      </c>
      <c r="BF888" s="43" t="n">
        <v>211972</v>
      </c>
    </row>
    <row r="889">
      <c r="A889" s="42" t="inlineStr">
        <is>
          <t>OH</t>
        </is>
      </c>
      <c r="B889" s="42" t="inlineStr">
        <is>
          <t>39027</t>
        </is>
      </c>
      <c r="C889" s="42" t="inlineStr">
        <is>
          <t>Clinton</t>
        </is>
      </c>
      <c r="D889" s="42" t="inlineStr">
        <is>
          <t>Small town &amp; rural</t>
        </is>
      </c>
      <c r="E889" s="42" t="inlineStr"/>
      <c r="F889" s="43" t="n">
        <v>4633</v>
      </c>
      <c r="G889" s="43" t="n">
        <v>15984</v>
      </c>
      <c r="H889" s="43" t="n">
        <v>20779</v>
      </c>
      <c r="I889" s="43" t="n">
        <v>4697</v>
      </c>
      <c r="J889" s="43" t="n">
        <v>15488</v>
      </c>
      <c r="K889" s="42" t="inlineStr">
        <is>
          <t>US Senate</t>
        </is>
      </c>
      <c r="L889" s="43" t="n">
        <v>3562</v>
      </c>
      <c r="M889" s="43" t="n">
        <v>10515</v>
      </c>
      <c r="N889" s="43" t="n">
        <v>14084</v>
      </c>
      <c r="O889" s="44">
        <f>IFERROR((F889-G889)/(F889+G889),"")</f>
        <v/>
      </c>
      <c r="P889" s="44">
        <f>IFERROR((I889-J889)/(I889+J889),"")</f>
        <v/>
      </c>
      <c r="Q889" s="45">
        <f>IFERROR(O889-P889,"")</f>
        <v/>
      </c>
      <c r="R889" s="44">
        <f>IFERROR((L889-M889)/(L889+M889),"")</f>
        <v/>
      </c>
      <c r="S889" s="46">
        <f>H889/SUMIFS(Counties!$H$2:$H$1583,Counties!$A$2:$A$1583,$A889)</f>
        <v/>
      </c>
      <c r="T889" s="44">
        <f>O889+INDEX(Dashboard!$F$6:$F$22,MATCH($A889,Dashboard!$A$6:$A$22,0))</f>
        <v/>
      </c>
      <c r="U889" s="43">
        <f>AQ889*INDEX(Dashboard!$G$6:$G$22,MATCH($A889,Dashboard!$A$6:$A$22,0))</f>
        <v/>
      </c>
      <c r="V889" s="47" t="n"/>
      <c r="W889" s="47" t="n"/>
      <c r="X889" s="47" t="n"/>
      <c r="Y889" s="48" t="n"/>
      <c r="Z889" s="49" t="n"/>
      <c r="AA889" s="49" t="n"/>
      <c r="AB889" s="49" t="n"/>
      <c r="AC889" s="50" t="n"/>
      <c r="AD889" s="43">
        <f>IF(Z889&lt;&gt;"",Z889,N(V889))</f>
        <v/>
      </c>
      <c r="AE889" s="43">
        <f>IF(AA889&lt;&gt;"",AA889,N(W889))</f>
        <v/>
      </c>
      <c r="AF889" s="43">
        <f>AD889+AE889</f>
        <v/>
      </c>
      <c r="AG889" s="42">
        <f>IF(UPPER(AC889)="Y",1,IF(AF889=0,0,IF(AND(Z889="",Y889&lt;&gt;""),IF(Y889&gt;=0.999,1,0),IF(AF889&gt;=U889,1,0))))</f>
        <v/>
      </c>
      <c r="AH889" s="44">
        <f>IF(AF889&gt;0,(AD889-AE889)/AF889,"")</f>
        <v/>
      </c>
      <c r="AI889" s="45">
        <f>IF(AG889=1,AH889-O889,"")</f>
        <v/>
      </c>
      <c r="AJ889" s="44">
        <f>IF(AG889=1,AH889,MAX(-1,MIN(1,O889+INDEX(Types!$H:$H,MATCH($A889&amp;"|"&amp;$D889,Types!$A:$A,0)))))</f>
        <v/>
      </c>
      <c r="AK889" s="43">
        <f>IF(AG889=1,AF889,MAX(AQ889*AS889,AF889))</f>
        <v/>
      </c>
      <c r="AL889" s="43">
        <f>IF(AG889=1,AD889,AK889*(1+AJ889)/2)</f>
        <v/>
      </c>
      <c r="AM889" s="43">
        <f>IF(AG889=1,AE889,AK889*(1-AJ889)/2)</f>
        <v/>
      </c>
      <c r="AN889" s="45">
        <f>IF(AH889="","",AH889-T889)</f>
        <v/>
      </c>
      <c r="AO889" s="51">
        <f>IF(AG889=1,1,IF(U889&gt;0,MIN(AF889/U889,0.99),0))</f>
        <v/>
      </c>
      <c r="AP889" s="43">
        <f>IF(AG889=1,AI889*AF889,0)</f>
        <v/>
      </c>
      <c r="AQ889" s="43">
        <f>N889*(F889+G889)/H889</f>
        <v/>
      </c>
      <c r="AR889" s="43">
        <f>O889*AQ889</f>
        <v/>
      </c>
      <c r="AS889" s="52">
        <f>IF(AG889=1,IF(AQ889&gt;0,AF889/AQ889,1),IFERROR(INDEX(Types!$K:$K,MATCH($A889&amp;"|"&amp;$D889,Types!$A:$A,0)),INDEX(Dashboard!$X$6:$X$22,MATCH($A889,Dashboard!$A$6:$A$22,0))))</f>
        <v/>
      </c>
      <c r="AT889" s="43">
        <f>AQ889*INDEX(Dashboard!$Y$6:$Y$22,MATCH($A889,Dashboard!$A$6:$A$22,0))</f>
        <v/>
      </c>
      <c r="AU889" s="53">
        <f>IF(AND(AG889=1,AT889&gt;0,AF889&gt;0),100*AF889/AT889,"")</f>
        <v/>
      </c>
      <c r="AV889" s="44">
        <f>IF(AU889="","",T889/(AU889/100))</f>
        <v/>
      </c>
      <c r="AW889" s="53">
        <f>IF(AU889="","",IF(AND(ABS(AH889)&gt;=0.1,ABS(T889)&gt;=0.05,SIGN(AH889)=SIGN(T889)),100*T889/AH889,""))</f>
        <v/>
      </c>
      <c r="AX889" s="45">
        <f>IF(AU889="","",T889-AV889)</f>
        <v/>
      </c>
      <c r="AY889" s="45">
        <f>IF(AU889="","",AH889-AV889)</f>
        <v/>
      </c>
      <c r="AZ889" s="54">
        <f>(AL889-AM889)-T889*AT889</f>
        <v/>
      </c>
      <c r="BA889" s="43">
        <f>IF(AU889="",0,(AH889-T889)*AF889)</f>
        <v/>
      </c>
      <c r="BB889" s="43">
        <f>IF(AU889="",0,T889*(AF889-AT889))</f>
        <v/>
      </c>
      <c r="BC889" s="51" t="n">
        <v>0.02072106442844198</v>
      </c>
      <c r="BD889" s="51" t="n">
        <v>0.02358243120797367</v>
      </c>
      <c r="BE889" s="51" t="n">
        <v>0.2005520755918887</v>
      </c>
      <c r="BF889" s="43" t="n">
        <v>41938</v>
      </c>
    </row>
    <row r="890">
      <c r="A890" s="42" t="inlineStr">
        <is>
          <t>OH</t>
        </is>
      </c>
      <c r="B890" s="42" t="inlineStr">
        <is>
          <t>39029</t>
        </is>
      </c>
      <c r="C890" s="42" t="inlineStr">
        <is>
          <t>Columbiana</t>
        </is>
      </c>
      <c r="D890" s="42" t="inlineStr">
        <is>
          <t>Mid-size/working metro</t>
        </is>
      </c>
      <c r="E890" s="42" t="inlineStr"/>
      <c r="F890" s="43" t="n">
        <v>12064</v>
      </c>
      <c r="G890" s="43" t="n">
        <v>35607</v>
      </c>
      <c r="H890" s="43" t="n">
        <v>48046</v>
      </c>
      <c r="I890" s="43" t="n">
        <v>13359</v>
      </c>
      <c r="J890" s="43" t="n">
        <v>35726</v>
      </c>
      <c r="K890" s="42" t="inlineStr">
        <is>
          <t>US Senate</t>
        </is>
      </c>
      <c r="L890" s="43" t="n">
        <v>10705</v>
      </c>
      <c r="M890" s="43" t="n">
        <v>24829</v>
      </c>
      <c r="N890" s="43" t="n">
        <v>35545</v>
      </c>
      <c r="O890" s="44">
        <f>IFERROR((F890-G890)/(F890+G890),"")</f>
        <v/>
      </c>
      <c r="P890" s="44">
        <f>IFERROR((I890-J890)/(I890+J890),"")</f>
        <v/>
      </c>
      <c r="Q890" s="45">
        <f>IFERROR(O890-P890,"")</f>
        <v/>
      </c>
      <c r="R890" s="44">
        <f>IFERROR((L890-M890)/(L890+M890),"")</f>
        <v/>
      </c>
      <c r="S890" s="46">
        <f>H890/SUMIFS(Counties!$H$2:$H$1583,Counties!$A$2:$A$1583,$A890)</f>
        <v/>
      </c>
      <c r="T890" s="44">
        <f>O890+INDEX(Dashboard!$F$6:$F$22,MATCH($A890,Dashboard!$A$6:$A$22,0))</f>
        <v/>
      </c>
      <c r="U890" s="43">
        <f>AQ890*INDEX(Dashboard!$G$6:$G$22,MATCH($A890,Dashboard!$A$6:$A$22,0))</f>
        <v/>
      </c>
      <c r="V890" s="47" t="n"/>
      <c r="W890" s="47" t="n"/>
      <c r="X890" s="47" t="n"/>
      <c r="Y890" s="48" t="n"/>
      <c r="Z890" s="49" t="n"/>
      <c r="AA890" s="49" t="n"/>
      <c r="AB890" s="49" t="n"/>
      <c r="AC890" s="50" t="n"/>
      <c r="AD890" s="43">
        <f>IF(Z890&lt;&gt;"",Z890,N(V890))</f>
        <v/>
      </c>
      <c r="AE890" s="43">
        <f>IF(AA890&lt;&gt;"",AA890,N(W890))</f>
        <v/>
      </c>
      <c r="AF890" s="43">
        <f>AD890+AE890</f>
        <v/>
      </c>
      <c r="AG890" s="42">
        <f>IF(UPPER(AC890)="Y",1,IF(AF890=0,0,IF(AND(Z890="",Y890&lt;&gt;""),IF(Y890&gt;=0.999,1,0),IF(AF890&gt;=U890,1,0))))</f>
        <v/>
      </c>
      <c r="AH890" s="44">
        <f>IF(AF890&gt;0,(AD890-AE890)/AF890,"")</f>
        <v/>
      </c>
      <c r="AI890" s="45">
        <f>IF(AG890=1,AH890-O890,"")</f>
        <v/>
      </c>
      <c r="AJ890" s="44">
        <f>IF(AG890=1,AH890,MAX(-1,MIN(1,O890+INDEX(Types!$H:$H,MATCH($A890&amp;"|"&amp;$D890,Types!$A:$A,0)))))</f>
        <v/>
      </c>
      <c r="AK890" s="43">
        <f>IF(AG890=1,AF890,MAX(AQ890*AS890,AF890))</f>
        <v/>
      </c>
      <c r="AL890" s="43">
        <f>IF(AG890=1,AD890,AK890*(1+AJ890)/2)</f>
        <v/>
      </c>
      <c r="AM890" s="43">
        <f>IF(AG890=1,AE890,AK890*(1-AJ890)/2)</f>
        <v/>
      </c>
      <c r="AN890" s="45">
        <f>IF(AH890="","",AH890-T890)</f>
        <v/>
      </c>
      <c r="AO890" s="51">
        <f>IF(AG890=1,1,IF(U890&gt;0,MIN(AF890/U890,0.99),0))</f>
        <v/>
      </c>
      <c r="AP890" s="43">
        <f>IF(AG890=1,AI890*AF890,0)</f>
        <v/>
      </c>
      <c r="AQ890" s="43">
        <f>N890*(F890+G890)/H890</f>
        <v/>
      </c>
      <c r="AR890" s="43">
        <f>O890*AQ890</f>
        <v/>
      </c>
      <c r="AS890" s="52">
        <f>IF(AG890=1,IF(AQ890&gt;0,AF890/AQ890,1),IFERROR(INDEX(Types!$K:$K,MATCH($A890&amp;"|"&amp;$D890,Types!$A:$A,0)),INDEX(Dashboard!$X$6:$X$22,MATCH($A890,Dashboard!$A$6:$A$22,0))))</f>
        <v/>
      </c>
      <c r="AT890" s="43">
        <f>AQ890*INDEX(Dashboard!$Y$6:$Y$22,MATCH($A890,Dashboard!$A$6:$A$22,0))</f>
        <v/>
      </c>
      <c r="AU890" s="53">
        <f>IF(AND(AG890=1,AT890&gt;0,AF890&gt;0),100*AF890/AT890,"")</f>
        <v/>
      </c>
      <c r="AV890" s="44">
        <f>IF(AU890="","",T890/(AU890/100))</f>
        <v/>
      </c>
      <c r="AW890" s="53">
        <f>IF(AU890="","",IF(AND(ABS(AH890)&gt;=0.1,ABS(T890)&gt;=0.05,SIGN(AH890)=SIGN(T890)),100*T890/AH890,""))</f>
        <v/>
      </c>
      <c r="AX890" s="45">
        <f>IF(AU890="","",T890-AV890)</f>
        <v/>
      </c>
      <c r="AY890" s="45">
        <f>IF(AU890="","",AH890-AV890)</f>
        <v/>
      </c>
      <c r="AZ890" s="54">
        <f>(AL890-AM890)-T890*AT890</f>
        <v/>
      </c>
      <c r="BA890" s="43">
        <f>IF(AU890="",0,(AH890-T890)*AF890)</f>
        <v/>
      </c>
      <c r="BB890" s="43">
        <f>IF(AU890="",0,T890*(AF890-AT890))</f>
        <v/>
      </c>
      <c r="BC890" s="51" t="n">
        <v>0.02379669002415604</v>
      </c>
      <c r="BD890" s="51" t="n">
        <v>0.02016330278892416</v>
      </c>
      <c r="BE890" s="51" t="n">
        <v>0.1603532768199626</v>
      </c>
      <c r="BF890" s="43" t="n">
        <v>100182</v>
      </c>
    </row>
    <row r="891">
      <c r="A891" s="42" t="inlineStr">
        <is>
          <t>OH</t>
        </is>
      </c>
      <c r="B891" s="42" t="inlineStr">
        <is>
          <t>39031</t>
        </is>
      </c>
      <c r="C891" s="42" t="inlineStr">
        <is>
          <t>Coshocton</t>
        </is>
      </c>
      <c r="D891" s="42" t="inlineStr">
        <is>
          <t>Small town &amp; rural</t>
        </is>
      </c>
      <c r="E891" s="42" t="inlineStr"/>
      <c r="F891" s="43" t="n">
        <v>3835</v>
      </c>
      <c r="G891" s="43" t="n">
        <v>12362</v>
      </c>
      <c r="H891" s="43" t="n">
        <v>16333</v>
      </c>
      <c r="I891" s="43" t="n">
        <v>4125</v>
      </c>
      <c r="J891" s="43" t="n">
        <v>12325</v>
      </c>
      <c r="K891" s="42" t="inlineStr">
        <is>
          <t>US Senate</t>
        </is>
      </c>
      <c r="L891" s="43" t="n">
        <v>3255</v>
      </c>
      <c r="M891" s="43" t="n">
        <v>8021</v>
      </c>
      <c r="N891" s="43" t="n">
        <v>11281</v>
      </c>
      <c r="O891" s="44">
        <f>IFERROR((F891-G891)/(F891+G891),"")</f>
        <v/>
      </c>
      <c r="P891" s="44">
        <f>IFERROR((I891-J891)/(I891+J891),"")</f>
        <v/>
      </c>
      <c r="Q891" s="45">
        <f>IFERROR(O891-P891,"")</f>
        <v/>
      </c>
      <c r="R891" s="44">
        <f>IFERROR((L891-M891)/(L891+M891),"")</f>
        <v/>
      </c>
      <c r="S891" s="46">
        <f>H891/SUMIFS(Counties!$H$2:$H$1583,Counties!$A$2:$A$1583,$A891)</f>
        <v/>
      </c>
      <c r="T891" s="44">
        <f>O891+INDEX(Dashboard!$F$6:$F$22,MATCH($A891,Dashboard!$A$6:$A$22,0))</f>
        <v/>
      </c>
      <c r="U891" s="43">
        <f>AQ891*INDEX(Dashboard!$G$6:$G$22,MATCH($A891,Dashboard!$A$6:$A$22,0))</f>
        <v/>
      </c>
      <c r="V891" s="47" t="n"/>
      <c r="W891" s="47" t="n"/>
      <c r="X891" s="47" t="n"/>
      <c r="Y891" s="48" t="n"/>
      <c r="Z891" s="49" t="n"/>
      <c r="AA891" s="49" t="n"/>
      <c r="AB891" s="49" t="n"/>
      <c r="AC891" s="50" t="n"/>
      <c r="AD891" s="43">
        <f>IF(Z891&lt;&gt;"",Z891,N(V891))</f>
        <v/>
      </c>
      <c r="AE891" s="43">
        <f>IF(AA891&lt;&gt;"",AA891,N(W891))</f>
        <v/>
      </c>
      <c r="AF891" s="43">
        <f>AD891+AE891</f>
        <v/>
      </c>
      <c r="AG891" s="42">
        <f>IF(UPPER(AC891)="Y",1,IF(AF891=0,0,IF(AND(Z891="",Y891&lt;&gt;""),IF(Y891&gt;=0.999,1,0),IF(AF891&gt;=U891,1,0))))</f>
        <v/>
      </c>
      <c r="AH891" s="44">
        <f>IF(AF891&gt;0,(AD891-AE891)/AF891,"")</f>
        <v/>
      </c>
      <c r="AI891" s="45">
        <f>IF(AG891=1,AH891-O891,"")</f>
        <v/>
      </c>
      <c r="AJ891" s="44">
        <f>IF(AG891=1,AH891,MAX(-1,MIN(1,O891+INDEX(Types!$H:$H,MATCH($A891&amp;"|"&amp;$D891,Types!$A:$A,0)))))</f>
        <v/>
      </c>
      <c r="AK891" s="43">
        <f>IF(AG891=1,AF891,MAX(AQ891*AS891,AF891))</f>
        <v/>
      </c>
      <c r="AL891" s="43">
        <f>IF(AG891=1,AD891,AK891*(1+AJ891)/2)</f>
        <v/>
      </c>
      <c r="AM891" s="43">
        <f>IF(AG891=1,AE891,AK891*(1-AJ891)/2)</f>
        <v/>
      </c>
      <c r="AN891" s="45">
        <f>IF(AH891="","",AH891-T891)</f>
        <v/>
      </c>
      <c r="AO891" s="51">
        <f>IF(AG891=1,1,IF(U891&gt;0,MIN(AF891/U891,0.99),0))</f>
        <v/>
      </c>
      <c r="AP891" s="43">
        <f>IF(AG891=1,AI891*AF891,0)</f>
        <v/>
      </c>
      <c r="AQ891" s="43">
        <f>N891*(F891+G891)/H891</f>
        <v/>
      </c>
      <c r="AR891" s="43">
        <f>O891*AQ891</f>
        <v/>
      </c>
      <c r="AS891" s="52">
        <f>IF(AG891=1,IF(AQ891&gt;0,AF891/AQ891,1),IFERROR(INDEX(Types!$K:$K,MATCH($A891&amp;"|"&amp;$D891,Types!$A:$A,0)),INDEX(Dashboard!$X$6:$X$22,MATCH($A891,Dashboard!$A$6:$A$22,0))))</f>
        <v/>
      </c>
      <c r="AT891" s="43">
        <f>AQ891*INDEX(Dashboard!$Y$6:$Y$22,MATCH($A891,Dashboard!$A$6:$A$22,0))</f>
        <v/>
      </c>
      <c r="AU891" s="53">
        <f>IF(AND(AG891=1,AT891&gt;0,AF891&gt;0),100*AF891/AT891,"")</f>
        <v/>
      </c>
      <c r="AV891" s="44">
        <f>IF(AU891="","",T891/(AU891/100))</f>
        <v/>
      </c>
      <c r="AW891" s="53">
        <f>IF(AU891="","",IF(AND(ABS(AH891)&gt;=0.1,ABS(T891)&gt;=0.05,SIGN(AH891)=SIGN(T891)),100*T891/AH891,""))</f>
        <v/>
      </c>
      <c r="AX891" s="45">
        <f>IF(AU891="","",T891-AV891)</f>
        <v/>
      </c>
      <c r="AY891" s="45">
        <f>IF(AU891="","",AH891-AV891)</f>
        <v/>
      </c>
      <c r="AZ891" s="54">
        <f>(AL891-AM891)-T891*AT891</f>
        <v/>
      </c>
      <c r="BA891" s="43">
        <f>IF(AU891="",0,(AH891-T891)*AF891)</f>
        <v/>
      </c>
      <c r="BB891" s="43">
        <f>IF(AU891="",0,T891*(AF891-AT891))</f>
        <v/>
      </c>
      <c r="BC891" s="51" t="n">
        <v>0.01098483821096314</v>
      </c>
      <c r="BD891" s="51" t="n">
        <v>0.01342591336895495</v>
      </c>
      <c r="BE891" s="51" t="n">
        <v>0.1674789016997504</v>
      </c>
      <c r="BF891" s="43" t="n">
        <v>36869</v>
      </c>
    </row>
    <row r="892">
      <c r="A892" s="42" t="inlineStr">
        <is>
          <t>OH</t>
        </is>
      </c>
      <c r="B892" s="42" t="inlineStr">
        <is>
          <t>39033</t>
        </is>
      </c>
      <c r="C892" s="42" t="inlineStr">
        <is>
          <t>Crawford</t>
        </is>
      </c>
      <c r="D892" s="42" t="inlineStr">
        <is>
          <t>Small town &amp; rural</t>
        </is>
      </c>
      <c r="E892" s="42" t="inlineStr"/>
      <c r="F892" s="43" t="n">
        <v>4683</v>
      </c>
      <c r="G892" s="43" t="n">
        <v>15402</v>
      </c>
      <c r="H892" s="43" t="n">
        <v>20241</v>
      </c>
      <c r="I892" s="43" t="n">
        <v>4916</v>
      </c>
      <c r="J892" s="43" t="n">
        <v>15436</v>
      </c>
      <c r="K892" s="42" t="inlineStr">
        <is>
          <t>US Senate</t>
        </is>
      </c>
      <c r="L892" s="43" t="n">
        <v>3948</v>
      </c>
      <c r="M892" s="43" t="n">
        <v>10855</v>
      </c>
      <c r="N892" s="43" t="n">
        <v>14804</v>
      </c>
      <c r="O892" s="44">
        <f>IFERROR((F892-G892)/(F892+G892),"")</f>
        <v/>
      </c>
      <c r="P892" s="44">
        <f>IFERROR((I892-J892)/(I892+J892),"")</f>
        <v/>
      </c>
      <c r="Q892" s="45">
        <f>IFERROR(O892-P892,"")</f>
        <v/>
      </c>
      <c r="R892" s="44">
        <f>IFERROR((L892-M892)/(L892+M892),"")</f>
        <v/>
      </c>
      <c r="S892" s="46">
        <f>H892/SUMIFS(Counties!$H$2:$H$1583,Counties!$A$2:$A$1583,$A892)</f>
        <v/>
      </c>
      <c r="T892" s="44">
        <f>O892+INDEX(Dashboard!$F$6:$F$22,MATCH($A892,Dashboard!$A$6:$A$22,0))</f>
        <v/>
      </c>
      <c r="U892" s="43">
        <f>AQ892*INDEX(Dashboard!$G$6:$G$22,MATCH($A892,Dashboard!$A$6:$A$22,0))</f>
        <v/>
      </c>
      <c r="V892" s="47" t="n"/>
      <c r="W892" s="47" t="n"/>
      <c r="X892" s="47" t="n"/>
      <c r="Y892" s="48" t="n"/>
      <c r="Z892" s="49" t="n"/>
      <c r="AA892" s="49" t="n"/>
      <c r="AB892" s="49" t="n"/>
      <c r="AC892" s="50" t="n"/>
      <c r="AD892" s="43">
        <f>IF(Z892&lt;&gt;"",Z892,N(V892))</f>
        <v/>
      </c>
      <c r="AE892" s="43">
        <f>IF(AA892&lt;&gt;"",AA892,N(W892))</f>
        <v/>
      </c>
      <c r="AF892" s="43">
        <f>AD892+AE892</f>
        <v/>
      </c>
      <c r="AG892" s="42">
        <f>IF(UPPER(AC892)="Y",1,IF(AF892=0,0,IF(AND(Z892="",Y892&lt;&gt;""),IF(Y892&gt;=0.999,1,0),IF(AF892&gt;=U892,1,0))))</f>
        <v/>
      </c>
      <c r="AH892" s="44">
        <f>IF(AF892&gt;0,(AD892-AE892)/AF892,"")</f>
        <v/>
      </c>
      <c r="AI892" s="45">
        <f>IF(AG892=1,AH892-O892,"")</f>
        <v/>
      </c>
      <c r="AJ892" s="44">
        <f>IF(AG892=1,AH892,MAX(-1,MIN(1,O892+INDEX(Types!$H:$H,MATCH($A892&amp;"|"&amp;$D892,Types!$A:$A,0)))))</f>
        <v/>
      </c>
      <c r="AK892" s="43">
        <f>IF(AG892=1,AF892,MAX(AQ892*AS892,AF892))</f>
        <v/>
      </c>
      <c r="AL892" s="43">
        <f>IF(AG892=1,AD892,AK892*(1+AJ892)/2)</f>
        <v/>
      </c>
      <c r="AM892" s="43">
        <f>IF(AG892=1,AE892,AK892*(1-AJ892)/2)</f>
        <v/>
      </c>
      <c r="AN892" s="45">
        <f>IF(AH892="","",AH892-T892)</f>
        <v/>
      </c>
      <c r="AO892" s="51">
        <f>IF(AG892=1,1,IF(U892&gt;0,MIN(AF892/U892,0.99),0))</f>
        <v/>
      </c>
      <c r="AP892" s="43">
        <f>IF(AG892=1,AI892*AF892,0)</f>
        <v/>
      </c>
      <c r="AQ892" s="43">
        <f>N892*(F892+G892)/H892</f>
        <v/>
      </c>
      <c r="AR892" s="43">
        <f>O892*AQ892</f>
        <v/>
      </c>
      <c r="AS892" s="52">
        <f>IF(AG892=1,IF(AQ892&gt;0,AF892/AQ892,1),IFERROR(INDEX(Types!$K:$K,MATCH($A892&amp;"|"&amp;$D892,Types!$A:$A,0)),INDEX(Dashboard!$X$6:$X$22,MATCH($A892,Dashboard!$A$6:$A$22,0))))</f>
        <v/>
      </c>
      <c r="AT892" s="43">
        <f>AQ892*INDEX(Dashboard!$Y$6:$Y$22,MATCH($A892,Dashboard!$A$6:$A$22,0))</f>
        <v/>
      </c>
      <c r="AU892" s="53">
        <f>IF(AND(AG892=1,AT892&gt;0,AF892&gt;0),100*AF892/AT892,"")</f>
        <v/>
      </c>
      <c r="AV892" s="44">
        <f>IF(AU892="","",T892/(AU892/100))</f>
        <v/>
      </c>
      <c r="AW892" s="53">
        <f>IF(AU892="","",IF(AND(ABS(AH892)&gt;=0.1,ABS(T892)&gt;=0.05,SIGN(AH892)=SIGN(T892)),100*T892/AH892,""))</f>
        <v/>
      </c>
      <c r="AX892" s="45">
        <f>IF(AU892="","",T892-AV892)</f>
        <v/>
      </c>
      <c r="AY892" s="45">
        <f>IF(AU892="","",AH892-AV892)</f>
        <v/>
      </c>
      <c r="AZ892" s="54">
        <f>(AL892-AM892)-T892*AT892</f>
        <v/>
      </c>
      <c r="BA892" s="43">
        <f>IF(AU892="",0,(AH892-T892)*AF892)</f>
        <v/>
      </c>
      <c r="BB892" s="43">
        <f>IF(AU892="",0,T892*(AF892-AT892))</f>
        <v/>
      </c>
      <c r="BC892" s="51" t="n">
        <v>0.011798983842616</v>
      </c>
      <c r="BD892" s="51" t="n">
        <v>0.01962484047292254</v>
      </c>
      <c r="BE892" s="51" t="n">
        <v>0.15503928705058</v>
      </c>
      <c r="BF892" s="43" t="n">
        <v>41529</v>
      </c>
    </row>
    <row r="893">
      <c r="A893" s="42" t="inlineStr">
        <is>
          <t>OH</t>
        </is>
      </c>
      <c r="B893" s="42" t="inlineStr">
        <is>
          <t>39035</t>
        </is>
      </c>
      <c r="C893" s="42" t="inlineStr">
        <is>
          <t>Cuyahoga</t>
        </is>
      </c>
      <c r="D893" s="42" t="inlineStr">
        <is>
          <t>Big metro core</t>
        </is>
      </c>
      <c r="E893" s="42" t="inlineStr">
        <is>
          <t>★</t>
        </is>
      </c>
      <c r="F893" s="43" t="n">
        <v>376384</v>
      </c>
      <c r="G893" s="43" t="n">
        <v>195164</v>
      </c>
      <c r="H893" s="43" t="n">
        <v>575890</v>
      </c>
      <c r="I893" s="43" t="n">
        <v>416176</v>
      </c>
      <c r="J893" s="43" t="n">
        <v>202699</v>
      </c>
      <c r="K893" s="42" t="inlineStr">
        <is>
          <t>US Senate</t>
        </is>
      </c>
      <c r="L893" s="43" t="n">
        <v>277039</v>
      </c>
      <c r="M893" s="43" t="n">
        <v>131427</v>
      </c>
      <c r="N893" s="43" t="n">
        <v>408543</v>
      </c>
      <c r="O893" s="44">
        <f>IFERROR((F893-G893)/(F893+G893),"")</f>
        <v/>
      </c>
      <c r="P893" s="44">
        <f>IFERROR((I893-J893)/(I893+J893),"")</f>
        <v/>
      </c>
      <c r="Q893" s="45">
        <f>IFERROR(O893-P893,"")</f>
        <v/>
      </c>
      <c r="R893" s="44">
        <f>IFERROR((L893-M893)/(L893+M893),"")</f>
        <v/>
      </c>
      <c r="S893" s="46">
        <f>H893/SUMIFS(Counties!$H$2:$H$1583,Counties!$A$2:$A$1583,$A893)</f>
        <v/>
      </c>
      <c r="T893" s="44">
        <f>O893+INDEX(Dashboard!$F$6:$F$22,MATCH($A893,Dashboard!$A$6:$A$22,0))</f>
        <v/>
      </c>
      <c r="U893" s="43">
        <f>AQ893*INDEX(Dashboard!$G$6:$G$22,MATCH($A893,Dashboard!$A$6:$A$22,0))</f>
        <v/>
      </c>
      <c r="V893" s="47" t="n"/>
      <c r="W893" s="47" t="n"/>
      <c r="X893" s="47" t="n"/>
      <c r="Y893" s="48" t="n"/>
      <c r="Z893" s="49" t="n"/>
      <c r="AA893" s="49" t="n"/>
      <c r="AB893" s="49" t="n"/>
      <c r="AC893" s="50" t="n"/>
      <c r="AD893" s="43">
        <f>IF(Z893&lt;&gt;"",Z893,N(V893))</f>
        <v/>
      </c>
      <c r="AE893" s="43">
        <f>IF(AA893&lt;&gt;"",AA893,N(W893))</f>
        <v/>
      </c>
      <c r="AF893" s="43">
        <f>AD893+AE893</f>
        <v/>
      </c>
      <c r="AG893" s="42">
        <f>IF(UPPER(AC893)="Y",1,IF(AF893=0,0,IF(AND(Z893="",Y893&lt;&gt;""),IF(Y893&gt;=0.999,1,0),IF(AF893&gt;=U893,1,0))))</f>
        <v/>
      </c>
      <c r="AH893" s="44">
        <f>IF(AF893&gt;0,(AD893-AE893)/AF893,"")</f>
        <v/>
      </c>
      <c r="AI893" s="45">
        <f>IF(AG893=1,AH893-O893,"")</f>
        <v/>
      </c>
      <c r="AJ893" s="44">
        <f>IF(AG893=1,AH893,MAX(-1,MIN(1,O893+INDEX(Types!$H:$H,MATCH($A893&amp;"|"&amp;$D893,Types!$A:$A,0)))))</f>
        <v/>
      </c>
      <c r="AK893" s="43">
        <f>IF(AG893=1,AF893,MAX(AQ893*AS893,AF893))</f>
        <v/>
      </c>
      <c r="AL893" s="43">
        <f>IF(AG893=1,AD893,AK893*(1+AJ893)/2)</f>
        <v/>
      </c>
      <c r="AM893" s="43">
        <f>IF(AG893=1,AE893,AK893*(1-AJ893)/2)</f>
        <v/>
      </c>
      <c r="AN893" s="45">
        <f>IF(AH893="","",AH893-T893)</f>
        <v/>
      </c>
      <c r="AO893" s="51">
        <f>IF(AG893=1,1,IF(U893&gt;0,MIN(AF893/U893,0.99),0))</f>
        <v/>
      </c>
      <c r="AP893" s="43">
        <f>IF(AG893=1,AI893*AF893,0)</f>
        <v/>
      </c>
      <c r="AQ893" s="43">
        <f>N893*(F893+G893)/H893</f>
        <v/>
      </c>
      <c r="AR893" s="43">
        <f>O893*AQ893</f>
        <v/>
      </c>
      <c r="AS893" s="52">
        <f>IF(AG893=1,IF(AQ893&gt;0,AF893/AQ893,1),IFERROR(INDEX(Types!$K:$K,MATCH($A893&amp;"|"&amp;$D893,Types!$A:$A,0)),INDEX(Dashboard!$X$6:$X$22,MATCH($A893,Dashboard!$A$6:$A$22,0))))</f>
        <v/>
      </c>
      <c r="AT893" s="43">
        <f>AQ893*INDEX(Dashboard!$Y$6:$Y$22,MATCH($A893,Dashboard!$A$6:$A$22,0))</f>
        <v/>
      </c>
      <c r="AU893" s="53">
        <f>IF(AND(AG893=1,AT893&gt;0,AF893&gt;0),100*AF893/AT893,"")</f>
        <v/>
      </c>
      <c r="AV893" s="44">
        <f>IF(AU893="","",T893/(AU893/100))</f>
        <v/>
      </c>
      <c r="AW893" s="53">
        <f>IF(AU893="","",IF(AND(ABS(AH893)&gt;=0.1,ABS(T893)&gt;=0.05,SIGN(AH893)=SIGN(T893)),100*T893/AH893,""))</f>
        <v/>
      </c>
      <c r="AX893" s="45">
        <f>IF(AU893="","",T893-AV893)</f>
        <v/>
      </c>
      <c r="AY893" s="45">
        <f>IF(AU893="","",AH893-AV893)</f>
        <v/>
      </c>
      <c r="AZ893" s="54">
        <f>(AL893-AM893)-T893*AT893</f>
        <v/>
      </c>
      <c r="BA893" s="43">
        <f>IF(AU893="",0,(AH893-T893)*AF893)</f>
        <v/>
      </c>
      <c r="BB893" s="43">
        <f>IF(AU893="",0,T893*(AF893-AT893))</f>
        <v/>
      </c>
      <c r="BC893" s="51" t="n">
        <v>0.2941566214252349</v>
      </c>
      <c r="BD893" s="51" t="n">
        <v>0.07166560699641875</v>
      </c>
      <c r="BE893" s="51" t="n">
        <v>0.3591746048190845</v>
      </c>
      <c r="BF893" s="43" t="n">
        <v>1233088</v>
      </c>
    </row>
    <row r="894">
      <c r="A894" s="42" t="inlineStr">
        <is>
          <t>OH</t>
        </is>
      </c>
      <c r="B894" s="42" t="inlineStr">
        <is>
          <t>39037</t>
        </is>
      </c>
      <c r="C894" s="42" t="inlineStr">
        <is>
          <t>Darke</t>
        </is>
      </c>
      <c r="D894" s="42" t="inlineStr">
        <is>
          <t>Small town &amp; rural</t>
        </is>
      </c>
      <c r="E894" s="42" t="inlineStr"/>
      <c r="F894" s="43" t="n">
        <v>4583</v>
      </c>
      <c r="G894" s="43" t="n">
        <v>22234</v>
      </c>
      <c r="H894" s="43" t="n">
        <v>27000</v>
      </c>
      <c r="I894" s="43" t="n">
        <v>4731</v>
      </c>
      <c r="J894" s="43" t="n">
        <v>22004</v>
      </c>
      <c r="K894" s="42" t="inlineStr">
        <is>
          <t>US Senate</t>
        </is>
      </c>
      <c r="L894" s="43" t="n">
        <v>3773</v>
      </c>
      <c r="M894" s="43" t="n">
        <v>15977</v>
      </c>
      <c r="N894" s="43" t="n">
        <v>19755</v>
      </c>
      <c r="O894" s="44">
        <f>IFERROR((F894-G894)/(F894+G894),"")</f>
        <v/>
      </c>
      <c r="P894" s="44">
        <f>IFERROR((I894-J894)/(I894+J894),"")</f>
        <v/>
      </c>
      <c r="Q894" s="45">
        <f>IFERROR(O894-P894,"")</f>
        <v/>
      </c>
      <c r="R894" s="44">
        <f>IFERROR((L894-M894)/(L894+M894),"")</f>
        <v/>
      </c>
      <c r="S894" s="46">
        <f>H894/SUMIFS(Counties!$H$2:$H$1583,Counties!$A$2:$A$1583,$A894)</f>
        <v/>
      </c>
      <c r="T894" s="44">
        <f>O894+INDEX(Dashboard!$F$6:$F$22,MATCH($A894,Dashboard!$A$6:$A$22,0))</f>
        <v/>
      </c>
      <c r="U894" s="43">
        <f>AQ894*INDEX(Dashboard!$G$6:$G$22,MATCH($A894,Dashboard!$A$6:$A$22,0))</f>
        <v/>
      </c>
      <c r="V894" s="47" t="n"/>
      <c r="W894" s="47" t="n"/>
      <c r="X894" s="47" t="n"/>
      <c r="Y894" s="48" t="n"/>
      <c r="Z894" s="49" t="n"/>
      <c r="AA894" s="49" t="n"/>
      <c r="AB894" s="49" t="n"/>
      <c r="AC894" s="50" t="n"/>
      <c r="AD894" s="43">
        <f>IF(Z894&lt;&gt;"",Z894,N(V894))</f>
        <v/>
      </c>
      <c r="AE894" s="43">
        <f>IF(AA894&lt;&gt;"",AA894,N(W894))</f>
        <v/>
      </c>
      <c r="AF894" s="43">
        <f>AD894+AE894</f>
        <v/>
      </c>
      <c r="AG894" s="42">
        <f>IF(UPPER(AC894)="Y",1,IF(AF894=0,0,IF(AND(Z894="",Y894&lt;&gt;""),IF(Y894&gt;=0.999,1,0),IF(AF894&gt;=U894,1,0))))</f>
        <v/>
      </c>
      <c r="AH894" s="44">
        <f>IF(AF894&gt;0,(AD894-AE894)/AF894,"")</f>
        <v/>
      </c>
      <c r="AI894" s="45">
        <f>IF(AG894=1,AH894-O894,"")</f>
        <v/>
      </c>
      <c r="AJ894" s="44">
        <f>IF(AG894=1,AH894,MAX(-1,MIN(1,O894+INDEX(Types!$H:$H,MATCH($A894&amp;"|"&amp;$D894,Types!$A:$A,0)))))</f>
        <v/>
      </c>
      <c r="AK894" s="43">
        <f>IF(AG894=1,AF894,MAX(AQ894*AS894,AF894))</f>
        <v/>
      </c>
      <c r="AL894" s="43">
        <f>IF(AG894=1,AD894,AK894*(1+AJ894)/2)</f>
        <v/>
      </c>
      <c r="AM894" s="43">
        <f>IF(AG894=1,AE894,AK894*(1-AJ894)/2)</f>
        <v/>
      </c>
      <c r="AN894" s="45">
        <f>IF(AH894="","",AH894-T894)</f>
        <v/>
      </c>
      <c r="AO894" s="51">
        <f>IF(AG894=1,1,IF(U894&gt;0,MIN(AF894/U894,0.99),0))</f>
        <v/>
      </c>
      <c r="AP894" s="43">
        <f>IF(AG894=1,AI894*AF894,0)</f>
        <v/>
      </c>
      <c r="AQ894" s="43">
        <f>N894*(F894+G894)/H894</f>
        <v/>
      </c>
      <c r="AR894" s="43">
        <f>O894*AQ894</f>
        <v/>
      </c>
      <c r="AS894" s="52">
        <f>IF(AG894=1,IF(AQ894&gt;0,AF894/AQ894,1),IFERROR(INDEX(Types!$K:$K,MATCH($A894&amp;"|"&amp;$D894,Types!$A:$A,0)),INDEX(Dashboard!$X$6:$X$22,MATCH($A894,Dashboard!$A$6:$A$22,0))))</f>
        <v/>
      </c>
      <c r="AT894" s="43">
        <f>AQ894*INDEX(Dashboard!$Y$6:$Y$22,MATCH($A894,Dashboard!$A$6:$A$22,0))</f>
        <v/>
      </c>
      <c r="AU894" s="53">
        <f>IF(AND(AG894=1,AT894&gt;0,AF894&gt;0),100*AF894/AT894,"")</f>
        <v/>
      </c>
      <c r="AV894" s="44">
        <f>IF(AU894="","",T894/(AU894/100))</f>
        <v/>
      </c>
      <c r="AW894" s="53">
        <f>IF(AU894="","",IF(AND(ABS(AH894)&gt;=0.1,ABS(T894)&gt;=0.05,SIGN(AH894)=SIGN(T894)),100*T894/AH894,""))</f>
        <v/>
      </c>
      <c r="AX894" s="45">
        <f>IF(AU894="","",T894-AV894)</f>
        <v/>
      </c>
      <c r="AY894" s="45">
        <f>IF(AU894="","",AH894-AV894)</f>
        <v/>
      </c>
      <c r="AZ894" s="54">
        <f>(AL894-AM894)-T894*AT894</f>
        <v/>
      </c>
      <c r="BA894" s="43">
        <f>IF(AU894="",0,(AH894-T894)*AF894)</f>
        <v/>
      </c>
      <c r="BB894" s="43">
        <f>IF(AU894="",0,T894*(AF894-AT894))</f>
        <v/>
      </c>
      <c r="BC894" s="51" t="n">
        <v>0.008480015559661578</v>
      </c>
      <c r="BD894" s="51" t="n">
        <v>0.01962462316444617</v>
      </c>
      <c r="BE894" s="51" t="n">
        <v>0.1648317524841915</v>
      </c>
      <c r="BF894" s="43" t="n">
        <v>51415</v>
      </c>
    </row>
    <row r="895">
      <c r="A895" s="42" t="inlineStr">
        <is>
          <t>OH</t>
        </is>
      </c>
      <c r="B895" s="42" t="inlineStr">
        <is>
          <t>39039</t>
        </is>
      </c>
      <c r="C895" s="42" t="inlineStr">
        <is>
          <t>Defiance</t>
        </is>
      </c>
      <c r="D895" s="42" t="inlineStr">
        <is>
          <t>Small town &amp; rural</t>
        </is>
      </c>
      <c r="E895" s="42" t="inlineStr"/>
      <c r="F895" s="43" t="n">
        <v>5667</v>
      </c>
      <c r="G895" s="43" t="n">
        <v>13302</v>
      </c>
      <c r="H895" s="43" t="n">
        <v>19153</v>
      </c>
      <c r="I895" s="43" t="n">
        <v>5981</v>
      </c>
      <c r="J895" s="43" t="n">
        <v>13038</v>
      </c>
      <c r="K895" s="42" t="inlineStr">
        <is>
          <t>US Senate</t>
        </is>
      </c>
      <c r="L895" s="43" t="n">
        <v>4513</v>
      </c>
      <c r="M895" s="43" t="n">
        <v>8821</v>
      </c>
      <c r="N895" s="43" t="n">
        <v>13336</v>
      </c>
      <c r="O895" s="44">
        <f>IFERROR((F895-G895)/(F895+G895),"")</f>
        <v/>
      </c>
      <c r="P895" s="44">
        <f>IFERROR((I895-J895)/(I895+J895),"")</f>
        <v/>
      </c>
      <c r="Q895" s="45">
        <f>IFERROR(O895-P895,"")</f>
        <v/>
      </c>
      <c r="R895" s="44">
        <f>IFERROR((L895-M895)/(L895+M895),"")</f>
        <v/>
      </c>
      <c r="S895" s="46">
        <f>H895/SUMIFS(Counties!$H$2:$H$1583,Counties!$A$2:$A$1583,$A895)</f>
        <v/>
      </c>
      <c r="T895" s="44">
        <f>O895+INDEX(Dashboard!$F$6:$F$22,MATCH($A895,Dashboard!$A$6:$A$22,0))</f>
        <v/>
      </c>
      <c r="U895" s="43">
        <f>AQ895*INDEX(Dashboard!$G$6:$G$22,MATCH($A895,Dashboard!$A$6:$A$22,0))</f>
        <v/>
      </c>
      <c r="V895" s="47" t="n"/>
      <c r="W895" s="47" t="n"/>
      <c r="X895" s="47" t="n"/>
      <c r="Y895" s="48" t="n"/>
      <c r="Z895" s="49" t="n"/>
      <c r="AA895" s="49" t="n"/>
      <c r="AB895" s="49" t="n"/>
      <c r="AC895" s="50" t="n"/>
      <c r="AD895" s="43">
        <f>IF(Z895&lt;&gt;"",Z895,N(V895))</f>
        <v/>
      </c>
      <c r="AE895" s="43">
        <f>IF(AA895&lt;&gt;"",AA895,N(W895))</f>
        <v/>
      </c>
      <c r="AF895" s="43">
        <f>AD895+AE895</f>
        <v/>
      </c>
      <c r="AG895" s="42">
        <f>IF(UPPER(AC895)="Y",1,IF(AF895=0,0,IF(AND(Z895="",Y895&lt;&gt;""),IF(Y895&gt;=0.999,1,0),IF(AF895&gt;=U895,1,0))))</f>
        <v/>
      </c>
      <c r="AH895" s="44">
        <f>IF(AF895&gt;0,(AD895-AE895)/AF895,"")</f>
        <v/>
      </c>
      <c r="AI895" s="45">
        <f>IF(AG895=1,AH895-O895,"")</f>
        <v/>
      </c>
      <c r="AJ895" s="44">
        <f>IF(AG895=1,AH895,MAX(-1,MIN(1,O895+INDEX(Types!$H:$H,MATCH($A895&amp;"|"&amp;$D895,Types!$A:$A,0)))))</f>
        <v/>
      </c>
      <c r="AK895" s="43">
        <f>IF(AG895=1,AF895,MAX(AQ895*AS895,AF895))</f>
        <v/>
      </c>
      <c r="AL895" s="43">
        <f>IF(AG895=1,AD895,AK895*(1+AJ895)/2)</f>
        <v/>
      </c>
      <c r="AM895" s="43">
        <f>IF(AG895=1,AE895,AK895*(1-AJ895)/2)</f>
        <v/>
      </c>
      <c r="AN895" s="45">
        <f>IF(AH895="","",AH895-T895)</f>
        <v/>
      </c>
      <c r="AO895" s="51">
        <f>IF(AG895=1,1,IF(U895&gt;0,MIN(AF895/U895,0.99),0))</f>
        <v/>
      </c>
      <c r="AP895" s="43">
        <f>IF(AG895=1,AI895*AF895,0)</f>
        <v/>
      </c>
      <c r="AQ895" s="43">
        <f>N895*(F895+G895)/H895</f>
        <v/>
      </c>
      <c r="AR895" s="43">
        <f>O895*AQ895</f>
        <v/>
      </c>
      <c r="AS895" s="52">
        <f>IF(AG895=1,IF(AQ895&gt;0,AF895/AQ895,1),IFERROR(INDEX(Types!$K:$K,MATCH($A895&amp;"|"&amp;$D895,Types!$A:$A,0)),INDEX(Dashboard!$X$6:$X$22,MATCH($A895,Dashboard!$A$6:$A$22,0))))</f>
        <v/>
      </c>
      <c r="AT895" s="43">
        <f>AQ895*INDEX(Dashboard!$Y$6:$Y$22,MATCH($A895,Dashboard!$A$6:$A$22,0))</f>
        <v/>
      </c>
      <c r="AU895" s="53">
        <f>IF(AND(AG895=1,AT895&gt;0,AF895&gt;0),100*AF895/AT895,"")</f>
        <v/>
      </c>
      <c r="AV895" s="44">
        <f>IF(AU895="","",T895/(AU895/100))</f>
        <v/>
      </c>
      <c r="AW895" s="53">
        <f>IF(AU895="","",IF(AND(ABS(AH895)&gt;=0.1,ABS(T895)&gt;=0.05,SIGN(AH895)=SIGN(T895)),100*T895/AH895,""))</f>
        <v/>
      </c>
      <c r="AX895" s="45">
        <f>IF(AU895="","",T895-AV895)</f>
        <v/>
      </c>
      <c r="AY895" s="45">
        <f>IF(AU895="","",AH895-AV895)</f>
        <v/>
      </c>
      <c r="AZ895" s="54">
        <f>(AL895-AM895)-T895*AT895</f>
        <v/>
      </c>
      <c r="BA895" s="43">
        <f>IF(AU895="",0,(AH895-T895)*AF895)</f>
        <v/>
      </c>
      <c r="BB895" s="43">
        <f>IF(AU895="",0,T895*(AF895-AT895))</f>
        <v/>
      </c>
      <c r="BC895" s="51" t="n">
        <v>0.01790421505937622</v>
      </c>
      <c r="BD895" s="51" t="n">
        <v>0.1125929792509461</v>
      </c>
      <c r="BE895" s="51" t="n">
        <v>0.201169723899586</v>
      </c>
      <c r="BF895" s="43" t="n">
        <v>38315</v>
      </c>
    </row>
    <row r="896">
      <c r="A896" s="42" t="inlineStr">
        <is>
          <t>OH</t>
        </is>
      </c>
      <c r="B896" s="42" t="inlineStr">
        <is>
          <t>39041</t>
        </is>
      </c>
      <c r="C896" s="42" t="inlineStr">
        <is>
          <t>Delaware</t>
        </is>
      </c>
      <c r="D896" s="42" t="inlineStr">
        <is>
          <t>College suburb/metro</t>
        </is>
      </c>
      <c r="E896" s="42" t="inlineStr">
        <is>
          <t>★</t>
        </is>
      </c>
      <c r="F896" s="43" t="n">
        <v>61657</v>
      </c>
      <c r="G896" s="43" t="n">
        <v>70448</v>
      </c>
      <c r="H896" s="43" t="n">
        <v>133357</v>
      </c>
      <c r="I896" s="43" t="n">
        <v>57735</v>
      </c>
      <c r="J896" s="43" t="n">
        <v>66356</v>
      </c>
      <c r="K896" s="42" t="inlineStr">
        <is>
          <t>US Senate</t>
        </is>
      </c>
      <c r="L896" s="43" t="n">
        <v>46319</v>
      </c>
      <c r="M896" s="43" t="n">
        <v>52539</v>
      </c>
      <c r="N896" s="43" t="n">
        <v>98885</v>
      </c>
      <c r="O896" s="44">
        <f>IFERROR((F896-G896)/(F896+G896),"")</f>
        <v/>
      </c>
      <c r="P896" s="44">
        <f>IFERROR((I896-J896)/(I896+J896),"")</f>
        <v/>
      </c>
      <c r="Q896" s="45">
        <f>IFERROR(O896-P896,"")</f>
        <v/>
      </c>
      <c r="R896" s="44">
        <f>IFERROR((L896-M896)/(L896+M896),"")</f>
        <v/>
      </c>
      <c r="S896" s="46">
        <f>H896/SUMIFS(Counties!$H$2:$H$1583,Counties!$A$2:$A$1583,$A896)</f>
        <v/>
      </c>
      <c r="T896" s="44">
        <f>O896+INDEX(Dashboard!$F$6:$F$22,MATCH($A896,Dashboard!$A$6:$A$22,0))</f>
        <v/>
      </c>
      <c r="U896" s="43">
        <f>AQ896*INDEX(Dashboard!$G$6:$G$22,MATCH($A896,Dashboard!$A$6:$A$22,0))</f>
        <v/>
      </c>
      <c r="V896" s="47" t="n"/>
      <c r="W896" s="47" t="n"/>
      <c r="X896" s="47" t="n"/>
      <c r="Y896" s="48" t="n"/>
      <c r="Z896" s="49" t="n"/>
      <c r="AA896" s="49" t="n"/>
      <c r="AB896" s="49" t="n"/>
      <c r="AC896" s="50" t="n"/>
      <c r="AD896" s="43">
        <f>IF(Z896&lt;&gt;"",Z896,N(V896))</f>
        <v/>
      </c>
      <c r="AE896" s="43">
        <f>IF(AA896&lt;&gt;"",AA896,N(W896))</f>
        <v/>
      </c>
      <c r="AF896" s="43">
        <f>AD896+AE896</f>
        <v/>
      </c>
      <c r="AG896" s="42">
        <f>IF(UPPER(AC896)="Y",1,IF(AF896=0,0,IF(AND(Z896="",Y896&lt;&gt;""),IF(Y896&gt;=0.999,1,0),IF(AF896&gt;=U896,1,0))))</f>
        <v/>
      </c>
      <c r="AH896" s="44">
        <f>IF(AF896&gt;0,(AD896-AE896)/AF896,"")</f>
        <v/>
      </c>
      <c r="AI896" s="45">
        <f>IF(AG896=1,AH896-O896,"")</f>
        <v/>
      </c>
      <c r="AJ896" s="44">
        <f>IF(AG896=1,AH896,MAX(-1,MIN(1,O896+INDEX(Types!$H:$H,MATCH($A896&amp;"|"&amp;$D896,Types!$A:$A,0)))))</f>
        <v/>
      </c>
      <c r="AK896" s="43">
        <f>IF(AG896=1,AF896,MAX(AQ896*AS896,AF896))</f>
        <v/>
      </c>
      <c r="AL896" s="43">
        <f>IF(AG896=1,AD896,AK896*(1+AJ896)/2)</f>
        <v/>
      </c>
      <c r="AM896" s="43">
        <f>IF(AG896=1,AE896,AK896*(1-AJ896)/2)</f>
        <v/>
      </c>
      <c r="AN896" s="45">
        <f>IF(AH896="","",AH896-T896)</f>
        <v/>
      </c>
      <c r="AO896" s="51">
        <f>IF(AG896=1,1,IF(U896&gt;0,MIN(AF896/U896,0.99),0))</f>
        <v/>
      </c>
      <c r="AP896" s="43">
        <f>IF(AG896=1,AI896*AF896,0)</f>
        <v/>
      </c>
      <c r="AQ896" s="43">
        <f>N896*(F896+G896)/H896</f>
        <v/>
      </c>
      <c r="AR896" s="43">
        <f>O896*AQ896</f>
        <v/>
      </c>
      <c r="AS896" s="52">
        <f>IF(AG896=1,IF(AQ896&gt;0,AF896/AQ896,1),IFERROR(INDEX(Types!$K:$K,MATCH($A896&amp;"|"&amp;$D896,Types!$A:$A,0)),INDEX(Dashboard!$X$6:$X$22,MATCH($A896,Dashboard!$A$6:$A$22,0))))</f>
        <v/>
      </c>
      <c r="AT896" s="43">
        <f>AQ896*INDEX(Dashboard!$Y$6:$Y$22,MATCH($A896,Dashboard!$A$6:$A$22,0))</f>
        <v/>
      </c>
      <c r="AU896" s="53">
        <f>IF(AND(AG896=1,AT896&gt;0,AF896&gt;0),100*AF896/AT896,"")</f>
        <v/>
      </c>
      <c r="AV896" s="44">
        <f>IF(AU896="","",T896/(AU896/100))</f>
        <v/>
      </c>
      <c r="AW896" s="53">
        <f>IF(AU896="","",IF(AND(ABS(AH896)&gt;=0.1,ABS(T896)&gt;=0.05,SIGN(AH896)=SIGN(T896)),100*T896/AH896,""))</f>
        <v/>
      </c>
      <c r="AX896" s="45">
        <f>IF(AU896="","",T896-AV896)</f>
        <v/>
      </c>
      <c r="AY896" s="45">
        <f>IF(AU896="","",AH896-AV896)</f>
        <v/>
      </c>
      <c r="AZ896" s="54">
        <f>(AL896-AM896)-T896*AT896</f>
        <v/>
      </c>
      <c r="BA896" s="43">
        <f>IF(AU896="",0,(AH896-T896)*AF896)</f>
        <v/>
      </c>
      <c r="BB896" s="43">
        <f>IF(AU896="",0,T896*(AF896-AT896))</f>
        <v/>
      </c>
      <c r="BC896" s="51" t="n">
        <v>0.04670690220863769</v>
      </c>
      <c r="BD896" s="51" t="n">
        <v>0.03502478025868173</v>
      </c>
      <c r="BE896" s="51" t="n">
        <v>0.5803664157372777</v>
      </c>
      <c r="BF896" s="43" t="n">
        <v>231636</v>
      </c>
    </row>
    <row r="897">
      <c r="A897" s="42" t="inlineStr">
        <is>
          <t>OH</t>
        </is>
      </c>
      <c r="B897" s="42" t="inlineStr">
        <is>
          <t>39043</t>
        </is>
      </c>
      <c r="C897" s="42" t="inlineStr">
        <is>
          <t>Erie</t>
        </is>
      </c>
      <c r="D897" s="42" t="inlineStr">
        <is>
          <t>Small town &amp; rural</t>
        </is>
      </c>
      <c r="E897" s="42" t="inlineStr"/>
      <c r="F897" s="43" t="n">
        <v>16871</v>
      </c>
      <c r="G897" s="43" t="n">
        <v>22493</v>
      </c>
      <c r="H897" s="43" t="n">
        <v>39737</v>
      </c>
      <c r="I897" s="43" t="n">
        <v>17493</v>
      </c>
      <c r="J897" s="43" t="n">
        <v>22160</v>
      </c>
      <c r="K897" s="42" t="inlineStr">
        <is>
          <t>US Senate</t>
        </is>
      </c>
      <c r="L897" s="43" t="n">
        <v>13541</v>
      </c>
      <c r="M897" s="43" t="n">
        <v>15287</v>
      </c>
      <c r="N897" s="43" t="n">
        <v>28833</v>
      </c>
      <c r="O897" s="44">
        <f>IFERROR((F897-G897)/(F897+G897),"")</f>
        <v/>
      </c>
      <c r="P897" s="44">
        <f>IFERROR((I897-J897)/(I897+J897),"")</f>
        <v/>
      </c>
      <c r="Q897" s="45">
        <f>IFERROR(O897-P897,"")</f>
        <v/>
      </c>
      <c r="R897" s="44">
        <f>IFERROR((L897-M897)/(L897+M897),"")</f>
        <v/>
      </c>
      <c r="S897" s="46">
        <f>H897/SUMIFS(Counties!$H$2:$H$1583,Counties!$A$2:$A$1583,$A897)</f>
        <v/>
      </c>
      <c r="T897" s="44">
        <f>O897+INDEX(Dashboard!$F$6:$F$22,MATCH($A897,Dashboard!$A$6:$A$22,0))</f>
        <v/>
      </c>
      <c r="U897" s="43">
        <f>AQ897*INDEX(Dashboard!$G$6:$G$22,MATCH($A897,Dashboard!$A$6:$A$22,0))</f>
        <v/>
      </c>
      <c r="V897" s="47" t="n"/>
      <c r="W897" s="47" t="n"/>
      <c r="X897" s="47" t="n"/>
      <c r="Y897" s="48" t="n"/>
      <c r="Z897" s="49" t="n"/>
      <c r="AA897" s="49" t="n"/>
      <c r="AB897" s="49" t="n"/>
      <c r="AC897" s="50" t="n"/>
      <c r="AD897" s="43">
        <f>IF(Z897&lt;&gt;"",Z897,N(V897))</f>
        <v/>
      </c>
      <c r="AE897" s="43">
        <f>IF(AA897&lt;&gt;"",AA897,N(W897))</f>
        <v/>
      </c>
      <c r="AF897" s="43">
        <f>AD897+AE897</f>
        <v/>
      </c>
      <c r="AG897" s="42">
        <f>IF(UPPER(AC897)="Y",1,IF(AF897=0,0,IF(AND(Z897="",Y897&lt;&gt;""),IF(Y897&gt;=0.999,1,0),IF(AF897&gt;=U897,1,0))))</f>
        <v/>
      </c>
      <c r="AH897" s="44">
        <f>IF(AF897&gt;0,(AD897-AE897)/AF897,"")</f>
        <v/>
      </c>
      <c r="AI897" s="45">
        <f>IF(AG897=1,AH897-O897,"")</f>
        <v/>
      </c>
      <c r="AJ897" s="44">
        <f>IF(AG897=1,AH897,MAX(-1,MIN(1,O897+INDEX(Types!$H:$H,MATCH($A897&amp;"|"&amp;$D897,Types!$A:$A,0)))))</f>
        <v/>
      </c>
      <c r="AK897" s="43">
        <f>IF(AG897=1,AF897,MAX(AQ897*AS897,AF897))</f>
        <v/>
      </c>
      <c r="AL897" s="43">
        <f>IF(AG897=1,AD897,AK897*(1+AJ897)/2)</f>
        <v/>
      </c>
      <c r="AM897" s="43">
        <f>IF(AG897=1,AE897,AK897*(1-AJ897)/2)</f>
        <v/>
      </c>
      <c r="AN897" s="45">
        <f>IF(AH897="","",AH897-T897)</f>
        <v/>
      </c>
      <c r="AO897" s="51">
        <f>IF(AG897=1,1,IF(U897&gt;0,MIN(AF897/U897,0.99),0))</f>
        <v/>
      </c>
      <c r="AP897" s="43">
        <f>IF(AG897=1,AI897*AF897,0)</f>
        <v/>
      </c>
      <c r="AQ897" s="43">
        <f>N897*(F897+G897)/H897</f>
        <v/>
      </c>
      <c r="AR897" s="43">
        <f>O897*AQ897</f>
        <v/>
      </c>
      <c r="AS897" s="52">
        <f>IF(AG897=1,IF(AQ897&gt;0,AF897/AQ897,1),IFERROR(INDEX(Types!$K:$K,MATCH($A897&amp;"|"&amp;$D897,Types!$A:$A,0)),INDEX(Dashboard!$X$6:$X$22,MATCH($A897,Dashboard!$A$6:$A$22,0))))</f>
        <v/>
      </c>
      <c r="AT897" s="43">
        <f>AQ897*INDEX(Dashboard!$Y$6:$Y$22,MATCH($A897,Dashboard!$A$6:$A$22,0))</f>
        <v/>
      </c>
      <c r="AU897" s="53">
        <f>IF(AND(AG897=1,AT897&gt;0,AF897&gt;0),100*AF897/AT897,"")</f>
        <v/>
      </c>
      <c r="AV897" s="44">
        <f>IF(AU897="","",T897/(AU897/100))</f>
        <v/>
      </c>
      <c r="AW897" s="53">
        <f>IF(AU897="","",IF(AND(ABS(AH897)&gt;=0.1,ABS(T897)&gt;=0.05,SIGN(AH897)=SIGN(T897)),100*T897/AH897,""))</f>
        <v/>
      </c>
      <c r="AX897" s="45">
        <f>IF(AU897="","",T897-AV897)</f>
        <v/>
      </c>
      <c r="AY897" s="45">
        <f>IF(AU897="","",AH897-AV897)</f>
        <v/>
      </c>
      <c r="AZ897" s="54">
        <f>(AL897-AM897)-T897*AT897</f>
        <v/>
      </c>
      <c r="BA897" s="43">
        <f>IF(AU897="",0,(AH897-T897)*AF897)</f>
        <v/>
      </c>
      <c r="BB897" s="43">
        <f>IF(AU897="",0,T897*(AF897-AT897))</f>
        <v/>
      </c>
      <c r="BC897" s="51" t="n">
        <v>0.08668872830418045</v>
      </c>
      <c r="BD897" s="51" t="n">
        <v>0.04712635915445398</v>
      </c>
      <c r="BE897" s="51" t="n">
        <v>0.2792500782703181</v>
      </c>
      <c r="BF897" s="43" t="n">
        <v>74035</v>
      </c>
    </row>
    <row r="898">
      <c r="A898" s="42" t="inlineStr">
        <is>
          <t>OH</t>
        </is>
      </c>
      <c r="B898" s="42" t="inlineStr">
        <is>
          <t>39045</t>
        </is>
      </c>
      <c r="C898" s="42" t="inlineStr">
        <is>
          <t>Fairfield</t>
        </is>
      </c>
      <c r="D898" s="42" t="inlineStr">
        <is>
          <t>Mid-size/working metro</t>
        </is>
      </c>
      <c r="E898" s="42" t="inlineStr"/>
      <c r="F898" s="43" t="n">
        <v>31695</v>
      </c>
      <c r="G898" s="43" t="n">
        <v>51999</v>
      </c>
      <c r="H898" s="43" t="n">
        <v>84431</v>
      </c>
      <c r="I898" s="43" t="n">
        <v>31224</v>
      </c>
      <c r="J898" s="43" t="n">
        <v>50797</v>
      </c>
      <c r="K898" s="42" t="inlineStr">
        <is>
          <t>US Senate</t>
        </is>
      </c>
      <c r="L898" s="43" t="n">
        <v>23305</v>
      </c>
      <c r="M898" s="43" t="n">
        <v>35926</v>
      </c>
      <c r="N898" s="43" t="n">
        <v>59258</v>
      </c>
      <c r="O898" s="44">
        <f>IFERROR((F898-G898)/(F898+G898),"")</f>
        <v/>
      </c>
      <c r="P898" s="44">
        <f>IFERROR((I898-J898)/(I898+J898),"")</f>
        <v/>
      </c>
      <c r="Q898" s="45">
        <f>IFERROR(O898-P898,"")</f>
        <v/>
      </c>
      <c r="R898" s="44">
        <f>IFERROR((L898-M898)/(L898+M898),"")</f>
        <v/>
      </c>
      <c r="S898" s="46">
        <f>H898/SUMIFS(Counties!$H$2:$H$1583,Counties!$A$2:$A$1583,$A898)</f>
        <v/>
      </c>
      <c r="T898" s="44">
        <f>O898+INDEX(Dashboard!$F$6:$F$22,MATCH($A898,Dashboard!$A$6:$A$22,0))</f>
        <v/>
      </c>
      <c r="U898" s="43">
        <f>AQ898*INDEX(Dashboard!$G$6:$G$22,MATCH($A898,Dashboard!$A$6:$A$22,0))</f>
        <v/>
      </c>
      <c r="V898" s="47" t="n"/>
      <c r="W898" s="47" t="n"/>
      <c r="X898" s="47" t="n"/>
      <c r="Y898" s="48" t="n"/>
      <c r="Z898" s="49" t="n"/>
      <c r="AA898" s="49" t="n"/>
      <c r="AB898" s="49" t="n"/>
      <c r="AC898" s="50" t="n"/>
      <c r="AD898" s="43">
        <f>IF(Z898&lt;&gt;"",Z898,N(V898))</f>
        <v/>
      </c>
      <c r="AE898" s="43">
        <f>IF(AA898&lt;&gt;"",AA898,N(W898))</f>
        <v/>
      </c>
      <c r="AF898" s="43">
        <f>AD898+AE898</f>
        <v/>
      </c>
      <c r="AG898" s="42">
        <f>IF(UPPER(AC898)="Y",1,IF(AF898=0,0,IF(AND(Z898="",Y898&lt;&gt;""),IF(Y898&gt;=0.999,1,0),IF(AF898&gt;=U898,1,0))))</f>
        <v/>
      </c>
      <c r="AH898" s="44">
        <f>IF(AF898&gt;0,(AD898-AE898)/AF898,"")</f>
        <v/>
      </c>
      <c r="AI898" s="45">
        <f>IF(AG898=1,AH898-O898,"")</f>
        <v/>
      </c>
      <c r="AJ898" s="44">
        <f>IF(AG898=1,AH898,MAX(-1,MIN(1,O898+INDEX(Types!$H:$H,MATCH($A898&amp;"|"&amp;$D898,Types!$A:$A,0)))))</f>
        <v/>
      </c>
      <c r="AK898" s="43">
        <f>IF(AG898=1,AF898,MAX(AQ898*AS898,AF898))</f>
        <v/>
      </c>
      <c r="AL898" s="43">
        <f>IF(AG898=1,AD898,AK898*(1+AJ898)/2)</f>
        <v/>
      </c>
      <c r="AM898" s="43">
        <f>IF(AG898=1,AE898,AK898*(1-AJ898)/2)</f>
        <v/>
      </c>
      <c r="AN898" s="45">
        <f>IF(AH898="","",AH898-T898)</f>
        <v/>
      </c>
      <c r="AO898" s="51">
        <f>IF(AG898=1,1,IF(U898&gt;0,MIN(AF898/U898,0.99),0))</f>
        <v/>
      </c>
      <c r="AP898" s="43">
        <f>IF(AG898=1,AI898*AF898,0)</f>
        <v/>
      </c>
      <c r="AQ898" s="43">
        <f>N898*(F898+G898)/H898</f>
        <v/>
      </c>
      <c r="AR898" s="43">
        <f>O898*AQ898</f>
        <v/>
      </c>
      <c r="AS898" s="52">
        <f>IF(AG898=1,IF(AQ898&gt;0,AF898/AQ898,1),IFERROR(INDEX(Types!$K:$K,MATCH($A898&amp;"|"&amp;$D898,Types!$A:$A,0)),INDEX(Dashboard!$X$6:$X$22,MATCH($A898,Dashboard!$A$6:$A$22,0))))</f>
        <v/>
      </c>
      <c r="AT898" s="43">
        <f>AQ898*INDEX(Dashboard!$Y$6:$Y$22,MATCH($A898,Dashboard!$A$6:$A$22,0))</f>
        <v/>
      </c>
      <c r="AU898" s="53">
        <f>IF(AND(AG898=1,AT898&gt;0,AF898&gt;0),100*AF898/AT898,"")</f>
        <v/>
      </c>
      <c r="AV898" s="44">
        <f>IF(AU898="","",T898/(AU898/100))</f>
        <v/>
      </c>
      <c r="AW898" s="53">
        <f>IF(AU898="","",IF(AND(ABS(AH898)&gt;=0.1,ABS(T898)&gt;=0.05,SIGN(AH898)=SIGN(T898)),100*T898/AH898,""))</f>
        <v/>
      </c>
      <c r="AX898" s="45">
        <f>IF(AU898="","",T898-AV898)</f>
        <v/>
      </c>
      <c r="AY898" s="45">
        <f>IF(AU898="","",AH898-AV898)</f>
        <v/>
      </c>
      <c r="AZ898" s="54">
        <f>(AL898-AM898)-T898*AT898</f>
        <v/>
      </c>
      <c r="BA898" s="43">
        <f>IF(AU898="",0,(AH898-T898)*AF898)</f>
        <v/>
      </c>
      <c r="BB898" s="43">
        <f>IF(AU898="",0,T898*(AF898-AT898))</f>
        <v/>
      </c>
      <c r="BC898" s="51" t="n">
        <v>0.105218916303822</v>
      </c>
      <c r="BD898" s="51" t="n">
        <v>0.02867077890662796</v>
      </c>
      <c r="BE898" s="51" t="n">
        <v>0.3190876175362755</v>
      </c>
      <c r="BF898" s="43" t="n">
        <v>165360</v>
      </c>
    </row>
    <row r="899">
      <c r="A899" s="42" t="inlineStr">
        <is>
          <t>OH</t>
        </is>
      </c>
      <c r="B899" s="42" t="inlineStr">
        <is>
          <t>39047</t>
        </is>
      </c>
      <c r="C899" s="42" t="inlineStr">
        <is>
          <t>Fayette</t>
        </is>
      </c>
      <c r="D899" s="42" t="inlineStr">
        <is>
          <t>Small town &amp; rural</t>
        </is>
      </c>
      <c r="E899" s="42" t="inlineStr"/>
      <c r="F899" s="43" t="n">
        <v>2773</v>
      </c>
      <c r="G899" s="43" t="n">
        <v>9706</v>
      </c>
      <c r="H899" s="43" t="n">
        <v>12571</v>
      </c>
      <c r="I899" s="43" t="n">
        <v>2975</v>
      </c>
      <c r="J899" s="43" t="n">
        <v>9473</v>
      </c>
      <c r="K899" s="42" t="inlineStr">
        <is>
          <t>US Senate</t>
        </is>
      </c>
      <c r="L899" s="43" t="n">
        <v>2102</v>
      </c>
      <c r="M899" s="43" t="n">
        <v>6287</v>
      </c>
      <c r="N899" s="43" t="n">
        <v>8389</v>
      </c>
      <c r="O899" s="44">
        <f>IFERROR((F899-G899)/(F899+G899),"")</f>
        <v/>
      </c>
      <c r="P899" s="44">
        <f>IFERROR((I899-J899)/(I899+J899),"")</f>
        <v/>
      </c>
      <c r="Q899" s="45">
        <f>IFERROR(O899-P899,"")</f>
        <v/>
      </c>
      <c r="R899" s="44">
        <f>IFERROR((L899-M899)/(L899+M899),"")</f>
        <v/>
      </c>
      <c r="S899" s="46">
        <f>H899/SUMIFS(Counties!$H$2:$H$1583,Counties!$A$2:$A$1583,$A899)</f>
        <v/>
      </c>
      <c r="T899" s="44">
        <f>O899+INDEX(Dashboard!$F$6:$F$22,MATCH($A899,Dashboard!$A$6:$A$22,0))</f>
        <v/>
      </c>
      <c r="U899" s="43">
        <f>AQ899*INDEX(Dashboard!$G$6:$G$22,MATCH($A899,Dashboard!$A$6:$A$22,0))</f>
        <v/>
      </c>
      <c r="V899" s="47" t="n"/>
      <c r="W899" s="47" t="n"/>
      <c r="X899" s="47" t="n"/>
      <c r="Y899" s="48" t="n"/>
      <c r="Z899" s="49" t="n"/>
      <c r="AA899" s="49" t="n"/>
      <c r="AB899" s="49" t="n"/>
      <c r="AC899" s="50" t="n"/>
      <c r="AD899" s="43">
        <f>IF(Z899&lt;&gt;"",Z899,N(V899))</f>
        <v/>
      </c>
      <c r="AE899" s="43">
        <f>IF(AA899&lt;&gt;"",AA899,N(W899))</f>
        <v/>
      </c>
      <c r="AF899" s="43">
        <f>AD899+AE899</f>
        <v/>
      </c>
      <c r="AG899" s="42">
        <f>IF(UPPER(AC899)="Y",1,IF(AF899=0,0,IF(AND(Z899="",Y899&lt;&gt;""),IF(Y899&gt;=0.999,1,0),IF(AF899&gt;=U899,1,0))))</f>
        <v/>
      </c>
      <c r="AH899" s="44">
        <f>IF(AF899&gt;0,(AD899-AE899)/AF899,"")</f>
        <v/>
      </c>
      <c r="AI899" s="45">
        <f>IF(AG899=1,AH899-O899,"")</f>
        <v/>
      </c>
      <c r="AJ899" s="44">
        <f>IF(AG899=1,AH899,MAX(-1,MIN(1,O899+INDEX(Types!$H:$H,MATCH($A899&amp;"|"&amp;$D899,Types!$A:$A,0)))))</f>
        <v/>
      </c>
      <c r="AK899" s="43">
        <f>IF(AG899=1,AF899,MAX(AQ899*AS899,AF899))</f>
        <v/>
      </c>
      <c r="AL899" s="43">
        <f>IF(AG899=1,AD899,AK899*(1+AJ899)/2)</f>
        <v/>
      </c>
      <c r="AM899" s="43">
        <f>IF(AG899=1,AE899,AK899*(1-AJ899)/2)</f>
        <v/>
      </c>
      <c r="AN899" s="45">
        <f>IF(AH899="","",AH899-T899)</f>
        <v/>
      </c>
      <c r="AO899" s="51">
        <f>IF(AG899=1,1,IF(U899&gt;0,MIN(AF899/U899,0.99),0))</f>
        <v/>
      </c>
      <c r="AP899" s="43">
        <f>IF(AG899=1,AI899*AF899,0)</f>
        <v/>
      </c>
      <c r="AQ899" s="43">
        <f>N899*(F899+G899)/H899</f>
        <v/>
      </c>
      <c r="AR899" s="43">
        <f>O899*AQ899</f>
        <v/>
      </c>
      <c r="AS899" s="52">
        <f>IF(AG899=1,IF(AQ899&gt;0,AF899/AQ899,1),IFERROR(INDEX(Types!$K:$K,MATCH($A899&amp;"|"&amp;$D899,Types!$A:$A,0)),INDEX(Dashboard!$X$6:$X$22,MATCH($A899,Dashboard!$A$6:$A$22,0))))</f>
        <v/>
      </c>
      <c r="AT899" s="43">
        <f>AQ899*INDEX(Dashboard!$Y$6:$Y$22,MATCH($A899,Dashboard!$A$6:$A$22,0))</f>
        <v/>
      </c>
      <c r="AU899" s="53">
        <f>IF(AND(AG899=1,AT899&gt;0,AF899&gt;0),100*AF899/AT899,"")</f>
        <v/>
      </c>
      <c r="AV899" s="44">
        <f>IF(AU899="","",T899/(AU899/100))</f>
        <v/>
      </c>
      <c r="AW899" s="53">
        <f>IF(AU899="","",IF(AND(ABS(AH899)&gt;=0.1,ABS(T899)&gt;=0.05,SIGN(AH899)=SIGN(T899)),100*T899/AH899,""))</f>
        <v/>
      </c>
      <c r="AX899" s="45">
        <f>IF(AU899="","",T899-AV899)</f>
        <v/>
      </c>
      <c r="AY899" s="45">
        <f>IF(AU899="","",AH899-AV899)</f>
        <v/>
      </c>
      <c r="AZ899" s="54">
        <f>(AL899-AM899)-T899*AT899</f>
        <v/>
      </c>
      <c r="BA899" s="43">
        <f>IF(AU899="",0,(AH899-T899)*AF899)</f>
        <v/>
      </c>
      <c r="BB899" s="43">
        <f>IF(AU899="",0,T899*(AF899-AT899))</f>
        <v/>
      </c>
      <c r="BC899" s="51" t="n">
        <v>0.02342367352604366</v>
      </c>
      <c r="BD899" s="51" t="n">
        <v>0.02519346219245584</v>
      </c>
      <c r="BE899" s="51" t="n">
        <v>0.1384172225591268</v>
      </c>
      <c r="BF899" s="43" t="n">
        <v>28817</v>
      </c>
    </row>
    <row r="900">
      <c r="A900" s="42" t="inlineStr">
        <is>
          <t>OH</t>
        </is>
      </c>
      <c r="B900" s="42" t="inlineStr">
        <is>
          <t>39049</t>
        </is>
      </c>
      <c r="C900" s="42" t="inlineStr">
        <is>
          <t>Franklin</t>
        </is>
      </c>
      <c r="D900" s="42" t="inlineStr">
        <is>
          <t>Big metro core</t>
        </is>
      </c>
      <c r="E900" s="42" t="inlineStr">
        <is>
          <t>★</t>
        </is>
      </c>
      <c r="F900" s="43" t="n">
        <v>380518</v>
      </c>
      <c r="G900" s="43" t="n">
        <v>210830</v>
      </c>
      <c r="H900" s="43" t="n">
        <v>597530</v>
      </c>
      <c r="I900" s="43" t="n">
        <v>409144</v>
      </c>
      <c r="J900" s="43" t="n">
        <v>211237</v>
      </c>
      <c r="K900" s="42" t="inlineStr">
        <is>
          <t>US Senate</t>
        </is>
      </c>
      <c r="L900" s="43" t="n">
        <v>281505</v>
      </c>
      <c r="M900" s="43" t="n">
        <v>143263</v>
      </c>
      <c r="N900" s="43" t="n">
        <v>425060</v>
      </c>
      <c r="O900" s="44">
        <f>IFERROR((F900-G900)/(F900+G900),"")</f>
        <v/>
      </c>
      <c r="P900" s="44">
        <f>IFERROR((I900-J900)/(I900+J900),"")</f>
        <v/>
      </c>
      <c r="Q900" s="45">
        <f>IFERROR(O900-P900,"")</f>
        <v/>
      </c>
      <c r="R900" s="44">
        <f>IFERROR((L900-M900)/(L900+M900),"")</f>
        <v/>
      </c>
      <c r="S900" s="46">
        <f>H900/SUMIFS(Counties!$H$2:$H$1583,Counties!$A$2:$A$1583,$A900)</f>
        <v/>
      </c>
      <c r="T900" s="44">
        <f>O900+INDEX(Dashboard!$F$6:$F$22,MATCH($A900,Dashboard!$A$6:$A$22,0))</f>
        <v/>
      </c>
      <c r="U900" s="43">
        <f>AQ900*INDEX(Dashboard!$G$6:$G$22,MATCH($A900,Dashboard!$A$6:$A$22,0))</f>
        <v/>
      </c>
      <c r="V900" s="47" t="n"/>
      <c r="W900" s="47" t="n"/>
      <c r="X900" s="47" t="n"/>
      <c r="Y900" s="48" t="n"/>
      <c r="Z900" s="49" t="n"/>
      <c r="AA900" s="49" t="n"/>
      <c r="AB900" s="49" t="n"/>
      <c r="AC900" s="50" t="n"/>
      <c r="AD900" s="43">
        <f>IF(Z900&lt;&gt;"",Z900,N(V900))</f>
        <v/>
      </c>
      <c r="AE900" s="43">
        <f>IF(AA900&lt;&gt;"",AA900,N(W900))</f>
        <v/>
      </c>
      <c r="AF900" s="43">
        <f>AD900+AE900</f>
        <v/>
      </c>
      <c r="AG900" s="42">
        <f>IF(UPPER(AC900)="Y",1,IF(AF900=0,0,IF(AND(Z900="",Y900&lt;&gt;""),IF(Y900&gt;=0.999,1,0),IF(AF900&gt;=U900,1,0))))</f>
        <v/>
      </c>
      <c r="AH900" s="44">
        <f>IF(AF900&gt;0,(AD900-AE900)/AF900,"")</f>
        <v/>
      </c>
      <c r="AI900" s="45">
        <f>IF(AG900=1,AH900-O900,"")</f>
        <v/>
      </c>
      <c r="AJ900" s="44">
        <f>IF(AG900=1,AH900,MAX(-1,MIN(1,O900+INDEX(Types!$H:$H,MATCH($A900&amp;"|"&amp;$D900,Types!$A:$A,0)))))</f>
        <v/>
      </c>
      <c r="AK900" s="43">
        <f>IF(AG900=1,AF900,MAX(AQ900*AS900,AF900))</f>
        <v/>
      </c>
      <c r="AL900" s="43">
        <f>IF(AG900=1,AD900,AK900*(1+AJ900)/2)</f>
        <v/>
      </c>
      <c r="AM900" s="43">
        <f>IF(AG900=1,AE900,AK900*(1-AJ900)/2)</f>
        <v/>
      </c>
      <c r="AN900" s="45">
        <f>IF(AH900="","",AH900-T900)</f>
        <v/>
      </c>
      <c r="AO900" s="51">
        <f>IF(AG900=1,1,IF(U900&gt;0,MIN(AF900/U900,0.99),0))</f>
        <v/>
      </c>
      <c r="AP900" s="43">
        <f>IF(AG900=1,AI900*AF900,0)</f>
        <v/>
      </c>
      <c r="AQ900" s="43">
        <f>N900*(F900+G900)/H900</f>
        <v/>
      </c>
      <c r="AR900" s="43">
        <f>O900*AQ900</f>
        <v/>
      </c>
      <c r="AS900" s="52">
        <f>IF(AG900=1,IF(AQ900&gt;0,AF900/AQ900,1),IFERROR(INDEX(Types!$K:$K,MATCH($A900&amp;"|"&amp;$D900,Types!$A:$A,0)),INDEX(Dashboard!$X$6:$X$22,MATCH($A900,Dashboard!$A$6:$A$22,0))))</f>
        <v/>
      </c>
      <c r="AT900" s="43">
        <f>AQ900*INDEX(Dashboard!$Y$6:$Y$22,MATCH($A900,Dashboard!$A$6:$A$22,0))</f>
        <v/>
      </c>
      <c r="AU900" s="53">
        <f>IF(AND(AG900=1,AT900&gt;0,AF900&gt;0),100*AF900/AT900,"")</f>
        <v/>
      </c>
      <c r="AV900" s="44">
        <f>IF(AU900="","",T900/(AU900/100))</f>
        <v/>
      </c>
      <c r="AW900" s="53">
        <f>IF(AU900="","",IF(AND(ABS(AH900)&gt;=0.1,ABS(T900)&gt;=0.05,SIGN(AH900)=SIGN(T900)),100*T900/AH900,""))</f>
        <v/>
      </c>
      <c r="AX900" s="45">
        <f>IF(AU900="","",T900-AV900)</f>
        <v/>
      </c>
      <c r="AY900" s="45">
        <f>IF(AU900="","",AH900-AV900)</f>
        <v/>
      </c>
      <c r="AZ900" s="54">
        <f>(AL900-AM900)-T900*AT900</f>
        <v/>
      </c>
      <c r="BA900" s="43">
        <f>IF(AU900="",0,(AH900-T900)*AF900)</f>
        <v/>
      </c>
      <c r="BB900" s="43">
        <f>IF(AU900="",0,T900*(AF900-AT900))</f>
        <v/>
      </c>
      <c r="BC900" s="51" t="n">
        <v>0.2441068033720871</v>
      </c>
      <c r="BD900" s="51" t="n">
        <v>0.07532900020587258</v>
      </c>
      <c r="BE900" s="51" t="n">
        <v>0.4197052940016341</v>
      </c>
      <c r="BF900" s="43" t="n">
        <v>1326063</v>
      </c>
    </row>
    <row r="901">
      <c r="A901" s="42" t="inlineStr">
        <is>
          <t>OH</t>
        </is>
      </c>
      <c r="B901" s="42" t="inlineStr">
        <is>
          <t>39051</t>
        </is>
      </c>
      <c r="C901" s="42" t="inlineStr">
        <is>
          <t>Fulton</t>
        </is>
      </c>
      <c r="D901" s="42" t="inlineStr">
        <is>
          <t>Small town &amp; rural</t>
        </is>
      </c>
      <c r="E901" s="42" t="inlineStr"/>
      <c r="F901" s="43" t="n">
        <v>6374</v>
      </c>
      <c r="G901" s="43" t="n">
        <v>15893</v>
      </c>
      <c r="H901" s="43" t="n">
        <v>22452</v>
      </c>
      <c r="I901" s="43" t="n">
        <v>6664</v>
      </c>
      <c r="J901" s="43" t="n">
        <v>15731</v>
      </c>
      <c r="K901" s="42" t="inlineStr">
        <is>
          <t>US Senate</t>
        </is>
      </c>
      <c r="L901" s="43" t="n">
        <v>5299</v>
      </c>
      <c r="M901" s="43" t="n">
        <v>10906</v>
      </c>
      <c r="N901" s="43" t="n">
        <v>16207</v>
      </c>
      <c r="O901" s="44">
        <f>IFERROR((F901-G901)/(F901+G901),"")</f>
        <v/>
      </c>
      <c r="P901" s="44">
        <f>IFERROR((I901-J901)/(I901+J901),"")</f>
        <v/>
      </c>
      <c r="Q901" s="45">
        <f>IFERROR(O901-P901,"")</f>
        <v/>
      </c>
      <c r="R901" s="44">
        <f>IFERROR((L901-M901)/(L901+M901),"")</f>
        <v/>
      </c>
      <c r="S901" s="46">
        <f>H901/SUMIFS(Counties!$H$2:$H$1583,Counties!$A$2:$A$1583,$A901)</f>
        <v/>
      </c>
      <c r="T901" s="44">
        <f>O901+INDEX(Dashboard!$F$6:$F$22,MATCH($A901,Dashboard!$A$6:$A$22,0))</f>
        <v/>
      </c>
      <c r="U901" s="43">
        <f>AQ901*INDEX(Dashboard!$G$6:$G$22,MATCH($A901,Dashboard!$A$6:$A$22,0))</f>
        <v/>
      </c>
      <c r="V901" s="47" t="n"/>
      <c r="W901" s="47" t="n"/>
      <c r="X901" s="47" t="n"/>
      <c r="Y901" s="48" t="n"/>
      <c r="Z901" s="49" t="n"/>
      <c r="AA901" s="49" t="n"/>
      <c r="AB901" s="49" t="n"/>
      <c r="AC901" s="50" t="n"/>
      <c r="AD901" s="43">
        <f>IF(Z901&lt;&gt;"",Z901,N(V901))</f>
        <v/>
      </c>
      <c r="AE901" s="43">
        <f>IF(AA901&lt;&gt;"",AA901,N(W901))</f>
        <v/>
      </c>
      <c r="AF901" s="43">
        <f>AD901+AE901</f>
        <v/>
      </c>
      <c r="AG901" s="42">
        <f>IF(UPPER(AC901)="Y",1,IF(AF901=0,0,IF(AND(Z901="",Y901&lt;&gt;""),IF(Y901&gt;=0.999,1,0),IF(AF901&gt;=U901,1,0))))</f>
        <v/>
      </c>
      <c r="AH901" s="44">
        <f>IF(AF901&gt;0,(AD901-AE901)/AF901,"")</f>
        <v/>
      </c>
      <c r="AI901" s="45">
        <f>IF(AG901=1,AH901-O901,"")</f>
        <v/>
      </c>
      <c r="AJ901" s="44">
        <f>IF(AG901=1,AH901,MAX(-1,MIN(1,O901+INDEX(Types!$H:$H,MATCH($A901&amp;"|"&amp;$D901,Types!$A:$A,0)))))</f>
        <v/>
      </c>
      <c r="AK901" s="43">
        <f>IF(AG901=1,AF901,MAX(AQ901*AS901,AF901))</f>
        <v/>
      </c>
      <c r="AL901" s="43">
        <f>IF(AG901=1,AD901,AK901*(1+AJ901)/2)</f>
        <v/>
      </c>
      <c r="AM901" s="43">
        <f>IF(AG901=1,AE901,AK901*(1-AJ901)/2)</f>
        <v/>
      </c>
      <c r="AN901" s="45">
        <f>IF(AH901="","",AH901-T901)</f>
        <v/>
      </c>
      <c r="AO901" s="51">
        <f>IF(AG901=1,1,IF(U901&gt;0,MIN(AF901/U901,0.99),0))</f>
        <v/>
      </c>
      <c r="AP901" s="43">
        <f>IF(AG901=1,AI901*AF901,0)</f>
        <v/>
      </c>
      <c r="AQ901" s="43">
        <f>N901*(F901+G901)/H901</f>
        <v/>
      </c>
      <c r="AR901" s="43">
        <f>O901*AQ901</f>
        <v/>
      </c>
      <c r="AS901" s="52">
        <f>IF(AG901=1,IF(AQ901&gt;0,AF901/AQ901,1),IFERROR(INDEX(Types!$K:$K,MATCH($A901&amp;"|"&amp;$D901,Types!$A:$A,0)),INDEX(Dashboard!$X$6:$X$22,MATCH($A901,Dashboard!$A$6:$A$22,0))))</f>
        <v/>
      </c>
      <c r="AT901" s="43">
        <f>AQ901*INDEX(Dashboard!$Y$6:$Y$22,MATCH($A901,Dashboard!$A$6:$A$22,0))</f>
        <v/>
      </c>
      <c r="AU901" s="53">
        <f>IF(AND(AG901=1,AT901&gt;0,AF901&gt;0),100*AF901/AT901,"")</f>
        <v/>
      </c>
      <c r="AV901" s="44">
        <f>IF(AU901="","",T901/(AU901/100))</f>
        <v/>
      </c>
      <c r="AW901" s="53">
        <f>IF(AU901="","",IF(AND(ABS(AH901)&gt;=0.1,ABS(T901)&gt;=0.05,SIGN(AH901)=SIGN(T901)),100*T901/AH901,""))</f>
        <v/>
      </c>
      <c r="AX901" s="45">
        <f>IF(AU901="","",T901-AV901)</f>
        <v/>
      </c>
      <c r="AY901" s="45">
        <f>IF(AU901="","",AH901-AV901)</f>
        <v/>
      </c>
      <c r="AZ901" s="54">
        <f>(AL901-AM901)-T901*AT901</f>
        <v/>
      </c>
      <c r="BA901" s="43">
        <f>IF(AU901="",0,(AH901-T901)*AF901)</f>
        <v/>
      </c>
      <c r="BB901" s="43">
        <f>IF(AU901="",0,T901*(AF901-AT901))</f>
        <v/>
      </c>
      <c r="BC901" s="51" t="n">
        <v>0.007665389101816364</v>
      </c>
      <c r="BD901" s="51" t="n">
        <v>0.09424619706239436</v>
      </c>
      <c r="BE901" s="51" t="n">
        <v>0.1883766167286626</v>
      </c>
      <c r="BF901" s="43" t="n">
        <v>42007</v>
      </c>
    </row>
    <row r="902">
      <c r="A902" s="42" t="inlineStr">
        <is>
          <t>OH</t>
        </is>
      </c>
      <c r="B902" s="42" t="inlineStr">
        <is>
          <t>39053</t>
        </is>
      </c>
      <c r="C902" s="42" t="inlineStr">
        <is>
          <t>Gallia</t>
        </is>
      </c>
      <c r="D902" s="42" t="inlineStr">
        <is>
          <t>Small town &amp; rural</t>
        </is>
      </c>
      <c r="E902" s="42" t="inlineStr"/>
      <c r="F902" s="43" t="n">
        <v>2592</v>
      </c>
      <c r="G902" s="43" t="n">
        <v>10314</v>
      </c>
      <c r="H902" s="43" t="n">
        <v>13000</v>
      </c>
      <c r="I902" s="43" t="n">
        <v>2990</v>
      </c>
      <c r="J902" s="43" t="n">
        <v>10645</v>
      </c>
      <c r="K902" s="42" t="inlineStr">
        <is>
          <t>US Senate</t>
        </is>
      </c>
      <c r="L902" s="43" t="n">
        <v>2116</v>
      </c>
      <c r="M902" s="43" t="n">
        <v>6993</v>
      </c>
      <c r="N902" s="43" t="n">
        <v>9114</v>
      </c>
      <c r="O902" s="44">
        <f>IFERROR((F902-G902)/(F902+G902),"")</f>
        <v/>
      </c>
      <c r="P902" s="44">
        <f>IFERROR((I902-J902)/(I902+J902),"")</f>
        <v/>
      </c>
      <c r="Q902" s="45">
        <f>IFERROR(O902-P902,"")</f>
        <v/>
      </c>
      <c r="R902" s="44">
        <f>IFERROR((L902-M902)/(L902+M902),"")</f>
        <v/>
      </c>
      <c r="S902" s="46">
        <f>H902/SUMIFS(Counties!$H$2:$H$1583,Counties!$A$2:$A$1583,$A902)</f>
        <v/>
      </c>
      <c r="T902" s="44">
        <f>O902+INDEX(Dashboard!$F$6:$F$22,MATCH($A902,Dashboard!$A$6:$A$22,0))</f>
        <v/>
      </c>
      <c r="U902" s="43">
        <f>AQ902*INDEX(Dashboard!$G$6:$G$22,MATCH($A902,Dashboard!$A$6:$A$22,0))</f>
        <v/>
      </c>
      <c r="V902" s="47" t="n"/>
      <c r="W902" s="47" t="n"/>
      <c r="X902" s="47" t="n"/>
      <c r="Y902" s="48" t="n"/>
      <c r="Z902" s="49" t="n"/>
      <c r="AA902" s="49" t="n"/>
      <c r="AB902" s="49" t="n"/>
      <c r="AC902" s="50" t="n"/>
      <c r="AD902" s="43">
        <f>IF(Z902&lt;&gt;"",Z902,N(V902))</f>
        <v/>
      </c>
      <c r="AE902" s="43">
        <f>IF(AA902&lt;&gt;"",AA902,N(W902))</f>
        <v/>
      </c>
      <c r="AF902" s="43">
        <f>AD902+AE902</f>
        <v/>
      </c>
      <c r="AG902" s="42">
        <f>IF(UPPER(AC902)="Y",1,IF(AF902=0,0,IF(AND(Z902="",Y902&lt;&gt;""),IF(Y902&gt;=0.999,1,0),IF(AF902&gt;=U902,1,0))))</f>
        <v/>
      </c>
      <c r="AH902" s="44">
        <f>IF(AF902&gt;0,(AD902-AE902)/AF902,"")</f>
        <v/>
      </c>
      <c r="AI902" s="45">
        <f>IF(AG902=1,AH902-O902,"")</f>
        <v/>
      </c>
      <c r="AJ902" s="44">
        <f>IF(AG902=1,AH902,MAX(-1,MIN(1,O902+INDEX(Types!$H:$H,MATCH($A902&amp;"|"&amp;$D902,Types!$A:$A,0)))))</f>
        <v/>
      </c>
      <c r="AK902" s="43">
        <f>IF(AG902=1,AF902,MAX(AQ902*AS902,AF902))</f>
        <v/>
      </c>
      <c r="AL902" s="43">
        <f>IF(AG902=1,AD902,AK902*(1+AJ902)/2)</f>
        <v/>
      </c>
      <c r="AM902" s="43">
        <f>IF(AG902=1,AE902,AK902*(1-AJ902)/2)</f>
        <v/>
      </c>
      <c r="AN902" s="45">
        <f>IF(AH902="","",AH902-T902)</f>
        <v/>
      </c>
      <c r="AO902" s="51">
        <f>IF(AG902=1,1,IF(U902&gt;0,MIN(AF902/U902,0.99),0))</f>
        <v/>
      </c>
      <c r="AP902" s="43">
        <f>IF(AG902=1,AI902*AF902,0)</f>
        <v/>
      </c>
      <c r="AQ902" s="43">
        <f>N902*(F902+G902)/H902</f>
        <v/>
      </c>
      <c r="AR902" s="43">
        <f>O902*AQ902</f>
        <v/>
      </c>
      <c r="AS902" s="52">
        <f>IF(AG902=1,IF(AQ902&gt;0,AF902/AQ902,1),IFERROR(INDEX(Types!$K:$K,MATCH($A902&amp;"|"&amp;$D902,Types!$A:$A,0)),INDEX(Dashboard!$X$6:$X$22,MATCH($A902,Dashboard!$A$6:$A$22,0))))</f>
        <v/>
      </c>
      <c r="AT902" s="43">
        <f>AQ902*INDEX(Dashboard!$Y$6:$Y$22,MATCH($A902,Dashboard!$A$6:$A$22,0))</f>
        <v/>
      </c>
      <c r="AU902" s="53">
        <f>IF(AND(AG902=1,AT902&gt;0,AF902&gt;0),100*AF902/AT902,"")</f>
        <v/>
      </c>
      <c r="AV902" s="44">
        <f>IF(AU902="","",T902/(AU902/100))</f>
        <v/>
      </c>
      <c r="AW902" s="53">
        <f>IF(AU902="","",IF(AND(ABS(AH902)&gt;=0.1,ABS(T902)&gt;=0.05,SIGN(AH902)=SIGN(T902)),100*T902/AH902,""))</f>
        <v/>
      </c>
      <c r="AX902" s="45">
        <f>IF(AU902="","",T902-AV902)</f>
        <v/>
      </c>
      <c r="AY902" s="45">
        <f>IF(AU902="","",AH902-AV902)</f>
        <v/>
      </c>
      <c r="AZ902" s="54">
        <f>(AL902-AM902)-T902*AT902</f>
        <v/>
      </c>
      <c r="BA902" s="43">
        <f>IF(AU902="",0,(AH902-T902)*AF902)</f>
        <v/>
      </c>
      <c r="BB902" s="43">
        <f>IF(AU902="",0,T902*(AF902-AT902))</f>
        <v/>
      </c>
      <c r="BC902" s="51" t="n">
        <v>0.02128613813565169</v>
      </c>
      <c r="BD902" s="51" t="n">
        <v>0.01159180293935003</v>
      </c>
      <c r="BE902" s="51" t="n">
        <v>0.179012656951238</v>
      </c>
      <c r="BF902" s="43" t="n">
        <v>28986</v>
      </c>
    </row>
    <row r="903">
      <c r="A903" s="42" t="inlineStr">
        <is>
          <t>OH</t>
        </is>
      </c>
      <c r="B903" s="42" t="inlineStr">
        <is>
          <t>39055</t>
        </is>
      </c>
      <c r="C903" s="42" t="inlineStr">
        <is>
          <t>Geauga</t>
        </is>
      </c>
      <c r="D903" s="42" t="inlineStr">
        <is>
          <t>Small town &amp; rural</t>
        </is>
      </c>
      <c r="E903" s="42" t="inlineStr"/>
      <c r="F903" s="43" t="n">
        <v>20604</v>
      </c>
      <c r="G903" s="43" t="n">
        <v>33844</v>
      </c>
      <c r="H903" s="43" t="n">
        <v>54886</v>
      </c>
      <c r="I903" s="43" t="n">
        <v>21201</v>
      </c>
      <c r="J903" s="43" t="n">
        <v>34143</v>
      </c>
      <c r="K903" s="42" t="inlineStr">
        <is>
          <t>US Senate</t>
        </is>
      </c>
      <c r="L903" s="43" t="n">
        <v>17348</v>
      </c>
      <c r="M903" s="43" t="n">
        <v>25331</v>
      </c>
      <c r="N903" s="43" t="n">
        <v>42694</v>
      </c>
      <c r="O903" s="44">
        <f>IFERROR((F903-G903)/(F903+G903),"")</f>
        <v/>
      </c>
      <c r="P903" s="44">
        <f>IFERROR((I903-J903)/(I903+J903),"")</f>
        <v/>
      </c>
      <c r="Q903" s="45">
        <f>IFERROR(O903-P903,"")</f>
        <v/>
      </c>
      <c r="R903" s="44">
        <f>IFERROR((L903-M903)/(L903+M903),"")</f>
        <v/>
      </c>
      <c r="S903" s="46">
        <f>H903/SUMIFS(Counties!$H$2:$H$1583,Counties!$A$2:$A$1583,$A903)</f>
        <v/>
      </c>
      <c r="T903" s="44">
        <f>O903+INDEX(Dashboard!$F$6:$F$22,MATCH($A903,Dashboard!$A$6:$A$22,0))</f>
        <v/>
      </c>
      <c r="U903" s="43">
        <f>AQ903*INDEX(Dashboard!$G$6:$G$22,MATCH($A903,Dashboard!$A$6:$A$22,0))</f>
        <v/>
      </c>
      <c r="V903" s="47" t="n"/>
      <c r="W903" s="47" t="n"/>
      <c r="X903" s="47" t="n"/>
      <c r="Y903" s="48" t="n"/>
      <c r="Z903" s="49" t="n"/>
      <c r="AA903" s="49" t="n"/>
      <c r="AB903" s="49" t="n"/>
      <c r="AC903" s="50" t="n"/>
      <c r="AD903" s="43">
        <f>IF(Z903&lt;&gt;"",Z903,N(V903))</f>
        <v/>
      </c>
      <c r="AE903" s="43">
        <f>IF(AA903&lt;&gt;"",AA903,N(W903))</f>
        <v/>
      </c>
      <c r="AF903" s="43">
        <f>AD903+AE903</f>
        <v/>
      </c>
      <c r="AG903" s="42">
        <f>IF(UPPER(AC903)="Y",1,IF(AF903=0,0,IF(AND(Z903="",Y903&lt;&gt;""),IF(Y903&gt;=0.999,1,0),IF(AF903&gt;=U903,1,0))))</f>
        <v/>
      </c>
      <c r="AH903" s="44">
        <f>IF(AF903&gt;0,(AD903-AE903)/AF903,"")</f>
        <v/>
      </c>
      <c r="AI903" s="45">
        <f>IF(AG903=1,AH903-O903,"")</f>
        <v/>
      </c>
      <c r="AJ903" s="44">
        <f>IF(AG903=1,AH903,MAX(-1,MIN(1,O903+INDEX(Types!$H:$H,MATCH($A903&amp;"|"&amp;$D903,Types!$A:$A,0)))))</f>
        <v/>
      </c>
      <c r="AK903" s="43">
        <f>IF(AG903=1,AF903,MAX(AQ903*AS903,AF903))</f>
        <v/>
      </c>
      <c r="AL903" s="43">
        <f>IF(AG903=1,AD903,AK903*(1+AJ903)/2)</f>
        <v/>
      </c>
      <c r="AM903" s="43">
        <f>IF(AG903=1,AE903,AK903*(1-AJ903)/2)</f>
        <v/>
      </c>
      <c r="AN903" s="45">
        <f>IF(AH903="","",AH903-T903)</f>
        <v/>
      </c>
      <c r="AO903" s="51">
        <f>IF(AG903=1,1,IF(U903&gt;0,MIN(AF903/U903,0.99),0))</f>
        <v/>
      </c>
      <c r="AP903" s="43">
        <f>IF(AG903=1,AI903*AF903,0)</f>
        <v/>
      </c>
      <c r="AQ903" s="43">
        <f>N903*(F903+G903)/H903</f>
        <v/>
      </c>
      <c r="AR903" s="43">
        <f>O903*AQ903</f>
        <v/>
      </c>
      <c r="AS903" s="52">
        <f>IF(AG903=1,IF(AQ903&gt;0,AF903/AQ903,1),IFERROR(INDEX(Types!$K:$K,MATCH($A903&amp;"|"&amp;$D903,Types!$A:$A,0)),INDEX(Dashboard!$X$6:$X$22,MATCH($A903,Dashboard!$A$6:$A$22,0))))</f>
        <v/>
      </c>
      <c r="AT903" s="43">
        <f>AQ903*INDEX(Dashboard!$Y$6:$Y$22,MATCH($A903,Dashboard!$A$6:$A$22,0))</f>
        <v/>
      </c>
      <c r="AU903" s="53">
        <f>IF(AND(AG903=1,AT903&gt;0,AF903&gt;0),100*AF903/AT903,"")</f>
        <v/>
      </c>
      <c r="AV903" s="44">
        <f>IF(AU903="","",T903/(AU903/100))</f>
        <v/>
      </c>
      <c r="AW903" s="53">
        <f>IF(AU903="","",IF(AND(ABS(AH903)&gt;=0.1,ABS(T903)&gt;=0.05,SIGN(AH903)=SIGN(T903)),100*T903/AH903,""))</f>
        <v/>
      </c>
      <c r="AX903" s="45">
        <f>IF(AU903="","",T903-AV903)</f>
        <v/>
      </c>
      <c r="AY903" s="45">
        <f>IF(AU903="","",AH903-AV903)</f>
        <v/>
      </c>
      <c r="AZ903" s="54">
        <f>(AL903-AM903)-T903*AT903</f>
        <v/>
      </c>
      <c r="BA903" s="43">
        <f>IF(AU903="",0,(AH903-T903)*AF903)</f>
        <v/>
      </c>
      <c r="BB903" s="43">
        <f>IF(AU903="",0,T903*(AF903-AT903))</f>
        <v/>
      </c>
      <c r="BC903" s="51" t="n">
        <v>0.01316465248881109</v>
      </c>
      <c r="BD903" s="51" t="n">
        <v>0.02050164034085549</v>
      </c>
      <c r="BE903" s="51" t="n">
        <v>0.3872429470388101</v>
      </c>
      <c r="BF903" s="43" t="n">
        <v>95407</v>
      </c>
    </row>
    <row r="904">
      <c r="A904" s="42" t="inlineStr">
        <is>
          <t>OH</t>
        </is>
      </c>
      <c r="B904" s="42" t="inlineStr">
        <is>
          <t>39057</t>
        </is>
      </c>
      <c r="C904" s="42" t="inlineStr">
        <is>
          <t>Greene</t>
        </is>
      </c>
      <c r="D904" s="42" t="inlineStr">
        <is>
          <t>College suburb/metro</t>
        </is>
      </c>
      <c r="E904" s="42" t="inlineStr"/>
      <c r="F904" s="43" t="n">
        <v>35575</v>
      </c>
      <c r="G904" s="43" t="n">
        <v>53399</v>
      </c>
      <c r="H904" s="43" t="n">
        <v>90031</v>
      </c>
      <c r="I904" s="43" t="n">
        <v>34798</v>
      </c>
      <c r="J904" s="43" t="n">
        <v>52072</v>
      </c>
      <c r="K904" s="42" t="inlineStr">
        <is>
          <t>US Senate</t>
        </is>
      </c>
      <c r="L904" s="43" t="n">
        <v>26490</v>
      </c>
      <c r="M904" s="43" t="n">
        <v>39189</v>
      </c>
      <c r="N904" s="43" t="n">
        <v>65716</v>
      </c>
      <c r="O904" s="44">
        <f>IFERROR((F904-G904)/(F904+G904),"")</f>
        <v/>
      </c>
      <c r="P904" s="44">
        <f>IFERROR((I904-J904)/(I904+J904),"")</f>
        <v/>
      </c>
      <c r="Q904" s="45">
        <f>IFERROR(O904-P904,"")</f>
        <v/>
      </c>
      <c r="R904" s="44">
        <f>IFERROR((L904-M904)/(L904+M904),"")</f>
        <v/>
      </c>
      <c r="S904" s="46">
        <f>H904/SUMIFS(Counties!$H$2:$H$1583,Counties!$A$2:$A$1583,$A904)</f>
        <v/>
      </c>
      <c r="T904" s="44">
        <f>O904+INDEX(Dashboard!$F$6:$F$22,MATCH($A904,Dashboard!$A$6:$A$22,0))</f>
        <v/>
      </c>
      <c r="U904" s="43">
        <f>AQ904*INDEX(Dashboard!$G$6:$G$22,MATCH($A904,Dashboard!$A$6:$A$22,0))</f>
        <v/>
      </c>
      <c r="V904" s="47" t="n"/>
      <c r="W904" s="47" t="n"/>
      <c r="X904" s="47" t="n"/>
      <c r="Y904" s="48" t="n"/>
      <c r="Z904" s="49" t="n"/>
      <c r="AA904" s="49" t="n"/>
      <c r="AB904" s="49" t="n"/>
      <c r="AC904" s="50" t="n"/>
      <c r="AD904" s="43">
        <f>IF(Z904&lt;&gt;"",Z904,N(V904))</f>
        <v/>
      </c>
      <c r="AE904" s="43">
        <f>IF(AA904&lt;&gt;"",AA904,N(W904))</f>
        <v/>
      </c>
      <c r="AF904" s="43">
        <f>AD904+AE904</f>
        <v/>
      </c>
      <c r="AG904" s="42">
        <f>IF(UPPER(AC904)="Y",1,IF(AF904=0,0,IF(AND(Z904="",Y904&lt;&gt;""),IF(Y904&gt;=0.999,1,0),IF(AF904&gt;=U904,1,0))))</f>
        <v/>
      </c>
      <c r="AH904" s="44">
        <f>IF(AF904&gt;0,(AD904-AE904)/AF904,"")</f>
        <v/>
      </c>
      <c r="AI904" s="45">
        <f>IF(AG904=1,AH904-O904,"")</f>
        <v/>
      </c>
      <c r="AJ904" s="44">
        <f>IF(AG904=1,AH904,MAX(-1,MIN(1,O904+INDEX(Types!$H:$H,MATCH($A904&amp;"|"&amp;$D904,Types!$A:$A,0)))))</f>
        <v/>
      </c>
      <c r="AK904" s="43">
        <f>IF(AG904=1,AF904,MAX(AQ904*AS904,AF904))</f>
        <v/>
      </c>
      <c r="AL904" s="43">
        <f>IF(AG904=1,AD904,AK904*(1+AJ904)/2)</f>
        <v/>
      </c>
      <c r="AM904" s="43">
        <f>IF(AG904=1,AE904,AK904*(1-AJ904)/2)</f>
        <v/>
      </c>
      <c r="AN904" s="45">
        <f>IF(AH904="","",AH904-T904)</f>
        <v/>
      </c>
      <c r="AO904" s="51">
        <f>IF(AG904=1,1,IF(U904&gt;0,MIN(AF904/U904,0.99),0))</f>
        <v/>
      </c>
      <c r="AP904" s="43">
        <f>IF(AG904=1,AI904*AF904,0)</f>
        <v/>
      </c>
      <c r="AQ904" s="43">
        <f>N904*(F904+G904)/H904</f>
        <v/>
      </c>
      <c r="AR904" s="43">
        <f>O904*AQ904</f>
        <v/>
      </c>
      <c r="AS904" s="52">
        <f>IF(AG904=1,IF(AQ904&gt;0,AF904/AQ904,1),IFERROR(INDEX(Types!$K:$K,MATCH($A904&amp;"|"&amp;$D904,Types!$A:$A,0)),INDEX(Dashboard!$X$6:$X$22,MATCH($A904,Dashboard!$A$6:$A$22,0))))</f>
        <v/>
      </c>
      <c r="AT904" s="43">
        <f>AQ904*INDEX(Dashboard!$Y$6:$Y$22,MATCH($A904,Dashboard!$A$6:$A$22,0))</f>
        <v/>
      </c>
      <c r="AU904" s="53">
        <f>IF(AND(AG904=1,AT904&gt;0,AF904&gt;0),100*AF904/AT904,"")</f>
        <v/>
      </c>
      <c r="AV904" s="44">
        <f>IF(AU904="","",T904/(AU904/100))</f>
        <v/>
      </c>
      <c r="AW904" s="53">
        <f>IF(AU904="","",IF(AND(ABS(AH904)&gt;=0.1,ABS(T904)&gt;=0.05,SIGN(AH904)=SIGN(T904)),100*T904/AH904,""))</f>
        <v/>
      </c>
      <c r="AX904" s="45">
        <f>IF(AU904="","",T904-AV904)</f>
        <v/>
      </c>
      <c r="AY904" s="45">
        <f>IF(AU904="","",AH904-AV904)</f>
        <v/>
      </c>
      <c r="AZ904" s="54">
        <f>(AL904-AM904)-T904*AT904</f>
        <v/>
      </c>
      <c r="BA904" s="43">
        <f>IF(AU904="",0,(AH904-T904)*AF904)</f>
        <v/>
      </c>
      <c r="BB904" s="43">
        <f>IF(AU904="",0,T904*(AF904-AT904))</f>
        <v/>
      </c>
      <c r="BC904" s="51" t="n">
        <v>0.07090535149182926</v>
      </c>
      <c r="BD904" s="51" t="n">
        <v>0.03396762350389826</v>
      </c>
      <c r="BE904" s="51" t="n">
        <v>0.4128698509236443</v>
      </c>
      <c r="BF904" s="43" t="n">
        <v>169691</v>
      </c>
    </row>
    <row r="905">
      <c r="A905" s="42" t="inlineStr">
        <is>
          <t>OH</t>
        </is>
      </c>
      <c r="B905" s="42" t="inlineStr">
        <is>
          <t>39059</t>
        </is>
      </c>
      <c r="C905" s="42" t="inlineStr">
        <is>
          <t>Guernsey</t>
        </is>
      </c>
      <c r="D905" s="42" t="inlineStr">
        <is>
          <t>Small town &amp; rural</t>
        </is>
      </c>
      <c r="E905" s="42" t="inlineStr"/>
      <c r="F905" s="43" t="n">
        <v>4154</v>
      </c>
      <c r="G905" s="43" t="n">
        <v>13314</v>
      </c>
      <c r="H905" s="43" t="n">
        <v>17594</v>
      </c>
      <c r="I905" s="43" t="n">
        <v>4577</v>
      </c>
      <c r="J905" s="43" t="n">
        <v>13407</v>
      </c>
      <c r="K905" s="42" t="inlineStr">
        <is>
          <t>US Senate</t>
        </is>
      </c>
      <c r="L905" s="43" t="n">
        <v>3505</v>
      </c>
      <c r="M905" s="43" t="n">
        <v>8678</v>
      </c>
      <c r="N905" s="43" t="n">
        <v>12192</v>
      </c>
      <c r="O905" s="44">
        <f>IFERROR((F905-G905)/(F905+G905),"")</f>
        <v/>
      </c>
      <c r="P905" s="44">
        <f>IFERROR((I905-J905)/(I905+J905),"")</f>
        <v/>
      </c>
      <c r="Q905" s="45">
        <f>IFERROR(O905-P905,"")</f>
        <v/>
      </c>
      <c r="R905" s="44">
        <f>IFERROR((L905-M905)/(L905+M905),"")</f>
        <v/>
      </c>
      <c r="S905" s="46">
        <f>H905/SUMIFS(Counties!$H$2:$H$1583,Counties!$A$2:$A$1583,$A905)</f>
        <v/>
      </c>
      <c r="T905" s="44">
        <f>O905+INDEX(Dashboard!$F$6:$F$22,MATCH($A905,Dashboard!$A$6:$A$22,0))</f>
        <v/>
      </c>
      <c r="U905" s="43">
        <f>AQ905*INDEX(Dashboard!$G$6:$G$22,MATCH($A905,Dashboard!$A$6:$A$22,0))</f>
        <v/>
      </c>
      <c r="V905" s="47" t="n"/>
      <c r="W905" s="47" t="n"/>
      <c r="X905" s="47" t="n"/>
      <c r="Y905" s="48" t="n"/>
      <c r="Z905" s="49" t="n"/>
      <c r="AA905" s="49" t="n"/>
      <c r="AB905" s="49" t="n"/>
      <c r="AC905" s="50" t="n"/>
      <c r="AD905" s="43">
        <f>IF(Z905&lt;&gt;"",Z905,N(V905))</f>
        <v/>
      </c>
      <c r="AE905" s="43">
        <f>IF(AA905&lt;&gt;"",AA905,N(W905))</f>
        <v/>
      </c>
      <c r="AF905" s="43">
        <f>AD905+AE905</f>
        <v/>
      </c>
      <c r="AG905" s="42">
        <f>IF(UPPER(AC905)="Y",1,IF(AF905=0,0,IF(AND(Z905="",Y905&lt;&gt;""),IF(Y905&gt;=0.999,1,0),IF(AF905&gt;=U905,1,0))))</f>
        <v/>
      </c>
      <c r="AH905" s="44">
        <f>IF(AF905&gt;0,(AD905-AE905)/AF905,"")</f>
        <v/>
      </c>
      <c r="AI905" s="45">
        <f>IF(AG905=1,AH905-O905,"")</f>
        <v/>
      </c>
      <c r="AJ905" s="44">
        <f>IF(AG905=1,AH905,MAX(-1,MIN(1,O905+INDEX(Types!$H:$H,MATCH($A905&amp;"|"&amp;$D905,Types!$A:$A,0)))))</f>
        <v/>
      </c>
      <c r="AK905" s="43">
        <f>IF(AG905=1,AF905,MAX(AQ905*AS905,AF905))</f>
        <v/>
      </c>
      <c r="AL905" s="43">
        <f>IF(AG905=1,AD905,AK905*(1+AJ905)/2)</f>
        <v/>
      </c>
      <c r="AM905" s="43">
        <f>IF(AG905=1,AE905,AK905*(1-AJ905)/2)</f>
        <v/>
      </c>
      <c r="AN905" s="45">
        <f>IF(AH905="","",AH905-T905)</f>
        <v/>
      </c>
      <c r="AO905" s="51">
        <f>IF(AG905=1,1,IF(U905&gt;0,MIN(AF905/U905,0.99),0))</f>
        <v/>
      </c>
      <c r="AP905" s="43">
        <f>IF(AG905=1,AI905*AF905,0)</f>
        <v/>
      </c>
      <c r="AQ905" s="43">
        <f>N905*(F905+G905)/H905</f>
        <v/>
      </c>
      <c r="AR905" s="43">
        <f>O905*AQ905</f>
        <v/>
      </c>
      <c r="AS905" s="52">
        <f>IF(AG905=1,IF(AQ905&gt;0,AF905/AQ905,1),IFERROR(INDEX(Types!$K:$K,MATCH($A905&amp;"|"&amp;$D905,Types!$A:$A,0)),INDEX(Dashboard!$X$6:$X$22,MATCH($A905,Dashboard!$A$6:$A$22,0))))</f>
        <v/>
      </c>
      <c r="AT905" s="43">
        <f>AQ905*INDEX(Dashboard!$Y$6:$Y$22,MATCH($A905,Dashboard!$A$6:$A$22,0))</f>
        <v/>
      </c>
      <c r="AU905" s="53">
        <f>IF(AND(AG905=1,AT905&gt;0,AF905&gt;0),100*AF905/AT905,"")</f>
        <v/>
      </c>
      <c r="AV905" s="44">
        <f>IF(AU905="","",T905/(AU905/100))</f>
        <v/>
      </c>
      <c r="AW905" s="53">
        <f>IF(AU905="","",IF(AND(ABS(AH905)&gt;=0.1,ABS(T905)&gt;=0.05,SIGN(AH905)=SIGN(T905)),100*T905/AH905,""))</f>
        <v/>
      </c>
      <c r="AX905" s="45">
        <f>IF(AU905="","",T905-AV905)</f>
        <v/>
      </c>
      <c r="AY905" s="45">
        <f>IF(AU905="","",AH905-AV905)</f>
        <v/>
      </c>
      <c r="AZ905" s="54">
        <f>(AL905-AM905)-T905*AT905</f>
        <v/>
      </c>
      <c r="BA905" s="43">
        <f>IF(AU905="",0,(AH905-T905)*AF905)</f>
        <v/>
      </c>
      <c r="BB905" s="43">
        <f>IF(AU905="",0,T905*(AF905-AT905))</f>
        <v/>
      </c>
      <c r="BC905" s="51" t="n">
        <v>0.01591010527973956</v>
      </c>
      <c r="BD905" s="51" t="n">
        <v>0.01412481293811862</v>
      </c>
      <c r="BE905" s="51" t="n">
        <v>0.1534949329967705</v>
      </c>
      <c r="BF905" s="43" t="n">
        <v>38089</v>
      </c>
    </row>
    <row r="906">
      <c r="A906" s="42" t="inlineStr">
        <is>
          <t>OH</t>
        </is>
      </c>
      <c r="B906" s="42" t="inlineStr">
        <is>
          <t>39061</t>
        </is>
      </c>
      <c r="C906" s="42" t="inlineStr">
        <is>
          <t>Hamilton</t>
        </is>
      </c>
      <c r="D906" s="42" t="inlineStr">
        <is>
          <t>Big metro core</t>
        </is>
      </c>
      <c r="E906" s="42" t="inlineStr">
        <is>
          <t>★</t>
        </is>
      </c>
      <c r="F906" s="43" t="n">
        <v>233360</v>
      </c>
      <c r="G906" s="43" t="n">
        <v>172365</v>
      </c>
      <c r="H906" s="43" t="n">
        <v>409753</v>
      </c>
      <c r="I906" s="43" t="n">
        <v>246266</v>
      </c>
      <c r="J906" s="43" t="n">
        <v>177886</v>
      </c>
      <c r="K906" s="42" t="inlineStr">
        <is>
          <t>US Senate</t>
        </is>
      </c>
      <c r="L906" s="43" t="n">
        <v>174511</v>
      </c>
      <c r="M906" s="43" t="n">
        <v>127792</v>
      </c>
      <c r="N906" s="43" t="n">
        <v>302486</v>
      </c>
      <c r="O906" s="44">
        <f>IFERROR((F906-G906)/(F906+G906),"")</f>
        <v/>
      </c>
      <c r="P906" s="44">
        <f>IFERROR((I906-J906)/(I906+J906),"")</f>
        <v/>
      </c>
      <c r="Q906" s="45">
        <f>IFERROR(O906-P906,"")</f>
        <v/>
      </c>
      <c r="R906" s="44">
        <f>IFERROR((L906-M906)/(L906+M906),"")</f>
        <v/>
      </c>
      <c r="S906" s="46">
        <f>H906/SUMIFS(Counties!$H$2:$H$1583,Counties!$A$2:$A$1583,$A906)</f>
        <v/>
      </c>
      <c r="T906" s="44">
        <f>O906+INDEX(Dashboard!$F$6:$F$22,MATCH($A906,Dashboard!$A$6:$A$22,0))</f>
        <v/>
      </c>
      <c r="U906" s="43">
        <f>AQ906*INDEX(Dashboard!$G$6:$G$22,MATCH($A906,Dashboard!$A$6:$A$22,0))</f>
        <v/>
      </c>
      <c r="V906" s="47" t="n"/>
      <c r="W906" s="47" t="n"/>
      <c r="X906" s="47" t="n"/>
      <c r="Y906" s="48" t="n"/>
      <c r="Z906" s="49" t="n"/>
      <c r="AA906" s="49" t="n"/>
      <c r="AB906" s="49" t="n"/>
      <c r="AC906" s="50" t="n"/>
      <c r="AD906" s="43">
        <f>IF(Z906&lt;&gt;"",Z906,N(V906))</f>
        <v/>
      </c>
      <c r="AE906" s="43">
        <f>IF(AA906&lt;&gt;"",AA906,N(W906))</f>
        <v/>
      </c>
      <c r="AF906" s="43">
        <f>AD906+AE906</f>
        <v/>
      </c>
      <c r="AG906" s="42">
        <f>IF(UPPER(AC906)="Y",1,IF(AF906=0,0,IF(AND(Z906="",Y906&lt;&gt;""),IF(Y906&gt;=0.999,1,0),IF(AF906&gt;=U906,1,0))))</f>
        <v/>
      </c>
      <c r="AH906" s="44">
        <f>IF(AF906&gt;0,(AD906-AE906)/AF906,"")</f>
        <v/>
      </c>
      <c r="AI906" s="45">
        <f>IF(AG906=1,AH906-O906,"")</f>
        <v/>
      </c>
      <c r="AJ906" s="44">
        <f>IF(AG906=1,AH906,MAX(-1,MIN(1,O906+INDEX(Types!$H:$H,MATCH($A906&amp;"|"&amp;$D906,Types!$A:$A,0)))))</f>
        <v/>
      </c>
      <c r="AK906" s="43">
        <f>IF(AG906=1,AF906,MAX(AQ906*AS906,AF906))</f>
        <v/>
      </c>
      <c r="AL906" s="43">
        <f>IF(AG906=1,AD906,AK906*(1+AJ906)/2)</f>
        <v/>
      </c>
      <c r="AM906" s="43">
        <f>IF(AG906=1,AE906,AK906*(1-AJ906)/2)</f>
        <v/>
      </c>
      <c r="AN906" s="45">
        <f>IF(AH906="","",AH906-T906)</f>
        <v/>
      </c>
      <c r="AO906" s="51">
        <f>IF(AG906=1,1,IF(U906&gt;0,MIN(AF906/U906,0.99),0))</f>
        <v/>
      </c>
      <c r="AP906" s="43">
        <f>IF(AG906=1,AI906*AF906,0)</f>
        <v/>
      </c>
      <c r="AQ906" s="43">
        <f>N906*(F906+G906)/H906</f>
        <v/>
      </c>
      <c r="AR906" s="43">
        <f>O906*AQ906</f>
        <v/>
      </c>
      <c r="AS906" s="52">
        <f>IF(AG906=1,IF(AQ906&gt;0,AF906/AQ906,1),IFERROR(INDEX(Types!$K:$K,MATCH($A906&amp;"|"&amp;$D906,Types!$A:$A,0)),INDEX(Dashboard!$X$6:$X$22,MATCH($A906,Dashboard!$A$6:$A$22,0))))</f>
        <v/>
      </c>
      <c r="AT906" s="43">
        <f>AQ906*INDEX(Dashboard!$Y$6:$Y$22,MATCH($A906,Dashboard!$A$6:$A$22,0))</f>
        <v/>
      </c>
      <c r="AU906" s="53">
        <f>IF(AND(AG906=1,AT906&gt;0,AF906&gt;0),100*AF906/AT906,"")</f>
        <v/>
      </c>
      <c r="AV906" s="44">
        <f>IF(AU906="","",T906/(AU906/100))</f>
        <v/>
      </c>
      <c r="AW906" s="53">
        <f>IF(AU906="","",IF(AND(ABS(AH906)&gt;=0.1,ABS(T906)&gt;=0.05,SIGN(AH906)=SIGN(T906)),100*T906/AH906,""))</f>
        <v/>
      </c>
      <c r="AX906" s="45">
        <f>IF(AU906="","",T906-AV906)</f>
        <v/>
      </c>
      <c r="AY906" s="45">
        <f>IF(AU906="","",AH906-AV906)</f>
        <v/>
      </c>
      <c r="AZ906" s="54">
        <f>(AL906-AM906)-T906*AT906</f>
        <v/>
      </c>
      <c r="BA906" s="43">
        <f>IF(AU906="",0,(AH906-T906)*AF906)</f>
        <v/>
      </c>
      <c r="BB906" s="43">
        <f>IF(AU906="",0,T906*(AF906-AT906))</f>
        <v/>
      </c>
      <c r="BC906" s="51" t="n">
        <v>0.2615548123589881</v>
      </c>
      <c r="BD906" s="51" t="n">
        <v>0.04874748808426978</v>
      </c>
      <c r="BE906" s="51" t="n">
        <v>0.4135964450660307</v>
      </c>
      <c r="BF906" s="43" t="n">
        <v>827058</v>
      </c>
    </row>
    <row r="907">
      <c r="A907" s="42" t="inlineStr">
        <is>
          <t>OH</t>
        </is>
      </c>
      <c r="B907" s="42" t="inlineStr">
        <is>
          <t>39063</t>
        </is>
      </c>
      <c r="C907" s="42" t="inlineStr">
        <is>
          <t>Hancock</t>
        </is>
      </c>
      <c r="D907" s="42" t="inlineStr">
        <is>
          <t>Small town &amp; rural</t>
        </is>
      </c>
      <c r="E907" s="42" t="inlineStr"/>
      <c r="F907" s="43" t="n">
        <v>11467</v>
      </c>
      <c r="G907" s="43" t="n">
        <v>26052</v>
      </c>
      <c r="H907" s="43" t="n">
        <v>37937</v>
      </c>
      <c r="I907" s="43" t="n">
        <v>11757</v>
      </c>
      <c r="J907" s="43" t="n">
        <v>26310</v>
      </c>
      <c r="K907" s="42" t="inlineStr">
        <is>
          <t>US Senate</t>
        </is>
      </c>
      <c r="L907" s="43" t="n">
        <v>8717</v>
      </c>
      <c r="M907" s="43" t="n">
        <v>18357</v>
      </c>
      <c r="N907" s="43" t="n">
        <v>27088</v>
      </c>
      <c r="O907" s="44">
        <f>IFERROR((F907-G907)/(F907+G907),"")</f>
        <v/>
      </c>
      <c r="P907" s="44">
        <f>IFERROR((I907-J907)/(I907+J907),"")</f>
        <v/>
      </c>
      <c r="Q907" s="45">
        <f>IFERROR(O907-P907,"")</f>
        <v/>
      </c>
      <c r="R907" s="44">
        <f>IFERROR((L907-M907)/(L907+M907),"")</f>
        <v/>
      </c>
      <c r="S907" s="46">
        <f>H907/SUMIFS(Counties!$H$2:$H$1583,Counties!$A$2:$A$1583,$A907)</f>
        <v/>
      </c>
      <c r="T907" s="44">
        <f>O907+INDEX(Dashboard!$F$6:$F$22,MATCH($A907,Dashboard!$A$6:$A$22,0))</f>
        <v/>
      </c>
      <c r="U907" s="43">
        <f>AQ907*INDEX(Dashboard!$G$6:$G$22,MATCH($A907,Dashboard!$A$6:$A$22,0))</f>
        <v/>
      </c>
      <c r="V907" s="47" t="n"/>
      <c r="W907" s="47" t="n"/>
      <c r="X907" s="47" t="n"/>
      <c r="Y907" s="48" t="n"/>
      <c r="Z907" s="49" t="n"/>
      <c r="AA907" s="49" t="n"/>
      <c r="AB907" s="49" t="n"/>
      <c r="AC907" s="50" t="n"/>
      <c r="AD907" s="43">
        <f>IF(Z907&lt;&gt;"",Z907,N(V907))</f>
        <v/>
      </c>
      <c r="AE907" s="43">
        <f>IF(AA907&lt;&gt;"",AA907,N(W907))</f>
        <v/>
      </c>
      <c r="AF907" s="43">
        <f>AD907+AE907</f>
        <v/>
      </c>
      <c r="AG907" s="42">
        <f>IF(UPPER(AC907)="Y",1,IF(AF907=0,0,IF(AND(Z907="",Y907&lt;&gt;""),IF(Y907&gt;=0.999,1,0),IF(AF907&gt;=U907,1,0))))</f>
        <v/>
      </c>
      <c r="AH907" s="44">
        <f>IF(AF907&gt;0,(AD907-AE907)/AF907,"")</f>
        <v/>
      </c>
      <c r="AI907" s="45">
        <f>IF(AG907=1,AH907-O907,"")</f>
        <v/>
      </c>
      <c r="AJ907" s="44">
        <f>IF(AG907=1,AH907,MAX(-1,MIN(1,O907+INDEX(Types!$H:$H,MATCH($A907&amp;"|"&amp;$D907,Types!$A:$A,0)))))</f>
        <v/>
      </c>
      <c r="AK907" s="43">
        <f>IF(AG907=1,AF907,MAX(AQ907*AS907,AF907))</f>
        <v/>
      </c>
      <c r="AL907" s="43">
        <f>IF(AG907=1,AD907,AK907*(1+AJ907)/2)</f>
        <v/>
      </c>
      <c r="AM907" s="43">
        <f>IF(AG907=1,AE907,AK907*(1-AJ907)/2)</f>
        <v/>
      </c>
      <c r="AN907" s="45">
        <f>IF(AH907="","",AH907-T907)</f>
        <v/>
      </c>
      <c r="AO907" s="51">
        <f>IF(AG907=1,1,IF(U907&gt;0,MIN(AF907/U907,0.99),0))</f>
        <v/>
      </c>
      <c r="AP907" s="43">
        <f>IF(AG907=1,AI907*AF907,0)</f>
        <v/>
      </c>
      <c r="AQ907" s="43">
        <f>N907*(F907+G907)/H907</f>
        <v/>
      </c>
      <c r="AR907" s="43">
        <f>O907*AQ907</f>
        <v/>
      </c>
      <c r="AS907" s="52">
        <f>IF(AG907=1,IF(AQ907&gt;0,AF907/AQ907,1),IFERROR(INDEX(Types!$K:$K,MATCH($A907&amp;"|"&amp;$D907,Types!$A:$A,0)),INDEX(Dashboard!$X$6:$X$22,MATCH($A907,Dashboard!$A$6:$A$22,0))))</f>
        <v/>
      </c>
      <c r="AT907" s="43">
        <f>AQ907*INDEX(Dashboard!$Y$6:$Y$22,MATCH($A907,Dashboard!$A$6:$A$22,0))</f>
        <v/>
      </c>
      <c r="AU907" s="53">
        <f>IF(AND(AG907=1,AT907&gt;0,AF907&gt;0),100*AF907/AT907,"")</f>
        <v/>
      </c>
      <c r="AV907" s="44">
        <f>IF(AU907="","",T907/(AU907/100))</f>
        <v/>
      </c>
      <c r="AW907" s="53">
        <f>IF(AU907="","",IF(AND(ABS(AH907)&gt;=0.1,ABS(T907)&gt;=0.05,SIGN(AH907)=SIGN(T907)),100*T907/AH907,""))</f>
        <v/>
      </c>
      <c r="AX907" s="45">
        <f>IF(AU907="","",T907-AV907)</f>
        <v/>
      </c>
      <c r="AY907" s="45">
        <f>IF(AU907="","",AH907-AV907)</f>
        <v/>
      </c>
      <c r="AZ907" s="54">
        <f>(AL907-AM907)-T907*AT907</f>
        <v/>
      </c>
      <c r="BA907" s="43">
        <f>IF(AU907="",0,(AH907-T907)*AF907)</f>
        <v/>
      </c>
      <c r="BB907" s="43">
        <f>IF(AU907="",0,T907*(AF907-AT907))</f>
        <v/>
      </c>
      <c r="BC907" s="51" t="n">
        <v>0.02089580209895053</v>
      </c>
      <c r="BD907" s="51" t="n">
        <v>0.06150942385949882</v>
      </c>
      <c r="BE907" s="51" t="n">
        <v>0.2973230613594802</v>
      </c>
      <c r="BF907" s="43" t="n">
        <v>74704</v>
      </c>
    </row>
    <row r="908">
      <c r="A908" s="42" t="inlineStr">
        <is>
          <t>OH</t>
        </is>
      </c>
      <c r="B908" s="42" t="inlineStr">
        <is>
          <t>39065</t>
        </is>
      </c>
      <c r="C908" s="42" t="inlineStr">
        <is>
          <t>Hardin</t>
        </is>
      </c>
      <c r="D908" s="42" t="inlineStr">
        <is>
          <t>Small town &amp; rural</t>
        </is>
      </c>
      <c r="E908" s="42" t="inlineStr"/>
      <c r="F908" s="43" t="n">
        <v>2863</v>
      </c>
      <c r="G908" s="43" t="n">
        <v>9911</v>
      </c>
      <c r="H908" s="43" t="n">
        <v>12893</v>
      </c>
      <c r="I908" s="43" t="n">
        <v>3062</v>
      </c>
      <c r="J908" s="43" t="n">
        <v>9949</v>
      </c>
      <c r="K908" s="42" t="inlineStr">
        <is>
          <t>US Senate</t>
        </is>
      </c>
      <c r="L908" s="43" t="n">
        <v>2471</v>
      </c>
      <c r="M908" s="43" t="n">
        <v>6521</v>
      </c>
      <c r="N908" s="43" t="n">
        <v>8997</v>
      </c>
      <c r="O908" s="44">
        <f>IFERROR((F908-G908)/(F908+G908),"")</f>
        <v/>
      </c>
      <c r="P908" s="44">
        <f>IFERROR((I908-J908)/(I908+J908),"")</f>
        <v/>
      </c>
      <c r="Q908" s="45">
        <f>IFERROR(O908-P908,"")</f>
        <v/>
      </c>
      <c r="R908" s="44">
        <f>IFERROR((L908-M908)/(L908+M908),"")</f>
        <v/>
      </c>
      <c r="S908" s="46">
        <f>H908/SUMIFS(Counties!$H$2:$H$1583,Counties!$A$2:$A$1583,$A908)</f>
        <v/>
      </c>
      <c r="T908" s="44">
        <f>O908+INDEX(Dashboard!$F$6:$F$22,MATCH($A908,Dashboard!$A$6:$A$22,0))</f>
        <v/>
      </c>
      <c r="U908" s="43">
        <f>AQ908*INDEX(Dashboard!$G$6:$G$22,MATCH($A908,Dashboard!$A$6:$A$22,0))</f>
        <v/>
      </c>
      <c r="V908" s="47" t="n"/>
      <c r="W908" s="47" t="n"/>
      <c r="X908" s="47" t="n"/>
      <c r="Y908" s="48" t="n"/>
      <c r="Z908" s="49" t="n"/>
      <c r="AA908" s="49" t="n"/>
      <c r="AB908" s="49" t="n"/>
      <c r="AC908" s="50" t="n"/>
      <c r="AD908" s="43">
        <f>IF(Z908&lt;&gt;"",Z908,N(V908))</f>
        <v/>
      </c>
      <c r="AE908" s="43">
        <f>IF(AA908&lt;&gt;"",AA908,N(W908))</f>
        <v/>
      </c>
      <c r="AF908" s="43">
        <f>AD908+AE908</f>
        <v/>
      </c>
      <c r="AG908" s="42">
        <f>IF(UPPER(AC908)="Y",1,IF(AF908=0,0,IF(AND(Z908="",Y908&lt;&gt;""),IF(Y908&gt;=0.999,1,0),IF(AF908&gt;=U908,1,0))))</f>
        <v/>
      </c>
      <c r="AH908" s="44">
        <f>IF(AF908&gt;0,(AD908-AE908)/AF908,"")</f>
        <v/>
      </c>
      <c r="AI908" s="45">
        <f>IF(AG908=1,AH908-O908,"")</f>
        <v/>
      </c>
      <c r="AJ908" s="44">
        <f>IF(AG908=1,AH908,MAX(-1,MIN(1,O908+INDEX(Types!$H:$H,MATCH($A908&amp;"|"&amp;$D908,Types!$A:$A,0)))))</f>
        <v/>
      </c>
      <c r="AK908" s="43">
        <f>IF(AG908=1,AF908,MAX(AQ908*AS908,AF908))</f>
        <v/>
      </c>
      <c r="AL908" s="43">
        <f>IF(AG908=1,AD908,AK908*(1+AJ908)/2)</f>
        <v/>
      </c>
      <c r="AM908" s="43">
        <f>IF(AG908=1,AE908,AK908*(1-AJ908)/2)</f>
        <v/>
      </c>
      <c r="AN908" s="45">
        <f>IF(AH908="","",AH908-T908)</f>
        <v/>
      </c>
      <c r="AO908" s="51">
        <f>IF(AG908=1,1,IF(U908&gt;0,MIN(AF908/U908,0.99),0))</f>
        <v/>
      </c>
      <c r="AP908" s="43">
        <f>IF(AG908=1,AI908*AF908,0)</f>
        <v/>
      </c>
      <c r="AQ908" s="43">
        <f>N908*(F908+G908)/H908</f>
        <v/>
      </c>
      <c r="AR908" s="43">
        <f>O908*AQ908</f>
        <v/>
      </c>
      <c r="AS908" s="52">
        <f>IF(AG908=1,IF(AQ908&gt;0,AF908/AQ908,1),IFERROR(INDEX(Types!$K:$K,MATCH($A908&amp;"|"&amp;$D908,Types!$A:$A,0)),INDEX(Dashboard!$X$6:$X$22,MATCH($A908,Dashboard!$A$6:$A$22,0))))</f>
        <v/>
      </c>
      <c r="AT908" s="43">
        <f>AQ908*INDEX(Dashboard!$Y$6:$Y$22,MATCH($A908,Dashboard!$A$6:$A$22,0))</f>
        <v/>
      </c>
      <c r="AU908" s="53">
        <f>IF(AND(AG908=1,AT908&gt;0,AF908&gt;0),100*AF908/AT908,"")</f>
        <v/>
      </c>
      <c r="AV908" s="44">
        <f>IF(AU908="","",T908/(AU908/100))</f>
        <v/>
      </c>
      <c r="AW908" s="53">
        <f>IF(AU908="","",IF(AND(ABS(AH908)&gt;=0.1,ABS(T908)&gt;=0.05,SIGN(AH908)=SIGN(T908)),100*T908/AH908,""))</f>
        <v/>
      </c>
      <c r="AX908" s="45">
        <f>IF(AU908="","",T908-AV908)</f>
        <v/>
      </c>
      <c r="AY908" s="45">
        <f>IF(AU908="","",AH908-AV908)</f>
        <v/>
      </c>
      <c r="AZ908" s="54">
        <f>(AL908-AM908)-T908*AT908</f>
        <v/>
      </c>
      <c r="BA908" s="43">
        <f>IF(AU908="",0,(AH908-T908)*AF908)</f>
        <v/>
      </c>
      <c r="BB908" s="43">
        <f>IF(AU908="",0,T908*(AF908-AT908))</f>
        <v/>
      </c>
      <c r="BC908" s="51" t="n">
        <v>0.01089963119072708</v>
      </c>
      <c r="BD908" s="51" t="n">
        <v>0.025322708113804</v>
      </c>
      <c r="BE908" s="51" t="n">
        <v>0.1887848455494565</v>
      </c>
      <c r="BF908" s="43" t="n">
        <v>30368</v>
      </c>
    </row>
    <row r="909">
      <c r="A909" s="42" t="inlineStr">
        <is>
          <t>OH</t>
        </is>
      </c>
      <c r="B909" s="42" t="inlineStr">
        <is>
          <t>39067</t>
        </is>
      </c>
      <c r="C909" s="42" t="inlineStr">
        <is>
          <t>Harrison</t>
        </is>
      </c>
      <c r="D909" s="42" t="inlineStr">
        <is>
          <t>Small town &amp; rural</t>
        </is>
      </c>
      <c r="E909" s="42" t="inlineStr"/>
      <c r="F909" s="43" t="n">
        <v>1559</v>
      </c>
      <c r="G909" s="43" t="n">
        <v>5484</v>
      </c>
      <c r="H909" s="43" t="n">
        <v>7109</v>
      </c>
      <c r="I909" s="43" t="n">
        <v>1768</v>
      </c>
      <c r="J909" s="43" t="n">
        <v>5792</v>
      </c>
      <c r="K909" s="42" t="inlineStr">
        <is>
          <t>US Senate</t>
        </is>
      </c>
      <c r="L909" s="43" t="n">
        <v>1451</v>
      </c>
      <c r="M909" s="43" t="n">
        <v>3721</v>
      </c>
      <c r="N909" s="43" t="n">
        <v>5172</v>
      </c>
      <c r="O909" s="44">
        <f>IFERROR((F909-G909)/(F909+G909),"")</f>
        <v/>
      </c>
      <c r="P909" s="44">
        <f>IFERROR((I909-J909)/(I909+J909),"")</f>
        <v/>
      </c>
      <c r="Q909" s="45">
        <f>IFERROR(O909-P909,"")</f>
        <v/>
      </c>
      <c r="R909" s="44">
        <f>IFERROR((L909-M909)/(L909+M909),"")</f>
        <v/>
      </c>
      <c r="S909" s="46">
        <f>H909/SUMIFS(Counties!$H$2:$H$1583,Counties!$A$2:$A$1583,$A909)</f>
        <v/>
      </c>
      <c r="T909" s="44">
        <f>O909+INDEX(Dashboard!$F$6:$F$22,MATCH($A909,Dashboard!$A$6:$A$22,0))</f>
        <v/>
      </c>
      <c r="U909" s="43">
        <f>AQ909*INDEX(Dashboard!$G$6:$G$22,MATCH($A909,Dashboard!$A$6:$A$22,0))</f>
        <v/>
      </c>
      <c r="V909" s="47" t="n"/>
      <c r="W909" s="47" t="n"/>
      <c r="X909" s="47" t="n"/>
      <c r="Y909" s="48" t="n"/>
      <c r="Z909" s="49" t="n"/>
      <c r="AA909" s="49" t="n"/>
      <c r="AB909" s="49" t="n"/>
      <c r="AC909" s="50" t="n"/>
      <c r="AD909" s="43">
        <f>IF(Z909&lt;&gt;"",Z909,N(V909))</f>
        <v/>
      </c>
      <c r="AE909" s="43">
        <f>IF(AA909&lt;&gt;"",AA909,N(W909))</f>
        <v/>
      </c>
      <c r="AF909" s="43">
        <f>AD909+AE909</f>
        <v/>
      </c>
      <c r="AG909" s="42">
        <f>IF(UPPER(AC909)="Y",1,IF(AF909=0,0,IF(AND(Z909="",Y909&lt;&gt;""),IF(Y909&gt;=0.999,1,0),IF(AF909&gt;=U909,1,0))))</f>
        <v/>
      </c>
      <c r="AH909" s="44">
        <f>IF(AF909&gt;0,(AD909-AE909)/AF909,"")</f>
        <v/>
      </c>
      <c r="AI909" s="45">
        <f>IF(AG909=1,AH909-O909,"")</f>
        <v/>
      </c>
      <c r="AJ909" s="44">
        <f>IF(AG909=1,AH909,MAX(-1,MIN(1,O909+INDEX(Types!$H:$H,MATCH($A909&amp;"|"&amp;$D909,Types!$A:$A,0)))))</f>
        <v/>
      </c>
      <c r="AK909" s="43">
        <f>IF(AG909=1,AF909,MAX(AQ909*AS909,AF909))</f>
        <v/>
      </c>
      <c r="AL909" s="43">
        <f>IF(AG909=1,AD909,AK909*(1+AJ909)/2)</f>
        <v/>
      </c>
      <c r="AM909" s="43">
        <f>IF(AG909=1,AE909,AK909*(1-AJ909)/2)</f>
        <v/>
      </c>
      <c r="AN909" s="45">
        <f>IF(AH909="","",AH909-T909)</f>
        <v/>
      </c>
      <c r="AO909" s="51">
        <f>IF(AG909=1,1,IF(U909&gt;0,MIN(AF909/U909,0.99),0))</f>
        <v/>
      </c>
      <c r="AP909" s="43">
        <f>IF(AG909=1,AI909*AF909,0)</f>
        <v/>
      </c>
      <c r="AQ909" s="43">
        <f>N909*(F909+G909)/H909</f>
        <v/>
      </c>
      <c r="AR909" s="43">
        <f>O909*AQ909</f>
        <v/>
      </c>
      <c r="AS909" s="52">
        <f>IF(AG909=1,IF(AQ909&gt;0,AF909/AQ909,1),IFERROR(INDEX(Types!$K:$K,MATCH($A909&amp;"|"&amp;$D909,Types!$A:$A,0)),INDEX(Dashboard!$X$6:$X$22,MATCH($A909,Dashboard!$A$6:$A$22,0))))</f>
        <v/>
      </c>
      <c r="AT909" s="43">
        <f>AQ909*INDEX(Dashboard!$Y$6:$Y$22,MATCH($A909,Dashboard!$A$6:$A$22,0))</f>
        <v/>
      </c>
      <c r="AU909" s="53">
        <f>IF(AND(AG909=1,AT909&gt;0,AF909&gt;0),100*AF909/AT909,"")</f>
        <v/>
      </c>
      <c r="AV909" s="44">
        <f>IF(AU909="","",T909/(AU909/100))</f>
        <v/>
      </c>
      <c r="AW909" s="53">
        <f>IF(AU909="","",IF(AND(ABS(AH909)&gt;=0.1,ABS(T909)&gt;=0.05,SIGN(AH909)=SIGN(T909)),100*T909/AH909,""))</f>
        <v/>
      </c>
      <c r="AX909" s="45">
        <f>IF(AU909="","",T909-AV909)</f>
        <v/>
      </c>
      <c r="AY909" s="45">
        <f>IF(AU909="","",AH909-AV909)</f>
        <v/>
      </c>
      <c r="AZ909" s="54">
        <f>(AL909-AM909)-T909*AT909</f>
        <v/>
      </c>
      <c r="BA909" s="43">
        <f>IF(AU909="",0,(AH909-T909)*AF909)</f>
        <v/>
      </c>
      <c r="BB909" s="43">
        <f>IF(AU909="",0,T909*(AF909-AT909))</f>
        <v/>
      </c>
      <c r="BC909" s="51" t="n">
        <v>0.0194929020411046</v>
      </c>
      <c r="BD909" s="51" t="n">
        <v>0.01235962991736705</v>
      </c>
      <c r="BE909" s="51" t="n">
        <v>0.1298141406399693</v>
      </c>
      <c r="BF909" s="43" t="n">
        <v>14159</v>
      </c>
    </row>
    <row r="910">
      <c r="A910" s="42" t="inlineStr">
        <is>
          <t>OH</t>
        </is>
      </c>
      <c r="B910" s="42" t="inlineStr">
        <is>
          <t>39069</t>
        </is>
      </c>
      <c r="C910" s="42" t="inlineStr">
        <is>
          <t>Henry</t>
        </is>
      </c>
      <c r="D910" s="42" t="inlineStr">
        <is>
          <t>Small town &amp; rural</t>
        </is>
      </c>
      <c r="E910" s="42" t="inlineStr"/>
      <c r="F910" s="43" t="n">
        <v>3905</v>
      </c>
      <c r="G910" s="43" t="n">
        <v>10873</v>
      </c>
      <c r="H910" s="43" t="n">
        <v>14911</v>
      </c>
      <c r="I910" s="43" t="n">
        <v>4062</v>
      </c>
      <c r="J910" s="43" t="n">
        <v>10479</v>
      </c>
      <c r="K910" s="42" t="inlineStr">
        <is>
          <t>US Senate</t>
        </is>
      </c>
      <c r="L910" s="43" t="n">
        <v>3190</v>
      </c>
      <c r="M910" s="43" t="n">
        <v>7102</v>
      </c>
      <c r="N910" s="43" t="n">
        <v>10294</v>
      </c>
      <c r="O910" s="44">
        <f>IFERROR((F910-G910)/(F910+G910),"")</f>
        <v/>
      </c>
      <c r="P910" s="44">
        <f>IFERROR((I910-J910)/(I910+J910),"")</f>
        <v/>
      </c>
      <c r="Q910" s="45">
        <f>IFERROR(O910-P910,"")</f>
        <v/>
      </c>
      <c r="R910" s="44">
        <f>IFERROR((L910-M910)/(L910+M910),"")</f>
        <v/>
      </c>
      <c r="S910" s="46">
        <f>H910/SUMIFS(Counties!$H$2:$H$1583,Counties!$A$2:$A$1583,$A910)</f>
        <v/>
      </c>
      <c r="T910" s="44">
        <f>O910+INDEX(Dashboard!$F$6:$F$22,MATCH($A910,Dashboard!$A$6:$A$22,0))</f>
        <v/>
      </c>
      <c r="U910" s="43">
        <f>AQ910*INDEX(Dashboard!$G$6:$G$22,MATCH($A910,Dashboard!$A$6:$A$22,0))</f>
        <v/>
      </c>
      <c r="V910" s="47" t="n"/>
      <c r="W910" s="47" t="n"/>
      <c r="X910" s="47" t="n"/>
      <c r="Y910" s="48" t="n"/>
      <c r="Z910" s="49" t="n"/>
      <c r="AA910" s="49" t="n"/>
      <c r="AB910" s="49" t="n"/>
      <c r="AC910" s="50" t="n"/>
      <c r="AD910" s="43">
        <f>IF(Z910&lt;&gt;"",Z910,N(V910))</f>
        <v/>
      </c>
      <c r="AE910" s="43">
        <f>IF(AA910&lt;&gt;"",AA910,N(W910))</f>
        <v/>
      </c>
      <c r="AF910" s="43">
        <f>AD910+AE910</f>
        <v/>
      </c>
      <c r="AG910" s="42">
        <f>IF(UPPER(AC910)="Y",1,IF(AF910=0,0,IF(AND(Z910="",Y910&lt;&gt;""),IF(Y910&gt;=0.999,1,0),IF(AF910&gt;=U910,1,0))))</f>
        <v/>
      </c>
      <c r="AH910" s="44">
        <f>IF(AF910&gt;0,(AD910-AE910)/AF910,"")</f>
        <v/>
      </c>
      <c r="AI910" s="45">
        <f>IF(AG910=1,AH910-O910,"")</f>
        <v/>
      </c>
      <c r="AJ910" s="44">
        <f>IF(AG910=1,AH910,MAX(-1,MIN(1,O910+INDEX(Types!$H:$H,MATCH($A910&amp;"|"&amp;$D910,Types!$A:$A,0)))))</f>
        <v/>
      </c>
      <c r="AK910" s="43">
        <f>IF(AG910=1,AF910,MAX(AQ910*AS910,AF910))</f>
        <v/>
      </c>
      <c r="AL910" s="43">
        <f>IF(AG910=1,AD910,AK910*(1+AJ910)/2)</f>
        <v/>
      </c>
      <c r="AM910" s="43">
        <f>IF(AG910=1,AE910,AK910*(1-AJ910)/2)</f>
        <v/>
      </c>
      <c r="AN910" s="45">
        <f>IF(AH910="","",AH910-T910)</f>
        <v/>
      </c>
      <c r="AO910" s="51">
        <f>IF(AG910=1,1,IF(U910&gt;0,MIN(AF910/U910,0.99),0))</f>
        <v/>
      </c>
      <c r="AP910" s="43">
        <f>IF(AG910=1,AI910*AF910,0)</f>
        <v/>
      </c>
      <c r="AQ910" s="43">
        <f>N910*(F910+G910)/H910</f>
        <v/>
      </c>
      <c r="AR910" s="43">
        <f>O910*AQ910</f>
        <v/>
      </c>
      <c r="AS910" s="52">
        <f>IF(AG910=1,IF(AQ910&gt;0,AF910/AQ910,1),IFERROR(INDEX(Types!$K:$K,MATCH($A910&amp;"|"&amp;$D910,Types!$A:$A,0)),INDEX(Dashboard!$X$6:$X$22,MATCH($A910,Dashboard!$A$6:$A$22,0))))</f>
        <v/>
      </c>
      <c r="AT910" s="43">
        <f>AQ910*INDEX(Dashboard!$Y$6:$Y$22,MATCH($A910,Dashboard!$A$6:$A$22,0))</f>
        <v/>
      </c>
      <c r="AU910" s="53">
        <f>IF(AND(AG910=1,AT910&gt;0,AF910&gt;0),100*AF910/AT910,"")</f>
        <v/>
      </c>
      <c r="AV910" s="44">
        <f>IF(AU910="","",T910/(AU910/100))</f>
        <v/>
      </c>
      <c r="AW910" s="53">
        <f>IF(AU910="","",IF(AND(ABS(AH910)&gt;=0.1,ABS(T910)&gt;=0.05,SIGN(AH910)=SIGN(T910)),100*T910/AH910,""))</f>
        <v/>
      </c>
      <c r="AX910" s="45">
        <f>IF(AU910="","",T910-AV910)</f>
        <v/>
      </c>
      <c r="AY910" s="45">
        <f>IF(AU910="","",AH910-AV910)</f>
        <v/>
      </c>
      <c r="AZ910" s="54">
        <f>(AL910-AM910)-T910*AT910</f>
        <v/>
      </c>
      <c r="BA910" s="43">
        <f>IF(AU910="",0,(AH910-T910)*AF910)</f>
        <v/>
      </c>
      <c r="BB910" s="43">
        <f>IF(AU910="",0,T910*(AF910-AT910))</f>
        <v/>
      </c>
      <c r="BC910" s="51" t="n">
        <v>0.008611918604651162</v>
      </c>
      <c r="BD910" s="51" t="n">
        <v>0.08361191860465116</v>
      </c>
      <c r="BE910" s="51" t="n">
        <v>0.1866889912097112</v>
      </c>
      <c r="BF910" s="43" t="n">
        <v>27520</v>
      </c>
    </row>
    <row r="911">
      <c r="A911" s="42" t="inlineStr">
        <is>
          <t>OH</t>
        </is>
      </c>
      <c r="B911" s="42" t="inlineStr">
        <is>
          <t>39071</t>
        </is>
      </c>
      <c r="C911" s="42" t="inlineStr">
        <is>
          <t>Highland</t>
        </is>
      </c>
      <c r="D911" s="42" t="inlineStr">
        <is>
          <t>Small town &amp; rural</t>
        </is>
      </c>
      <c r="E911" s="42" t="inlineStr"/>
      <c r="F911" s="43" t="n">
        <v>3609</v>
      </c>
      <c r="G911" s="43" t="n">
        <v>16269</v>
      </c>
      <c r="H911" s="43" t="n">
        <v>19984</v>
      </c>
      <c r="I911" s="43" t="n">
        <v>3799</v>
      </c>
      <c r="J911" s="43" t="n">
        <v>15678</v>
      </c>
      <c r="K911" s="42" t="inlineStr">
        <is>
          <t>US Senate</t>
        </is>
      </c>
      <c r="L911" s="43" t="n">
        <v>2925</v>
      </c>
      <c r="M911" s="43" t="n">
        <v>10185</v>
      </c>
      <c r="N911" s="43" t="n">
        <v>13112</v>
      </c>
      <c r="O911" s="44">
        <f>IFERROR((F911-G911)/(F911+G911),"")</f>
        <v/>
      </c>
      <c r="P911" s="44">
        <f>IFERROR((I911-J911)/(I911+J911),"")</f>
        <v/>
      </c>
      <c r="Q911" s="45">
        <f>IFERROR(O911-P911,"")</f>
        <v/>
      </c>
      <c r="R911" s="44">
        <f>IFERROR((L911-M911)/(L911+M911),"")</f>
        <v/>
      </c>
      <c r="S911" s="46">
        <f>H911/SUMIFS(Counties!$H$2:$H$1583,Counties!$A$2:$A$1583,$A911)</f>
        <v/>
      </c>
      <c r="T911" s="44">
        <f>O911+INDEX(Dashboard!$F$6:$F$22,MATCH($A911,Dashboard!$A$6:$A$22,0))</f>
        <v/>
      </c>
      <c r="U911" s="43">
        <f>AQ911*INDEX(Dashboard!$G$6:$G$22,MATCH($A911,Dashboard!$A$6:$A$22,0))</f>
        <v/>
      </c>
      <c r="V911" s="47" t="n"/>
      <c r="W911" s="47" t="n"/>
      <c r="X911" s="47" t="n"/>
      <c r="Y911" s="48" t="n"/>
      <c r="Z911" s="49" t="n"/>
      <c r="AA911" s="49" t="n"/>
      <c r="AB911" s="49" t="n"/>
      <c r="AC911" s="50" t="n"/>
      <c r="AD911" s="43">
        <f>IF(Z911&lt;&gt;"",Z911,N(V911))</f>
        <v/>
      </c>
      <c r="AE911" s="43">
        <f>IF(AA911&lt;&gt;"",AA911,N(W911))</f>
        <v/>
      </c>
      <c r="AF911" s="43">
        <f>AD911+AE911</f>
        <v/>
      </c>
      <c r="AG911" s="42">
        <f>IF(UPPER(AC911)="Y",1,IF(AF911=0,0,IF(AND(Z911="",Y911&lt;&gt;""),IF(Y911&gt;=0.999,1,0),IF(AF911&gt;=U911,1,0))))</f>
        <v/>
      </c>
      <c r="AH911" s="44">
        <f>IF(AF911&gt;0,(AD911-AE911)/AF911,"")</f>
        <v/>
      </c>
      <c r="AI911" s="45">
        <f>IF(AG911=1,AH911-O911,"")</f>
        <v/>
      </c>
      <c r="AJ911" s="44">
        <f>IF(AG911=1,AH911,MAX(-1,MIN(1,O911+INDEX(Types!$H:$H,MATCH($A911&amp;"|"&amp;$D911,Types!$A:$A,0)))))</f>
        <v/>
      </c>
      <c r="AK911" s="43">
        <f>IF(AG911=1,AF911,MAX(AQ911*AS911,AF911))</f>
        <v/>
      </c>
      <c r="AL911" s="43">
        <f>IF(AG911=1,AD911,AK911*(1+AJ911)/2)</f>
        <v/>
      </c>
      <c r="AM911" s="43">
        <f>IF(AG911=1,AE911,AK911*(1-AJ911)/2)</f>
        <v/>
      </c>
      <c r="AN911" s="45">
        <f>IF(AH911="","",AH911-T911)</f>
        <v/>
      </c>
      <c r="AO911" s="51">
        <f>IF(AG911=1,1,IF(U911&gt;0,MIN(AF911/U911,0.99),0))</f>
        <v/>
      </c>
      <c r="AP911" s="43">
        <f>IF(AG911=1,AI911*AF911,0)</f>
        <v/>
      </c>
      <c r="AQ911" s="43">
        <f>N911*(F911+G911)/H911</f>
        <v/>
      </c>
      <c r="AR911" s="43">
        <f>O911*AQ911</f>
        <v/>
      </c>
      <c r="AS911" s="52">
        <f>IF(AG911=1,IF(AQ911&gt;0,AF911/AQ911,1),IFERROR(INDEX(Types!$K:$K,MATCH($A911&amp;"|"&amp;$D911,Types!$A:$A,0)),INDEX(Dashboard!$X$6:$X$22,MATCH($A911,Dashboard!$A$6:$A$22,0))))</f>
        <v/>
      </c>
      <c r="AT911" s="43">
        <f>AQ911*INDEX(Dashboard!$Y$6:$Y$22,MATCH($A911,Dashboard!$A$6:$A$22,0))</f>
        <v/>
      </c>
      <c r="AU911" s="53">
        <f>IF(AND(AG911=1,AT911&gt;0,AF911&gt;0),100*AF911/AT911,"")</f>
        <v/>
      </c>
      <c r="AV911" s="44">
        <f>IF(AU911="","",T911/(AU911/100))</f>
        <v/>
      </c>
      <c r="AW911" s="53">
        <f>IF(AU911="","",IF(AND(ABS(AH911)&gt;=0.1,ABS(T911)&gt;=0.05,SIGN(AH911)=SIGN(T911)),100*T911/AH911,""))</f>
        <v/>
      </c>
      <c r="AX911" s="45">
        <f>IF(AU911="","",T911-AV911)</f>
        <v/>
      </c>
      <c r="AY911" s="45">
        <f>IF(AU911="","",AH911-AV911)</f>
        <v/>
      </c>
      <c r="AZ911" s="54">
        <f>(AL911-AM911)-T911*AT911</f>
        <v/>
      </c>
      <c r="BA911" s="43">
        <f>IF(AU911="",0,(AH911-T911)*AF911)</f>
        <v/>
      </c>
      <c r="BB911" s="43">
        <f>IF(AU911="",0,T911*(AF911-AT911))</f>
        <v/>
      </c>
      <c r="BC911" s="51" t="n">
        <v>0.01435318934287155</v>
      </c>
      <c r="BD911" s="51" t="n">
        <v>0.01281698537166965</v>
      </c>
      <c r="BE911" s="51" t="n">
        <v>0.1560307609282245</v>
      </c>
      <c r="BF911" s="43" t="n">
        <v>43614</v>
      </c>
    </row>
    <row r="912">
      <c r="A912" s="42" t="inlineStr">
        <is>
          <t>OH</t>
        </is>
      </c>
      <c r="B912" s="42" t="inlineStr">
        <is>
          <t>39073</t>
        </is>
      </c>
      <c r="C912" s="42" t="inlineStr">
        <is>
          <t>Hocking</t>
        </is>
      </c>
      <c r="D912" s="42" t="inlineStr">
        <is>
          <t>Small town &amp; rural</t>
        </is>
      </c>
      <c r="E912" s="42" t="inlineStr"/>
      <c r="F912" s="43" t="n">
        <v>3704</v>
      </c>
      <c r="G912" s="43" t="n">
        <v>9679</v>
      </c>
      <c r="H912" s="43" t="n">
        <v>13489</v>
      </c>
      <c r="I912" s="43" t="n">
        <v>3880</v>
      </c>
      <c r="J912" s="43" t="n">
        <v>9737</v>
      </c>
      <c r="K912" s="42" t="inlineStr">
        <is>
          <t>US Senate</t>
        </is>
      </c>
      <c r="L912" s="43" t="n">
        <v>3139</v>
      </c>
      <c r="M912" s="43" t="n">
        <v>6353</v>
      </c>
      <c r="N912" s="43" t="n">
        <v>9495</v>
      </c>
      <c r="O912" s="44">
        <f>IFERROR((F912-G912)/(F912+G912),"")</f>
        <v/>
      </c>
      <c r="P912" s="44">
        <f>IFERROR((I912-J912)/(I912+J912),"")</f>
        <v/>
      </c>
      <c r="Q912" s="45">
        <f>IFERROR(O912-P912,"")</f>
        <v/>
      </c>
      <c r="R912" s="44">
        <f>IFERROR((L912-M912)/(L912+M912),"")</f>
        <v/>
      </c>
      <c r="S912" s="46">
        <f>H912/SUMIFS(Counties!$H$2:$H$1583,Counties!$A$2:$A$1583,$A912)</f>
        <v/>
      </c>
      <c r="T912" s="44">
        <f>O912+INDEX(Dashboard!$F$6:$F$22,MATCH($A912,Dashboard!$A$6:$A$22,0))</f>
        <v/>
      </c>
      <c r="U912" s="43">
        <f>AQ912*INDEX(Dashboard!$G$6:$G$22,MATCH($A912,Dashboard!$A$6:$A$22,0))</f>
        <v/>
      </c>
      <c r="V912" s="47" t="n"/>
      <c r="W912" s="47" t="n"/>
      <c r="X912" s="47" t="n"/>
      <c r="Y912" s="48" t="n"/>
      <c r="Z912" s="49" t="n"/>
      <c r="AA912" s="49" t="n"/>
      <c r="AB912" s="49" t="n"/>
      <c r="AC912" s="50" t="n"/>
      <c r="AD912" s="43">
        <f>IF(Z912&lt;&gt;"",Z912,N(V912))</f>
        <v/>
      </c>
      <c r="AE912" s="43">
        <f>IF(AA912&lt;&gt;"",AA912,N(W912))</f>
        <v/>
      </c>
      <c r="AF912" s="43">
        <f>AD912+AE912</f>
        <v/>
      </c>
      <c r="AG912" s="42">
        <f>IF(UPPER(AC912)="Y",1,IF(AF912=0,0,IF(AND(Z912="",Y912&lt;&gt;""),IF(Y912&gt;=0.999,1,0),IF(AF912&gt;=U912,1,0))))</f>
        <v/>
      </c>
      <c r="AH912" s="44">
        <f>IF(AF912&gt;0,(AD912-AE912)/AF912,"")</f>
        <v/>
      </c>
      <c r="AI912" s="45">
        <f>IF(AG912=1,AH912-O912,"")</f>
        <v/>
      </c>
      <c r="AJ912" s="44">
        <f>IF(AG912=1,AH912,MAX(-1,MIN(1,O912+INDEX(Types!$H:$H,MATCH($A912&amp;"|"&amp;$D912,Types!$A:$A,0)))))</f>
        <v/>
      </c>
      <c r="AK912" s="43">
        <f>IF(AG912=1,AF912,MAX(AQ912*AS912,AF912))</f>
        <v/>
      </c>
      <c r="AL912" s="43">
        <f>IF(AG912=1,AD912,AK912*(1+AJ912)/2)</f>
        <v/>
      </c>
      <c r="AM912" s="43">
        <f>IF(AG912=1,AE912,AK912*(1-AJ912)/2)</f>
        <v/>
      </c>
      <c r="AN912" s="45">
        <f>IF(AH912="","",AH912-T912)</f>
        <v/>
      </c>
      <c r="AO912" s="51">
        <f>IF(AG912=1,1,IF(U912&gt;0,MIN(AF912/U912,0.99),0))</f>
        <v/>
      </c>
      <c r="AP912" s="43">
        <f>IF(AG912=1,AI912*AF912,0)</f>
        <v/>
      </c>
      <c r="AQ912" s="43">
        <f>N912*(F912+G912)/H912</f>
        <v/>
      </c>
      <c r="AR912" s="43">
        <f>O912*AQ912</f>
        <v/>
      </c>
      <c r="AS912" s="52">
        <f>IF(AG912=1,IF(AQ912&gt;0,AF912/AQ912,1),IFERROR(INDEX(Types!$K:$K,MATCH($A912&amp;"|"&amp;$D912,Types!$A:$A,0)),INDEX(Dashboard!$X$6:$X$22,MATCH($A912,Dashboard!$A$6:$A$22,0))))</f>
        <v/>
      </c>
      <c r="AT912" s="43">
        <f>AQ912*INDEX(Dashboard!$Y$6:$Y$22,MATCH($A912,Dashboard!$A$6:$A$22,0))</f>
        <v/>
      </c>
      <c r="AU912" s="53">
        <f>IF(AND(AG912=1,AT912&gt;0,AF912&gt;0),100*AF912/AT912,"")</f>
        <v/>
      </c>
      <c r="AV912" s="44">
        <f>IF(AU912="","",T912/(AU912/100))</f>
        <v/>
      </c>
      <c r="AW912" s="53">
        <f>IF(AU912="","",IF(AND(ABS(AH912)&gt;=0.1,ABS(T912)&gt;=0.05,SIGN(AH912)=SIGN(T912)),100*T912/AH912,""))</f>
        <v/>
      </c>
      <c r="AX912" s="45">
        <f>IF(AU912="","",T912-AV912)</f>
        <v/>
      </c>
      <c r="AY912" s="45">
        <f>IF(AU912="","",AH912-AV912)</f>
        <v/>
      </c>
      <c r="AZ912" s="54">
        <f>(AL912-AM912)-T912*AT912</f>
        <v/>
      </c>
      <c r="BA912" s="43">
        <f>IF(AU912="",0,(AH912-T912)*AF912)</f>
        <v/>
      </c>
      <c r="BB912" s="43">
        <f>IF(AU912="",0,T912*(AF912-AT912))</f>
        <v/>
      </c>
      <c r="BC912" s="51" t="n">
        <v>0.007734204793028322</v>
      </c>
      <c r="BD912" s="51" t="n">
        <v>0.009985475671750182</v>
      </c>
      <c r="BE912" s="51" t="n">
        <v>0.1435556227632441</v>
      </c>
      <c r="BF912" s="43" t="n">
        <v>27540</v>
      </c>
    </row>
    <row r="913">
      <c r="A913" s="42" t="inlineStr">
        <is>
          <t>OH</t>
        </is>
      </c>
      <c r="B913" s="42" t="inlineStr">
        <is>
          <t>39075</t>
        </is>
      </c>
      <c r="C913" s="42" t="inlineStr">
        <is>
          <t>Holmes</t>
        </is>
      </c>
      <c r="D913" s="42" t="inlineStr">
        <is>
          <t>Small town &amp; rural</t>
        </is>
      </c>
      <c r="E913" s="42" t="inlineStr"/>
      <c r="F913" s="43" t="n">
        <v>1854</v>
      </c>
      <c r="G913" s="43" t="n">
        <v>10384</v>
      </c>
      <c r="H913" s="43" t="n">
        <v>12335</v>
      </c>
      <c r="I913" s="43" t="n">
        <v>1994</v>
      </c>
      <c r="J913" s="43" t="n">
        <v>10796</v>
      </c>
      <c r="K913" s="42" t="inlineStr">
        <is>
          <t>US Senate</t>
        </is>
      </c>
      <c r="L913" s="43" t="n">
        <v>1564</v>
      </c>
      <c r="M913" s="43" t="n">
        <v>7056</v>
      </c>
      <c r="N913" s="43" t="n">
        <v>8624</v>
      </c>
      <c r="O913" s="44">
        <f>IFERROR((F913-G913)/(F913+G913),"")</f>
        <v/>
      </c>
      <c r="P913" s="44">
        <f>IFERROR((I913-J913)/(I913+J913),"")</f>
        <v/>
      </c>
      <c r="Q913" s="45">
        <f>IFERROR(O913-P913,"")</f>
        <v/>
      </c>
      <c r="R913" s="44">
        <f>IFERROR((L913-M913)/(L913+M913),"")</f>
        <v/>
      </c>
      <c r="S913" s="46">
        <f>H913/SUMIFS(Counties!$H$2:$H$1583,Counties!$A$2:$A$1583,$A913)</f>
        <v/>
      </c>
      <c r="T913" s="44">
        <f>O913+INDEX(Dashboard!$F$6:$F$22,MATCH($A913,Dashboard!$A$6:$A$22,0))</f>
        <v/>
      </c>
      <c r="U913" s="43">
        <f>AQ913*INDEX(Dashboard!$G$6:$G$22,MATCH($A913,Dashboard!$A$6:$A$22,0))</f>
        <v/>
      </c>
      <c r="V913" s="47" t="n"/>
      <c r="W913" s="47" t="n"/>
      <c r="X913" s="47" t="n"/>
      <c r="Y913" s="48" t="n"/>
      <c r="Z913" s="49" t="n"/>
      <c r="AA913" s="49" t="n"/>
      <c r="AB913" s="49" t="n"/>
      <c r="AC913" s="50" t="n"/>
      <c r="AD913" s="43">
        <f>IF(Z913&lt;&gt;"",Z913,N(V913))</f>
        <v/>
      </c>
      <c r="AE913" s="43">
        <f>IF(AA913&lt;&gt;"",AA913,N(W913))</f>
        <v/>
      </c>
      <c r="AF913" s="43">
        <f>AD913+AE913</f>
        <v/>
      </c>
      <c r="AG913" s="42">
        <f>IF(UPPER(AC913)="Y",1,IF(AF913=0,0,IF(AND(Z913="",Y913&lt;&gt;""),IF(Y913&gt;=0.999,1,0),IF(AF913&gt;=U913,1,0))))</f>
        <v/>
      </c>
      <c r="AH913" s="44">
        <f>IF(AF913&gt;0,(AD913-AE913)/AF913,"")</f>
        <v/>
      </c>
      <c r="AI913" s="45">
        <f>IF(AG913=1,AH913-O913,"")</f>
        <v/>
      </c>
      <c r="AJ913" s="44">
        <f>IF(AG913=1,AH913,MAX(-1,MIN(1,O913+INDEX(Types!$H:$H,MATCH($A913&amp;"|"&amp;$D913,Types!$A:$A,0)))))</f>
        <v/>
      </c>
      <c r="AK913" s="43">
        <f>IF(AG913=1,AF913,MAX(AQ913*AS913,AF913))</f>
        <v/>
      </c>
      <c r="AL913" s="43">
        <f>IF(AG913=1,AD913,AK913*(1+AJ913)/2)</f>
        <v/>
      </c>
      <c r="AM913" s="43">
        <f>IF(AG913=1,AE913,AK913*(1-AJ913)/2)</f>
        <v/>
      </c>
      <c r="AN913" s="45">
        <f>IF(AH913="","",AH913-T913)</f>
        <v/>
      </c>
      <c r="AO913" s="51">
        <f>IF(AG913=1,1,IF(U913&gt;0,MIN(AF913/U913,0.99),0))</f>
        <v/>
      </c>
      <c r="AP913" s="43">
        <f>IF(AG913=1,AI913*AF913,0)</f>
        <v/>
      </c>
      <c r="AQ913" s="43">
        <f>N913*(F913+G913)/H913</f>
        <v/>
      </c>
      <c r="AR913" s="43">
        <f>O913*AQ913</f>
        <v/>
      </c>
      <c r="AS913" s="52">
        <f>IF(AG913=1,IF(AQ913&gt;0,AF913/AQ913,1),IFERROR(INDEX(Types!$K:$K,MATCH($A913&amp;"|"&amp;$D913,Types!$A:$A,0)),INDEX(Dashboard!$X$6:$X$22,MATCH($A913,Dashboard!$A$6:$A$22,0))))</f>
        <v/>
      </c>
      <c r="AT913" s="43">
        <f>AQ913*INDEX(Dashboard!$Y$6:$Y$22,MATCH($A913,Dashboard!$A$6:$A$22,0))</f>
        <v/>
      </c>
      <c r="AU913" s="53">
        <f>IF(AND(AG913=1,AT913&gt;0,AF913&gt;0),100*AF913/AT913,"")</f>
        <v/>
      </c>
      <c r="AV913" s="44">
        <f>IF(AU913="","",T913/(AU913/100))</f>
        <v/>
      </c>
      <c r="AW913" s="53">
        <f>IF(AU913="","",IF(AND(ABS(AH913)&gt;=0.1,ABS(T913)&gt;=0.05,SIGN(AH913)=SIGN(T913)),100*T913/AH913,""))</f>
        <v/>
      </c>
      <c r="AX913" s="45">
        <f>IF(AU913="","",T913-AV913)</f>
        <v/>
      </c>
      <c r="AY913" s="45">
        <f>IF(AU913="","",AH913-AV913)</f>
        <v/>
      </c>
      <c r="AZ913" s="54">
        <f>(AL913-AM913)-T913*AT913</f>
        <v/>
      </c>
      <c r="BA913" s="43">
        <f>IF(AU913="",0,(AH913-T913)*AF913)</f>
        <v/>
      </c>
      <c r="BB913" s="43">
        <f>IF(AU913="",0,T913*(AF913-AT913))</f>
        <v/>
      </c>
      <c r="BC913" s="51" t="n">
        <v>0.003694858739242103</v>
      </c>
      <c r="BD913" s="51" t="n">
        <v>0.0107691614473032</v>
      </c>
      <c r="BE913" s="51" t="n">
        <v>0.1095434429019934</v>
      </c>
      <c r="BF913" s="43" t="n">
        <v>44386</v>
      </c>
    </row>
    <row r="914">
      <c r="A914" s="42" t="inlineStr">
        <is>
          <t>OH</t>
        </is>
      </c>
      <c r="B914" s="42" t="inlineStr">
        <is>
          <t>39077</t>
        </is>
      </c>
      <c r="C914" s="42" t="inlineStr">
        <is>
          <t>Huron</t>
        </is>
      </c>
      <c r="D914" s="42" t="inlineStr">
        <is>
          <t>Small town &amp; rural</t>
        </is>
      </c>
      <c r="E914" s="42" t="inlineStr"/>
      <c r="F914" s="43" t="n">
        <v>7496</v>
      </c>
      <c r="G914" s="43" t="n">
        <v>19484</v>
      </c>
      <c r="H914" s="43" t="n">
        <v>27212</v>
      </c>
      <c r="I914" s="43" t="n">
        <v>7759</v>
      </c>
      <c r="J914" s="43" t="n">
        <v>18956</v>
      </c>
      <c r="K914" s="42" t="inlineStr">
        <is>
          <t>US Senate</t>
        </is>
      </c>
      <c r="L914" s="43" t="n">
        <v>5998</v>
      </c>
      <c r="M914" s="43" t="n">
        <v>12398</v>
      </c>
      <c r="N914" s="43" t="n">
        <v>18404</v>
      </c>
      <c r="O914" s="44">
        <f>IFERROR((F914-G914)/(F914+G914),"")</f>
        <v/>
      </c>
      <c r="P914" s="44">
        <f>IFERROR((I914-J914)/(I914+J914),"")</f>
        <v/>
      </c>
      <c r="Q914" s="45">
        <f>IFERROR(O914-P914,"")</f>
        <v/>
      </c>
      <c r="R914" s="44">
        <f>IFERROR((L914-M914)/(L914+M914),"")</f>
        <v/>
      </c>
      <c r="S914" s="46">
        <f>H914/SUMIFS(Counties!$H$2:$H$1583,Counties!$A$2:$A$1583,$A914)</f>
        <v/>
      </c>
      <c r="T914" s="44">
        <f>O914+INDEX(Dashboard!$F$6:$F$22,MATCH($A914,Dashboard!$A$6:$A$22,0))</f>
        <v/>
      </c>
      <c r="U914" s="43">
        <f>AQ914*INDEX(Dashboard!$G$6:$G$22,MATCH($A914,Dashboard!$A$6:$A$22,0))</f>
        <v/>
      </c>
      <c r="V914" s="47" t="n"/>
      <c r="W914" s="47" t="n"/>
      <c r="X914" s="47" t="n"/>
      <c r="Y914" s="48" t="n"/>
      <c r="Z914" s="49" t="n"/>
      <c r="AA914" s="49" t="n"/>
      <c r="AB914" s="49" t="n"/>
      <c r="AC914" s="50" t="n"/>
      <c r="AD914" s="43">
        <f>IF(Z914&lt;&gt;"",Z914,N(V914))</f>
        <v/>
      </c>
      <c r="AE914" s="43">
        <f>IF(AA914&lt;&gt;"",AA914,N(W914))</f>
        <v/>
      </c>
      <c r="AF914" s="43">
        <f>AD914+AE914</f>
        <v/>
      </c>
      <c r="AG914" s="42">
        <f>IF(UPPER(AC914)="Y",1,IF(AF914=0,0,IF(AND(Z914="",Y914&lt;&gt;""),IF(Y914&gt;=0.999,1,0),IF(AF914&gt;=U914,1,0))))</f>
        <v/>
      </c>
      <c r="AH914" s="44">
        <f>IF(AF914&gt;0,(AD914-AE914)/AF914,"")</f>
        <v/>
      </c>
      <c r="AI914" s="45">
        <f>IF(AG914=1,AH914-O914,"")</f>
        <v/>
      </c>
      <c r="AJ914" s="44">
        <f>IF(AG914=1,AH914,MAX(-1,MIN(1,O914+INDEX(Types!$H:$H,MATCH($A914&amp;"|"&amp;$D914,Types!$A:$A,0)))))</f>
        <v/>
      </c>
      <c r="AK914" s="43">
        <f>IF(AG914=1,AF914,MAX(AQ914*AS914,AF914))</f>
        <v/>
      </c>
      <c r="AL914" s="43">
        <f>IF(AG914=1,AD914,AK914*(1+AJ914)/2)</f>
        <v/>
      </c>
      <c r="AM914" s="43">
        <f>IF(AG914=1,AE914,AK914*(1-AJ914)/2)</f>
        <v/>
      </c>
      <c r="AN914" s="45">
        <f>IF(AH914="","",AH914-T914)</f>
        <v/>
      </c>
      <c r="AO914" s="51">
        <f>IF(AG914=1,1,IF(U914&gt;0,MIN(AF914/U914,0.99),0))</f>
        <v/>
      </c>
      <c r="AP914" s="43">
        <f>IF(AG914=1,AI914*AF914,0)</f>
        <v/>
      </c>
      <c r="AQ914" s="43">
        <f>N914*(F914+G914)/H914</f>
        <v/>
      </c>
      <c r="AR914" s="43">
        <f>O914*AQ914</f>
        <v/>
      </c>
      <c r="AS914" s="52">
        <f>IF(AG914=1,IF(AQ914&gt;0,AF914/AQ914,1),IFERROR(INDEX(Types!$K:$K,MATCH($A914&amp;"|"&amp;$D914,Types!$A:$A,0)),INDEX(Dashboard!$X$6:$X$22,MATCH($A914,Dashboard!$A$6:$A$22,0))))</f>
        <v/>
      </c>
      <c r="AT914" s="43">
        <f>AQ914*INDEX(Dashboard!$Y$6:$Y$22,MATCH($A914,Dashboard!$A$6:$A$22,0))</f>
        <v/>
      </c>
      <c r="AU914" s="53">
        <f>IF(AND(AG914=1,AT914&gt;0,AF914&gt;0),100*AF914/AT914,"")</f>
        <v/>
      </c>
      <c r="AV914" s="44">
        <f>IF(AU914="","",T914/(AU914/100))</f>
        <v/>
      </c>
      <c r="AW914" s="53">
        <f>IF(AU914="","",IF(AND(ABS(AH914)&gt;=0.1,ABS(T914)&gt;=0.05,SIGN(AH914)=SIGN(T914)),100*T914/AH914,""))</f>
        <v/>
      </c>
      <c r="AX914" s="45">
        <f>IF(AU914="","",T914-AV914)</f>
        <v/>
      </c>
      <c r="AY914" s="45">
        <f>IF(AU914="","",AH914-AV914)</f>
        <v/>
      </c>
      <c r="AZ914" s="54">
        <f>(AL914-AM914)-T914*AT914</f>
        <v/>
      </c>
      <c r="BA914" s="43">
        <f>IF(AU914="",0,(AH914-T914)*AF914)</f>
        <v/>
      </c>
      <c r="BB914" s="43">
        <f>IF(AU914="",0,T914*(AF914-AT914))</f>
        <v/>
      </c>
      <c r="BC914" s="51" t="n">
        <v>0.01154659014759704</v>
      </c>
      <c r="BD914" s="51" t="n">
        <v>0.07421089709445179</v>
      </c>
      <c r="BE914" s="51" t="n">
        <v>0.1694463980709334</v>
      </c>
      <c r="BF914" s="43" t="n">
        <v>58199</v>
      </c>
    </row>
    <row r="915">
      <c r="A915" s="42" t="inlineStr">
        <is>
          <t>OH</t>
        </is>
      </c>
      <c r="B915" s="42" t="inlineStr">
        <is>
          <t>39079</t>
        </is>
      </c>
      <c r="C915" s="42" t="inlineStr">
        <is>
          <t>Jackson</t>
        </is>
      </c>
      <c r="D915" s="42" t="inlineStr">
        <is>
          <t>Small town &amp; rural</t>
        </is>
      </c>
      <c r="E915" s="42" t="inlineStr"/>
      <c r="F915" s="43" t="n">
        <v>2953</v>
      </c>
      <c r="G915" s="43" t="n">
        <v>11249</v>
      </c>
      <c r="H915" s="43" t="n">
        <v>14285</v>
      </c>
      <c r="I915" s="43" t="n">
        <v>3311</v>
      </c>
      <c r="J915" s="43" t="n">
        <v>11309</v>
      </c>
      <c r="K915" s="42" t="inlineStr">
        <is>
          <t>US Senate</t>
        </is>
      </c>
      <c r="L915" s="43" t="n">
        <v>2285</v>
      </c>
      <c r="M915" s="43" t="n">
        <v>6599</v>
      </c>
      <c r="N915" s="43" t="n">
        <v>8885</v>
      </c>
      <c r="O915" s="44">
        <f>IFERROR((F915-G915)/(F915+G915),"")</f>
        <v/>
      </c>
      <c r="P915" s="44">
        <f>IFERROR((I915-J915)/(I915+J915),"")</f>
        <v/>
      </c>
      <c r="Q915" s="45">
        <f>IFERROR(O915-P915,"")</f>
        <v/>
      </c>
      <c r="R915" s="44">
        <f>IFERROR((L915-M915)/(L915+M915),"")</f>
        <v/>
      </c>
      <c r="S915" s="46">
        <f>H915/SUMIFS(Counties!$H$2:$H$1583,Counties!$A$2:$A$1583,$A915)</f>
        <v/>
      </c>
      <c r="T915" s="44">
        <f>O915+INDEX(Dashboard!$F$6:$F$22,MATCH($A915,Dashboard!$A$6:$A$22,0))</f>
        <v/>
      </c>
      <c r="U915" s="43">
        <f>AQ915*INDEX(Dashboard!$G$6:$G$22,MATCH($A915,Dashboard!$A$6:$A$22,0))</f>
        <v/>
      </c>
      <c r="V915" s="47" t="n"/>
      <c r="W915" s="47" t="n"/>
      <c r="X915" s="47" t="n"/>
      <c r="Y915" s="48" t="n"/>
      <c r="Z915" s="49" t="n"/>
      <c r="AA915" s="49" t="n"/>
      <c r="AB915" s="49" t="n"/>
      <c r="AC915" s="50" t="n"/>
      <c r="AD915" s="43">
        <f>IF(Z915&lt;&gt;"",Z915,N(V915))</f>
        <v/>
      </c>
      <c r="AE915" s="43">
        <f>IF(AA915&lt;&gt;"",AA915,N(W915))</f>
        <v/>
      </c>
      <c r="AF915" s="43">
        <f>AD915+AE915</f>
        <v/>
      </c>
      <c r="AG915" s="42">
        <f>IF(UPPER(AC915)="Y",1,IF(AF915=0,0,IF(AND(Z915="",Y915&lt;&gt;""),IF(Y915&gt;=0.999,1,0),IF(AF915&gt;=U915,1,0))))</f>
        <v/>
      </c>
      <c r="AH915" s="44">
        <f>IF(AF915&gt;0,(AD915-AE915)/AF915,"")</f>
        <v/>
      </c>
      <c r="AI915" s="45">
        <f>IF(AG915=1,AH915-O915,"")</f>
        <v/>
      </c>
      <c r="AJ915" s="44">
        <f>IF(AG915=1,AH915,MAX(-1,MIN(1,O915+INDEX(Types!$H:$H,MATCH($A915&amp;"|"&amp;$D915,Types!$A:$A,0)))))</f>
        <v/>
      </c>
      <c r="AK915" s="43">
        <f>IF(AG915=1,AF915,MAX(AQ915*AS915,AF915))</f>
        <v/>
      </c>
      <c r="AL915" s="43">
        <f>IF(AG915=1,AD915,AK915*(1+AJ915)/2)</f>
        <v/>
      </c>
      <c r="AM915" s="43">
        <f>IF(AG915=1,AE915,AK915*(1-AJ915)/2)</f>
        <v/>
      </c>
      <c r="AN915" s="45">
        <f>IF(AH915="","",AH915-T915)</f>
        <v/>
      </c>
      <c r="AO915" s="51">
        <f>IF(AG915=1,1,IF(U915&gt;0,MIN(AF915/U915,0.99),0))</f>
        <v/>
      </c>
      <c r="AP915" s="43">
        <f>IF(AG915=1,AI915*AF915,0)</f>
        <v/>
      </c>
      <c r="AQ915" s="43">
        <f>N915*(F915+G915)/H915</f>
        <v/>
      </c>
      <c r="AR915" s="43">
        <f>O915*AQ915</f>
        <v/>
      </c>
      <c r="AS915" s="52">
        <f>IF(AG915=1,IF(AQ915&gt;0,AF915/AQ915,1),IFERROR(INDEX(Types!$K:$K,MATCH($A915&amp;"|"&amp;$D915,Types!$A:$A,0)),INDEX(Dashboard!$X$6:$X$22,MATCH($A915,Dashboard!$A$6:$A$22,0))))</f>
        <v/>
      </c>
      <c r="AT915" s="43">
        <f>AQ915*INDEX(Dashboard!$Y$6:$Y$22,MATCH($A915,Dashboard!$A$6:$A$22,0))</f>
        <v/>
      </c>
      <c r="AU915" s="53">
        <f>IF(AND(AG915=1,AT915&gt;0,AF915&gt;0),100*AF915/AT915,"")</f>
        <v/>
      </c>
      <c r="AV915" s="44">
        <f>IF(AU915="","",T915/(AU915/100))</f>
        <v/>
      </c>
      <c r="AW915" s="53">
        <f>IF(AU915="","",IF(AND(ABS(AH915)&gt;=0.1,ABS(T915)&gt;=0.05,SIGN(AH915)=SIGN(T915)),100*T915/AH915,""))</f>
        <v/>
      </c>
      <c r="AX915" s="45">
        <f>IF(AU915="","",T915-AV915)</f>
        <v/>
      </c>
      <c r="AY915" s="45">
        <f>IF(AU915="","",AH915-AV915)</f>
        <v/>
      </c>
      <c r="AZ915" s="54">
        <f>(AL915-AM915)-T915*AT915</f>
        <v/>
      </c>
      <c r="BA915" s="43">
        <f>IF(AU915="",0,(AH915-T915)*AF915)</f>
        <v/>
      </c>
      <c r="BB915" s="43">
        <f>IF(AU915="",0,T915*(AF915-AT915))</f>
        <v/>
      </c>
      <c r="BC915" s="51" t="n">
        <v>0.007697969698828437</v>
      </c>
      <c r="BD915" s="51" t="n">
        <v>0.01036619027172913</v>
      </c>
      <c r="BE915" s="51" t="n">
        <v>0.1661461586508432</v>
      </c>
      <c r="BF915" s="43" t="n">
        <v>32606</v>
      </c>
    </row>
    <row r="916">
      <c r="A916" s="42" t="inlineStr">
        <is>
          <t>OH</t>
        </is>
      </c>
      <c r="B916" s="42" t="inlineStr">
        <is>
          <t>39081</t>
        </is>
      </c>
      <c r="C916" s="42" t="inlineStr">
        <is>
          <t>Jefferson</t>
        </is>
      </c>
      <c r="D916" s="42" t="inlineStr">
        <is>
          <t>Small town &amp; rural</t>
        </is>
      </c>
      <c r="E916" s="42" t="inlineStr"/>
      <c r="F916" s="43" t="n">
        <v>8592</v>
      </c>
      <c r="G916" s="43" t="n">
        <v>22317</v>
      </c>
      <c r="H916" s="43" t="n">
        <v>31257</v>
      </c>
      <c r="I916" s="43" t="n">
        <v>10018</v>
      </c>
      <c r="J916" s="43" t="n">
        <v>22828</v>
      </c>
      <c r="K916" s="42" t="inlineStr">
        <is>
          <t>US Senate</t>
        </is>
      </c>
      <c r="L916" s="43" t="n">
        <v>7914</v>
      </c>
      <c r="M916" s="43" t="n">
        <v>14970</v>
      </c>
      <c r="N916" s="43" t="n">
        <v>22894</v>
      </c>
      <c r="O916" s="44">
        <f>IFERROR((F916-G916)/(F916+G916),"")</f>
        <v/>
      </c>
      <c r="P916" s="44">
        <f>IFERROR((I916-J916)/(I916+J916),"")</f>
        <v/>
      </c>
      <c r="Q916" s="45">
        <f>IFERROR(O916-P916,"")</f>
        <v/>
      </c>
      <c r="R916" s="44">
        <f>IFERROR((L916-M916)/(L916+M916),"")</f>
        <v/>
      </c>
      <c r="S916" s="46">
        <f>H916/SUMIFS(Counties!$H$2:$H$1583,Counties!$A$2:$A$1583,$A916)</f>
        <v/>
      </c>
      <c r="T916" s="44">
        <f>O916+INDEX(Dashboard!$F$6:$F$22,MATCH($A916,Dashboard!$A$6:$A$22,0))</f>
        <v/>
      </c>
      <c r="U916" s="43">
        <f>AQ916*INDEX(Dashboard!$G$6:$G$22,MATCH($A916,Dashboard!$A$6:$A$22,0))</f>
        <v/>
      </c>
      <c r="V916" s="47" t="n"/>
      <c r="W916" s="47" t="n"/>
      <c r="X916" s="47" t="n"/>
      <c r="Y916" s="48" t="n"/>
      <c r="Z916" s="49" t="n"/>
      <c r="AA916" s="49" t="n"/>
      <c r="AB916" s="49" t="n"/>
      <c r="AC916" s="50" t="n"/>
      <c r="AD916" s="43">
        <f>IF(Z916&lt;&gt;"",Z916,N(V916))</f>
        <v/>
      </c>
      <c r="AE916" s="43">
        <f>IF(AA916&lt;&gt;"",AA916,N(W916))</f>
        <v/>
      </c>
      <c r="AF916" s="43">
        <f>AD916+AE916</f>
        <v/>
      </c>
      <c r="AG916" s="42">
        <f>IF(UPPER(AC916)="Y",1,IF(AF916=0,0,IF(AND(Z916="",Y916&lt;&gt;""),IF(Y916&gt;=0.999,1,0),IF(AF916&gt;=U916,1,0))))</f>
        <v/>
      </c>
      <c r="AH916" s="44">
        <f>IF(AF916&gt;0,(AD916-AE916)/AF916,"")</f>
        <v/>
      </c>
      <c r="AI916" s="45">
        <f>IF(AG916=1,AH916-O916,"")</f>
        <v/>
      </c>
      <c r="AJ916" s="44">
        <f>IF(AG916=1,AH916,MAX(-1,MIN(1,O916+INDEX(Types!$H:$H,MATCH($A916&amp;"|"&amp;$D916,Types!$A:$A,0)))))</f>
        <v/>
      </c>
      <c r="AK916" s="43">
        <f>IF(AG916=1,AF916,MAX(AQ916*AS916,AF916))</f>
        <v/>
      </c>
      <c r="AL916" s="43">
        <f>IF(AG916=1,AD916,AK916*(1+AJ916)/2)</f>
        <v/>
      </c>
      <c r="AM916" s="43">
        <f>IF(AG916=1,AE916,AK916*(1-AJ916)/2)</f>
        <v/>
      </c>
      <c r="AN916" s="45">
        <f>IF(AH916="","",AH916-T916)</f>
        <v/>
      </c>
      <c r="AO916" s="51">
        <f>IF(AG916=1,1,IF(U916&gt;0,MIN(AF916/U916,0.99),0))</f>
        <v/>
      </c>
      <c r="AP916" s="43">
        <f>IF(AG916=1,AI916*AF916,0)</f>
        <v/>
      </c>
      <c r="AQ916" s="43">
        <f>N916*(F916+G916)/H916</f>
        <v/>
      </c>
      <c r="AR916" s="43">
        <f>O916*AQ916</f>
        <v/>
      </c>
      <c r="AS916" s="52">
        <f>IF(AG916=1,IF(AQ916&gt;0,AF916/AQ916,1),IFERROR(INDEX(Types!$K:$K,MATCH($A916&amp;"|"&amp;$D916,Types!$A:$A,0)),INDEX(Dashboard!$X$6:$X$22,MATCH($A916,Dashboard!$A$6:$A$22,0))))</f>
        <v/>
      </c>
      <c r="AT916" s="43">
        <f>AQ916*INDEX(Dashboard!$Y$6:$Y$22,MATCH($A916,Dashboard!$A$6:$A$22,0))</f>
        <v/>
      </c>
      <c r="AU916" s="53">
        <f>IF(AND(AG916=1,AT916&gt;0,AF916&gt;0),100*AF916/AT916,"")</f>
        <v/>
      </c>
      <c r="AV916" s="44">
        <f>IF(AU916="","",T916/(AU916/100))</f>
        <v/>
      </c>
      <c r="AW916" s="53">
        <f>IF(AU916="","",IF(AND(ABS(AH916)&gt;=0.1,ABS(T916)&gt;=0.05,SIGN(AH916)=SIGN(T916)),100*T916/AH916,""))</f>
        <v/>
      </c>
      <c r="AX916" s="45">
        <f>IF(AU916="","",T916-AV916)</f>
        <v/>
      </c>
      <c r="AY916" s="45">
        <f>IF(AU916="","",AH916-AV916)</f>
        <v/>
      </c>
      <c r="AZ916" s="54">
        <f>(AL916-AM916)-T916*AT916</f>
        <v/>
      </c>
      <c r="BA916" s="43">
        <f>IF(AU916="",0,(AH916-T916)*AF916)</f>
        <v/>
      </c>
      <c r="BB916" s="43">
        <f>IF(AU916="",0,T916*(AF916-AT916))</f>
        <v/>
      </c>
      <c r="BC916" s="51" t="n">
        <v>0.05338456252147565</v>
      </c>
      <c r="BD916" s="51" t="n">
        <v>0.01955455596164058</v>
      </c>
      <c r="BE916" s="51" t="n">
        <v>0.2055668939163663</v>
      </c>
      <c r="BF916" s="43" t="n">
        <v>64026</v>
      </c>
    </row>
    <row r="917">
      <c r="A917" s="42" t="inlineStr">
        <is>
          <t>OH</t>
        </is>
      </c>
      <c r="B917" s="42" t="inlineStr">
        <is>
          <t>39083</t>
        </is>
      </c>
      <c r="C917" s="42" t="inlineStr">
        <is>
          <t>Knox</t>
        </is>
      </c>
      <c r="D917" s="42" t="inlineStr">
        <is>
          <t>Small town &amp; rural</t>
        </is>
      </c>
      <c r="E917" s="42" t="inlineStr"/>
      <c r="F917" s="43" t="n">
        <v>8698</v>
      </c>
      <c r="G917" s="43" t="n">
        <v>23112</v>
      </c>
      <c r="H917" s="43" t="n">
        <v>32090</v>
      </c>
      <c r="I917" s="43" t="n">
        <v>8589</v>
      </c>
      <c r="J917" s="43" t="n">
        <v>22340</v>
      </c>
      <c r="K917" s="42" t="inlineStr">
        <is>
          <t>US Senate</t>
        </is>
      </c>
      <c r="L917" s="43" t="n">
        <v>6969</v>
      </c>
      <c r="M917" s="43" t="n">
        <v>16104</v>
      </c>
      <c r="N917" s="43" t="n">
        <v>23080</v>
      </c>
      <c r="O917" s="44">
        <f>IFERROR((F917-G917)/(F917+G917),"")</f>
        <v/>
      </c>
      <c r="P917" s="44">
        <f>IFERROR((I917-J917)/(I917+J917),"")</f>
        <v/>
      </c>
      <c r="Q917" s="45">
        <f>IFERROR(O917-P917,"")</f>
        <v/>
      </c>
      <c r="R917" s="44">
        <f>IFERROR((L917-M917)/(L917+M917),"")</f>
        <v/>
      </c>
      <c r="S917" s="46">
        <f>H917/SUMIFS(Counties!$H$2:$H$1583,Counties!$A$2:$A$1583,$A917)</f>
        <v/>
      </c>
      <c r="T917" s="44">
        <f>O917+INDEX(Dashboard!$F$6:$F$22,MATCH($A917,Dashboard!$A$6:$A$22,0))</f>
        <v/>
      </c>
      <c r="U917" s="43">
        <f>AQ917*INDEX(Dashboard!$G$6:$G$22,MATCH($A917,Dashboard!$A$6:$A$22,0))</f>
        <v/>
      </c>
      <c r="V917" s="47" t="n"/>
      <c r="W917" s="47" t="n"/>
      <c r="X917" s="47" t="n"/>
      <c r="Y917" s="48" t="n"/>
      <c r="Z917" s="49" t="n"/>
      <c r="AA917" s="49" t="n"/>
      <c r="AB917" s="49" t="n"/>
      <c r="AC917" s="50" t="n"/>
      <c r="AD917" s="43">
        <f>IF(Z917&lt;&gt;"",Z917,N(V917))</f>
        <v/>
      </c>
      <c r="AE917" s="43">
        <f>IF(AA917&lt;&gt;"",AA917,N(W917))</f>
        <v/>
      </c>
      <c r="AF917" s="43">
        <f>AD917+AE917</f>
        <v/>
      </c>
      <c r="AG917" s="42">
        <f>IF(UPPER(AC917)="Y",1,IF(AF917=0,0,IF(AND(Z917="",Y917&lt;&gt;""),IF(Y917&gt;=0.999,1,0),IF(AF917&gt;=U917,1,0))))</f>
        <v/>
      </c>
      <c r="AH917" s="44">
        <f>IF(AF917&gt;0,(AD917-AE917)/AF917,"")</f>
        <v/>
      </c>
      <c r="AI917" s="45">
        <f>IF(AG917=1,AH917-O917,"")</f>
        <v/>
      </c>
      <c r="AJ917" s="44">
        <f>IF(AG917=1,AH917,MAX(-1,MIN(1,O917+INDEX(Types!$H:$H,MATCH($A917&amp;"|"&amp;$D917,Types!$A:$A,0)))))</f>
        <v/>
      </c>
      <c r="AK917" s="43">
        <f>IF(AG917=1,AF917,MAX(AQ917*AS917,AF917))</f>
        <v/>
      </c>
      <c r="AL917" s="43">
        <f>IF(AG917=1,AD917,AK917*(1+AJ917)/2)</f>
        <v/>
      </c>
      <c r="AM917" s="43">
        <f>IF(AG917=1,AE917,AK917*(1-AJ917)/2)</f>
        <v/>
      </c>
      <c r="AN917" s="45">
        <f>IF(AH917="","",AH917-T917)</f>
        <v/>
      </c>
      <c r="AO917" s="51">
        <f>IF(AG917=1,1,IF(U917&gt;0,MIN(AF917/U917,0.99),0))</f>
        <v/>
      </c>
      <c r="AP917" s="43">
        <f>IF(AG917=1,AI917*AF917,0)</f>
        <v/>
      </c>
      <c r="AQ917" s="43">
        <f>N917*(F917+G917)/H917</f>
        <v/>
      </c>
      <c r="AR917" s="43">
        <f>O917*AQ917</f>
        <v/>
      </c>
      <c r="AS917" s="52">
        <f>IF(AG917=1,IF(AQ917&gt;0,AF917/AQ917,1),IFERROR(INDEX(Types!$K:$K,MATCH($A917&amp;"|"&amp;$D917,Types!$A:$A,0)),INDEX(Dashboard!$X$6:$X$22,MATCH($A917,Dashboard!$A$6:$A$22,0))))</f>
        <v/>
      </c>
      <c r="AT917" s="43">
        <f>AQ917*INDEX(Dashboard!$Y$6:$Y$22,MATCH($A917,Dashboard!$A$6:$A$22,0))</f>
        <v/>
      </c>
      <c r="AU917" s="53">
        <f>IF(AND(AG917=1,AT917&gt;0,AF917&gt;0),100*AF917/AT917,"")</f>
        <v/>
      </c>
      <c r="AV917" s="44">
        <f>IF(AU917="","",T917/(AU917/100))</f>
        <v/>
      </c>
      <c r="AW917" s="53">
        <f>IF(AU917="","",IF(AND(ABS(AH917)&gt;=0.1,ABS(T917)&gt;=0.05,SIGN(AH917)=SIGN(T917)),100*T917/AH917,""))</f>
        <v/>
      </c>
      <c r="AX917" s="45">
        <f>IF(AU917="","",T917-AV917)</f>
        <v/>
      </c>
      <c r="AY917" s="45">
        <f>IF(AU917="","",AH917-AV917)</f>
        <v/>
      </c>
      <c r="AZ917" s="54">
        <f>(AL917-AM917)-T917*AT917</f>
        <v/>
      </c>
      <c r="BA917" s="43">
        <f>IF(AU917="",0,(AH917-T917)*AF917)</f>
        <v/>
      </c>
      <c r="BB917" s="43">
        <f>IF(AU917="",0,T917*(AF917-AT917))</f>
        <v/>
      </c>
      <c r="BC917" s="51" t="n">
        <v>0.01013897662665824</v>
      </c>
      <c r="BD917" s="51" t="n">
        <v>0.02100442198357549</v>
      </c>
      <c r="BE917" s="51" t="n">
        <v>0.2434529115570868</v>
      </c>
      <c r="BF917" s="43" t="n">
        <v>63320</v>
      </c>
    </row>
    <row r="918">
      <c r="A918" s="42" t="inlineStr">
        <is>
          <t>OH</t>
        </is>
      </c>
      <c r="B918" s="42" t="inlineStr">
        <is>
          <t>39085</t>
        </is>
      </c>
      <c r="C918" s="42" t="inlineStr">
        <is>
          <t>Lake</t>
        </is>
      </c>
      <c r="D918" s="42" t="inlineStr">
        <is>
          <t>Mid-size/working metro</t>
        </is>
      </c>
      <c r="E918" s="42" t="inlineStr"/>
      <c r="F918" s="43" t="n">
        <v>54484</v>
      </c>
      <c r="G918" s="43" t="n">
        <v>72924</v>
      </c>
      <c r="H918" s="43" t="n">
        <v>128535</v>
      </c>
      <c r="I918" s="43" t="n">
        <v>55514</v>
      </c>
      <c r="J918" s="43" t="n">
        <v>73278</v>
      </c>
      <c r="K918" s="42" t="inlineStr">
        <is>
          <t>US Senate</t>
        </is>
      </c>
      <c r="L918" s="43" t="n">
        <v>43166</v>
      </c>
      <c r="M918" s="43" t="n">
        <v>50890</v>
      </c>
      <c r="N918" s="43" t="n">
        <v>94071</v>
      </c>
      <c r="O918" s="44">
        <f>IFERROR((F918-G918)/(F918+G918),"")</f>
        <v/>
      </c>
      <c r="P918" s="44">
        <f>IFERROR((I918-J918)/(I918+J918),"")</f>
        <v/>
      </c>
      <c r="Q918" s="45">
        <f>IFERROR(O918-P918,"")</f>
        <v/>
      </c>
      <c r="R918" s="44">
        <f>IFERROR((L918-M918)/(L918+M918),"")</f>
        <v/>
      </c>
      <c r="S918" s="46">
        <f>H918/SUMIFS(Counties!$H$2:$H$1583,Counties!$A$2:$A$1583,$A918)</f>
        <v/>
      </c>
      <c r="T918" s="44">
        <f>O918+INDEX(Dashboard!$F$6:$F$22,MATCH($A918,Dashboard!$A$6:$A$22,0))</f>
        <v/>
      </c>
      <c r="U918" s="43">
        <f>AQ918*INDEX(Dashboard!$G$6:$G$22,MATCH($A918,Dashboard!$A$6:$A$22,0))</f>
        <v/>
      </c>
      <c r="V918" s="47" t="n"/>
      <c r="W918" s="47" t="n"/>
      <c r="X918" s="47" t="n"/>
      <c r="Y918" s="48" t="n"/>
      <c r="Z918" s="49" t="n"/>
      <c r="AA918" s="49" t="n"/>
      <c r="AB918" s="49" t="n"/>
      <c r="AC918" s="50" t="n"/>
      <c r="AD918" s="43">
        <f>IF(Z918&lt;&gt;"",Z918,N(V918))</f>
        <v/>
      </c>
      <c r="AE918" s="43">
        <f>IF(AA918&lt;&gt;"",AA918,N(W918))</f>
        <v/>
      </c>
      <c r="AF918" s="43">
        <f>AD918+AE918</f>
        <v/>
      </c>
      <c r="AG918" s="42">
        <f>IF(UPPER(AC918)="Y",1,IF(AF918=0,0,IF(AND(Z918="",Y918&lt;&gt;""),IF(Y918&gt;=0.999,1,0),IF(AF918&gt;=U918,1,0))))</f>
        <v/>
      </c>
      <c r="AH918" s="44">
        <f>IF(AF918&gt;0,(AD918-AE918)/AF918,"")</f>
        <v/>
      </c>
      <c r="AI918" s="45">
        <f>IF(AG918=1,AH918-O918,"")</f>
        <v/>
      </c>
      <c r="AJ918" s="44">
        <f>IF(AG918=1,AH918,MAX(-1,MIN(1,O918+INDEX(Types!$H:$H,MATCH($A918&amp;"|"&amp;$D918,Types!$A:$A,0)))))</f>
        <v/>
      </c>
      <c r="AK918" s="43">
        <f>IF(AG918=1,AF918,MAX(AQ918*AS918,AF918))</f>
        <v/>
      </c>
      <c r="AL918" s="43">
        <f>IF(AG918=1,AD918,AK918*(1+AJ918)/2)</f>
        <v/>
      </c>
      <c r="AM918" s="43">
        <f>IF(AG918=1,AE918,AK918*(1-AJ918)/2)</f>
        <v/>
      </c>
      <c r="AN918" s="45">
        <f>IF(AH918="","",AH918-T918)</f>
        <v/>
      </c>
      <c r="AO918" s="51">
        <f>IF(AG918=1,1,IF(U918&gt;0,MIN(AF918/U918,0.99),0))</f>
        <v/>
      </c>
      <c r="AP918" s="43">
        <f>IF(AG918=1,AI918*AF918,0)</f>
        <v/>
      </c>
      <c r="AQ918" s="43">
        <f>N918*(F918+G918)/H918</f>
        <v/>
      </c>
      <c r="AR918" s="43">
        <f>O918*AQ918</f>
        <v/>
      </c>
      <c r="AS918" s="52">
        <f>IF(AG918=1,IF(AQ918&gt;0,AF918/AQ918,1),IFERROR(INDEX(Types!$K:$K,MATCH($A918&amp;"|"&amp;$D918,Types!$A:$A,0)),INDEX(Dashboard!$X$6:$X$22,MATCH($A918,Dashboard!$A$6:$A$22,0))))</f>
        <v/>
      </c>
      <c r="AT918" s="43">
        <f>AQ918*INDEX(Dashboard!$Y$6:$Y$22,MATCH($A918,Dashboard!$A$6:$A$22,0))</f>
        <v/>
      </c>
      <c r="AU918" s="53">
        <f>IF(AND(AG918=1,AT918&gt;0,AF918&gt;0),100*AF918/AT918,"")</f>
        <v/>
      </c>
      <c r="AV918" s="44">
        <f>IF(AU918="","",T918/(AU918/100))</f>
        <v/>
      </c>
      <c r="AW918" s="53">
        <f>IF(AU918="","",IF(AND(ABS(AH918)&gt;=0.1,ABS(T918)&gt;=0.05,SIGN(AH918)=SIGN(T918)),100*T918/AH918,""))</f>
        <v/>
      </c>
      <c r="AX918" s="45">
        <f>IF(AU918="","",T918-AV918)</f>
        <v/>
      </c>
      <c r="AY918" s="45">
        <f>IF(AU918="","",AH918-AV918)</f>
        <v/>
      </c>
      <c r="AZ918" s="54">
        <f>(AL918-AM918)-T918*AT918</f>
        <v/>
      </c>
      <c r="BA918" s="43">
        <f>IF(AU918="",0,(AH918-T918)*AF918)</f>
        <v/>
      </c>
      <c r="BB918" s="43">
        <f>IF(AU918="",0,T918*(AF918-AT918))</f>
        <v/>
      </c>
      <c r="BC918" s="51" t="n">
        <v>0.05496891728544293</v>
      </c>
      <c r="BD918" s="51" t="n">
        <v>0.05448540839233293</v>
      </c>
      <c r="BE918" s="51" t="n">
        <v>0.3052761215680934</v>
      </c>
      <c r="BF918" s="43" t="n">
        <v>231640</v>
      </c>
    </row>
    <row r="919">
      <c r="A919" s="42" t="inlineStr">
        <is>
          <t>OH</t>
        </is>
      </c>
      <c r="B919" s="42" t="inlineStr">
        <is>
          <t>39087</t>
        </is>
      </c>
      <c r="C919" s="42" t="inlineStr">
        <is>
          <t>Lawrence</t>
        </is>
      </c>
      <c r="D919" s="42" t="inlineStr">
        <is>
          <t>Small town &amp; rural</t>
        </is>
      </c>
      <c r="E919" s="42" t="inlineStr"/>
      <c r="F919" s="43" t="n">
        <v>6514</v>
      </c>
      <c r="G919" s="43" t="n">
        <v>20013</v>
      </c>
      <c r="H919" s="43" t="n">
        <v>26712</v>
      </c>
      <c r="I919" s="43" t="n">
        <v>7489</v>
      </c>
      <c r="J919" s="43" t="n">
        <v>20306</v>
      </c>
      <c r="K919" s="42" t="inlineStr">
        <is>
          <t>US Senate</t>
        </is>
      </c>
      <c r="L919" s="43" t="n">
        <v>4793</v>
      </c>
      <c r="M919" s="43" t="n">
        <v>12697</v>
      </c>
      <c r="N919" s="43" t="n">
        <v>17490</v>
      </c>
      <c r="O919" s="44">
        <f>IFERROR((F919-G919)/(F919+G919),"")</f>
        <v/>
      </c>
      <c r="P919" s="44">
        <f>IFERROR((I919-J919)/(I919+J919),"")</f>
        <v/>
      </c>
      <c r="Q919" s="45">
        <f>IFERROR(O919-P919,"")</f>
        <v/>
      </c>
      <c r="R919" s="44">
        <f>IFERROR((L919-M919)/(L919+M919),"")</f>
        <v/>
      </c>
      <c r="S919" s="46">
        <f>H919/SUMIFS(Counties!$H$2:$H$1583,Counties!$A$2:$A$1583,$A919)</f>
        <v/>
      </c>
      <c r="T919" s="44">
        <f>O919+INDEX(Dashboard!$F$6:$F$22,MATCH($A919,Dashboard!$A$6:$A$22,0))</f>
        <v/>
      </c>
      <c r="U919" s="43">
        <f>AQ919*INDEX(Dashboard!$G$6:$G$22,MATCH($A919,Dashboard!$A$6:$A$22,0))</f>
        <v/>
      </c>
      <c r="V919" s="47" t="n"/>
      <c r="W919" s="47" t="n"/>
      <c r="X919" s="47" t="n"/>
      <c r="Y919" s="48" t="n"/>
      <c r="Z919" s="49" t="n"/>
      <c r="AA919" s="49" t="n"/>
      <c r="AB919" s="49" t="n"/>
      <c r="AC919" s="50" t="n"/>
      <c r="AD919" s="43">
        <f>IF(Z919&lt;&gt;"",Z919,N(V919))</f>
        <v/>
      </c>
      <c r="AE919" s="43">
        <f>IF(AA919&lt;&gt;"",AA919,N(W919))</f>
        <v/>
      </c>
      <c r="AF919" s="43">
        <f>AD919+AE919</f>
        <v/>
      </c>
      <c r="AG919" s="42">
        <f>IF(UPPER(AC919)="Y",1,IF(AF919=0,0,IF(AND(Z919="",Y919&lt;&gt;""),IF(Y919&gt;=0.999,1,0),IF(AF919&gt;=U919,1,0))))</f>
        <v/>
      </c>
      <c r="AH919" s="44">
        <f>IF(AF919&gt;0,(AD919-AE919)/AF919,"")</f>
        <v/>
      </c>
      <c r="AI919" s="45">
        <f>IF(AG919=1,AH919-O919,"")</f>
        <v/>
      </c>
      <c r="AJ919" s="44">
        <f>IF(AG919=1,AH919,MAX(-1,MIN(1,O919+INDEX(Types!$H:$H,MATCH($A919&amp;"|"&amp;$D919,Types!$A:$A,0)))))</f>
        <v/>
      </c>
      <c r="AK919" s="43">
        <f>IF(AG919=1,AF919,MAX(AQ919*AS919,AF919))</f>
        <v/>
      </c>
      <c r="AL919" s="43">
        <f>IF(AG919=1,AD919,AK919*(1+AJ919)/2)</f>
        <v/>
      </c>
      <c r="AM919" s="43">
        <f>IF(AG919=1,AE919,AK919*(1-AJ919)/2)</f>
        <v/>
      </c>
      <c r="AN919" s="45">
        <f>IF(AH919="","",AH919-T919)</f>
        <v/>
      </c>
      <c r="AO919" s="51">
        <f>IF(AG919=1,1,IF(U919&gt;0,MIN(AF919/U919,0.99),0))</f>
        <v/>
      </c>
      <c r="AP919" s="43">
        <f>IF(AG919=1,AI919*AF919,0)</f>
        <v/>
      </c>
      <c r="AQ919" s="43">
        <f>N919*(F919+G919)/H919</f>
        <v/>
      </c>
      <c r="AR919" s="43">
        <f>O919*AQ919</f>
        <v/>
      </c>
      <c r="AS919" s="52">
        <f>IF(AG919=1,IF(AQ919&gt;0,AF919/AQ919,1),IFERROR(INDEX(Types!$K:$K,MATCH($A919&amp;"|"&amp;$D919,Types!$A:$A,0)),INDEX(Dashboard!$X$6:$X$22,MATCH($A919,Dashboard!$A$6:$A$22,0))))</f>
        <v/>
      </c>
      <c r="AT919" s="43">
        <f>AQ919*INDEX(Dashboard!$Y$6:$Y$22,MATCH($A919,Dashboard!$A$6:$A$22,0))</f>
        <v/>
      </c>
      <c r="AU919" s="53">
        <f>IF(AND(AG919=1,AT919&gt;0,AF919&gt;0),100*AF919/AT919,"")</f>
        <v/>
      </c>
      <c r="AV919" s="44">
        <f>IF(AU919="","",T919/(AU919/100))</f>
        <v/>
      </c>
      <c r="AW919" s="53">
        <f>IF(AU919="","",IF(AND(ABS(AH919)&gt;=0.1,ABS(T919)&gt;=0.05,SIGN(AH919)=SIGN(T919)),100*T919/AH919,""))</f>
        <v/>
      </c>
      <c r="AX919" s="45">
        <f>IF(AU919="","",T919-AV919)</f>
        <v/>
      </c>
      <c r="AY919" s="45">
        <f>IF(AU919="","",AH919-AV919)</f>
        <v/>
      </c>
      <c r="AZ919" s="54">
        <f>(AL919-AM919)-T919*AT919</f>
        <v/>
      </c>
      <c r="BA919" s="43">
        <f>IF(AU919="",0,(AH919-T919)*AF919)</f>
        <v/>
      </c>
      <c r="BB919" s="43">
        <f>IF(AU919="",0,T919*(AF919-AT919))</f>
        <v/>
      </c>
      <c r="BC919" s="51" t="n">
        <v>0.02182900317188781</v>
      </c>
      <c r="BD919" s="51" t="n">
        <v>0.01158273637692006</v>
      </c>
      <c r="BE919" s="51" t="n">
        <v>0.1857783472133248</v>
      </c>
      <c r="BF919" s="43" t="n">
        <v>56118</v>
      </c>
    </row>
    <row r="920">
      <c r="A920" s="42" t="inlineStr">
        <is>
          <t>OH</t>
        </is>
      </c>
      <c r="B920" s="42" t="inlineStr">
        <is>
          <t>39089</t>
        </is>
      </c>
      <c r="C920" s="42" t="inlineStr">
        <is>
          <t>Licking</t>
        </is>
      </c>
      <c r="D920" s="42" t="inlineStr">
        <is>
          <t>Mid-size/working metro</t>
        </is>
      </c>
      <c r="E920" s="42" t="inlineStr"/>
      <c r="F920" s="43" t="n">
        <v>32832</v>
      </c>
      <c r="G920" s="43" t="n">
        <v>61359</v>
      </c>
      <c r="H920" s="43" t="n">
        <v>95045</v>
      </c>
      <c r="I920" s="43" t="n">
        <v>33055</v>
      </c>
      <c r="J920" s="43" t="n">
        <v>59514</v>
      </c>
      <c r="K920" s="42" t="inlineStr">
        <is>
          <t>US Senate</t>
        </is>
      </c>
      <c r="L920" s="43" t="n">
        <v>24774</v>
      </c>
      <c r="M920" s="43" t="n">
        <v>41566</v>
      </c>
      <c r="N920" s="43" t="n">
        <v>66371</v>
      </c>
      <c r="O920" s="44">
        <f>IFERROR((F920-G920)/(F920+G920),"")</f>
        <v/>
      </c>
      <c r="P920" s="44">
        <f>IFERROR((I920-J920)/(I920+J920),"")</f>
        <v/>
      </c>
      <c r="Q920" s="45">
        <f>IFERROR(O920-P920,"")</f>
        <v/>
      </c>
      <c r="R920" s="44">
        <f>IFERROR((L920-M920)/(L920+M920),"")</f>
        <v/>
      </c>
      <c r="S920" s="46">
        <f>H920/SUMIFS(Counties!$H$2:$H$1583,Counties!$A$2:$A$1583,$A920)</f>
        <v/>
      </c>
      <c r="T920" s="44">
        <f>O920+INDEX(Dashboard!$F$6:$F$22,MATCH($A920,Dashboard!$A$6:$A$22,0))</f>
        <v/>
      </c>
      <c r="U920" s="43">
        <f>AQ920*INDEX(Dashboard!$G$6:$G$22,MATCH($A920,Dashboard!$A$6:$A$22,0))</f>
        <v/>
      </c>
      <c r="V920" s="47" t="n"/>
      <c r="W920" s="47" t="n"/>
      <c r="X920" s="47" t="n"/>
      <c r="Y920" s="48" t="n"/>
      <c r="Z920" s="49" t="n"/>
      <c r="AA920" s="49" t="n"/>
      <c r="AB920" s="49" t="n"/>
      <c r="AC920" s="50" t="n"/>
      <c r="AD920" s="43">
        <f>IF(Z920&lt;&gt;"",Z920,N(V920))</f>
        <v/>
      </c>
      <c r="AE920" s="43">
        <f>IF(AA920&lt;&gt;"",AA920,N(W920))</f>
        <v/>
      </c>
      <c r="AF920" s="43">
        <f>AD920+AE920</f>
        <v/>
      </c>
      <c r="AG920" s="42">
        <f>IF(UPPER(AC920)="Y",1,IF(AF920=0,0,IF(AND(Z920="",Y920&lt;&gt;""),IF(Y920&gt;=0.999,1,0),IF(AF920&gt;=U920,1,0))))</f>
        <v/>
      </c>
      <c r="AH920" s="44">
        <f>IF(AF920&gt;0,(AD920-AE920)/AF920,"")</f>
        <v/>
      </c>
      <c r="AI920" s="45">
        <f>IF(AG920=1,AH920-O920,"")</f>
        <v/>
      </c>
      <c r="AJ920" s="44">
        <f>IF(AG920=1,AH920,MAX(-1,MIN(1,O920+INDEX(Types!$H:$H,MATCH($A920&amp;"|"&amp;$D920,Types!$A:$A,0)))))</f>
        <v/>
      </c>
      <c r="AK920" s="43">
        <f>IF(AG920=1,AF920,MAX(AQ920*AS920,AF920))</f>
        <v/>
      </c>
      <c r="AL920" s="43">
        <f>IF(AG920=1,AD920,AK920*(1+AJ920)/2)</f>
        <v/>
      </c>
      <c r="AM920" s="43">
        <f>IF(AG920=1,AE920,AK920*(1-AJ920)/2)</f>
        <v/>
      </c>
      <c r="AN920" s="45">
        <f>IF(AH920="","",AH920-T920)</f>
        <v/>
      </c>
      <c r="AO920" s="51">
        <f>IF(AG920=1,1,IF(U920&gt;0,MIN(AF920/U920,0.99),0))</f>
        <v/>
      </c>
      <c r="AP920" s="43">
        <f>IF(AG920=1,AI920*AF920,0)</f>
        <v/>
      </c>
      <c r="AQ920" s="43">
        <f>N920*(F920+G920)/H920</f>
        <v/>
      </c>
      <c r="AR920" s="43">
        <f>O920*AQ920</f>
        <v/>
      </c>
      <c r="AS920" s="52">
        <f>IF(AG920=1,IF(AQ920&gt;0,AF920/AQ920,1),IFERROR(INDEX(Types!$K:$K,MATCH($A920&amp;"|"&amp;$D920,Types!$A:$A,0)),INDEX(Dashboard!$X$6:$X$22,MATCH($A920,Dashboard!$A$6:$A$22,0))))</f>
        <v/>
      </c>
      <c r="AT920" s="43">
        <f>AQ920*INDEX(Dashboard!$Y$6:$Y$22,MATCH($A920,Dashboard!$A$6:$A$22,0))</f>
        <v/>
      </c>
      <c r="AU920" s="53">
        <f>IF(AND(AG920=1,AT920&gt;0,AF920&gt;0),100*AF920/AT920,"")</f>
        <v/>
      </c>
      <c r="AV920" s="44">
        <f>IF(AU920="","",T920/(AU920/100))</f>
        <v/>
      </c>
      <c r="AW920" s="53">
        <f>IF(AU920="","",IF(AND(ABS(AH920)&gt;=0.1,ABS(T920)&gt;=0.05,SIGN(AH920)=SIGN(T920)),100*T920/AH920,""))</f>
        <v/>
      </c>
      <c r="AX920" s="45">
        <f>IF(AU920="","",T920-AV920)</f>
        <v/>
      </c>
      <c r="AY920" s="45">
        <f>IF(AU920="","",AH920-AV920)</f>
        <v/>
      </c>
      <c r="AZ920" s="54">
        <f>(AL920-AM920)-T920*AT920</f>
        <v/>
      </c>
      <c r="BA920" s="43">
        <f>IF(AU920="",0,(AH920-T920)*AF920)</f>
        <v/>
      </c>
      <c r="BB920" s="43">
        <f>IF(AU920="",0,T920*(AF920-AT920))</f>
        <v/>
      </c>
      <c r="BC920" s="51" t="n">
        <v>0.04668096789864684</v>
      </c>
      <c r="BD920" s="51" t="n">
        <v>0.02521274447191882</v>
      </c>
      <c r="BE920" s="51" t="n">
        <v>0.2928083861530961</v>
      </c>
      <c r="BF920" s="43" t="n">
        <v>183201</v>
      </c>
    </row>
    <row r="921">
      <c r="A921" s="42" t="inlineStr">
        <is>
          <t>OH</t>
        </is>
      </c>
      <c r="B921" s="42" t="inlineStr">
        <is>
          <t>39091</t>
        </is>
      </c>
      <c r="C921" s="42" t="inlineStr">
        <is>
          <t>Logan</t>
        </is>
      </c>
      <c r="D921" s="42" t="inlineStr">
        <is>
          <t>Small town &amp; rural</t>
        </is>
      </c>
      <c r="E921" s="42" t="inlineStr"/>
      <c r="F921" s="43" t="n">
        <v>5027</v>
      </c>
      <c r="G921" s="43" t="n">
        <v>18182</v>
      </c>
      <c r="H921" s="43" t="n">
        <v>23403</v>
      </c>
      <c r="I921" s="43" t="n">
        <v>5055</v>
      </c>
      <c r="J921" s="43" t="n">
        <v>17964</v>
      </c>
      <c r="K921" s="42" t="inlineStr">
        <is>
          <t>US Senate</t>
        </is>
      </c>
      <c r="L921" s="43" t="n">
        <v>3898</v>
      </c>
      <c r="M921" s="43" t="n">
        <v>12551</v>
      </c>
      <c r="N921" s="43" t="n">
        <v>16454</v>
      </c>
      <c r="O921" s="44">
        <f>IFERROR((F921-G921)/(F921+G921),"")</f>
        <v/>
      </c>
      <c r="P921" s="44">
        <f>IFERROR((I921-J921)/(I921+J921),"")</f>
        <v/>
      </c>
      <c r="Q921" s="45">
        <f>IFERROR(O921-P921,"")</f>
        <v/>
      </c>
      <c r="R921" s="44">
        <f>IFERROR((L921-M921)/(L921+M921),"")</f>
        <v/>
      </c>
      <c r="S921" s="46">
        <f>H921/SUMIFS(Counties!$H$2:$H$1583,Counties!$A$2:$A$1583,$A921)</f>
        <v/>
      </c>
      <c r="T921" s="44">
        <f>O921+INDEX(Dashboard!$F$6:$F$22,MATCH($A921,Dashboard!$A$6:$A$22,0))</f>
        <v/>
      </c>
      <c r="U921" s="43">
        <f>AQ921*INDEX(Dashboard!$G$6:$G$22,MATCH($A921,Dashboard!$A$6:$A$22,0))</f>
        <v/>
      </c>
      <c r="V921" s="47" t="n"/>
      <c r="W921" s="47" t="n"/>
      <c r="X921" s="47" t="n"/>
      <c r="Y921" s="48" t="n"/>
      <c r="Z921" s="49" t="n"/>
      <c r="AA921" s="49" t="n"/>
      <c r="AB921" s="49" t="n"/>
      <c r="AC921" s="50" t="n"/>
      <c r="AD921" s="43">
        <f>IF(Z921&lt;&gt;"",Z921,N(V921))</f>
        <v/>
      </c>
      <c r="AE921" s="43">
        <f>IF(AA921&lt;&gt;"",AA921,N(W921))</f>
        <v/>
      </c>
      <c r="AF921" s="43">
        <f>AD921+AE921</f>
        <v/>
      </c>
      <c r="AG921" s="42">
        <f>IF(UPPER(AC921)="Y",1,IF(AF921=0,0,IF(AND(Z921="",Y921&lt;&gt;""),IF(Y921&gt;=0.999,1,0),IF(AF921&gt;=U921,1,0))))</f>
        <v/>
      </c>
      <c r="AH921" s="44">
        <f>IF(AF921&gt;0,(AD921-AE921)/AF921,"")</f>
        <v/>
      </c>
      <c r="AI921" s="45">
        <f>IF(AG921=1,AH921-O921,"")</f>
        <v/>
      </c>
      <c r="AJ921" s="44">
        <f>IF(AG921=1,AH921,MAX(-1,MIN(1,O921+INDEX(Types!$H:$H,MATCH($A921&amp;"|"&amp;$D921,Types!$A:$A,0)))))</f>
        <v/>
      </c>
      <c r="AK921" s="43">
        <f>IF(AG921=1,AF921,MAX(AQ921*AS921,AF921))</f>
        <v/>
      </c>
      <c r="AL921" s="43">
        <f>IF(AG921=1,AD921,AK921*(1+AJ921)/2)</f>
        <v/>
      </c>
      <c r="AM921" s="43">
        <f>IF(AG921=1,AE921,AK921*(1-AJ921)/2)</f>
        <v/>
      </c>
      <c r="AN921" s="45">
        <f>IF(AH921="","",AH921-T921)</f>
        <v/>
      </c>
      <c r="AO921" s="51">
        <f>IF(AG921=1,1,IF(U921&gt;0,MIN(AF921/U921,0.99),0))</f>
        <v/>
      </c>
      <c r="AP921" s="43">
        <f>IF(AG921=1,AI921*AF921,0)</f>
        <v/>
      </c>
      <c r="AQ921" s="43">
        <f>N921*(F921+G921)/H921</f>
        <v/>
      </c>
      <c r="AR921" s="43">
        <f>O921*AQ921</f>
        <v/>
      </c>
      <c r="AS921" s="52">
        <f>IF(AG921=1,IF(AQ921&gt;0,AF921/AQ921,1),IFERROR(INDEX(Types!$K:$K,MATCH($A921&amp;"|"&amp;$D921,Types!$A:$A,0)),INDEX(Dashboard!$X$6:$X$22,MATCH($A921,Dashboard!$A$6:$A$22,0))))</f>
        <v/>
      </c>
      <c r="AT921" s="43">
        <f>AQ921*INDEX(Dashboard!$Y$6:$Y$22,MATCH($A921,Dashboard!$A$6:$A$22,0))</f>
        <v/>
      </c>
      <c r="AU921" s="53">
        <f>IF(AND(AG921=1,AT921&gt;0,AF921&gt;0),100*AF921/AT921,"")</f>
        <v/>
      </c>
      <c r="AV921" s="44">
        <f>IF(AU921="","",T921/(AU921/100))</f>
        <v/>
      </c>
      <c r="AW921" s="53">
        <f>IF(AU921="","",IF(AND(ABS(AH921)&gt;=0.1,ABS(T921)&gt;=0.05,SIGN(AH921)=SIGN(T921)),100*T921/AH921,""))</f>
        <v/>
      </c>
      <c r="AX921" s="45">
        <f>IF(AU921="","",T921-AV921)</f>
        <v/>
      </c>
      <c r="AY921" s="45">
        <f>IF(AU921="","",AH921-AV921)</f>
        <v/>
      </c>
      <c r="AZ921" s="54">
        <f>(AL921-AM921)-T921*AT921</f>
        <v/>
      </c>
      <c r="BA921" s="43">
        <f>IF(AU921="",0,(AH921-T921)*AF921)</f>
        <v/>
      </c>
      <c r="BB921" s="43">
        <f>IF(AU921="",0,T921*(AF921-AT921))</f>
        <v/>
      </c>
      <c r="BC921" s="51" t="n">
        <v>0.01945415463447467</v>
      </c>
      <c r="BD921" s="51" t="n">
        <v>0.02357947760383872</v>
      </c>
      <c r="BE921" s="51" t="n">
        <v>0.1829726456981401</v>
      </c>
      <c r="BF921" s="43" t="n">
        <v>46057</v>
      </c>
    </row>
    <row r="922">
      <c r="A922" s="42" t="inlineStr">
        <is>
          <t>OH</t>
        </is>
      </c>
      <c r="B922" s="42" t="inlineStr">
        <is>
          <t>39093</t>
        </is>
      </c>
      <c r="C922" s="42" t="inlineStr">
        <is>
          <t>Lorain</t>
        </is>
      </c>
      <c r="D922" s="42" t="inlineStr">
        <is>
          <t>Mid-size/working metro</t>
        </is>
      </c>
      <c r="E922" s="42" t="inlineStr">
        <is>
          <t>★</t>
        </is>
      </c>
      <c r="F922" s="43" t="n">
        <v>74207</v>
      </c>
      <c r="G922" s="43" t="n">
        <v>83297</v>
      </c>
      <c r="H922" s="43" t="n">
        <v>158959</v>
      </c>
      <c r="I922" s="43" t="n">
        <v>75667</v>
      </c>
      <c r="J922" s="43" t="n">
        <v>79520</v>
      </c>
      <c r="K922" s="42" t="inlineStr">
        <is>
          <t>US Senate</t>
        </is>
      </c>
      <c r="L922" s="43" t="n">
        <v>57191</v>
      </c>
      <c r="M922" s="43" t="n">
        <v>54488</v>
      </c>
      <c r="N922" s="43" t="n">
        <v>111727</v>
      </c>
      <c r="O922" s="44">
        <f>IFERROR((F922-G922)/(F922+G922),"")</f>
        <v/>
      </c>
      <c r="P922" s="44">
        <f>IFERROR((I922-J922)/(I922+J922),"")</f>
        <v/>
      </c>
      <c r="Q922" s="45">
        <f>IFERROR(O922-P922,"")</f>
        <v/>
      </c>
      <c r="R922" s="44">
        <f>IFERROR((L922-M922)/(L922+M922),"")</f>
        <v/>
      </c>
      <c r="S922" s="46">
        <f>H922/SUMIFS(Counties!$H$2:$H$1583,Counties!$A$2:$A$1583,$A922)</f>
        <v/>
      </c>
      <c r="T922" s="44">
        <f>O922+INDEX(Dashboard!$F$6:$F$22,MATCH($A922,Dashboard!$A$6:$A$22,0))</f>
        <v/>
      </c>
      <c r="U922" s="43">
        <f>AQ922*INDEX(Dashboard!$G$6:$G$22,MATCH($A922,Dashboard!$A$6:$A$22,0))</f>
        <v/>
      </c>
      <c r="V922" s="47" t="n"/>
      <c r="W922" s="47" t="n"/>
      <c r="X922" s="47" t="n"/>
      <c r="Y922" s="48" t="n"/>
      <c r="Z922" s="49" t="n"/>
      <c r="AA922" s="49" t="n"/>
      <c r="AB922" s="49" t="n"/>
      <c r="AC922" s="50" t="n"/>
      <c r="AD922" s="43">
        <f>IF(Z922&lt;&gt;"",Z922,N(V922))</f>
        <v/>
      </c>
      <c r="AE922" s="43">
        <f>IF(AA922&lt;&gt;"",AA922,N(W922))</f>
        <v/>
      </c>
      <c r="AF922" s="43">
        <f>AD922+AE922</f>
        <v/>
      </c>
      <c r="AG922" s="42">
        <f>IF(UPPER(AC922)="Y",1,IF(AF922=0,0,IF(AND(Z922="",Y922&lt;&gt;""),IF(Y922&gt;=0.999,1,0),IF(AF922&gt;=U922,1,0))))</f>
        <v/>
      </c>
      <c r="AH922" s="44">
        <f>IF(AF922&gt;0,(AD922-AE922)/AF922,"")</f>
        <v/>
      </c>
      <c r="AI922" s="45">
        <f>IF(AG922=1,AH922-O922,"")</f>
        <v/>
      </c>
      <c r="AJ922" s="44">
        <f>IF(AG922=1,AH922,MAX(-1,MIN(1,O922+INDEX(Types!$H:$H,MATCH($A922&amp;"|"&amp;$D922,Types!$A:$A,0)))))</f>
        <v/>
      </c>
      <c r="AK922" s="43">
        <f>IF(AG922=1,AF922,MAX(AQ922*AS922,AF922))</f>
        <v/>
      </c>
      <c r="AL922" s="43">
        <f>IF(AG922=1,AD922,AK922*(1+AJ922)/2)</f>
        <v/>
      </c>
      <c r="AM922" s="43">
        <f>IF(AG922=1,AE922,AK922*(1-AJ922)/2)</f>
        <v/>
      </c>
      <c r="AN922" s="45">
        <f>IF(AH922="","",AH922-T922)</f>
        <v/>
      </c>
      <c r="AO922" s="51">
        <f>IF(AG922=1,1,IF(U922&gt;0,MIN(AF922/U922,0.99),0))</f>
        <v/>
      </c>
      <c r="AP922" s="43">
        <f>IF(AG922=1,AI922*AF922,0)</f>
        <v/>
      </c>
      <c r="AQ922" s="43">
        <f>N922*(F922+G922)/H922</f>
        <v/>
      </c>
      <c r="AR922" s="43">
        <f>O922*AQ922</f>
        <v/>
      </c>
      <c r="AS922" s="52">
        <f>IF(AG922=1,IF(AQ922&gt;0,AF922/AQ922,1),IFERROR(INDEX(Types!$K:$K,MATCH($A922&amp;"|"&amp;$D922,Types!$A:$A,0)),INDEX(Dashboard!$X$6:$X$22,MATCH($A922,Dashboard!$A$6:$A$22,0))))</f>
        <v/>
      </c>
      <c r="AT922" s="43">
        <f>AQ922*INDEX(Dashboard!$Y$6:$Y$22,MATCH($A922,Dashboard!$A$6:$A$22,0))</f>
        <v/>
      </c>
      <c r="AU922" s="53">
        <f>IF(AND(AG922=1,AT922&gt;0,AF922&gt;0),100*AF922/AT922,"")</f>
        <v/>
      </c>
      <c r="AV922" s="44">
        <f>IF(AU922="","",T922/(AU922/100))</f>
        <v/>
      </c>
      <c r="AW922" s="53">
        <f>IF(AU922="","",IF(AND(ABS(AH922)&gt;=0.1,ABS(T922)&gt;=0.05,SIGN(AH922)=SIGN(T922)),100*T922/AH922,""))</f>
        <v/>
      </c>
      <c r="AX922" s="45">
        <f>IF(AU922="","",T922-AV922)</f>
        <v/>
      </c>
      <c r="AY922" s="45">
        <f>IF(AU922="","",AH922-AV922)</f>
        <v/>
      </c>
      <c r="AZ922" s="54">
        <f>(AL922-AM922)-T922*AT922</f>
        <v/>
      </c>
      <c r="BA922" s="43">
        <f>IF(AU922="",0,(AH922-T922)*AF922)</f>
        <v/>
      </c>
      <c r="BB922" s="43">
        <f>IF(AU922="",0,T922*(AF922-AT922))</f>
        <v/>
      </c>
      <c r="BC922" s="51" t="n">
        <v>0.07806297379761568</v>
      </c>
      <c r="BD922" s="51" t="n">
        <v>0.1118775754144255</v>
      </c>
      <c r="BE922" s="51" t="n">
        <v>0.2789533178679572</v>
      </c>
      <c r="BF922" s="43" t="n">
        <v>317910</v>
      </c>
    </row>
    <row r="923">
      <c r="A923" s="42" t="inlineStr">
        <is>
          <t>OH</t>
        </is>
      </c>
      <c r="B923" s="42" t="inlineStr">
        <is>
          <t>39095</t>
        </is>
      </c>
      <c r="C923" s="42" t="inlineStr">
        <is>
          <t>Lucas</t>
        </is>
      </c>
      <c r="D923" s="42" t="inlineStr">
        <is>
          <t>Mid-size/working metro</t>
        </is>
      </c>
      <c r="E923" s="42" t="inlineStr"/>
      <c r="F923" s="43" t="n">
        <v>106320</v>
      </c>
      <c r="G923" s="43" t="n">
        <v>82398</v>
      </c>
      <c r="H923" s="43" t="n">
        <v>190525</v>
      </c>
      <c r="I923" s="43" t="n">
        <v>115411</v>
      </c>
      <c r="J923" s="43" t="n">
        <v>81763</v>
      </c>
      <c r="K923" s="42" t="inlineStr">
        <is>
          <t>US Senate</t>
        </is>
      </c>
      <c r="L923" s="43" t="n">
        <v>78727</v>
      </c>
      <c r="M923" s="43" t="n">
        <v>53009</v>
      </c>
      <c r="N923" s="43" t="n">
        <v>131765</v>
      </c>
      <c r="O923" s="44">
        <f>IFERROR((F923-G923)/(F923+G923),"")</f>
        <v/>
      </c>
      <c r="P923" s="44">
        <f>IFERROR((I923-J923)/(I923+J923),"")</f>
        <v/>
      </c>
      <c r="Q923" s="45">
        <f>IFERROR(O923-P923,"")</f>
        <v/>
      </c>
      <c r="R923" s="44">
        <f>IFERROR((L923-M923)/(L923+M923),"")</f>
        <v/>
      </c>
      <c r="S923" s="46">
        <f>H923/SUMIFS(Counties!$H$2:$H$1583,Counties!$A$2:$A$1583,$A923)</f>
        <v/>
      </c>
      <c r="T923" s="44">
        <f>O923+INDEX(Dashboard!$F$6:$F$22,MATCH($A923,Dashboard!$A$6:$A$22,0))</f>
        <v/>
      </c>
      <c r="U923" s="43">
        <f>AQ923*INDEX(Dashboard!$G$6:$G$22,MATCH($A923,Dashboard!$A$6:$A$22,0))</f>
        <v/>
      </c>
      <c r="V923" s="47" t="n"/>
      <c r="W923" s="47" t="n"/>
      <c r="X923" s="47" t="n"/>
      <c r="Y923" s="48" t="n"/>
      <c r="Z923" s="49" t="n"/>
      <c r="AA923" s="49" t="n"/>
      <c r="AB923" s="49" t="n"/>
      <c r="AC923" s="50" t="n"/>
      <c r="AD923" s="43">
        <f>IF(Z923&lt;&gt;"",Z923,N(V923))</f>
        <v/>
      </c>
      <c r="AE923" s="43">
        <f>IF(AA923&lt;&gt;"",AA923,N(W923))</f>
        <v/>
      </c>
      <c r="AF923" s="43">
        <f>AD923+AE923</f>
        <v/>
      </c>
      <c r="AG923" s="42">
        <f>IF(UPPER(AC923)="Y",1,IF(AF923=0,0,IF(AND(Z923="",Y923&lt;&gt;""),IF(Y923&gt;=0.999,1,0),IF(AF923&gt;=U923,1,0))))</f>
        <v/>
      </c>
      <c r="AH923" s="44">
        <f>IF(AF923&gt;0,(AD923-AE923)/AF923,"")</f>
        <v/>
      </c>
      <c r="AI923" s="45">
        <f>IF(AG923=1,AH923-O923,"")</f>
        <v/>
      </c>
      <c r="AJ923" s="44">
        <f>IF(AG923=1,AH923,MAX(-1,MIN(1,O923+INDEX(Types!$H:$H,MATCH($A923&amp;"|"&amp;$D923,Types!$A:$A,0)))))</f>
        <v/>
      </c>
      <c r="AK923" s="43">
        <f>IF(AG923=1,AF923,MAX(AQ923*AS923,AF923))</f>
        <v/>
      </c>
      <c r="AL923" s="43">
        <f>IF(AG923=1,AD923,AK923*(1+AJ923)/2)</f>
        <v/>
      </c>
      <c r="AM923" s="43">
        <f>IF(AG923=1,AE923,AK923*(1-AJ923)/2)</f>
        <v/>
      </c>
      <c r="AN923" s="45">
        <f>IF(AH923="","",AH923-T923)</f>
        <v/>
      </c>
      <c r="AO923" s="51">
        <f>IF(AG923=1,1,IF(U923&gt;0,MIN(AF923/U923,0.99),0))</f>
        <v/>
      </c>
      <c r="AP923" s="43">
        <f>IF(AG923=1,AI923*AF923,0)</f>
        <v/>
      </c>
      <c r="AQ923" s="43">
        <f>N923*(F923+G923)/H923</f>
        <v/>
      </c>
      <c r="AR923" s="43">
        <f>O923*AQ923</f>
        <v/>
      </c>
      <c r="AS923" s="52">
        <f>IF(AG923=1,IF(AQ923&gt;0,AF923/AQ923,1),IFERROR(INDEX(Types!$K:$K,MATCH($A923&amp;"|"&amp;$D923,Types!$A:$A,0)),INDEX(Dashboard!$X$6:$X$22,MATCH($A923,Dashboard!$A$6:$A$22,0))))</f>
        <v/>
      </c>
      <c r="AT923" s="43">
        <f>AQ923*INDEX(Dashboard!$Y$6:$Y$22,MATCH($A923,Dashboard!$A$6:$A$22,0))</f>
        <v/>
      </c>
      <c r="AU923" s="53">
        <f>IF(AND(AG923=1,AT923&gt;0,AF923&gt;0),100*AF923/AT923,"")</f>
        <v/>
      </c>
      <c r="AV923" s="44">
        <f>IF(AU923="","",T923/(AU923/100))</f>
        <v/>
      </c>
      <c r="AW923" s="53">
        <f>IF(AU923="","",IF(AND(ABS(AH923)&gt;=0.1,ABS(T923)&gt;=0.05,SIGN(AH923)=SIGN(T923)),100*T923/AH923,""))</f>
        <v/>
      </c>
      <c r="AX923" s="45">
        <f>IF(AU923="","",T923-AV923)</f>
        <v/>
      </c>
      <c r="AY923" s="45">
        <f>IF(AU923="","",AH923-AV923)</f>
        <v/>
      </c>
      <c r="AZ923" s="54">
        <f>(AL923-AM923)-T923*AT923</f>
        <v/>
      </c>
      <c r="BA923" s="43">
        <f>IF(AU923="",0,(AH923-T923)*AF923)</f>
        <v/>
      </c>
      <c r="BB923" s="43">
        <f>IF(AU923="",0,T923*(AF923-AT923))</f>
        <v/>
      </c>
      <c r="BC923" s="51" t="n">
        <v>0.1995609705652857</v>
      </c>
      <c r="BD923" s="51" t="n">
        <v>0.07973977869908151</v>
      </c>
      <c r="BE923" s="51" t="n">
        <v>0.2850027026472258</v>
      </c>
      <c r="BF923" s="43" t="n">
        <v>425484</v>
      </c>
    </row>
    <row r="924">
      <c r="A924" s="42" t="inlineStr">
        <is>
          <t>OH</t>
        </is>
      </c>
      <c r="B924" s="42" t="inlineStr">
        <is>
          <t>39097</t>
        </is>
      </c>
      <c r="C924" s="42" t="inlineStr">
        <is>
          <t>Madison</t>
        </is>
      </c>
      <c r="D924" s="42" t="inlineStr">
        <is>
          <t>Small town &amp; rural</t>
        </is>
      </c>
      <c r="E924" s="42" t="inlineStr"/>
      <c r="F924" s="43" t="n">
        <v>5713</v>
      </c>
      <c r="G924" s="43" t="n">
        <v>14737</v>
      </c>
      <c r="H924" s="43" t="n">
        <v>20668</v>
      </c>
      <c r="I924" s="43" t="n">
        <v>5698</v>
      </c>
      <c r="J924" s="43" t="n">
        <v>13835</v>
      </c>
      <c r="K924" s="42" t="inlineStr">
        <is>
          <t>US Senate</t>
        </is>
      </c>
      <c r="L924" s="43" t="n">
        <v>4350</v>
      </c>
      <c r="M924" s="43" t="n">
        <v>9763</v>
      </c>
      <c r="N924" s="43" t="n">
        <v>14120</v>
      </c>
      <c r="O924" s="44">
        <f>IFERROR((F924-G924)/(F924+G924),"")</f>
        <v/>
      </c>
      <c r="P924" s="44">
        <f>IFERROR((I924-J924)/(I924+J924),"")</f>
        <v/>
      </c>
      <c r="Q924" s="45">
        <f>IFERROR(O924-P924,"")</f>
        <v/>
      </c>
      <c r="R924" s="44">
        <f>IFERROR((L924-M924)/(L924+M924),"")</f>
        <v/>
      </c>
      <c r="S924" s="46">
        <f>H924/SUMIFS(Counties!$H$2:$H$1583,Counties!$A$2:$A$1583,$A924)</f>
        <v/>
      </c>
      <c r="T924" s="44">
        <f>O924+INDEX(Dashboard!$F$6:$F$22,MATCH($A924,Dashboard!$A$6:$A$22,0))</f>
        <v/>
      </c>
      <c r="U924" s="43">
        <f>AQ924*INDEX(Dashboard!$G$6:$G$22,MATCH($A924,Dashboard!$A$6:$A$22,0))</f>
        <v/>
      </c>
      <c r="V924" s="47" t="n"/>
      <c r="W924" s="47" t="n"/>
      <c r="X924" s="47" t="n"/>
      <c r="Y924" s="48" t="n"/>
      <c r="Z924" s="49" t="n"/>
      <c r="AA924" s="49" t="n"/>
      <c r="AB924" s="49" t="n"/>
      <c r="AC924" s="50" t="n"/>
      <c r="AD924" s="43">
        <f>IF(Z924&lt;&gt;"",Z924,N(V924))</f>
        <v/>
      </c>
      <c r="AE924" s="43">
        <f>IF(AA924&lt;&gt;"",AA924,N(W924))</f>
        <v/>
      </c>
      <c r="AF924" s="43">
        <f>AD924+AE924</f>
        <v/>
      </c>
      <c r="AG924" s="42">
        <f>IF(UPPER(AC924)="Y",1,IF(AF924=0,0,IF(AND(Z924="",Y924&lt;&gt;""),IF(Y924&gt;=0.999,1,0),IF(AF924&gt;=U924,1,0))))</f>
        <v/>
      </c>
      <c r="AH924" s="44">
        <f>IF(AF924&gt;0,(AD924-AE924)/AF924,"")</f>
        <v/>
      </c>
      <c r="AI924" s="45">
        <f>IF(AG924=1,AH924-O924,"")</f>
        <v/>
      </c>
      <c r="AJ924" s="44">
        <f>IF(AG924=1,AH924,MAX(-1,MIN(1,O924+INDEX(Types!$H:$H,MATCH($A924&amp;"|"&amp;$D924,Types!$A:$A,0)))))</f>
        <v/>
      </c>
      <c r="AK924" s="43">
        <f>IF(AG924=1,AF924,MAX(AQ924*AS924,AF924))</f>
        <v/>
      </c>
      <c r="AL924" s="43">
        <f>IF(AG924=1,AD924,AK924*(1+AJ924)/2)</f>
        <v/>
      </c>
      <c r="AM924" s="43">
        <f>IF(AG924=1,AE924,AK924*(1-AJ924)/2)</f>
        <v/>
      </c>
      <c r="AN924" s="45">
        <f>IF(AH924="","",AH924-T924)</f>
        <v/>
      </c>
      <c r="AO924" s="51">
        <f>IF(AG924=1,1,IF(U924&gt;0,MIN(AF924/U924,0.99),0))</f>
        <v/>
      </c>
      <c r="AP924" s="43">
        <f>IF(AG924=1,AI924*AF924,0)</f>
        <v/>
      </c>
      <c r="AQ924" s="43">
        <f>N924*(F924+G924)/H924</f>
        <v/>
      </c>
      <c r="AR924" s="43">
        <f>O924*AQ924</f>
        <v/>
      </c>
      <c r="AS924" s="52">
        <f>IF(AG924=1,IF(AQ924&gt;0,AF924/AQ924,1),IFERROR(INDEX(Types!$K:$K,MATCH($A924&amp;"|"&amp;$D924,Types!$A:$A,0)),INDEX(Dashboard!$X$6:$X$22,MATCH($A924,Dashboard!$A$6:$A$22,0))))</f>
        <v/>
      </c>
      <c r="AT924" s="43">
        <f>AQ924*INDEX(Dashboard!$Y$6:$Y$22,MATCH($A924,Dashboard!$A$6:$A$22,0))</f>
        <v/>
      </c>
      <c r="AU924" s="53">
        <f>IF(AND(AG924=1,AT924&gt;0,AF924&gt;0),100*AF924/AT924,"")</f>
        <v/>
      </c>
      <c r="AV924" s="44">
        <f>IF(AU924="","",T924/(AU924/100))</f>
        <v/>
      </c>
      <c r="AW924" s="53">
        <f>IF(AU924="","",IF(AND(ABS(AH924)&gt;=0.1,ABS(T924)&gt;=0.05,SIGN(AH924)=SIGN(T924)),100*T924/AH924,""))</f>
        <v/>
      </c>
      <c r="AX924" s="45">
        <f>IF(AU924="","",T924-AV924)</f>
        <v/>
      </c>
      <c r="AY924" s="45">
        <f>IF(AU924="","",AH924-AV924)</f>
        <v/>
      </c>
      <c r="AZ924" s="54">
        <f>(AL924-AM924)-T924*AT924</f>
        <v/>
      </c>
      <c r="BA924" s="43">
        <f>IF(AU924="",0,(AH924-T924)*AF924)</f>
        <v/>
      </c>
      <c r="BB924" s="43">
        <f>IF(AU924="",0,T924*(AF924-AT924))</f>
        <v/>
      </c>
      <c r="BC924" s="51" t="n">
        <v>0.0633603874265728</v>
      </c>
      <c r="BD924" s="51" t="n">
        <v>0.03318236850365455</v>
      </c>
      <c r="BE924" s="51" t="n">
        <v>0.2235110207909958</v>
      </c>
      <c r="BF924" s="43" t="n">
        <v>44602</v>
      </c>
    </row>
    <row r="925">
      <c r="A925" s="42" t="inlineStr">
        <is>
          <t>OH</t>
        </is>
      </c>
      <c r="B925" s="42" t="inlineStr">
        <is>
          <t>39099</t>
        </is>
      </c>
      <c r="C925" s="42" t="inlineStr">
        <is>
          <t>Mahoning</t>
        </is>
      </c>
      <c r="D925" s="42" t="inlineStr">
        <is>
          <t>Mid-size/working metro</t>
        </is>
      </c>
      <c r="E925" s="42" t="inlineStr">
        <is>
          <t>★</t>
        </is>
      </c>
      <c r="F925" s="43" t="n">
        <v>50636</v>
      </c>
      <c r="G925" s="43" t="n">
        <v>61249</v>
      </c>
      <c r="H925" s="43" t="n">
        <v>112678</v>
      </c>
      <c r="I925" s="43" t="n">
        <v>57641</v>
      </c>
      <c r="J925" s="43" t="n">
        <v>59903</v>
      </c>
      <c r="K925" s="42" t="inlineStr">
        <is>
          <t>US Senate</t>
        </is>
      </c>
      <c r="L925" s="43" t="n">
        <v>41421</v>
      </c>
      <c r="M925" s="43" t="n">
        <v>44397</v>
      </c>
      <c r="N925" s="43" t="n">
        <v>85837</v>
      </c>
      <c r="O925" s="44">
        <f>IFERROR((F925-G925)/(F925+G925),"")</f>
        <v/>
      </c>
      <c r="P925" s="44">
        <f>IFERROR((I925-J925)/(I925+J925),"")</f>
        <v/>
      </c>
      <c r="Q925" s="45">
        <f>IFERROR(O925-P925,"")</f>
        <v/>
      </c>
      <c r="R925" s="44">
        <f>IFERROR((L925-M925)/(L925+M925),"")</f>
        <v/>
      </c>
      <c r="S925" s="46">
        <f>H925/SUMIFS(Counties!$H$2:$H$1583,Counties!$A$2:$A$1583,$A925)</f>
        <v/>
      </c>
      <c r="T925" s="44">
        <f>O925+INDEX(Dashboard!$F$6:$F$22,MATCH($A925,Dashboard!$A$6:$A$22,0))</f>
        <v/>
      </c>
      <c r="U925" s="43">
        <f>AQ925*INDEX(Dashboard!$G$6:$G$22,MATCH($A925,Dashboard!$A$6:$A$22,0))</f>
        <v/>
      </c>
      <c r="V925" s="47" t="n"/>
      <c r="W925" s="47" t="n"/>
      <c r="X925" s="47" t="n"/>
      <c r="Y925" s="48" t="n"/>
      <c r="Z925" s="49" t="n"/>
      <c r="AA925" s="49" t="n"/>
      <c r="AB925" s="49" t="n"/>
      <c r="AC925" s="50" t="n"/>
      <c r="AD925" s="43">
        <f>IF(Z925&lt;&gt;"",Z925,N(V925))</f>
        <v/>
      </c>
      <c r="AE925" s="43">
        <f>IF(AA925&lt;&gt;"",AA925,N(W925))</f>
        <v/>
      </c>
      <c r="AF925" s="43">
        <f>AD925+AE925</f>
        <v/>
      </c>
      <c r="AG925" s="42">
        <f>IF(UPPER(AC925)="Y",1,IF(AF925=0,0,IF(AND(Z925="",Y925&lt;&gt;""),IF(Y925&gt;=0.999,1,0),IF(AF925&gt;=U925,1,0))))</f>
        <v/>
      </c>
      <c r="AH925" s="44">
        <f>IF(AF925&gt;0,(AD925-AE925)/AF925,"")</f>
        <v/>
      </c>
      <c r="AI925" s="45">
        <f>IF(AG925=1,AH925-O925,"")</f>
        <v/>
      </c>
      <c r="AJ925" s="44">
        <f>IF(AG925=1,AH925,MAX(-1,MIN(1,O925+INDEX(Types!$H:$H,MATCH($A925&amp;"|"&amp;$D925,Types!$A:$A,0)))))</f>
        <v/>
      </c>
      <c r="AK925" s="43">
        <f>IF(AG925=1,AF925,MAX(AQ925*AS925,AF925))</f>
        <v/>
      </c>
      <c r="AL925" s="43">
        <f>IF(AG925=1,AD925,AK925*(1+AJ925)/2)</f>
        <v/>
      </c>
      <c r="AM925" s="43">
        <f>IF(AG925=1,AE925,AK925*(1-AJ925)/2)</f>
        <v/>
      </c>
      <c r="AN925" s="45">
        <f>IF(AH925="","",AH925-T925)</f>
        <v/>
      </c>
      <c r="AO925" s="51">
        <f>IF(AG925=1,1,IF(U925&gt;0,MIN(AF925/U925,0.99),0))</f>
        <v/>
      </c>
      <c r="AP925" s="43">
        <f>IF(AG925=1,AI925*AF925,0)</f>
        <v/>
      </c>
      <c r="AQ925" s="43">
        <f>N925*(F925+G925)/H925</f>
        <v/>
      </c>
      <c r="AR925" s="43">
        <f>O925*AQ925</f>
        <v/>
      </c>
      <c r="AS925" s="52">
        <f>IF(AG925=1,IF(AQ925&gt;0,AF925/AQ925,1),IFERROR(INDEX(Types!$K:$K,MATCH($A925&amp;"|"&amp;$D925,Types!$A:$A,0)),INDEX(Dashboard!$X$6:$X$22,MATCH($A925,Dashboard!$A$6:$A$22,0))))</f>
        <v/>
      </c>
      <c r="AT925" s="43">
        <f>AQ925*INDEX(Dashboard!$Y$6:$Y$22,MATCH($A925,Dashboard!$A$6:$A$22,0))</f>
        <v/>
      </c>
      <c r="AU925" s="53">
        <f>IF(AND(AG925=1,AT925&gt;0,AF925&gt;0),100*AF925/AT925,"")</f>
        <v/>
      </c>
      <c r="AV925" s="44">
        <f>IF(AU925="","",T925/(AU925/100))</f>
        <v/>
      </c>
      <c r="AW925" s="53">
        <f>IF(AU925="","",IF(AND(ABS(AH925)&gt;=0.1,ABS(T925)&gt;=0.05,SIGN(AH925)=SIGN(T925)),100*T925/AH925,""))</f>
        <v/>
      </c>
      <c r="AX925" s="45">
        <f>IF(AU925="","",T925-AV925)</f>
        <v/>
      </c>
      <c r="AY925" s="45">
        <f>IF(AU925="","",AH925-AV925)</f>
        <v/>
      </c>
      <c r="AZ925" s="54">
        <f>(AL925-AM925)-T925*AT925</f>
        <v/>
      </c>
      <c r="BA925" s="43">
        <f>IF(AU925="",0,(AH925-T925)*AF925)</f>
        <v/>
      </c>
      <c r="BB925" s="43">
        <f>IF(AU925="",0,T925*(AF925-AT925))</f>
        <v/>
      </c>
      <c r="BC925" s="51" t="n">
        <v>0.1453749179949999</v>
      </c>
      <c r="BD925" s="51" t="n">
        <v>0.0705952233195624</v>
      </c>
      <c r="BE925" s="51" t="n">
        <v>0.2636059966657849</v>
      </c>
      <c r="BF925" s="43" t="n">
        <v>225596</v>
      </c>
    </row>
    <row r="926">
      <c r="A926" s="42" t="inlineStr">
        <is>
          <t>OH</t>
        </is>
      </c>
      <c r="B926" s="42" t="inlineStr">
        <is>
          <t>39101</t>
        </is>
      </c>
      <c r="C926" s="42" t="inlineStr">
        <is>
          <t>Marion</t>
        </is>
      </c>
      <c r="D926" s="42" t="inlineStr">
        <is>
          <t>Small town &amp; rural</t>
        </is>
      </c>
      <c r="E926" s="42" t="inlineStr"/>
      <c r="F926" s="43" t="n">
        <v>7902</v>
      </c>
      <c r="G926" s="43" t="n">
        <v>19219</v>
      </c>
      <c r="H926" s="43" t="n">
        <v>27355</v>
      </c>
      <c r="I926" s="43" t="n">
        <v>8269</v>
      </c>
      <c r="J926" s="43" t="n">
        <v>19023</v>
      </c>
      <c r="K926" s="42" t="inlineStr">
        <is>
          <t>US Senate</t>
        </is>
      </c>
      <c r="L926" s="43" t="n">
        <v>6342</v>
      </c>
      <c r="M926" s="43" t="n">
        <v>12760</v>
      </c>
      <c r="N926" s="43" t="n">
        <v>19105</v>
      </c>
      <c r="O926" s="44">
        <f>IFERROR((F926-G926)/(F926+G926),"")</f>
        <v/>
      </c>
      <c r="P926" s="44">
        <f>IFERROR((I926-J926)/(I926+J926),"")</f>
        <v/>
      </c>
      <c r="Q926" s="45">
        <f>IFERROR(O926-P926,"")</f>
        <v/>
      </c>
      <c r="R926" s="44">
        <f>IFERROR((L926-M926)/(L926+M926),"")</f>
        <v/>
      </c>
      <c r="S926" s="46">
        <f>H926/SUMIFS(Counties!$H$2:$H$1583,Counties!$A$2:$A$1583,$A926)</f>
        <v/>
      </c>
      <c r="T926" s="44">
        <f>O926+INDEX(Dashboard!$F$6:$F$22,MATCH($A926,Dashboard!$A$6:$A$22,0))</f>
        <v/>
      </c>
      <c r="U926" s="43">
        <f>AQ926*INDEX(Dashboard!$G$6:$G$22,MATCH($A926,Dashboard!$A$6:$A$22,0))</f>
        <v/>
      </c>
      <c r="V926" s="47" t="n"/>
      <c r="W926" s="47" t="n"/>
      <c r="X926" s="47" t="n"/>
      <c r="Y926" s="48" t="n"/>
      <c r="Z926" s="49" t="n"/>
      <c r="AA926" s="49" t="n"/>
      <c r="AB926" s="49" t="n"/>
      <c r="AC926" s="50" t="n"/>
      <c r="AD926" s="43">
        <f>IF(Z926&lt;&gt;"",Z926,N(V926))</f>
        <v/>
      </c>
      <c r="AE926" s="43">
        <f>IF(AA926&lt;&gt;"",AA926,N(W926))</f>
        <v/>
      </c>
      <c r="AF926" s="43">
        <f>AD926+AE926</f>
        <v/>
      </c>
      <c r="AG926" s="42">
        <f>IF(UPPER(AC926)="Y",1,IF(AF926=0,0,IF(AND(Z926="",Y926&lt;&gt;""),IF(Y926&gt;=0.999,1,0),IF(AF926&gt;=U926,1,0))))</f>
        <v/>
      </c>
      <c r="AH926" s="44">
        <f>IF(AF926&gt;0,(AD926-AE926)/AF926,"")</f>
        <v/>
      </c>
      <c r="AI926" s="45">
        <f>IF(AG926=1,AH926-O926,"")</f>
        <v/>
      </c>
      <c r="AJ926" s="44">
        <f>IF(AG926=1,AH926,MAX(-1,MIN(1,O926+INDEX(Types!$H:$H,MATCH($A926&amp;"|"&amp;$D926,Types!$A:$A,0)))))</f>
        <v/>
      </c>
      <c r="AK926" s="43">
        <f>IF(AG926=1,AF926,MAX(AQ926*AS926,AF926))</f>
        <v/>
      </c>
      <c r="AL926" s="43">
        <f>IF(AG926=1,AD926,AK926*(1+AJ926)/2)</f>
        <v/>
      </c>
      <c r="AM926" s="43">
        <f>IF(AG926=1,AE926,AK926*(1-AJ926)/2)</f>
        <v/>
      </c>
      <c r="AN926" s="45">
        <f>IF(AH926="","",AH926-T926)</f>
        <v/>
      </c>
      <c r="AO926" s="51">
        <f>IF(AG926=1,1,IF(U926&gt;0,MIN(AF926/U926,0.99),0))</f>
        <v/>
      </c>
      <c r="AP926" s="43">
        <f>IF(AG926=1,AI926*AF926,0)</f>
        <v/>
      </c>
      <c r="AQ926" s="43">
        <f>N926*(F926+G926)/H926</f>
        <v/>
      </c>
      <c r="AR926" s="43">
        <f>O926*AQ926</f>
        <v/>
      </c>
      <c r="AS926" s="52">
        <f>IF(AG926=1,IF(AQ926&gt;0,AF926/AQ926,1),IFERROR(INDEX(Types!$K:$K,MATCH($A926&amp;"|"&amp;$D926,Types!$A:$A,0)),INDEX(Dashboard!$X$6:$X$22,MATCH($A926,Dashboard!$A$6:$A$22,0))))</f>
        <v/>
      </c>
      <c r="AT926" s="43">
        <f>AQ926*INDEX(Dashboard!$Y$6:$Y$22,MATCH($A926,Dashboard!$A$6:$A$22,0))</f>
        <v/>
      </c>
      <c r="AU926" s="53">
        <f>IF(AND(AG926=1,AT926&gt;0,AF926&gt;0),100*AF926/AT926,"")</f>
        <v/>
      </c>
      <c r="AV926" s="44">
        <f>IF(AU926="","",T926/(AU926/100))</f>
        <v/>
      </c>
      <c r="AW926" s="53">
        <f>IF(AU926="","",IF(AND(ABS(AH926)&gt;=0.1,ABS(T926)&gt;=0.05,SIGN(AH926)=SIGN(T926)),100*T926/AH926,""))</f>
        <v/>
      </c>
      <c r="AX926" s="45">
        <f>IF(AU926="","",T926-AV926)</f>
        <v/>
      </c>
      <c r="AY926" s="45">
        <f>IF(AU926="","",AH926-AV926)</f>
        <v/>
      </c>
      <c r="AZ926" s="54">
        <f>(AL926-AM926)-T926*AT926</f>
        <v/>
      </c>
      <c r="BA926" s="43">
        <f>IF(AU926="",0,(AH926-T926)*AF926)</f>
        <v/>
      </c>
      <c r="BB926" s="43">
        <f>IF(AU926="",0,T926*(AF926-AT926))</f>
        <v/>
      </c>
      <c r="BC926" s="51" t="n">
        <v>0.0650414025998057</v>
      </c>
      <c r="BD926" s="51" t="n">
        <v>0.03338421921018951</v>
      </c>
      <c r="BE926" s="51" t="n">
        <v>0.136983916251333</v>
      </c>
      <c r="BF926" s="43" t="n">
        <v>64851</v>
      </c>
    </row>
    <row r="927">
      <c r="A927" s="42" t="inlineStr">
        <is>
          <t>OH</t>
        </is>
      </c>
      <c r="B927" s="42" t="inlineStr">
        <is>
          <t>39103</t>
        </is>
      </c>
      <c r="C927" s="42" t="inlineStr">
        <is>
          <t>Medina</t>
        </is>
      </c>
      <c r="D927" s="42" t="inlineStr">
        <is>
          <t>Mid-size/working metro</t>
        </is>
      </c>
      <c r="E927" s="42" t="inlineStr"/>
      <c r="F927" s="43" t="n">
        <v>39771</v>
      </c>
      <c r="G927" s="43" t="n">
        <v>66308</v>
      </c>
      <c r="H927" s="43" t="n">
        <v>107017</v>
      </c>
      <c r="I927" s="43" t="n">
        <v>39800</v>
      </c>
      <c r="J927" s="43" t="n">
        <v>64598</v>
      </c>
      <c r="K927" s="42" t="inlineStr">
        <is>
          <t>US Senate</t>
        </is>
      </c>
      <c r="L927" s="43" t="n">
        <v>31979</v>
      </c>
      <c r="M927" s="43" t="n">
        <v>45960</v>
      </c>
      <c r="N927" s="43" t="n">
        <v>77974</v>
      </c>
      <c r="O927" s="44">
        <f>IFERROR((F927-G927)/(F927+G927),"")</f>
        <v/>
      </c>
      <c r="P927" s="44">
        <f>IFERROR((I927-J927)/(I927+J927),"")</f>
        <v/>
      </c>
      <c r="Q927" s="45">
        <f>IFERROR(O927-P927,"")</f>
        <v/>
      </c>
      <c r="R927" s="44">
        <f>IFERROR((L927-M927)/(L927+M927),"")</f>
        <v/>
      </c>
      <c r="S927" s="46">
        <f>H927/SUMIFS(Counties!$H$2:$H$1583,Counties!$A$2:$A$1583,$A927)</f>
        <v/>
      </c>
      <c r="T927" s="44">
        <f>O927+INDEX(Dashboard!$F$6:$F$22,MATCH($A927,Dashboard!$A$6:$A$22,0))</f>
        <v/>
      </c>
      <c r="U927" s="43">
        <f>AQ927*INDEX(Dashboard!$G$6:$G$22,MATCH($A927,Dashboard!$A$6:$A$22,0))</f>
        <v/>
      </c>
      <c r="V927" s="47" t="n"/>
      <c r="W927" s="47" t="n"/>
      <c r="X927" s="47" t="n"/>
      <c r="Y927" s="48" t="n"/>
      <c r="Z927" s="49" t="n"/>
      <c r="AA927" s="49" t="n"/>
      <c r="AB927" s="49" t="n"/>
      <c r="AC927" s="50" t="n"/>
      <c r="AD927" s="43">
        <f>IF(Z927&lt;&gt;"",Z927,N(V927))</f>
        <v/>
      </c>
      <c r="AE927" s="43">
        <f>IF(AA927&lt;&gt;"",AA927,N(W927))</f>
        <v/>
      </c>
      <c r="AF927" s="43">
        <f>AD927+AE927</f>
        <v/>
      </c>
      <c r="AG927" s="42">
        <f>IF(UPPER(AC927)="Y",1,IF(AF927=0,0,IF(AND(Z927="",Y927&lt;&gt;""),IF(Y927&gt;=0.999,1,0),IF(AF927&gt;=U927,1,0))))</f>
        <v/>
      </c>
      <c r="AH927" s="44">
        <f>IF(AF927&gt;0,(AD927-AE927)/AF927,"")</f>
        <v/>
      </c>
      <c r="AI927" s="45">
        <f>IF(AG927=1,AH927-O927,"")</f>
        <v/>
      </c>
      <c r="AJ927" s="44">
        <f>IF(AG927=1,AH927,MAX(-1,MIN(1,O927+INDEX(Types!$H:$H,MATCH($A927&amp;"|"&amp;$D927,Types!$A:$A,0)))))</f>
        <v/>
      </c>
      <c r="AK927" s="43">
        <f>IF(AG927=1,AF927,MAX(AQ927*AS927,AF927))</f>
        <v/>
      </c>
      <c r="AL927" s="43">
        <f>IF(AG927=1,AD927,AK927*(1+AJ927)/2)</f>
        <v/>
      </c>
      <c r="AM927" s="43">
        <f>IF(AG927=1,AE927,AK927*(1-AJ927)/2)</f>
        <v/>
      </c>
      <c r="AN927" s="45">
        <f>IF(AH927="","",AH927-T927)</f>
        <v/>
      </c>
      <c r="AO927" s="51">
        <f>IF(AG927=1,1,IF(U927&gt;0,MIN(AF927/U927,0.99),0))</f>
        <v/>
      </c>
      <c r="AP927" s="43">
        <f>IF(AG927=1,AI927*AF927,0)</f>
        <v/>
      </c>
      <c r="AQ927" s="43">
        <f>N927*(F927+G927)/H927</f>
        <v/>
      </c>
      <c r="AR927" s="43">
        <f>O927*AQ927</f>
        <v/>
      </c>
      <c r="AS927" s="52">
        <f>IF(AG927=1,IF(AQ927&gt;0,AF927/AQ927,1),IFERROR(INDEX(Types!$K:$K,MATCH($A927&amp;"|"&amp;$D927,Types!$A:$A,0)),INDEX(Dashboard!$X$6:$X$22,MATCH($A927,Dashboard!$A$6:$A$22,0))))</f>
        <v/>
      </c>
      <c r="AT927" s="43">
        <f>AQ927*INDEX(Dashboard!$Y$6:$Y$22,MATCH($A927,Dashboard!$A$6:$A$22,0))</f>
        <v/>
      </c>
      <c r="AU927" s="53">
        <f>IF(AND(AG927=1,AT927&gt;0,AF927&gt;0),100*AF927/AT927,"")</f>
        <v/>
      </c>
      <c r="AV927" s="44">
        <f>IF(AU927="","",T927/(AU927/100))</f>
        <v/>
      </c>
      <c r="AW927" s="53">
        <f>IF(AU927="","",IF(AND(ABS(AH927)&gt;=0.1,ABS(T927)&gt;=0.05,SIGN(AH927)=SIGN(T927)),100*T927/AH927,""))</f>
        <v/>
      </c>
      <c r="AX927" s="45">
        <f>IF(AU927="","",T927-AV927)</f>
        <v/>
      </c>
      <c r="AY927" s="45">
        <f>IF(AU927="","",AH927-AV927)</f>
        <v/>
      </c>
      <c r="AZ927" s="54">
        <f>(AL927-AM927)-T927*AT927</f>
        <v/>
      </c>
      <c r="BA927" s="43">
        <f>IF(AU927="",0,(AH927-T927)*AF927)</f>
        <v/>
      </c>
      <c r="BB927" s="43">
        <f>IF(AU927="",0,T927*(AF927-AT927))</f>
        <v/>
      </c>
      <c r="BC927" s="51" t="n">
        <v>0.01653970289390465</v>
      </c>
      <c r="BD927" s="51" t="n">
        <v>0.02806424620467067</v>
      </c>
      <c r="BE927" s="51" t="n">
        <v>0.3624683022329102</v>
      </c>
      <c r="BF927" s="43" t="n">
        <v>184042</v>
      </c>
    </row>
    <row r="928">
      <c r="A928" s="42" t="inlineStr">
        <is>
          <t>OH</t>
        </is>
      </c>
      <c r="B928" s="42" t="inlineStr">
        <is>
          <t>39105</t>
        </is>
      </c>
      <c r="C928" s="42" t="inlineStr">
        <is>
          <t>Meigs</t>
        </is>
      </c>
      <c r="D928" s="42" t="inlineStr">
        <is>
          <t>Small town &amp; rural</t>
        </is>
      </c>
      <c r="E928" s="42" t="inlineStr"/>
      <c r="F928" s="43" t="n">
        <v>2202</v>
      </c>
      <c r="G928" s="43" t="n">
        <v>8127</v>
      </c>
      <c r="H928" s="43" t="n">
        <v>10400</v>
      </c>
      <c r="I928" s="43" t="n">
        <v>2492</v>
      </c>
      <c r="J928" s="43" t="n">
        <v>8316</v>
      </c>
      <c r="K928" s="42" t="inlineStr">
        <is>
          <t>US Senate</t>
        </is>
      </c>
      <c r="L928" s="43" t="n">
        <v>1875</v>
      </c>
      <c r="M928" s="43" t="n">
        <v>5589</v>
      </c>
      <c r="N928" s="43" t="n">
        <v>7468</v>
      </c>
      <c r="O928" s="44">
        <f>IFERROR((F928-G928)/(F928+G928),"")</f>
        <v/>
      </c>
      <c r="P928" s="44">
        <f>IFERROR((I928-J928)/(I928+J928),"")</f>
        <v/>
      </c>
      <c r="Q928" s="45">
        <f>IFERROR(O928-P928,"")</f>
        <v/>
      </c>
      <c r="R928" s="44">
        <f>IFERROR((L928-M928)/(L928+M928),"")</f>
        <v/>
      </c>
      <c r="S928" s="46">
        <f>H928/SUMIFS(Counties!$H$2:$H$1583,Counties!$A$2:$A$1583,$A928)</f>
        <v/>
      </c>
      <c r="T928" s="44">
        <f>O928+INDEX(Dashboard!$F$6:$F$22,MATCH($A928,Dashboard!$A$6:$A$22,0))</f>
        <v/>
      </c>
      <c r="U928" s="43">
        <f>AQ928*INDEX(Dashboard!$G$6:$G$22,MATCH($A928,Dashboard!$A$6:$A$22,0))</f>
        <v/>
      </c>
      <c r="V928" s="47" t="n"/>
      <c r="W928" s="47" t="n"/>
      <c r="X928" s="47" t="n"/>
      <c r="Y928" s="48" t="n"/>
      <c r="Z928" s="49" t="n"/>
      <c r="AA928" s="49" t="n"/>
      <c r="AB928" s="49" t="n"/>
      <c r="AC928" s="50" t="n"/>
      <c r="AD928" s="43">
        <f>IF(Z928&lt;&gt;"",Z928,N(V928))</f>
        <v/>
      </c>
      <c r="AE928" s="43">
        <f>IF(AA928&lt;&gt;"",AA928,N(W928))</f>
        <v/>
      </c>
      <c r="AF928" s="43">
        <f>AD928+AE928</f>
        <v/>
      </c>
      <c r="AG928" s="42">
        <f>IF(UPPER(AC928)="Y",1,IF(AF928=0,0,IF(AND(Z928="",Y928&lt;&gt;""),IF(Y928&gt;=0.999,1,0),IF(AF928&gt;=U928,1,0))))</f>
        <v/>
      </c>
      <c r="AH928" s="44">
        <f>IF(AF928&gt;0,(AD928-AE928)/AF928,"")</f>
        <v/>
      </c>
      <c r="AI928" s="45">
        <f>IF(AG928=1,AH928-O928,"")</f>
        <v/>
      </c>
      <c r="AJ928" s="44">
        <f>IF(AG928=1,AH928,MAX(-1,MIN(1,O928+INDEX(Types!$H:$H,MATCH($A928&amp;"|"&amp;$D928,Types!$A:$A,0)))))</f>
        <v/>
      </c>
      <c r="AK928" s="43">
        <f>IF(AG928=1,AF928,MAX(AQ928*AS928,AF928))</f>
        <v/>
      </c>
      <c r="AL928" s="43">
        <f>IF(AG928=1,AD928,AK928*(1+AJ928)/2)</f>
        <v/>
      </c>
      <c r="AM928" s="43">
        <f>IF(AG928=1,AE928,AK928*(1-AJ928)/2)</f>
        <v/>
      </c>
      <c r="AN928" s="45">
        <f>IF(AH928="","",AH928-T928)</f>
        <v/>
      </c>
      <c r="AO928" s="51">
        <f>IF(AG928=1,1,IF(U928&gt;0,MIN(AF928/U928,0.99),0))</f>
        <v/>
      </c>
      <c r="AP928" s="43">
        <f>IF(AG928=1,AI928*AF928,0)</f>
        <v/>
      </c>
      <c r="AQ928" s="43">
        <f>N928*(F928+G928)/H928</f>
        <v/>
      </c>
      <c r="AR928" s="43">
        <f>O928*AQ928</f>
        <v/>
      </c>
      <c r="AS928" s="52">
        <f>IF(AG928=1,IF(AQ928&gt;0,AF928/AQ928,1),IFERROR(INDEX(Types!$K:$K,MATCH($A928&amp;"|"&amp;$D928,Types!$A:$A,0)),INDEX(Dashboard!$X$6:$X$22,MATCH($A928,Dashboard!$A$6:$A$22,0))))</f>
        <v/>
      </c>
      <c r="AT928" s="43">
        <f>AQ928*INDEX(Dashboard!$Y$6:$Y$22,MATCH($A928,Dashboard!$A$6:$A$22,0))</f>
        <v/>
      </c>
      <c r="AU928" s="53">
        <f>IF(AND(AG928=1,AT928&gt;0,AF928&gt;0),100*AF928/AT928,"")</f>
        <v/>
      </c>
      <c r="AV928" s="44">
        <f>IF(AU928="","",T928/(AU928/100))</f>
        <v/>
      </c>
      <c r="AW928" s="53">
        <f>IF(AU928="","",IF(AND(ABS(AH928)&gt;=0.1,ABS(T928)&gt;=0.05,SIGN(AH928)=SIGN(T928)),100*T928/AH928,""))</f>
        <v/>
      </c>
      <c r="AX928" s="45">
        <f>IF(AU928="","",T928-AV928)</f>
        <v/>
      </c>
      <c r="AY928" s="45">
        <f>IF(AU928="","",AH928-AV928)</f>
        <v/>
      </c>
      <c r="AZ928" s="54">
        <f>(AL928-AM928)-T928*AT928</f>
        <v/>
      </c>
      <c r="BA928" s="43">
        <f>IF(AU928="",0,(AH928-T928)*AF928)</f>
        <v/>
      </c>
      <c r="BB928" s="43">
        <f>IF(AU928="",0,T928*(AF928-AT928))</f>
        <v/>
      </c>
      <c r="BC928" s="51" t="n">
        <v>0.009096338494050627</v>
      </c>
      <c r="BD928" s="51" t="n">
        <v>0.01079615932374696</v>
      </c>
      <c r="BE928" s="51" t="n">
        <v>0.1178142766898294</v>
      </c>
      <c r="BF928" s="43" t="n">
        <v>21767</v>
      </c>
    </row>
    <row r="929">
      <c r="A929" s="42" t="inlineStr">
        <is>
          <t>OH</t>
        </is>
      </c>
      <c r="B929" s="42" t="inlineStr">
        <is>
          <t>39107</t>
        </is>
      </c>
      <c r="C929" s="42" t="inlineStr">
        <is>
          <t>Mercer</t>
        </is>
      </c>
      <c r="D929" s="42" t="inlineStr">
        <is>
          <t>Small town &amp; rural</t>
        </is>
      </c>
      <c r="E929" s="42" t="inlineStr"/>
      <c r="F929" s="43" t="n">
        <v>3865</v>
      </c>
      <c r="G929" s="43" t="n">
        <v>19710</v>
      </c>
      <c r="H929" s="43" t="n">
        <v>23750</v>
      </c>
      <c r="I929" s="43" t="n">
        <v>4030</v>
      </c>
      <c r="J929" s="43" t="n">
        <v>19452</v>
      </c>
      <c r="K929" s="42" t="inlineStr">
        <is>
          <t>US Senate</t>
        </is>
      </c>
      <c r="L929" s="43" t="n">
        <v>3389</v>
      </c>
      <c r="M929" s="43" t="n">
        <v>14390</v>
      </c>
      <c r="N929" s="43" t="n">
        <v>17782</v>
      </c>
      <c r="O929" s="44">
        <f>IFERROR((F929-G929)/(F929+G929),"")</f>
        <v/>
      </c>
      <c r="P929" s="44">
        <f>IFERROR((I929-J929)/(I929+J929),"")</f>
        <v/>
      </c>
      <c r="Q929" s="45">
        <f>IFERROR(O929-P929,"")</f>
        <v/>
      </c>
      <c r="R929" s="44">
        <f>IFERROR((L929-M929)/(L929+M929),"")</f>
        <v/>
      </c>
      <c r="S929" s="46">
        <f>H929/SUMIFS(Counties!$H$2:$H$1583,Counties!$A$2:$A$1583,$A929)</f>
        <v/>
      </c>
      <c r="T929" s="44">
        <f>O929+INDEX(Dashboard!$F$6:$F$22,MATCH($A929,Dashboard!$A$6:$A$22,0))</f>
        <v/>
      </c>
      <c r="U929" s="43">
        <f>AQ929*INDEX(Dashboard!$G$6:$G$22,MATCH($A929,Dashboard!$A$6:$A$22,0))</f>
        <v/>
      </c>
      <c r="V929" s="47" t="n"/>
      <c r="W929" s="47" t="n"/>
      <c r="X929" s="47" t="n"/>
      <c r="Y929" s="48" t="n"/>
      <c r="Z929" s="49" t="n"/>
      <c r="AA929" s="49" t="n"/>
      <c r="AB929" s="49" t="n"/>
      <c r="AC929" s="50" t="n"/>
      <c r="AD929" s="43">
        <f>IF(Z929&lt;&gt;"",Z929,N(V929))</f>
        <v/>
      </c>
      <c r="AE929" s="43">
        <f>IF(AA929&lt;&gt;"",AA929,N(W929))</f>
        <v/>
      </c>
      <c r="AF929" s="43">
        <f>AD929+AE929</f>
        <v/>
      </c>
      <c r="AG929" s="42">
        <f>IF(UPPER(AC929)="Y",1,IF(AF929=0,0,IF(AND(Z929="",Y929&lt;&gt;""),IF(Y929&gt;=0.999,1,0),IF(AF929&gt;=U929,1,0))))</f>
        <v/>
      </c>
      <c r="AH929" s="44">
        <f>IF(AF929&gt;0,(AD929-AE929)/AF929,"")</f>
        <v/>
      </c>
      <c r="AI929" s="45">
        <f>IF(AG929=1,AH929-O929,"")</f>
        <v/>
      </c>
      <c r="AJ929" s="44">
        <f>IF(AG929=1,AH929,MAX(-1,MIN(1,O929+INDEX(Types!$H:$H,MATCH($A929&amp;"|"&amp;$D929,Types!$A:$A,0)))))</f>
        <v/>
      </c>
      <c r="AK929" s="43">
        <f>IF(AG929=1,AF929,MAX(AQ929*AS929,AF929))</f>
        <v/>
      </c>
      <c r="AL929" s="43">
        <f>IF(AG929=1,AD929,AK929*(1+AJ929)/2)</f>
        <v/>
      </c>
      <c r="AM929" s="43">
        <f>IF(AG929=1,AE929,AK929*(1-AJ929)/2)</f>
        <v/>
      </c>
      <c r="AN929" s="45">
        <f>IF(AH929="","",AH929-T929)</f>
        <v/>
      </c>
      <c r="AO929" s="51">
        <f>IF(AG929=1,1,IF(U929&gt;0,MIN(AF929/U929,0.99),0))</f>
        <v/>
      </c>
      <c r="AP929" s="43">
        <f>IF(AG929=1,AI929*AF929,0)</f>
        <v/>
      </c>
      <c r="AQ929" s="43">
        <f>N929*(F929+G929)/H929</f>
        <v/>
      </c>
      <c r="AR929" s="43">
        <f>O929*AQ929</f>
        <v/>
      </c>
      <c r="AS929" s="52">
        <f>IF(AG929=1,IF(AQ929&gt;0,AF929/AQ929,1),IFERROR(INDEX(Types!$K:$K,MATCH($A929&amp;"|"&amp;$D929,Types!$A:$A,0)),INDEX(Dashboard!$X$6:$X$22,MATCH($A929,Dashboard!$A$6:$A$22,0))))</f>
        <v/>
      </c>
      <c r="AT929" s="43">
        <f>AQ929*INDEX(Dashboard!$Y$6:$Y$22,MATCH($A929,Dashboard!$A$6:$A$22,0))</f>
        <v/>
      </c>
      <c r="AU929" s="53">
        <f>IF(AND(AG929=1,AT929&gt;0,AF929&gt;0),100*AF929/AT929,"")</f>
        <v/>
      </c>
      <c r="AV929" s="44">
        <f>IF(AU929="","",T929/(AU929/100))</f>
        <v/>
      </c>
      <c r="AW929" s="53">
        <f>IF(AU929="","",IF(AND(ABS(AH929)&gt;=0.1,ABS(T929)&gt;=0.05,SIGN(AH929)=SIGN(T929)),100*T929/AH929,""))</f>
        <v/>
      </c>
      <c r="AX929" s="45">
        <f>IF(AU929="","",T929-AV929)</f>
        <v/>
      </c>
      <c r="AY929" s="45">
        <f>IF(AU929="","",AH929-AV929)</f>
        <v/>
      </c>
      <c r="AZ929" s="54">
        <f>(AL929-AM929)-T929*AT929</f>
        <v/>
      </c>
      <c r="BA929" s="43">
        <f>IF(AU929="",0,(AH929-T929)*AF929)</f>
        <v/>
      </c>
      <c r="BB929" s="43">
        <f>IF(AU929="",0,T929*(AF929-AT929))</f>
        <v/>
      </c>
      <c r="BC929" s="51" t="n">
        <v>0.004877589010108626</v>
      </c>
      <c r="BD929" s="51" t="n">
        <v>0.02193736892952237</v>
      </c>
      <c r="BE929" s="51" t="n">
        <v>0.2215624552868794</v>
      </c>
      <c r="BF929" s="43" t="n">
        <v>42439</v>
      </c>
    </row>
    <row r="930">
      <c r="A930" s="42" t="inlineStr">
        <is>
          <t>OH</t>
        </is>
      </c>
      <c r="B930" s="42" t="inlineStr">
        <is>
          <t>39109</t>
        </is>
      </c>
      <c r="C930" s="42" t="inlineStr">
        <is>
          <t>Miami</t>
        </is>
      </c>
      <c r="D930" s="42" t="inlineStr">
        <is>
          <t>Mid-size/working metro</t>
        </is>
      </c>
      <c r="E930" s="42" t="inlineStr"/>
      <c r="F930" s="43" t="n">
        <v>15969</v>
      </c>
      <c r="G930" s="43" t="n">
        <v>42677</v>
      </c>
      <c r="H930" s="43" t="n">
        <v>59176</v>
      </c>
      <c r="I930" s="43" t="n">
        <v>15663</v>
      </c>
      <c r="J930" s="43" t="n">
        <v>41371</v>
      </c>
      <c r="K930" s="42" t="inlineStr">
        <is>
          <t>US Senate</t>
        </is>
      </c>
      <c r="L930" s="43" t="n">
        <v>11993</v>
      </c>
      <c r="M930" s="43" t="n">
        <v>30114</v>
      </c>
      <c r="N930" s="43" t="n">
        <v>42131</v>
      </c>
      <c r="O930" s="44">
        <f>IFERROR((F930-G930)/(F930+G930),"")</f>
        <v/>
      </c>
      <c r="P930" s="44">
        <f>IFERROR((I930-J930)/(I930+J930),"")</f>
        <v/>
      </c>
      <c r="Q930" s="45">
        <f>IFERROR(O930-P930,"")</f>
        <v/>
      </c>
      <c r="R930" s="44">
        <f>IFERROR((L930-M930)/(L930+M930),"")</f>
        <v/>
      </c>
      <c r="S930" s="46">
        <f>H930/SUMIFS(Counties!$H$2:$H$1583,Counties!$A$2:$A$1583,$A930)</f>
        <v/>
      </c>
      <c r="T930" s="44">
        <f>O930+INDEX(Dashboard!$F$6:$F$22,MATCH($A930,Dashboard!$A$6:$A$22,0))</f>
        <v/>
      </c>
      <c r="U930" s="43">
        <f>AQ930*INDEX(Dashboard!$G$6:$G$22,MATCH($A930,Dashboard!$A$6:$A$22,0))</f>
        <v/>
      </c>
      <c r="V930" s="47" t="n"/>
      <c r="W930" s="47" t="n"/>
      <c r="X930" s="47" t="n"/>
      <c r="Y930" s="48" t="n"/>
      <c r="Z930" s="49" t="n"/>
      <c r="AA930" s="49" t="n"/>
      <c r="AB930" s="49" t="n"/>
      <c r="AC930" s="50" t="n"/>
      <c r="AD930" s="43">
        <f>IF(Z930&lt;&gt;"",Z930,N(V930))</f>
        <v/>
      </c>
      <c r="AE930" s="43">
        <f>IF(AA930&lt;&gt;"",AA930,N(W930))</f>
        <v/>
      </c>
      <c r="AF930" s="43">
        <f>AD930+AE930</f>
        <v/>
      </c>
      <c r="AG930" s="42">
        <f>IF(UPPER(AC930)="Y",1,IF(AF930=0,0,IF(AND(Z930="",Y930&lt;&gt;""),IF(Y930&gt;=0.999,1,0),IF(AF930&gt;=U930,1,0))))</f>
        <v/>
      </c>
      <c r="AH930" s="44">
        <f>IF(AF930&gt;0,(AD930-AE930)/AF930,"")</f>
        <v/>
      </c>
      <c r="AI930" s="45">
        <f>IF(AG930=1,AH930-O930,"")</f>
        <v/>
      </c>
      <c r="AJ930" s="44">
        <f>IF(AG930=1,AH930,MAX(-1,MIN(1,O930+INDEX(Types!$H:$H,MATCH($A930&amp;"|"&amp;$D930,Types!$A:$A,0)))))</f>
        <v/>
      </c>
      <c r="AK930" s="43">
        <f>IF(AG930=1,AF930,MAX(AQ930*AS930,AF930))</f>
        <v/>
      </c>
      <c r="AL930" s="43">
        <f>IF(AG930=1,AD930,AK930*(1+AJ930)/2)</f>
        <v/>
      </c>
      <c r="AM930" s="43">
        <f>IF(AG930=1,AE930,AK930*(1-AJ930)/2)</f>
        <v/>
      </c>
      <c r="AN930" s="45">
        <f>IF(AH930="","",AH930-T930)</f>
        <v/>
      </c>
      <c r="AO930" s="51">
        <f>IF(AG930=1,1,IF(U930&gt;0,MIN(AF930/U930,0.99),0))</f>
        <v/>
      </c>
      <c r="AP930" s="43">
        <f>IF(AG930=1,AI930*AF930,0)</f>
        <v/>
      </c>
      <c r="AQ930" s="43">
        <f>N930*(F930+G930)/H930</f>
        <v/>
      </c>
      <c r="AR930" s="43">
        <f>O930*AQ930</f>
        <v/>
      </c>
      <c r="AS930" s="52">
        <f>IF(AG930=1,IF(AQ930&gt;0,AF930/AQ930,1),IFERROR(INDEX(Types!$K:$K,MATCH($A930&amp;"|"&amp;$D930,Types!$A:$A,0)),INDEX(Dashboard!$X$6:$X$22,MATCH($A930,Dashboard!$A$6:$A$22,0))))</f>
        <v/>
      </c>
      <c r="AT930" s="43">
        <f>AQ930*INDEX(Dashboard!$Y$6:$Y$22,MATCH($A930,Dashboard!$A$6:$A$22,0))</f>
        <v/>
      </c>
      <c r="AU930" s="53">
        <f>IF(AND(AG930=1,AT930&gt;0,AF930&gt;0),100*AF930/AT930,"")</f>
        <v/>
      </c>
      <c r="AV930" s="44">
        <f>IF(AU930="","",T930/(AU930/100))</f>
        <v/>
      </c>
      <c r="AW930" s="53">
        <f>IF(AU930="","",IF(AND(ABS(AH930)&gt;=0.1,ABS(T930)&gt;=0.05,SIGN(AH930)=SIGN(T930)),100*T930/AH930,""))</f>
        <v/>
      </c>
      <c r="AX930" s="45">
        <f>IF(AU930="","",T930-AV930)</f>
        <v/>
      </c>
      <c r="AY930" s="45">
        <f>IF(AU930="","",AH930-AV930)</f>
        <v/>
      </c>
      <c r="AZ930" s="54">
        <f>(AL930-AM930)-T930*AT930</f>
        <v/>
      </c>
      <c r="BA930" s="43">
        <f>IF(AU930="",0,(AH930-T930)*AF930)</f>
        <v/>
      </c>
      <c r="BB930" s="43">
        <f>IF(AU930="",0,T930*(AF930-AT930))</f>
        <v/>
      </c>
      <c r="BC930" s="51" t="n">
        <v>0.02855442115516433</v>
      </c>
      <c r="BD930" s="51" t="n">
        <v>0.02197950864028284</v>
      </c>
      <c r="BE930" s="51" t="n">
        <v>0.2492350925111289</v>
      </c>
      <c r="BF930" s="43" t="n">
        <v>110876</v>
      </c>
    </row>
    <row r="931">
      <c r="A931" s="42" t="inlineStr">
        <is>
          <t>OH</t>
        </is>
      </c>
      <c r="B931" s="42" t="inlineStr">
        <is>
          <t>39111</t>
        </is>
      </c>
      <c r="C931" s="42" t="inlineStr">
        <is>
          <t>Monroe</t>
        </is>
      </c>
      <c r="D931" s="42" t="inlineStr">
        <is>
          <t>Small town &amp; rural</t>
        </is>
      </c>
      <c r="E931" s="42" t="inlineStr"/>
      <c r="F931" s="43" t="n">
        <v>1336</v>
      </c>
      <c r="G931" s="43" t="n">
        <v>5396</v>
      </c>
      <c r="H931" s="43" t="n">
        <v>6794</v>
      </c>
      <c r="I931" s="43" t="n">
        <v>1605</v>
      </c>
      <c r="J931" s="43" t="n">
        <v>5463</v>
      </c>
      <c r="K931" s="42" t="inlineStr">
        <is>
          <t>US Senate</t>
        </is>
      </c>
      <c r="L931" s="43" t="n">
        <v>1378</v>
      </c>
      <c r="M931" s="43" t="n">
        <v>3479</v>
      </c>
      <c r="N931" s="43" t="n">
        <v>4863</v>
      </c>
      <c r="O931" s="44">
        <f>IFERROR((F931-G931)/(F931+G931),"")</f>
        <v/>
      </c>
      <c r="P931" s="44">
        <f>IFERROR((I931-J931)/(I931+J931),"")</f>
        <v/>
      </c>
      <c r="Q931" s="45">
        <f>IFERROR(O931-P931,"")</f>
        <v/>
      </c>
      <c r="R931" s="44">
        <f>IFERROR((L931-M931)/(L931+M931),"")</f>
        <v/>
      </c>
      <c r="S931" s="46">
        <f>H931/SUMIFS(Counties!$H$2:$H$1583,Counties!$A$2:$A$1583,$A931)</f>
        <v/>
      </c>
      <c r="T931" s="44">
        <f>O931+INDEX(Dashboard!$F$6:$F$22,MATCH($A931,Dashboard!$A$6:$A$22,0))</f>
        <v/>
      </c>
      <c r="U931" s="43">
        <f>AQ931*INDEX(Dashboard!$G$6:$G$22,MATCH($A931,Dashboard!$A$6:$A$22,0))</f>
        <v/>
      </c>
      <c r="V931" s="47" t="n"/>
      <c r="W931" s="47" t="n"/>
      <c r="X931" s="47" t="n"/>
      <c r="Y931" s="48" t="n"/>
      <c r="Z931" s="49" t="n"/>
      <c r="AA931" s="49" t="n"/>
      <c r="AB931" s="49" t="n"/>
      <c r="AC931" s="50" t="n"/>
      <c r="AD931" s="43">
        <f>IF(Z931&lt;&gt;"",Z931,N(V931))</f>
        <v/>
      </c>
      <c r="AE931" s="43">
        <f>IF(AA931&lt;&gt;"",AA931,N(W931))</f>
        <v/>
      </c>
      <c r="AF931" s="43">
        <f>AD931+AE931</f>
        <v/>
      </c>
      <c r="AG931" s="42">
        <f>IF(UPPER(AC931)="Y",1,IF(AF931=0,0,IF(AND(Z931="",Y931&lt;&gt;""),IF(Y931&gt;=0.999,1,0),IF(AF931&gt;=U931,1,0))))</f>
        <v/>
      </c>
      <c r="AH931" s="44">
        <f>IF(AF931&gt;0,(AD931-AE931)/AF931,"")</f>
        <v/>
      </c>
      <c r="AI931" s="45">
        <f>IF(AG931=1,AH931-O931,"")</f>
        <v/>
      </c>
      <c r="AJ931" s="44">
        <f>IF(AG931=1,AH931,MAX(-1,MIN(1,O931+INDEX(Types!$H:$H,MATCH($A931&amp;"|"&amp;$D931,Types!$A:$A,0)))))</f>
        <v/>
      </c>
      <c r="AK931" s="43">
        <f>IF(AG931=1,AF931,MAX(AQ931*AS931,AF931))</f>
        <v/>
      </c>
      <c r="AL931" s="43">
        <f>IF(AG931=1,AD931,AK931*(1+AJ931)/2)</f>
        <v/>
      </c>
      <c r="AM931" s="43">
        <f>IF(AG931=1,AE931,AK931*(1-AJ931)/2)</f>
        <v/>
      </c>
      <c r="AN931" s="45">
        <f>IF(AH931="","",AH931-T931)</f>
        <v/>
      </c>
      <c r="AO931" s="51">
        <f>IF(AG931=1,1,IF(U931&gt;0,MIN(AF931/U931,0.99),0))</f>
        <v/>
      </c>
      <c r="AP931" s="43">
        <f>IF(AG931=1,AI931*AF931,0)</f>
        <v/>
      </c>
      <c r="AQ931" s="43">
        <f>N931*(F931+G931)/H931</f>
        <v/>
      </c>
      <c r="AR931" s="43">
        <f>O931*AQ931</f>
        <v/>
      </c>
      <c r="AS931" s="52">
        <f>IF(AG931=1,IF(AQ931&gt;0,AF931/AQ931,1),IFERROR(INDEX(Types!$K:$K,MATCH($A931&amp;"|"&amp;$D931,Types!$A:$A,0)),INDEX(Dashboard!$X$6:$X$22,MATCH($A931,Dashboard!$A$6:$A$22,0))))</f>
        <v/>
      </c>
      <c r="AT931" s="43">
        <f>AQ931*INDEX(Dashboard!$Y$6:$Y$22,MATCH($A931,Dashboard!$A$6:$A$22,0))</f>
        <v/>
      </c>
      <c r="AU931" s="53">
        <f>IF(AND(AG931=1,AT931&gt;0,AF931&gt;0),100*AF931/AT931,"")</f>
        <v/>
      </c>
      <c r="AV931" s="44">
        <f>IF(AU931="","",T931/(AU931/100))</f>
        <v/>
      </c>
      <c r="AW931" s="53">
        <f>IF(AU931="","",IF(AND(ABS(AH931)&gt;=0.1,ABS(T931)&gt;=0.05,SIGN(AH931)=SIGN(T931)),100*T931/AH931,""))</f>
        <v/>
      </c>
      <c r="AX931" s="45">
        <f>IF(AU931="","",T931-AV931)</f>
        <v/>
      </c>
      <c r="AY931" s="45">
        <f>IF(AU931="","",AH931-AV931)</f>
        <v/>
      </c>
      <c r="AZ931" s="54">
        <f>(AL931-AM931)-T931*AT931</f>
        <v/>
      </c>
      <c r="BA931" s="43">
        <f>IF(AU931="",0,(AH931-T931)*AF931)</f>
        <v/>
      </c>
      <c r="BB931" s="43">
        <f>IF(AU931="",0,T931*(AF931-AT931))</f>
        <v/>
      </c>
      <c r="BC931" s="51" t="n">
        <v>0.009731620162700525</v>
      </c>
      <c r="BD931" s="51" t="n">
        <v>0.006234319166730023</v>
      </c>
      <c r="BE931" s="51" t="n">
        <v>0.1073322932917317</v>
      </c>
      <c r="BF931" s="43" t="n">
        <v>13153</v>
      </c>
    </row>
    <row r="932">
      <c r="A932" s="42" t="inlineStr">
        <is>
          <t>OH</t>
        </is>
      </c>
      <c r="B932" s="42" t="inlineStr">
        <is>
          <t>39113</t>
        </is>
      </c>
      <c r="C932" s="42" t="inlineStr">
        <is>
          <t>Montgomery</t>
        </is>
      </c>
      <c r="D932" s="42" t="inlineStr">
        <is>
          <t>Mid-size/working metro</t>
        </is>
      </c>
      <c r="E932" s="42" t="inlineStr">
        <is>
          <t>★</t>
        </is>
      </c>
      <c r="F932" s="43" t="n">
        <v>126767</v>
      </c>
      <c r="G932" s="43" t="n">
        <v>125566</v>
      </c>
      <c r="H932" s="43" t="n">
        <v>254715</v>
      </c>
      <c r="I932" s="43" t="n">
        <v>135064</v>
      </c>
      <c r="J932" s="43" t="n">
        <v>129034</v>
      </c>
      <c r="K932" s="42" t="inlineStr">
        <is>
          <t>US Senate</t>
        </is>
      </c>
      <c r="L932" s="43" t="n">
        <v>94512</v>
      </c>
      <c r="M932" s="43" t="n">
        <v>91382</v>
      </c>
      <c r="N932" s="43" t="n">
        <v>186002</v>
      </c>
      <c r="O932" s="44">
        <f>IFERROR((F932-G932)/(F932+G932),"")</f>
        <v/>
      </c>
      <c r="P932" s="44">
        <f>IFERROR((I932-J932)/(I932+J932),"")</f>
        <v/>
      </c>
      <c r="Q932" s="45">
        <f>IFERROR(O932-P932,"")</f>
        <v/>
      </c>
      <c r="R932" s="44">
        <f>IFERROR((L932-M932)/(L932+M932),"")</f>
        <v/>
      </c>
      <c r="S932" s="46">
        <f>H932/SUMIFS(Counties!$H$2:$H$1583,Counties!$A$2:$A$1583,$A932)</f>
        <v/>
      </c>
      <c r="T932" s="44">
        <f>O932+INDEX(Dashboard!$F$6:$F$22,MATCH($A932,Dashboard!$A$6:$A$22,0))</f>
        <v/>
      </c>
      <c r="U932" s="43">
        <f>AQ932*INDEX(Dashboard!$G$6:$G$22,MATCH($A932,Dashboard!$A$6:$A$22,0))</f>
        <v/>
      </c>
      <c r="V932" s="47" t="n"/>
      <c r="W932" s="47" t="n"/>
      <c r="X932" s="47" t="n"/>
      <c r="Y932" s="48" t="n"/>
      <c r="Z932" s="49" t="n"/>
      <c r="AA932" s="49" t="n"/>
      <c r="AB932" s="49" t="n"/>
      <c r="AC932" s="50" t="n"/>
      <c r="AD932" s="43">
        <f>IF(Z932&lt;&gt;"",Z932,N(V932))</f>
        <v/>
      </c>
      <c r="AE932" s="43">
        <f>IF(AA932&lt;&gt;"",AA932,N(W932))</f>
        <v/>
      </c>
      <c r="AF932" s="43">
        <f>AD932+AE932</f>
        <v/>
      </c>
      <c r="AG932" s="42">
        <f>IF(UPPER(AC932)="Y",1,IF(AF932=0,0,IF(AND(Z932="",Y932&lt;&gt;""),IF(Y932&gt;=0.999,1,0),IF(AF932&gt;=U932,1,0))))</f>
        <v/>
      </c>
      <c r="AH932" s="44">
        <f>IF(AF932&gt;0,(AD932-AE932)/AF932,"")</f>
        <v/>
      </c>
      <c r="AI932" s="45">
        <f>IF(AG932=1,AH932-O932,"")</f>
        <v/>
      </c>
      <c r="AJ932" s="44">
        <f>IF(AG932=1,AH932,MAX(-1,MIN(1,O932+INDEX(Types!$H:$H,MATCH($A932&amp;"|"&amp;$D932,Types!$A:$A,0)))))</f>
        <v/>
      </c>
      <c r="AK932" s="43">
        <f>IF(AG932=1,AF932,MAX(AQ932*AS932,AF932))</f>
        <v/>
      </c>
      <c r="AL932" s="43">
        <f>IF(AG932=1,AD932,AK932*(1+AJ932)/2)</f>
        <v/>
      </c>
      <c r="AM932" s="43">
        <f>IF(AG932=1,AE932,AK932*(1-AJ932)/2)</f>
        <v/>
      </c>
      <c r="AN932" s="45">
        <f>IF(AH932="","",AH932-T932)</f>
        <v/>
      </c>
      <c r="AO932" s="51">
        <f>IF(AG932=1,1,IF(U932&gt;0,MIN(AF932/U932,0.99),0))</f>
        <v/>
      </c>
      <c r="AP932" s="43">
        <f>IF(AG932=1,AI932*AF932,0)</f>
        <v/>
      </c>
      <c r="AQ932" s="43">
        <f>N932*(F932+G932)/H932</f>
        <v/>
      </c>
      <c r="AR932" s="43">
        <f>O932*AQ932</f>
        <v/>
      </c>
      <c r="AS932" s="52">
        <f>IF(AG932=1,IF(AQ932&gt;0,AF932/AQ932,1),IFERROR(INDEX(Types!$K:$K,MATCH($A932&amp;"|"&amp;$D932,Types!$A:$A,0)),INDEX(Dashboard!$X$6:$X$22,MATCH($A932,Dashboard!$A$6:$A$22,0))))</f>
        <v/>
      </c>
      <c r="AT932" s="43">
        <f>AQ932*INDEX(Dashboard!$Y$6:$Y$22,MATCH($A932,Dashboard!$A$6:$A$22,0))</f>
        <v/>
      </c>
      <c r="AU932" s="53">
        <f>IF(AND(AG932=1,AT932&gt;0,AF932&gt;0),100*AF932/AT932,"")</f>
        <v/>
      </c>
      <c r="AV932" s="44">
        <f>IF(AU932="","",T932/(AU932/100))</f>
        <v/>
      </c>
      <c r="AW932" s="53">
        <f>IF(AU932="","",IF(AND(ABS(AH932)&gt;=0.1,ABS(T932)&gt;=0.05,SIGN(AH932)=SIGN(T932)),100*T932/AH932,""))</f>
        <v/>
      </c>
      <c r="AX932" s="45">
        <f>IF(AU932="","",T932-AV932)</f>
        <v/>
      </c>
      <c r="AY932" s="45">
        <f>IF(AU932="","",AH932-AV932)</f>
        <v/>
      </c>
      <c r="AZ932" s="54">
        <f>(AL932-AM932)-T932*AT932</f>
        <v/>
      </c>
      <c r="BA932" s="43">
        <f>IF(AU932="",0,(AH932-T932)*AF932)</f>
        <v/>
      </c>
      <c r="BB932" s="43">
        <f>IF(AU932="",0,T932*(AF932-AT932))</f>
        <v/>
      </c>
      <c r="BC932" s="51" t="n">
        <v>0.2164853239814461</v>
      </c>
      <c r="BD932" s="51" t="n">
        <v>0.04305952086564905</v>
      </c>
      <c r="BE932" s="51" t="n">
        <v>0.3052112013785643</v>
      </c>
      <c r="BF932" s="43" t="n">
        <v>533796</v>
      </c>
    </row>
    <row r="933">
      <c r="A933" s="42" t="inlineStr">
        <is>
          <t>OH</t>
        </is>
      </c>
      <c r="B933" s="42" t="inlineStr">
        <is>
          <t>39115</t>
        </is>
      </c>
      <c r="C933" s="42" t="inlineStr">
        <is>
          <t>Morgan</t>
        </is>
      </c>
      <c r="D933" s="42" t="inlineStr">
        <is>
          <t>Small town &amp; rural</t>
        </is>
      </c>
      <c r="E933" s="42" t="inlineStr"/>
      <c r="F933" s="43" t="n">
        <v>1560</v>
      </c>
      <c r="G933" s="43" t="n">
        <v>5168</v>
      </c>
      <c r="H933" s="43" t="n">
        <v>6782</v>
      </c>
      <c r="I933" s="43" t="n">
        <v>1725</v>
      </c>
      <c r="J933" s="43" t="n">
        <v>5041</v>
      </c>
      <c r="K933" s="42" t="inlineStr">
        <is>
          <t>US Senate</t>
        </is>
      </c>
      <c r="L933" s="43" t="n">
        <v>1317</v>
      </c>
      <c r="M933" s="43" t="n">
        <v>3494</v>
      </c>
      <c r="N933" s="43" t="n">
        <v>4811</v>
      </c>
      <c r="O933" s="44">
        <f>IFERROR((F933-G933)/(F933+G933),"")</f>
        <v/>
      </c>
      <c r="P933" s="44">
        <f>IFERROR((I933-J933)/(I933+J933),"")</f>
        <v/>
      </c>
      <c r="Q933" s="45">
        <f>IFERROR(O933-P933,"")</f>
        <v/>
      </c>
      <c r="R933" s="44">
        <f>IFERROR((L933-M933)/(L933+M933),"")</f>
        <v/>
      </c>
      <c r="S933" s="46">
        <f>H933/SUMIFS(Counties!$H$2:$H$1583,Counties!$A$2:$A$1583,$A933)</f>
        <v/>
      </c>
      <c r="T933" s="44">
        <f>O933+INDEX(Dashboard!$F$6:$F$22,MATCH($A933,Dashboard!$A$6:$A$22,0))</f>
        <v/>
      </c>
      <c r="U933" s="43">
        <f>AQ933*INDEX(Dashboard!$G$6:$G$22,MATCH($A933,Dashboard!$A$6:$A$22,0))</f>
        <v/>
      </c>
      <c r="V933" s="47" t="n"/>
      <c r="W933" s="47" t="n"/>
      <c r="X933" s="47" t="n"/>
      <c r="Y933" s="48" t="n"/>
      <c r="Z933" s="49" t="n"/>
      <c r="AA933" s="49" t="n"/>
      <c r="AB933" s="49" t="n"/>
      <c r="AC933" s="50" t="n"/>
      <c r="AD933" s="43">
        <f>IF(Z933&lt;&gt;"",Z933,N(V933))</f>
        <v/>
      </c>
      <c r="AE933" s="43">
        <f>IF(AA933&lt;&gt;"",AA933,N(W933))</f>
        <v/>
      </c>
      <c r="AF933" s="43">
        <f>AD933+AE933</f>
        <v/>
      </c>
      <c r="AG933" s="42">
        <f>IF(UPPER(AC933)="Y",1,IF(AF933=0,0,IF(AND(Z933="",Y933&lt;&gt;""),IF(Y933&gt;=0.999,1,0),IF(AF933&gt;=U933,1,0))))</f>
        <v/>
      </c>
      <c r="AH933" s="44">
        <f>IF(AF933&gt;0,(AD933-AE933)/AF933,"")</f>
        <v/>
      </c>
      <c r="AI933" s="45">
        <f>IF(AG933=1,AH933-O933,"")</f>
        <v/>
      </c>
      <c r="AJ933" s="44">
        <f>IF(AG933=1,AH933,MAX(-1,MIN(1,O933+INDEX(Types!$H:$H,MATCH($A933&amp;"|"&amp;$D933,Types!$A:$A,0)))))</f>
        <v/>
      </c>
      <c r="AK933" s="43">
        <f>IF(AG933=1,AF933,MAX(AQ933*AS933,AF933))</f>
        <v/>
      </c>
      <c r="AL933" s="43">
        <f>IF(AG933=1,AD933,AK933*(1+AJ933)/2)</f>
        <v/>
      </c>
      <c r="AM933" s="43">
        <f>IF(AG933=1,AE933,AK933*(1-AJ933)/2)</f>
        <v/>
      </c>
      <c r="AN933" s="45">
        <f>IF(AH933="","",AH933-T933)</f>
        <v/>
      </c>
      <c r="AO933" s="51">
        <f>IF(AG933=1,1,IF(U933&gt;0,MIN(AF933/U933,0.99),0))</f>
        <v/>
      </c>
      <c r="AP933" s="43">
        <f>IF(AG933=1,AI933*AF933,0)</f>
        <v/>
      </c>
      <c r="AQ933" s="43">
        <f>N933*(F933+G933)/H933</f>
        <v/>
      </c>
      <c r="AR933" s="43">
        <f>O933*AQ933</f>
        <v/>
      </c>
      <c r="AS933" s="52">
        <f>IF(AG933=1,IF(AQ933&gt;0,AF933/AQ933,1),IFERROR(INDEX(Types!$K:$K,MATCH($A933&amp;"|"&amp;$D933,Types!$A:$A,0)),INDEX(Dashboard!$X$6:$X$22,MATCH($A933,Dashboard!$A$6:$A$22,0))))</f>
        <v/>
      </c>
      <c r="AT933" s="43">
        <f>AQ933*INDEX(Dashboard!$Y$6:$Y$22,MATCH($A933,Dashboard!$A$6:$A$22,0))</f>
        <v/>
      </c>
      <c r="AU933" s="53">
        <f>IF(AND(AG933=1,AT933&gt;0,AF933&gt;0),100*AF933/AT933,"")</f>
        <v/>
      </c>
      <c r="AV933" s="44">
        <f>IF(AU933="","",T933/(AU933/100))</f>
        <v/>
      </c>
      <c r="AW933" s="53">
        <f>IF(AU933="","",IF(AND(ABS(AH933)&gt;=0.1,ABS(T933)&gt;=0.05,SIGN(AH933)=SIGN(T933)),100*T933/AH933,""))</f>
        <v/>
      </c>
      <c r="AX933" s="45">
        <f>IF(AU933="","",T933-AV933)</f>
        <v/>
      </c>
      <c r="AY933" s="45">
        <f>IF(AU933="","",AH933-AV933)</f>
        <v/>
      </c>
      <c r="AZ933" s="54">
        <f>(AL933-AM933)-T933*AT933</f>
        <v/>
      </c>
      <c r="BA933" s="43">
        <f>IF(AU933="",0,(AH933-T933)*AF933)</f>
        <v/>
      </c>
      <c r="BB933" s="43">
        <f>IF(AU933="",0,T933*(AF933-AT933))</f>
        <v/>
      </c>
      <c r="BC933" s="51" t="n">
        <v>0.028286677414627</v>
      </c>
      <c r="BD933" s="51" t="n">
        <v>0.01245786311006888</v>
      </c>
      <c r="BE933" s="51" t="n">
        <v>0.1420310439281729</v>
      </c>
      <c r="BF933" s="43" t="n">
        <v>13646</v>
      </c>
    </row>
    <row r="934">
      <c r="A934" s="42" t="inlineStr">
        <is>
          <t>OH</t>
        </is>
      </c>
      <c r="B934" s="42" t="inlineStr">
        <is>
          <t>39117</t>
        </is>
      </c>
      <c r="C934" s="42" t="inlineStr">
        <is>
          <t>Morrow</t>
        </is>
      </c>
      <c r="D934" s="42" t="inlineStr">
        <is>
          <t>Small town &amp; rural</t>
        </is>
      </c>
      <c r="E934" s="42" t="inlineStr"/>
      <c r="F934" s="43" t="n">
        <v>4100</v>
      </c>
      <c r="G934" s="43" t="n">
        <v>14609</v>
      </c>
      <c r="H934" s="43" t="n">
        <v>18855</v>
      </c>
      <c r="I934" s="43" t="n">
        <v>4048</v>
      </c>
      <c r="J934" s="43" t="n">
        <v>14077</v>
      </c>
      <c r="K934" s="42" t="inlineStr">
        <is>
          <t>US Senate</t>
        </is>
      </c>
      <c r="L934" s="43" t="n">
        <v>3303</v>
      </c>
      <c r="M934" s="43" t="n">
        <v>9985</v>
      </c>
      <c r="N934" s="43" t="n">
        <v>13290</v>
      </c>
      <c r="O934" s="44">
        <f>IFERROR((F934-G934)/(F934+G934),"")</f>
        <v/>
      </c>
      <c r="P934" s="44">
        <f>IFERROR((I934-J934)/(I934+J934),"")</f>
        <v/>
      </c>
      <c r="Q934" s="45">
        <f>IFERROR(O934-P934,"")</f>
        <v/>
      </c>
      <c r="R934" s="44">
        <f>IFERROR((L934-M934)/(L934+M934),"")</f>
        <v/>
      </c>
      <c r="S934" s="46">
        <f>H934/SUMIFS(Counties!$H$2:$H$1583,Counties!$A$2:$A$1583,$A934)</f>
        <v/>
      </c>
      <c r="T934" s="44">
        <f>O934+INDEX(Dashboard!$F$6:$F$22,MATCH($A934,Dashboard!$A$6:$A$22,0))</f>
        <v/>
      </c>
      <c r="U934" s="43">
        <f>AQ934*INDEX(Dashboard!$G$6:$G$22,MATCH($A934,Dashboard!$A$6:$A$22,0))</f>
        <v/>
      </c>
      <c r="V934" s="47" t="n"/>
      <c r="W934" s="47" t="n"/>
      <c r="X934" s="47" t="n"/>
      <c r="Y934" s="48" t="n"/>
      <c r="Z934" s="49" t="n"/>
      <c r="AA934" s="49" t="n"/>
      <c r="AB934" s="49" t="n"/>
      <c r="AC934" s="50" t="n"/>
      <c r="AD934" s="43">
        <f>IF(Z934&lt;&gt;"",Z934,N(V934))</f>
        <v/>
      </c>
      <c r="AE934" s="43">
        <f>IF(AA934&lt;&gt;"",AA934,N(W934))</f>
        <v/>
      </c>
      <c r="AF934" s="43">
        <f>AD934+AE934</f>
        <v/>
      </c>
      <c r="AG934" s="42">
        <f>IF(UPPER(AC934)="Y",1,IF(AF934=0,0,IF(AND(Z934="",Y934&lt;&gt;""),IF(Y934&gt;=0.999,1,0),IF(AF934&gt;=U934,1,0))))</f>
        <v/>
      </c>
      <c r="AH934" s="44">
        <f>IF(AF934&gt;0,(AD934-AE934)/AF934,"")</f>
        <v/>
      </c>
      <c r="AI934" s="45">
        <f>IF(AG934=1,AH934-O934,"")</f>
        <v/>
      </c>
      <c r="AJ934" s="44">
        <f>IF(AG934=1,AH934,MAX(-1,MIN(1,O934+INDEX(Types!$H:$H,MATCH($A934&amp;"|"&amp;$D934,Types!$A:$A,0)))))</f>
        <v/>
      </c>
      <c r="AK934" s="43">
        <f>IF(AG934=1,AF934,MAX(AQ934*AS934,AF934))</f>
        <v/>
      </c>
      <c r="AL934" s="43">
        <f>IF(AG934=1,AD934,AK934*(1+AJ934)/2)</f>
        <v/>
      </c>
      <c r="AM934" s="43">
        <f>IF(AG934=1,AE934,AK934*(1-AJ934)/2)</f>
        <v/>
      </c>
      <c r="AN934" s="45">
        <f>IF(AH934="","",AH934-T934)</f>
        <v/>
      </c>
      <c r="AO934" s="51">
        <f>IF(AG934=1,1,IF(U934&gt;0,MIN(AF934/U934,0.99),0))</f>
        <v/>
      </c>
      <c r="AP934" s="43">
        <f>IF(AG934=1,AI934*AF934,0)</f>
        <v/>
      </c>
      <c r="AQ934" s="43">
        <f>N934*(F934+G934)/H934</f>
        <v/>
      </c>
      <c r="AR934" s="43">
        <f>O934*AQ934</f>
        <v/>
      </c>
      <c r="AS934" s="52">
        <f>IF(AG934=1,IF(AQ934&gt;0,AF934/AQ934,1),IFERROR(INDEX(Types!$K:$K,MATCH($A934&amp;"|"&amp;$D934,Types!$A:$A,0)),INDEX(Dashboard!$X$6:$X$22,MATCH($A934,Dashboard!$A$6:$A$22,0))))</f>
        <v/>
      </c>
      <c r="AT934" s="43">
        <f>AQ934*INDEX(Dashboard!$Y$6:$Y$22,MATCH($A934,Dashboard!$A$6:$A$22,0))</f>
        <v/>
      </c>
      <c r="AU934" s="53">
        <f>IF(AND(AG934=1,AT934&gt;0,AF934&gt;0),100*AF934/AT934,"")</f>
        <v/>
      </c>
      <c r="AV934" s="44">
        <f>IF(AU934="","",T934/(AU934/100))</f>
        <v/>
      </c>
      <c r="AW934" s="53">
        <f>IF(AU934="","",IF(AND(ABS(AH934)&gt;=0.1,ABS(T934)&gt;=0.05,SIGN(AH934)=SIGN(T934)),100*T934/AH934,""))</f>
        <v/>
      </c>
      <c r="AX934" s="45">
        <f>IF(AU934="","",T934-AV934)</f>
        <v/>
      </c>
      <c r="AY934" s="45">
        <f>IF(AU934="","",AH934-AV934)</f>
        <v/>
      </c>
      <c r="AZ934" s="54">
        <f>(AL934-AM934)-T934*AT934</f>
        <v/>
      </c>
      <c r="BA934" s="43">
        <f>IF(AU934="",0,(AH934-T934)*AF934)</f>
        <v/>
      </c>
      <c r="BB934" s="43">
        <f>IF(AU934="",0,T934*(AF934-AT934))</f>
        <v/>
      </c>
      <c r="BC934" s="51" t="n">
        <v>0.008990026689141733</v>
      </c>
      <c r="BD934" s="51" t="n">
        <v>0.02017137238376177</v>
      </c>
      <c r="BE934" s="51" t="n">
        <v>0.1819568795920825</v>
      </c>
      <c r="BF934" s="43" t="n">
        <v>35595</v>
      </c>
    </row>
    <row r="935">
      <c r="A935" s="42" t="inlineStr">
        <is>
          <t>OH</t>
        </is>
      </c>
      <c r="B935" s="42" t="inlineStr">
        <is>
          <t>39119</t>
        </is>
      </c>
      <c r="C935" s="42" t="inlineStr">
        <is>
          <t>Muskingum</t>
        </is>
      </c>
      <c r="D935" s="42" t="inlineStr">
        <is>
          <t>Small town &amp; rural</t>
        </is>
      </c>
      <c r="E935" s="42" t="inlineStr"/>
      <c r="F935" s="43" t="n">
        <v>10874</v>
      </c>
      <c r="G935" s="43" t="n">
        <v>28147</v>
      </c>
      <c r="H935" s="43" t="n">
        <v>39327</v>
      </c>
      <c r="I935" s="43" t="n">
        <v>11971</v>
      </c>
      <c r="J935" s="43" t="n">
        <v>27867</v>
      </c>
      <c r="K935" s="42" t="inlineStr">
        <is>
          <t>US Senate</t>
        </is>
      </c>
      <c r="L935" s="43" t="n">
        <v>8638</v>
      </c>
      <c r="M935" s="43" t="n">
        <v>18664</v>
      </c>
      <c r="N935" s="43" t="n">
        <v>27307</v>
      </c>
      <c r="O935" s="44">
        <f>IFERROR((F935-G935)/(F935+G935),"")</f>
        <v/>
      </c>
      <c r="P935" s="44">
        <f>IFERROR((I935-J935)/(I935+J935),"")</f>
        <v/>
      </c>
      <c r="Q935" s="45">
        <f>IFERROR(O935-P935,"")</f>
        <v/>
      </c>
      <c r="R935" s="44">
        <f>IFERROR((L935-M935)/(L935+M935),"")</f>
        <v/>
      </c>
      <c r="S935" s="46">
        <f>H935/SUMIFS(Counties!$H$2:$H$1583,Counties!$A$2:$A$1583,$A935)</f>
        <v/>
      </c>
      <c r="T935" s="44">
        <f>O935+INDEX(Dashboard!$F$6:$F$22,MATCH($A935,Dashboard!$A$6:$A$22,0))</f>
        <v/>
      </c>
      <c r="U935" s="43">
        <f>AQ935*INDEX(Dashboard!$G$6:$G$22,MATCH($A935,Dashboard!$A$6:$A$22,0))</f>
        <v/>
      </c>
      <c r="V935" s="47" t="n"/>
      <c r="W935" s="47" t="n"/>
      <c r="X935" s="47" t="n"/>
      <c r="Y935" s="48" t="n"/>
      <c r="Z935" s="49" t="n"/>
      <c r="AA935" s="49" t="n"/>
      <c r="AB935" s="49" t="n"/>
      <c r="AC935" s="50" t="n"/>
      <c r="AD935" s="43">
        <f>IF(Z935&lt;&gt;"",Z935,N(V935))</f>
        <v/>
      </c>
      <c r="AE935" s="43">
        <f>IF(AA935&lt;&gt;"",AA935,N(W935))</f>
        <v/>
      </c>
      <c r="AF935" s="43">
        <f>AD935+AE935</f>
        <v/>
      </c>
      <c r="AG935" s="42">
        <f>IF(UPPER(AC935)="Y",1,IF(AF935=0,0,IF(AND(Z935="",Y935&lt;&gt;""),IF(Y935&gt;=0.999,1,0),IF(AF935&gt;=U935,1,0))))</f>
        <v/>
      </c>
      <c r="AH935" s="44">
        <f>IF(AF935&gt;0,(AD935-AE935)/AF935,"")</f>
        <v/>
      </c>
      <c r="AI935" s="45">
        <f>IF(AG935=1,AH935-O935,"")</f>
        <v/>
      </c>
      <c r="AJ935" s="44">
        <f>IF(AG935=1,AH935,MAX(-1,MIN(1,O935+INDEX(Types!$H:$H,MATCH($A935&amp;"|"&amp;$D935,Types!$A:$A,0)))))</f>
        <v/>
      </c>
      <c r="AK935" s="43">
        <f>IF(AG935=1,AF935,MAX(AQ935*AS935,AF935))</f>
        <v/>
      </c>
      <c r="AL935" s="43">
        <f>IF(AG935=1,AD935,AK935*(1+AJ935)/2)</f>
        <v/>
      </c>
      <c r="AM935" s="43">
        <f>IF(AG935=1,AE935,AK935*(1-AJ935)/2)</f>
        <v/>
      </c>
      <c r="AN935" s="45">
        <f>IF(AH935="","",AH935-T935)</f>
        <v/>
      </c>
      <c r="AO935" s="51">
        <f>IF(AG935=1,1,IF(U935&gt;0,MIN(AF935/U935,0.99),0))</f>
        <v/>
      </c>
      <c r="AP935" s="43">
        <f>IF(AG935=1,AI935*AF935,0)</f>
        <v/>
      </c>
      <c r="AQ935" s="43">
        <f>N935*(F935+G935)/H935</f>
        <v/>
      </c>
      <c r="AR935" s="43">
        <f>O935*AQ935</f>
        <v/>
      </c>
      <c r="AS935" s="52">
        <f>IF(AG935=1,IF(AQ935&gt;0,AF935/AQ935,1),IFERROR(INDEX(Types!$K:$K,MATCH($A935&amp;"|"&amp;$D935,Types!$A:$A,0)),INDEX(Dashboard!$X$6:$X$22,MATCH($A935,Dashboard!$A$6:$A$22,0))))</f>
        <v/>
      </c>
      <c r="AT935" s="43">
        <f>AQ935*INDEX(Dashboard!$Y$6:$Y$22,MATCH($A935,Dashboard!$A$6:$A$22,0))</f>
        <v/>
      </c>
      <c r="AU935" s="53">
        <f>IF(AND(AG935=1,AT935&gt;0,AF935&gt;0),100*AF935/AT935,"")</f>
        <v/>
      </c>
      <c r="AV935" s="44">
        <f>IF(AU935="","",T935/(AU935/100))</f>
        <v/>
      </c>
      <c r="AW935" s="53">
        <f>IF(AU935="","",IF(AND(ABS(AH935)&gt;=0.1,ABS(T935)&gt;=0.05,SIGN(AH935)=SIGN(T935)),100*T935/AH935,""))</f>
        <v/>
      </c>
      <c r="AX935" s="45">
        <f>IF(AU935="","",T935-AV935)</f>
        <v/>
      </c>
      <c r="AY935" s="45">
        <f>IF(AU935="","",AH935-AV935)</f>
        <v/>
      </c>
      <c r="AZ935" s="54">
        <f>(AL935-AM935)-T935*AT935</f>
        <v/>
      </c>
      <c r="BA935" s="43">
        <f>IF(AU935="",0,(AH935-T935)*AF935)</f>
        <v/>
      </c>
      <c r="BB935" s="43">
        <f>IF(AU935="",0,T935*(AF935-AT935))</f>
        <v/>
      </c>
      <c r="BC935" s="51" t="n">
        <v>0.03807427147905684</v>
      </c>
      <c r="BD935" s="51" t="n">
        <v>0.01374196164764498</v>
      </c>
      <c r="BE935" s="51" t="n">
        <v>0.203242147922999</v>
      </c>
      <c r="BF935" s="43" t="n">
        <v>86305</v>
      </c>
    </row>
    <row r="936">
      <c r="A936" s="42" t="inlineStr">
        <is>
          <t>OH</t>
        </is>
      </c>
      <c r="B936" s="42" t="inlineStr">
        <is>
          <t>39121</t>
        </is>
      </c>
      <c r="C936" s="42" t="inlineStr">
        <is>
          <t>Noble</t>
        </is>
      </c>
      <c r="D936" s="42" t="inlineStr">
        <is>
          <t>Small town &amp; rural</t>
        </is>
      </c>
      <c r="E936" s="42" t="inlineStr"/>
      <c r="F936" s="43" t="n">
        <v>1069</v>
      </c>
      <c r="G936" s="43" t="n">
        <v>5050</v>
      </c>
      <c r="H936" s="43" t="n">
        <v>6161</v>
      </c>
      <c r="I936" s="43" t="n">
        <v>1170</v>
      </c>
      <c r="J936" s="43" t="n">
        <v>5135</v>
      </c>
      <c r="K936" s="42" t="inlineStr">
        <is>
          <t>US Senate</t>
        </is>
      </c>
      <c r="L936" s="43" t="n">
        <v>1083</v>
      </c>
      <c r="M936" s="43" t="n">
        <v>3519</v>
      </c>
      <c r="N936" s="43" t="n">
        <v>4606</v>
      </c>
      <c r="O936" s="44">
        <f>IFERROR((F936-G936)/(F936+G936),"")</f>
        <v/>
      </c>
      <c r="P936" s="44">
        <f>IFERROR((I936-J936)/(I936+J936),"")</f>
        <v/>
      </c>
      <c r="Q936" s="45">
        <f>IFERROR(O936-P936,"")</f>
        <v/>
      </c>
      <c r="R936" s="44">
        <f>IFERROR((L936-M936)/(L936+M936),"")</f>
        <v/>
      </c>
      <c r="S936" s="46">
        <f>H936/SUMIFS(Counties!$H$2:$H$1583,Counties!$A$2:$A$1583,$A936)</f>
        <v/>
      </c>
      <c r="T936" s="44">
        <f>O936+INDEX(Dashboard!$F$6:$F$22,MATCH($A936,Dashboard!$A$6:$A$22,0))</f>
        <v/>
      </c>
      <c r="U936" s="43">
        <f>AQ936*INDEX(Dashboard!$G$6:$G$22,MATCH($A936,Dashboard!$A$6:$A$22,0))</f>
        <v/>
      </c>
      <c r="V936" s="47" t="n"/>
      <c r="W936" s="47" t="n"/>
      <c r="X936" s="47" t="n"/>
      <c r="Y936" s="48" t="n"/>
      <c r="Z936" s="49" t="n"/>
      <c r="AA936" s="49" t="n"/>
      <c r="AB936" s="49" t="n"/>
      <c r="AC936" s="50" t="n"/>
      <c r="AD936" s="43">
        <f>IF(Z936&lt;&gt;"",Z936,N(V936))</f>
        <v/>
      </c>
      <c r="AE936" s="43">
        <f>IF(AA936&lt;&gt;"",AA936,N(W936))</f>
        <v/>
      </c>
      <c r="AF936" s="43">
        <f>AD936+AE936</f>
        <v/>
      </c>
      <c r="AG936" s="42">
        <f>IF(UPPER(AC936)="Y",1,IF(AF936=0,0,IF(AND(Z936="",Y936&lt;&gt;""),IF(Y936&gt;=0.999,1,0),IF(AF936&gt;=U936,1,0))))</f>
        <v/>
      </c>
      <c r="AH936" s="44">
        <f>IF(AF936&gt;0,(AD936-AE936)/AF936,"")</f>
        <v/>
      </c>
      <c r="AI936" s="45">
        <f>IF(AG936=1,AH936-O936,"")</f>
        <v/>
      </c>
      <c r="AJ936" s="44">
        <f>IF(AG936=1,AH936,MAX(-1,MIN(1,O936+INDEX(Types!$H:$H,MATCH($A936&amp;"|"&amp;$D936,Types!$A:$A,0)))))</f>
        <v/>
      </c>
      <c r="AK936" s="43">
        <f>IF(AG936=1,AF936,MAX(AQ936*AS936,AF936))</f>
        <v/>
      </c>
      <c r="AL936" s="43">
        <f>IF(AG936=1,AD936,AK936*(1+AJ936)/2)</f>
        <v/>
      </c>
      <c r="AM936" s="43">
        <f>IF(AG936=1,AE936,AK936*(1-AJ936)/2)</f>
        <v/>
      </c>
      <c r="AN936" s="45">
        <f>IF(AH936="","",AH936-T936)</f>
        <v/>
      </c>
      <c r="AO936" s="51">
        <f>IF(AG936=1,1,IF(U936&gt;0,MIN(AF936/U936,0.99),0))</f>
        <v/>
      </c>
      <c r="AP936" s="43">
        <f>IF(AG936=1,AI936*AF936,0)</f>
        <v/>
      </c>
      <c r="AQ936" s="43">
        <f>N936*(F936+G936)/H936</f>
        <v/>
      </c>
      <c r="AR936" s="43">
        <f>O936*AQ936</f>
        <v/>
      </c>
      <c r="AS936" s="52">
        <f>IF(AG936=1,IF(AQ936&gt;0,AF936/AQ936,1),IFERROR(INDEX(Types!$K:$K,MATCH($A936&amp;"|"&amp;$D936,Types!$A:$A,0)),INDEX(Dashboard!$X$6:$X$22,MATCH($A936,Dashboard!$A$6:$A$22,0))))</f>
        <v/>
      </c>
      <c r="AT936" s="43">
        <f>AQ936*INDEX(Dashboard!$Y$6:$Y$22,MATCH($A936,Dashboard!$A$6:$A$22,0))</f>
        <v/>
      </c>
      <c r="AU936" s="53">
        <f>IF(AND(AG936=1,AT936&gt;0,AF936&gt;0),100*AF936/AT936,"")</f>
        <v/>
      </c>
      <c r="AV936" s="44">
        <f>IF(AU936="","",T936/(AU936/100))</f>
        <v/>
      </c>
      <c r="AW936" s="53">
        <f>IF(AU936="","",IF(AND(ABS(AH936)&gt;=0.1,ABS(T936)&gt;=0.05,SIGN(AH936)=SIGN(T936)),100*T936/AH936,""))</f>
        <v/>
      </c>
      <c r="AX936" s="45">
        <f>IF(AU936="","",T936-AV936)</f>
        <v/>
      </c>
      <c r="AY936" s="45">
        <f>IF(AU936="","",AH936-AV936)</f>
        <v/>
      </c>
      <c r="AZ936" s="54">
        <f>(AL936-AM936)-T936*AT936</f>
        <v/>
      </c>
      <c r="BA936" s="43">
        <f>IF(AU936="",0,(AH936-T936)*AF936)</f>
        <v/>
      </c>
      <c r="BB936" s="43">
        <f>IF(AU936="",0,T936*(AF936-AT936))</f>
        <v/>
      </c>
      <c r="BC936" s="51" t="n">
        <v>0.03193347774439242</v>
      </c>
      <c r="BD936" s="51" t="n">
        <v>0.01362588218852631</v>
      </c>
      <c r="BE936" s="51" t="n">
        <v>0.1374576736524206</v>
      </c>
      <c r="BF936" s="43" t="n">
        <v>14311</v>
      </c>
    </row>
    <row r="937">
      <c r="A937" s="42" t="inlineStr">
        <is>
          <t>OH</t>
        </is>
      </c>
      <c r="B937" s="42" t="inlineStr">
        <is>
          <t>39123</t>
        </is>
      </c>
      <c r="C937" s="42" t="inlineStr">
        <is>
          <t>Ottawa</t>
        </is>
      </c>
      <c r="D937" s="42" t="inlineStr">
        <is>
          <t>Small town &amp; rural</t>
        </is>
      </c>
      <c r="E937" s="42" t="inlineStr"/>
      <c r="F937" s="43" t="n">
        <v>8866</v>
      </c>
      <c r="G937" s="43" t="n">
        <v>14872</v>
      </c>
      <c r="H937" s="43" t="n">
        <v>23956</v>
      </c>
      <c r="I937" s="43" t="n">
        <v>9008</v>
      </c>
      <c r="J937" s="43" t="n">
        <v>14628</v>
      </c>
      <c r="K937" s="42" t="inlineStr">
        <is>
          <t>US Senate</t>
        </is>
      </c>
      <c r="L937" s="43" t="n">
        <v>7750</v>
      </c>
      <c r="M937" s="43" t="n">
        <v>10653</v>
      </c>
      <c r="N937" s="43" t="n">
        <v>18405</v>
      </c>
      <c r="O937" s="44">
        <f>IFERROR((F937-G937)/(F937+G937),"")</f>
        <v/>
      </c>
      <c r="P937" s="44">
        <f>IFERROR((I937-J937)/(I937+J937),"")</f>
        <v/>
      </c>
      <c r="Q937" s="45">
        <f>IFERROR(O937-P937,"")</f>
        <v/>
      </c>
      <c r="R937" s="44">
        <f>IFERROR((L937-M937)/(L937+M937),"")</f>
        <v/>
      </c>
      <c r="S937" s="46">
        <f>H937/SUMIFS(Counties!$H$2:$H$1583,Counties!$A$2:$A$1583,$A937)</f>
        <v/>
      </c>
      <c r="T937" s="44">
        <f>O937+INDEX(Dashboard!$F$6:$F$22,MATCH($A937,Dashboard!$A$6:$A$22,0))</f>
        <v/>
      </c>
      <c r="U937" s="43">
        <f>AQ937*INDEX(Dashboard!$G$6:$G$22,MATCH($A937,Dashboard!$A$6:$A$22,0))</f>
        <v/>
      </c>
      <c r="V937" s="47" t="n"/>
      <c r="W937" s="47" t="n"/>
      <c r="X937" s="47" t="n"/>
      <c r="Y937" s="48" t="n"/>
      <c r="Z937" s="49" t="n"/>
      <c r="AA937" s="49" t="n"/>
      <c r="AB937" s="49" t="n"/>
      <c r="AC937" s="50" t="n"/>
      <c r="AD937" s="43">
        <f>IF(Z937&lt;&gt;"",Z937,N(V937))</f>
        <v/>
      </c>
      <c r="AE937" s="43">
        <f>IF(AA937&lt;&gt;"",AA937,N(W937))</f>
        <v/>
      </c>
      <c r="AF937" s="43">
        <f>AD937+AE937</f>
        <v/>
      </c>
      <c r="AG937" s="42">
        <f>IF(UPPER(AC937)="Y",1,IF(AF937=0,0,IF(AND(Z937="",Y937&lt;&gt;""),IF(Y937&gt;=0.999,1,0),IF(AF937&gt;=U937,1,0))))</f>
        <v/>
      </c>
      <c r="AH937" s="44">
        <f>IF(AF937&gt;0,(AD937-AE937)/AF937,"")</f>
        <v/>
      </c>
      <c r="AI937" s="45">
        <f>IF(AG937=1,AH937-O937,"")</f>
        <v/>
      </c>
      <c r="AJ937" s="44">
        <f>IF(AG937=1,AH937,MAX(-1,MIN(1,O937+INDEX(Types!$H:$H,MATCH($A937&amp;"|"&amp;$D937,Types!$A:$A,0)))))</f>
        <v/>
      </c>
      <c r="AK937" s="43">
        <f>IF(AG937=1,AF937,MAX(AQ937*AS937,AF937))</f>
        <v/>
      </c>
      <c r="AL937" s="43">
        <f>IF(AG937=1,AD937,AK937*(1+AJ937)/2)</f>
        <v/>
      </c>
      <c r="AM937" s="43">
        <f>IF(AG937=1,AE937,AK937*(1-AJ937)/2)</f>
        <v/>
      </c>
      <c r="AN937" s="45">
        <f>IF(AH937="","",AH937-T937)</f>
        <v/>
      </c>
      <c r="AO937" s="51">
        <f>IF(AG937=1,1,IF(U937&gt;0,MIN(AF937/U937,0.99),0))</f>
        <v/>
      </c>
      <c r="AP937" s="43">
        <f>IF(AG937=1,AI937*AF937,0)</f>
        <v/>
      </c>
      <c r="AQ937" s="43">
        <f>N937*(F937+G937)/H937</f>
        <v/>
      </c>
      <c r="AR937" s="43">
        <f>O937*AQ937</f>
        <v/>
      </c>
      <c r="AS937" s="52">
        <f>IF(AG937=1,IF(AQ937&gt;0,AF937/AQ937,1),IFERROR(INDEX(Types!$K:$K,MATCH($A937&amp;"|"&amp;$D937,Types!$A:$A,0)),INDEX(Dashboard!$X$6:$X$22,MATCH($A937,Dashboard!$A$6:$A$22,0))))</f>
        <v/>
      </c>
      <c r="AT937" s="43">
        <f>AQ937*INDEX(Dashboard!$Y$6:$Y$22,MATCH($A937,Dashboard!$A$6:$A$22,0))</f>
        <v/>
      </c>
      <c r="AU937" s="53">
        <f>IF(AND(AG937=1,AT937&gt;0,AF937&gt;0),100*AF937/AT937,"")</f>
        <v/>
      </c>
      <c r="AV937" s="44">
        <f>IF(AU937="","",T937/(AU937/100))</f>
        <v/>
      </c>
      <c r="AW937" s="53">
        <f>IF(AU937="","",IF(AND(ABS(AH937)&gt;=0.1,ABS(T937)&gt;=0.05,SIGN(AH937)=SIGN(T937)),100*T937/AH937,""))</f>
        <v/>
      </c>
      <c r="AX937" s="45">
        <f>IF(AU937="","",T937-AV937)</f>
        <v/>
      </c>
      <c r="AY937" s="45">
        <f>IF(AU937="","",AH937-AV937)</f>
        <v/>
      </c>
      <c r="AZ937" s="54">
        <f>(AL937-AM937)-T937*AT937</f>
        <v/>
      </c>
      <c r="BA937" s="43">
        <f>IF(AU937="",0,(AH937-T937)*AF937)</f>
        <v/>
      </c>
      <c r="BB937" s="43">
        <f>IF(AU937="",0,T937*(AF937-AT937))</f>
        <v/>
      </c>
      <c r="BC937" s="51" t="n">
        <v>0.009974122553576364</v>
      </c>
      <c r="BD937" s="51" t="n">
        <v>0.05338793558274502</v>
      </c>
      <c r="BE937" s="51" t="n">
        <v>0.2853634577603144</v>
      </c>
      <c r="BF937" s="43" t="n">
        <v>39803</v>
      </c>
    </row>
    <row r="938">
      <c r="A938" s="42" t="inlineStr">
        <is>
          <t>OH</t>
        </is>
      </c>
      <c r="B938" s="42" t="inlineStr">
        <is>
          <t>39125</t>
        </is>
      </c>
      <c r="C938" s="42" t="inlineStr">
        <is>
          <t>Paulding</t>
        </is>
      </c>
      <c r="D938" s="42" t="inlineStr">
        <is>
          <t>Small town &amp; rural</t>
        </is>
      </c>
      <c r="E938" s="42" t="inlineStr"/>
      <c r="F938" s="43" t="n">
        <v>1987</v>
      </c>
      <c r="G938" s="43" t="n">
        <v>7203</v>
      </c>
      <c r="H938" s="43" t="n">
        <v>9276</v>
      </c>
      <c r="I938" s="43" t="n">
        <v>2213</v>
      </c>
      <c r="J938" s="43" t="n">
        <v>7086</v>
      </c>
      <c r="K938" s="42" t="inlineStr">
        <is>
          <t>US Senate</t>
        </is>
      </c>
      <c r="L938" s="43" t="n">
        <v>1587</v>
      </c>
      <c r="M938" s="43" t="n">
        <v>4873</v>
      </c>
      <c r="N938" s="43" t="n">
        <v>6462</v>
      </c>
      <c r="O938" s="44">
        <f>IFERROR((F938-G938)/(F938+G938),"")</f>
        <v/>
      </c>
      <c r="P938" s="44">
        <f>IFERROR((I938-J938)/(I938+J938),"")</f>
        <v/>
      </c>
      <c r="Q938" s="45">
        <f>IFERROR(O938-P938,"")</f>
        <v/>
      </c>
      <c r="R938" s="44">
        <f>IFERROR((L938-M938)/(L938+M938),"")</f>
        <v/>
      </c>
      <c r="S938" s="46">
        <f>H938/SUMIFS(Counties!$H$2:$H$1583,Counties!$A$2:$A$1583,$A938)</f>
        <v/>
      </c>
      <c r="T938" s="44">
        <f>O938+INDEX(Dashboard!$F$6:$F$22,MATCH($A938,Dashboard!$A$6:$A$22,0))</f>
        <v/>
      </c>
      <c r="U938" s="43">
        <f>AQ938*INDEX(Dashboard!$G$6:$G$22,MATCH($A938,Dashboard!$A$6:$A$22,0))</f>
        <v/>
      </c>
      <c r="V938" s="47" t="n"/>
      <c r="W938" s="47" t="n"/>
      <c r="X938" s="47" t="n"/>
      <c r="Y938" s="48" t="n"/>
      <c r="Z938" s="49" t="n"/>
      <c r="AA938" s="49" t="n"/>
      <c r="AB938" s="49" t="n"/>
      <c r="AC938" s="50" t="n"/>
      <c r="AD938" s="43">
        <f>IF(Z938&lt;&gt;"",Z938,N(V938))</f>
        <v/>
      </c>
      <c r="AE938" s="43">
        <f>IF(AA938&lt;&gt;"",AA938,N(W938))</f>
        <v/>
      </c>
      <c r="AF938" s="43">
        <f>AD938+AE938</f>
        <v/>
      </c>
      <c r="AG938" s="42">
        <f>IF(UPPER(AC938)="Y",1,IF(AF938=0,0,IF(AND(Z938="",Y938&lt;&gt;""),IF(Y938&gt;=0.999,1,0),IF(AF938&gt;=U938,1,0))))</f>
        <v/>
      </c>
      <c r="AH938" s="44">
        <f>IF(AF938&gt;0,(AD938-AE938)/AF938,"")</f>
        <v/>
      </c>
      <c r="AI938" s="45">
        <f>IF(AG938=1,AH938-O938,"")</f>
        <v/>
      </c>
      <c r="AJ938" s="44">
        <f>IF(AG938=1,AH938,MAX(-1,MIN(1,O938+INDEX(Types!$H:$H,MATCH($A938&amp;"|"&amp;$D938,Types!$A:$A,0)))))</f>
        <v/>
      </c>
      <c r="AK938" s="43">
        <f>IF(AG938=1,AF938,MAX(AQ938*AS938,AF938))</f>
        <v/>
      </c>
      <c r="AL938" s="43">
        <f>IF(AG938=1,AD938,AK938*(1+AJ938)/2)</f>
        <v/>
      </c>
      <c r="AM938" s="43">
        <f>IF(AG938=1,AE938,AK938*(1-AJ938)/2)</f>
        <v/>
      </c>
      <c r="AN938" s="45">
        <f>IF(AH938="","",AH938-T938)</f>
        <v/>
      </c>
      <c r="AO938" s="51">
        <f>IF(AG938=1,1,IF(U938&gt;0,MIN(AF938/U938,0.99),0))</f>
        <v/>
      </c>
      <c r="AP938" s="43">
        <f>IF(AG938=1,AI938*AF938,0)</f>
        <v/>
      </c>
      <c r="AQ938" s="43">
        <f>N938*(F938+G938)/H938</f>
        <v/>
      </c>
      <c r="AR938" s="43">
        <f>O938*AQ938</f>
        <v/>
      </c>
      <c r="AS938" s="52">
        <f>IF(AG938=1,IF(AQ938&gt;0,AF938/AQ938,1),IFERROR(INDEX(Types!$K:$K,MATCH($A938&amp;"|"&amp;$D938,Types!$A:$A,0)),INDEX(Dashboard!$X$6:$X$22,MATCH($A938,Dashboard!$A$6:$A$22,0))))</f>
        <v/>
      </c>
      <c r="AT938" s="43">
        <f>AQ938*INDEX(Dashboard!$Y$6:$Y$22,MATCH($A938,Dashboard!$A$6:$A$22,0))</f>
        <v/>
      </c>
      <c r="AU938" s="53">
        <f>IF(AND(AG938=1,AT938&gt;0,AF938&gt;0),100*AF938/AT938,"")</f>
        <v/>
      </c>
      <c r="AV938" s="44">
        <f>IF(AU938="","",T938/(AU938/100))</f>
        <v/>
      </c>
      <c r="AW938" s="53">
        <f>IF(AU938="","",IF(AND(ABS(AH938)&gt;=0.1,ABS(T938)&gt;=0.05,SIGN(AH938)=SIGN(T938)),100*T938/AH938,""))</f>
        <v/>
      </c>
      <c r="AX938" s="45">
        <f>IF(AU938="","",T938-AV938)</f>
        <v/>
      </c>
      <c r="AY938" s="45">
        <f>IF(AU938="","",AH938-AV938)</f>
        <v/>
      </c>
      <c r="AZ938" s="54">
        <f>(AL938-AM938)-T938*AT938</f>
        <v/>
      </c>
      <c r="BA938" s="43">
        <f>IF(AU938="",0,(AH938-T938)*AF938)</f>
        <v/>
      </c>
      <c r="BB938" s="43">
        <f>IF(AU938="",0,T938*(AF938-AT938))</f>
        <v/>
      </c>
      <c r="BC938" s="51" t="n">
        <v>0.01053138030578424</v>
      </c>
      <c r="BD938" s="51" t="n">
        <v>0.05944616700523896</v>
      </c>
      <c r="BE938" s="51" t="n">
        <v>0.1573396967131091</v>
      </c>
      <c r="BF938" s="43" t="n">
        <v>18706</v>
      </c>
    </row>
    <row r="939">
      <c r="A939" s="42" t="inlineStr">
        <is>
          <t>OH</t>
        </is>
      </c>
      <c r="B939" s="42" t="inlineStr">
        <is>
          <t>39127</t>
        </is>
      </c>
      <c r="C939" s="42" t="inlineStr">
        <is>
          <t>Perry</t>
        </is>
      </c>
      <c r="D939" s="42" t="inlineStr">
        <is>
          <t>Small town &amp; rural</t>
        </is>
      </c>
      <c r="E939" s="42" t="inlineStr"/>
      <c r="F939" s="43" t="n">
        <v>3800</v>
      </c>
      <c r="G939" s="43" t="n">
        <v>13062</v>
      </c>
      <c r="H939" s="43" t="n">
        <v>16991</v>
      </c>
      <c r="I939" s="43" t="n">
        <v>4098</v>
      </c>
      <c r="J939" s="43" t="n">
        <v>12357</v>
      </c>
      <c r="K939" s="42" t="inlineStr">
        <is>
          <t>US Senate</t>
        </is>
      </c>
      <c r="L939" s="43" t="n">
        <v>3342</v>
      </c>
      <c r="M939" s="43" t="n">
        <v>8557</v>
      </c>
      <c r="N939" s="43" t="n">
        <v>11935</v>
      </c>
      <c r="O939" s="44">
        <f>IFERROR((F939-G939)/(F939+G939),"")</f>
        <v/>
      </c>
      <c r="P939" s="44">
        <f>IFERROR((I939-J939)/(I939+J939),"")</f>
        <v/>
      </c>
      <c r="Q939" s="45">
        <f>IFERROR(O939-P939,"")</f>
        <v/>
      </c>
      <c r="R939" s="44">
        <f>IFERROR((L939-M939)/(L939+M939),"")</f>
        <v/>
      </c>
      <c r="S939" s="46">
        <f>H939/SUMIFS(Counties!$H$2:$H$1583,Counties!$A$2:$A$1583,$A939)</f>
        <v/>
      </c>
      <c r="T939" s="44">
        <f>O939+INDEX(Dashboard!$F$6:$F$22,MATCH($A939,Dashboard!$A$6:$A$22,0))</f>
        <v/>
      </c>
      <c r="U939" s="43">
        <f>AQ939*INDEX(Dashboard!$G$6:$G$22,MATCH($A939,Dashboard!$A$6:$A$22,0))</f>
        <v/>
      </c>
      <c r="V939" s="47" t="n"/>
      <c r="W939" s="47" t="n"/>
      <c r="X939" s="47" t="n"/>
      <c r="Y939" s="48" t="n"/>
      <c r="Z939" s="49" t="n"/>
      <c r="AA939" s="49" t="n"/>
      <c r="AB939" s="49" t="n"/>
      <c r="AC939" s="50" t="n"/>
      <c r="AD939" s="43">
        <f>IF(Z939&lt;&gt;"",Z939,N(V939))</f>
        <v/>
      </c>
      <c r="AE939" s="43">
        <f>IF(AA939&lt;&gt;"",AA939,N(W939))</f>
        <v/>
      </c>
      <c r="AF939" s="43">
        <f>AD939+AE939</f>
        <v/>
      </c>
      <c r="AG939" s="42">
        <f>IF(UPPER(AC939)="Y",1,IF(AF939=0,0,IF(AND(Z939="",Y939&lt;&gt;""),IF(Y939&gt;=0.999,1,0),IF(AF939&gt;=U939,1,0))))</f>
        <v/>
      </c>
      <c r="AH939" s="44">
        <f>IF(AF939&gt;0,(AD939-AE939)/AF939,"")</f>
        <v/>
      </c>
      <c r="AI939" s="45">
        <f>IF(AG939=1,AH939-O939,"")</f>
        <v/>
      </c>
      <c r="AJ939" s="44">
        <f>IF(AG939=1,AH939,MAX(-1,MIN(1,O939+INDEX(Types!$H:$H,MATCH($A939&amp;"|"&amp;$D939,Types!$A:$A,0)))))</f>
        <v/>
      </c>
      <c r="AK939" s="43">
        <f>IF(AG939=1,AF939,MAX(AQ939*AS939,AF939))</f>
        <v/>
      </c>
      <c r="AL939" s="43">
        <f>IF(AG939=1,AD939,AK939*(1+AJ939)/2)</f>
        <v/>
      </c>
      <c r="AM939" s="43">
        <f>IF(AG939=1,AE939,AK939*(1-AJ939)/2)</f>
        <v/>
      </c>
      <c r="AN939" s="45">
        <f>IF(AH939="","",AH939-T939)</f>
        <v/>
      </c>
      <c r="AO939" s="51">
        <f>IF(AG939=1,1,IF(U939&gt;0,MIN(AF939/U939,0.99),0))</f>
        <v/>
      </c>
      <c r="AP939" s="43">
        <f>IF(AG939=1,AI939*AF939,0)</f>
        <v/>
      </c>
      <c r="AQ939" s="43">
        <f>N939*(F939+G939)/H939</f>
        <v/>
      </c>
      <c r="AR939" s="43">
        <f>O939*AQ939</f>
        <v/>
      </c>
      <c r="AS939" s="52">
        <f>IF(AG939=1,IF(AQ939&gt;0,AF939/AQ939,1),IFERROR(INDEX(Types!$K:$K,MATCH($A939&amp;"|"&amp;$D939,Types!$A:$A,0)),INDEX(Dashboard!$X$6:$X$22,MATCH($A939,Dashboard!$A$6:$A$22,0))))</f>
        <v/>
      </c>
      <c r="AT939" s="43">
        <f>AQ939*INDEX(Dashboard!$Y$6:$Y$22,MATCH($A939,Dashboard!$A$6:$A$22,0))</f>
        <v/>
      </c>
      <c r="AU939" s="53">
        <f>IF(AND(AG939=1,AT939&gt;0,AF939&gt;0),100*AF939/AT939,"")</f>
        <v/>
      </c>
      <c r="AV939" s="44">
        <f>IF(AU939="","",T939/(AU939/100))</f>
        <v/>
      </c>
      <c r="AW939" s="53">
        <f>IF(AU939="","",IF(AND(ABS(AH939)&gt;=0.1,ABS(T939)&gt;=0.05,SIGN(AH939)=SIGN(T939)),100*T939/AH939,""))</f>
        <v/>
      </c>
      <c r="AX939" s="45">
        <f>IF(AU939="","",T939-AV939)</f>
        <v/>
      </c>
      <c r="AY939" s="45">
        <f>IF(AU939="","",AH939-AV939)</f>
        <v/>
      </c>
      <c r="AZ939" s="54">
        <f>(AL939-AM939)-T939*AT939</f>
        <v/>
      </c>
      <c r="BA939" s="43">
        <f>IF(AU939="",0,(AH939-T939)*AF939)</f>
        <v/>
      </c>
      <c r="BB939" s="43">
        <f>IF(AU939="",0,T939*(AF939-AT939))</f>
        <v/>
      </c>
      <c r="BC939" s="51" t="n">
        <v>0.006553964726730612</v>
      </c>
      <c r="BD939" s="51" t="n">
        <v>0.009788754184129842</v>
      </c>
      <c r="BE939" s="51" t="n">
        <v>0.1503848189925479</v>
      </c>
      <c r="BF939" s="43" t="n">
        <v>35551</v>
      </c>
    </row>
    <row r="940">
      <c r="A940" s="42" t="inlineStr">
        <is>
          <t>OH</t>
        </is>
      </c>
      <c r="B940" s="42" t="inlineStr">
        <is>
          <t>39129</t>
        </is>
      </c>
      <c r="C940" s="42" t="inlineStr">
        <is>
          <t>Pickaway</t>
        </is>
      </c>
      <c r="D940" s="42" t="inlineStr">
        <is>
          <t>Small town &amp; rural</t>
        </is>
      </c>
      <c r="E940" s="42" t="inlineStr"/>
      <c r="F940" s="43" t="n">
        <v>7397</v>
      </c>
      <c r="G940" s="43" t="n">
        <v>21607</v>
      </c>
      <c r="H940" s="43" t="n">
        <v>29275</v>
      </c>
      <c r="I940" s="43" t="n">
        <v>7304</v>
      </c>
      <c r="J940" s="43" t="n">
        <v>20593</v>
      </c>
      <c r="K940" s="42" t="inlineStr">
        <is>
          <t>US Senate</t>
        </is>
      </c>
      <c r="L940" s="43" t="n">
        <v>5696</v>
      </c>
      <c r="M940" s="43" t="n">
        <v>13859</v>
      </c>
      <c r="N940" s="43" t="n">
        <v>19562</v>
      </c>
      <c r="O940" s="44">
        <f>IFERROR((F940-G940)/(F940+G940),"")</f>
        <v/>
      </c>
      <c r="P940" s="44">
        <f>IFERROR((I940-J940)/(I940+J940),"")</f>
        <v/>
      </c>
      <c r="Q940" s="45">
        <f>IFERROR(O940-P940,"")</f>
        <v/>
      </c>
      <c r="R940" s="44">
        <f>IFERROR((L940-M940)/(L940+M940),"")</f>
        <v/>
      </c>
      <c r="S940" s="46">
        <f>H940/SUMIFS(Counties!$H$2:$H$1583,Counties!$A$2:$A$1583,$A940)</f>
        <v/>
      </c>
      <c r="T940" s="44">
        <f>O940+INDEX(Dashboard!$F$6:$F$22,MATCH($A940,Dashboard!$A$6:$A$22,0))</f>
        <v/>
      </c>
      <c r="U940" s="43">
        <f>AQ940*INDEX(Dashboard!$G$6:$G$22,MATCH($A940,Dashboard!$A$6:$A$22,0))</f>
        <v/>
      </c>
      <c r="V940" s="47" t="n"/>
      <c r="W940" s="47" t="n"/>
      <c r="X940" s="47" t="n"/>
      <c r="Y940" s="48" t="n"/>
      <c r="Z940" s="49" t="n"/>
      <c r="AA940" s="49" t="n"/>
      <c r="AB940" s="49" t="n"/>
      <c r="AC940" s="50" t="n"/>
      <c r="AD940" s="43">
        <f>IF(Z940&lt;&gt;"",Z940,N(V940))</f>
        <v/>
      </c>
      <c r="AE940" s="43">
        <f>IF(AA940&lt;&gt;"",AA940,N(W940))</f>
        <v/>
      </c>
      <c r="AF940" s="43">
        <f>AD940+AE940</f>
        <v/>
      </c>
      <c r="AG940" s="42">
        <f>IF(UPPER(AC940)="Y",1,IF(AF940=0,0,IF(AND(Z940="",Y940&lt;&gt;""),IF(Y940&gt;=0.999,1,0),IF(AF940&gt;=U940,1,0))))</f>
        <v/>
      </c>
      <c r="AH940" s="44">
        <f>IF(AF940&gt;0,(AD940-AE940)/AF940,"")</f>
        <v/>
      </c>
      <c r="AI940" s="45">
        <f>IF(AG940=1,AH940-O940,"")</f>
        <v/>
      </c>
      <c r="AJ940" s="44">
        <f>IF(AG940=1,AH940,MAX(-1,MIN(1,O940+INDEX(Types!$H:$H,MATCH($A940&amp;"|"&amp;$D940,Types!$A:$A,0)))))</f>
        <v/>
      </c>
      <c r="AK940" s="43">
        <f>IF(AG940=1,AF940,MAX(AQ940*AS940,AF940))</f>
        <v/>
      </c>
      <c r="AL940" s="43">
        <f>IF(AG940=1,AD940,AK940*(1+AJ940)/2)</f>
        <v/>
      </c>
      <c r="AM940" s="43">
        <f>IF(AG940=1,AE940,AK940*(1-AJ940)/2)</f>
        <v/>
      </c>
      <c r="AN940" s="45">
        <f>IF(AH940="","",AH940-T940)</f>
        <v/>
      </c>
      <c r="AO940" s="51">
        <f>IF(AG940=1,1,IF(U940&gt;0,MIN(AF940/U940,0.99),0))</f>
        <v/>
      </c>
      <c r="AP940" s="43">
        <f>IF(AG940=1,AI940*AF940,0)</f>
        <v/>
      </c>
      <c r="AQ940" s="43">
        <f>N940*(F940+G940)/H940</f>
        <v/>
      </c>
      <c r="AR940" s="43">
        <f>O940*AQ940</f>
        <v/>
      </c>
      <c r="AS940" s="52">
        <f>IF(AG940=1,IF(AQ940&gt;0,AF940/AQ940,1),IFERROR(INDEX(Types!$K:$K,MATCH($A940&amp;"|"&amp;$D940,Types!$A:$A,0)),INDEX(Dashboard!$X$6:$X$22,MATCH($A940,Dashboard!$A$6:$A$22,0))))</f>
        <v/>
      </c>
      <c r="AT940" s="43">
        <f>AQ940*INDEX(Dashboard!$Y$6:$Y$22,MATCH($A940,Dashboard!$A$6:$A$22,0))</f>
        <v/>
      </c>
      <c r="AU940" s="53">
        <f>IF(AND(AG940=1,AT940&gt;0,AF940&gt;0),100*AF940/AT940,"")</f>
        <v/>
      </c>
      <c r="AV940" s="44">
        <f>IF(AU940="","",T940/(AU940/100))</f>
        <v/>
      </c>
      <c r="AW940" s="53">
        <f>IF(AU940="","",IF(AND(ABS(AH940)&gt;=0.1,ABS(T940)&gt;=0.05,SIGN(AH940)=SIGN(T940)),100*T940/AH940,""))</f>
        <v/>
      </c>
      <c r="AX940" s="45">
        <f>IF(AU940="","",T940-AV940)</f>
        <v/>
      </c>
      <c r="AY940" s="45">
        <f>IF(AU940="","",AH940-AV940)</f>
        <v/>
      </c>
      <c r="AZ940" s="54">
        <f>(AL940-AM940)-T940*AT940</f>
        <v/>
      </c>
      <c r="BA940" s="43">
        <f>IF(AU940="",0,(AH940-T940)*AF940)</f>
        <v/>
      </c>
      <c r="BB940" s="43">
        <f>IF(AU940="",0,T940*(AF940-AT940))</f>
        <v/>
      </c>
      <c r="BC940" s="51" t="n">
        <v>0.03820842746292113</v>
      </c>
      <c r="BD940" s="51" t="n">
        <v>0.02075762040402056</v>
      </c>
      <c r="BE940" s="51" t="n">
        <v>0.2125698055074138</v>
      </c>
      <c r="BF940" s="43" t="n">
        <v>61086</v>
      </c>
    </row>
    <row r="941">
      <c r="A941" s="42" t="inlineStr">
        <is>
          <t>OH</t>
        </is>
      </c>
      <c r="B941" s="42" t="inlineStr">
        <is>
          <t>39131</t>
        </is>
      </c>
      <c r="C941" s="42" t="inlineStr">
        <is>
          <t>Pike</t>
        </is>
      </c>
      <c r="D941" s="42" t="inlineStr">
        <is>
          <t>Small town &amp; rural</t>
        </is>
      </c>
      <c r="E941" s="42" t="inlineStr"/>
      <c r="F941" s="43" t="n">
        <v>2793</v>
      </c>
      <c r="G941" s="43" t="n">
        <v>9352</v>
      </c>
      <c r="H941" s="43" t="n">
        <v>12218</v>
      </c>
      <c r="I941" s="43" t="n">
        <v>3110</v>
      </c>
      <c r="J941" s="43" t="n">
        <v>9157</v>
      </c>
      <c r="K941" s="42" t="inlineStr">
        <is>
          <t>US Senate</t>
        </is>
      </c>
      <c r="L941" s="43" t="n">
        <v>2327</v>
      </c>
      <c r="M941" s="43" t="n">
        <v>5488</v>
      </c>
      <c r="N941" s="43" t="n">
        <v>7815</v>
      </c>
      <c r="O941" s="44">
        <f>IFERROR((F941-G941)/(F941+G941),"")</f>
        <v/>
      </c>
      <c r="P941" s="44">
        <f>IFERROR((I941-J941)/(I941+J941),"")</f>
        <v/>
      </c>
      <c r="Q941" s="45">
        <f>IFERROR(O941-P941,"")</f>
        <v/>
      </c>
      <c r="R941" s="44">
        <f>IFERROR((L941-M941)/(L941+M941),"")</f>
        <v/>
      </c>
      <c r="S941" s="46">
        <f>H941/SUMIFS(Counties!$H$2:$H$1583,Counties!$A$2:$A$1583,$A941)</f>
        <v/>
      </c>
      <c r="T941" s="44">
        <f>O941+INDEX(Dashboard!$F$6:$F$22,MATCH($A941,Dashboard!$A$6:$A$22,0))</f>
        <v/>
      </c>
      <c r="U941" s="43">
        <f>AQ941*INDEX(Dashboard!$G$6:$G$22,MATCH($A941,Dashboard!$A$6:$A$22,0))</f>
        <v/>
      </c>
      <c r="V941" s="47" t="n"/>
      <c r="W941" s="47" t="n"/>
      <c r="X941" s="47" t="n"/>
      <c r="Y941" s="48" t="n"/>
      <c r="Z941" s="49" t="n"/>
      <c r="AA941" s="49" t="n"/>
      <c r="AB941" s="49" t="n"/>
      <c r="AC941" s="50" t="n"/>
      <c r="AD941" s="43">
        <f>IF(Z941&lt;&gt;"",Z941,N(V941))</f>
        <v/>
      </c>
      <c r="AE941" s="43">
        <f>IF(AA941&lt;&gt;"",AA941,N(W941))</f>
        <v/>
      </c>
      <c r="AF941" s="43">
        <f>AD941+AE941</f>
        <v/>
      </c>
      <c r="AG941" s="42">
        <f>IF(UPPER(AC941)="Y",1,IF(AF941=0,0,IF(AND(Z941="",Y941&lt;&gt;""),IF(Y941&gt;=0.999,1,0),IF(AF941&gt;=U941,1,0))))</f>
        <v/>
      </c>
      <c r="AH941" s="44">
        <f>IF(AF941&gt;0,(AD941-AE941)/AF941,"")</f>
        <v/>
      </c>
      <c r="AI941" s="45">
        <f>IF(AG941=1,AH941-O941,"")</f>
        <v/>
      </c>
      <c r="AJ941" s="44">
        <f>IF(AG941=1,AH941,MAX(-1,MIN(1,O941+INDEX(Types!$H:$H,MATCH($A941&amp;"|"&amp;$D941,Types!$A:$A,0)))))</f>
        <v/>
      </c>
      <c r="AK941" s="43">
        <f>IF(AG941=1,AF941,MAX(AQ941*AS941,AF941))</f>
        <v/>
      </c>
      <c r="AL941" s="43">
        <f>IF(AG941=1,AD941,AK941*(1+AJ941)/2)</f>
        <v/>
      </c>
      <c r="AM941" s="43">
        <f>IF(AG941=1,AE941,AK941*(1-AJ941)/2)</f>
        <v/>
      </c>
      <c r="AN941" s="45">
        <f>IF(AH941="","",AH941-T941)</f>
        <v/>
      </c>
      <c r="AO941" s="51">
        <f>IF(AG941=1,1,IF(U941&gt;0,MIN(AF941/U941,0.99),0))</f>
        <v/>
      </c>
      <c r="AP941" s="43">
        <f>IF(AG941=1,AI941*AF941,0)</f>
        <v/>
      </c>
      <c r="AQ941" s="43">
        <f>N941*(F941+G941)/H941</f>
        <v/>
      </c>
      <c r="AR941" s="43">
        <f>O941*AQ941</f>
        <v/>
      </c>
      <c r="AS941" s="52">
        <f>IF(AG941=1,IF(AQ941&gt;0,AF941/AQ941,1),IFERROR(INDEX(Types!$K:$K,MATCH($A941&amp;"|"&amp;$D941,Types!$A:$A,0)),INDEX(Dashboard!$X$6:$X$22,MATCH($A941,Dashboard!$A$6:$A$22,0))))</f>
        <v/>
      </c>
      <c r="AT941" s="43">
        <f>AQ941*INDEX(Dashboard!$Y$6:$Y$22,MATCH($A941,Dashboard!$A$6:$A$22,0))</f>
        <v/>
      </c>
      <c r="AU941" s="53">
        <f>IF(AND(AG941=1,AT941&gt;0,AF941&gt;0),100*AF941/AT941,"")</f>
        <v/>
      </c>
      <c r="AV941" s="44">
        <f>IF(AU941="","",T941/(AU941/100))</f>
        <v/>
      </c>
      <c r="AW941" s="53">
        <f>IF(AU941="","",IF(AND(ABS(AH941)&gt;=0.1,ABS(T941)&gt;=0.05,SIGN(AH941)=SIGN(T941)),100*T941/AH941,""))</f>
        <v/>
      </c>
      <c r="AX941" s="45">
        <f>IF(AU941="","",T941-AV941)</f>
        <v/>
      </c>
      <c r="AY941" s="45">
        <f>IF(AU941="","",AH941-AV941)</f>
        <v/>
      </c>
      <c r="AZ941" s="54">
        <f>(AL941-AM941)-T941*AT941</f>
        <v/>
      </c>
      <c r="BA941" s="43">
        <f>IF(AU941="",0,(AH941-T941)*AF941)</f>
        <v/>
      </c>
      <c r="BB941" s="43">
        <f>IF(AU941="",0,T941*(AF941-AT941))</f>
        <v/>
      </c>
      <c r="BC941" s="51" t="n">
        <v>0.01262916188289323</v>
      </c>
      <c r="BD941" s="51" t="n">
        <v>0.0107403429502611</v>
      </c>
      <c r="BE941" s="51" t="n">
        <v>0.1455699607294637</v>
      </c>
      <c r="BF941" s="43" t="n">
        <v>27001</v>
      </c>
    </row>
    <row r="942">
      <c r="A942" s="42" t="inlineStr">
        <is>
          <t>OH</t>
        </is>
      </c>
      <c r="B942" s="42" t="inlineStr">
        <is>
          <t>39133</t>
        </is>
      </c>
      <c r="C942" s="42" t="inlineStr">
        <is>
          <t>Portage</t>
        </is>
      </c>
      <c r="D942" s="42" t="inlineStr">
        <is>
          <t>Mid-size/working metro</t>
        </is>
      </c>
      <c r="E942" s="42" t="inlineStr"/>
      <c r="F942" s="43" t="n">
        <v>34759</v>
      </c>
      <c r="G942" s="43" t="n">
        <v>47681</v>
      </c>
      <c r="H942" s="43" t="n">
        <v>83181</v>
      </c>
      <c r="I942" s="43" t="n">
        <v>35661</v>
      </c>
      <c r="J942" s="43" t="n">
        <v>45990</v>
      </c>
      <c r="K942" s="42" t="inlineStr">
        <is>
          <t>US Senate</t>
        </is>
      </c>
      <c r="L942" s="43" t="n">
        <v>28175</v>
      </c>
      <c r="M942" s="43" t="n">
        <v>32274</v>
      </c>
      <c r="N942" s="43" t="n">
        <v>60481</v>
      </c>
      <c r="O942" s="44">
        <f>IFERROR((F942-G942)/(F942+G942),"")</f>
        <v/>
      </c>
      <c r="P942" s="44">
        <f>IFERROR((I942-J942)/(I942+J942),"")</f>
        <v/>
      </c>
      <c r="Q942" s="45">
        <f>IFERROR(O942-P942,"")</f>
        <v/>
      </c>
      <c r="R942" s="44">
        <f>IFERROR((L942-M942)/(L942+M942),"")</f>
        <v/>
      </c>
      <c r="S942" s="46">
        <f>H942/SUMIFS(Counties!$H$2:$H$1583,Counties!$A$2:$A$1583,$A942)</f>
        <v/>
      </c>
      <c r="T942" s="44">
        <f>O942+INDEX(Dashboard!$F$6:$F$22,MATCH($A942,Dashboard!$A$6:$A$22,0))</f>
        <v/>
      </c>
      <c r="U942" s="43">
        <f>AQ942*INDEX(Dashboard!$G$6:$G$22,MATCH($A942,Dashboard!$A$6:$A$22,0))</f>
        <v/>
      </c>
      <c r="V942" s="47" t="n"/>
      <c r="W942" s="47" t="n"/>
      <c r="X942" s="47" t="n"/>
      <c r="Y942" s="48" t="n"/>
      <c r="Z942" s="49" t="n"/>
      <c r="AA942" s="49" t="n"/>
      <c r="AB942" s="49" t="n"/>
      <c r="AC942" s="50" t="n"/>
      <c r="AD942" s="43">
        <f>IF(Z942&lt;&gt;"",Z942,N(V942))</f>
        <v/>
      </c>
      <c r="AE942" s="43">
        <f>IF(AA942&lt;&gt;"",AA942,N(W942))</f>
        <v/>
      </c>
      <c r="AF942" s="43">
        <f>AD942+AE942</f>
        <v/>
      </c>
      <c r="AG942" s="42">
        <f>IF(UPPER(AC942)="Y",1,IF(AF942=0,0,IF(AND(Z942="",Y942&lt;&gt;""),IF(Y942&gt;=0.999,1,0),IF(AF942&gt;=U942,1,0))))</f>
        <v/>
      </c>
      <c r="AH942" s="44">
        <f>IF(AF942&gt;0,(AD942-AE942)/AF942,"")</f>
        <v/>
      </c>
      <c r="AI942" s="45">
        <f>IF(AG942=1,AH942-O942,"")</f>
        <v/>
      </c>
      <c r="AJ942" s="44">
        <f>IF(AG942=1,AH942,MAX(-1,MIN(1,O942+INDEX(Types!$H:$H,MATCH($A942&amp;"|"&amp;$D942,Types!$A:$A,0)))))</f>
        <v/>
      </c>
      <c r="AK942" s="43">
        <f>IF(AG942=1,AF942,MAX(AQ942*AS942,AF942))</f>
        <v/>
      </c>
      <c r="AL942" s="43">
        <f>IF(AG942=1,AD942,AK942*(1+AJ942)/2)</f>
        <v/>
      </c>
      <c r="AM942" s="43">
        <f>IF(AG942=1,AE942,AK942*(1-AJ942)/2)</f>
        <v/>
      </c>
      <c r="AN942" s="45">
        <f>IF(AH942="","",AH942-T942)</f>
        <v/>
      </c>
      <c r="AO942" s="51">
        <f>IF(AG942=1,1,IF(U942&gt;0,MIN(AF942/U942,0.99),0))</f>
        <v/>
      </c>
      <c r="AP942" s="43">
        <f>IF(AG942=1,AI942*AF942,0)</f>
        <v/>
      </c>
      <c r="AQ942" s="43">
        <f>N942*(F942+G942)/H942</f>
        <v/>
      </c>
      <c r="AR942" s="43">
        <f>O942*AQ942</f>
        <v/>
      </c>
      <c r="AS942" s="52">
        <f>IF(AG942=1,IF(AQ942&gt;0,AF942/AQ942,1),IFERROR(INDEX(Types!$K:$K,MATCH($A942&amp;"|"&amp;$D942,Types!$A:$A,0)),INDEX(Dashboard!$X$6:$X$22,MATCH($A942,Dashboard!$A$6:$A$22,0))))</f>
        <v/>
      </c>
      <c r="AT942" s="43">
        <f>AQ942*INDEX(Dashboard!$Y$6:$Y$22,MATCH($A942,Dashboard!$A$6:$A$22,0))</f>
        <v/>
      </c>
      <c r="AU942" s="53">
        <f>IF(AND(AG942=1,AT942&gt;0,AF942&gt;0),100*AF942/AT942,"")</f>
        <v/>
      </c>
      <c r="AV942" s="44">
        <f>IF(AU942="","",T942/(AU942/100))</f>
        <v/>
      </c>
      <c r="AW942" s="53">
        <f>IF(AU942="","",IF(AND(ABS(AH942)&gt;=0.1,ABS(T942)&gt;=0.05,SIGN(AH942)=SIGN(T942)),100*T942/AH942,""))</f>
        <v/>
      </c>
      <c r="AX942" s="45">
        <f>IF(AU942="","",T942-AV942)</f>
        <v/>
      </c>
      <c r="AY942" s="45">
        <f>IF(AU942="","",AH942-AV942)</f>
        <v/>
      </c>
      <c r="AZ942" s="54">
        <f>(AL942-AM942)-T942*AT942</f>
        <v/>
      </c>
      <c r="BA942" s="43">
        <f>IF(AU942="",0,(AH942-T942)*AF942)</f>
        <v/>
      </c>
      <c r="BB942" s="43">
        <f>IF(AU942="",0,T942*(AF942-AT942))</f>
        <v/>
      </c>
      <c r="BC942" s="51" t="n">
        <v>0.05215627209295177</v>
      </c>
      <c r="BD942" s="51" t="n">
        <v>0.02358220883410691</v>
      </c>
      <c r="BE942" s="51" t="n">
        <v>0.3152110185659113</v>
      </c>
      <c r="BF942" s="43" t="n">
        <v>162665</v>
      </c>
    </row>
    <row r="943">
      <c r="A943" s="42" t="inlineStr">
        <is>
          <t>OH</t>
        </is>
      </c>
      <c r="B943" s="42" t="inlineStr">
        <is>
          <t>39135</t>
        </is>
      </c>
      <c r="C943" s="42" t="inlineStr">
        <is>
          <t>Preble</t>
        </is>
      </c>
      <c r="D943" s="42" t="inlineStr">
        <is>
          <t>Small town &amp; rural</t>
        </is>
      </c>
      <c r="E943" s="42" t="inlineStr"/>
      <c r="F943" s="43" t="n">
        <v>4343</v>
      </c>
      <c r="G943" s="43" t="n">
        <v>17146</v>
      </c>
      <c r="H943" s="43" t="n">
        <v>21653</v>
      </c>
      <c r="I943" s="43" t="n">
        <v>4493</v>
      </c>
      <c r="J943" s="43" t="n">
        <v>17022</v>
      </c>
      <c r="K943" s="42" t="inlineStr">
        <is>
          <t>US Senate</t>
        </is>
      </c>
      <c r="L943" s="43" t="n">
        <v>3533</v>
      </c>
      <c r="M943" s="43" t="n">
        <v>12156</v>
      </c>
      <c r="N943" s="43" t="n">
        <v>15694</v>
      </c>
      <c r="O943" s="44">
        <f>IFERROR((F943-G943)/(F943+G943),"")</f>
        <v/>
      </c>
      <c r="P943" s="44">
        <f>IFERROR((I943-J943)/(I943+J943),"")</f>
        <v/>
      </c>
      <c r="Q943" s="45">
        <f>IFERROR(O943-P943,"")</f>
        <v/>
      </c>
      <c r="R943" s="44">
        <f>IFERROR((L943-M943)/(L943+M943),"")</f>
        <v/>
      </c>
      <c r="S943" s="46">
        <f>H943/SUMIFS(Counties!$H$2:$H$1583,Counties!$A$2:$A$1583,$A943)</f>
        <v/>
      </c>
      <c r="T943" s="44">
        <f>O943+INDEX(Dashboard!$F$6:$F$22,MATCH($A943,Dashboard!$A$6:$A$22,0))</f>
        <v/>
      </c>
      <c r="U943" s="43">
        <f>AQ943*INDEX(Dashboard!$G$6:$G$22,MATCH($A943,Dashboard!$A$6:$A$22,0))</f>
        <v/>
      </c>
      <c r="V943" s="47" t="n"/>
      <c r="W943" s="47" t="n"/>
      <c r="X943" s="47" t="n"/>
      <c r="Y943" s="48" t="n"/>
      <c r="Z943" s="49" t="n"/>
      <c r="AA943" s="49" t="n"/>
      <c r="AB943" s="49" t="n"/>
      <c r="AC943" s="50" t="n"/>
      <c r="AD943" s="43">
        <f>IF(Z943&lt;&gt;"",Z943,N(V943))</f>
        <v/>
      </c>
      <c r="AE943" s="43">
        <f>IF(AA943&lt;&gt;"",AA943,N(W943))</f>
        <v/>
      </c>
      <c r="AF943" s="43">
        <f>AD943+AE943</f>
        <v/>
      </c>
      <c r="AG943" s="42">
        <f>IF(UPPER(AC943)="Y",1,IF(AF943=0,0,IF(AND(Z943="",Y943&lt;&gt;""),IF(Y943&gt;=0.999,1,0),IF(AF943&gt;=U943,1,0))))</f>
        <v/>
      </c>
      <c r="AH943" s="44">
        <f>IF(AF943&gt;0,(AD943-AE943)/AF943,"")</f>
        <v/>
      </c>
      <c r="AI943" s="45">
        <f>IF(AG943=1,AH943-O943,"")</f>
        <v/>
      </c>
      <c r="AJ943" s="44">
        <f>IF(AG943=1,AH943,MAX(-1,MIN(1,O943+INDEX(Types!$H:$H,MATCH($A943&amp;"|"&amp;$D943,Types!$A:$A,0)))))</f>
        <v/>
      </c>
      <c r="AK943" s="43">
        <f>IF(AG943=1,AF943,MAX(AQ943*AS943,AF943))</f>
        <v/>
      </c>
      <c r="AL943" s="43">
        <f>IF(AG943=1,AD943,AK943*(1+AJ943)/2)</f>
        <v/>
      </c>
      <c r="AM943" s="43">
        <f>IF(AG943=1,AE943,AK943*(1-AJ943)/2)</f>
        <v/>
      </c>
      <c r="AN943" s="45">
        <f>IF(AH943="","",AH943-T943)</f>
        <v/>
      </c>
      <c r="AO943" s="51">
        <f>IF(AG943=1,1,IF(U943&gt;0,MIN(AF943/U943,0.99),0))</f>
        <v/>
      </c>
      <c r="AP943" s="43">
        <f>IF(AG943=1,AI943*AF943,0)</f>
        <v/>
      </c>
      <c r="AQ943" s="43">
        <f>N943*(F943+G943)/H943</f>
        <v/>
      </c>
      <c r="AR943" s="43">
        <f>O943*AQ943</f>
        <v/>
      </c>
      <c r="AS943" s="52">
        <f>IF(AG943=1,IF(AQ943&gt;0,AF943/AQ943,1),IFERROR(INDEX(Types!$K:$K,MATCH($A943&amp;"|"&amp;$D943,Types!$A:$A,0)),INDEX(Dashboard!$X$6:$X$22,MATCH($A943,Dashboard!$A$6:$A$22,0))))</f>
        <v/>
      </c>
      <c r="AT943" s="43">
        <f>AQ943*INDEX(Dashboard!$Y$6:$Y$22,MATCH($A943,Dashboard!$A$6:$A$22,0))</f>
        <v/>
      </c>
      <c r="AU943" s="53">
        <f>IF(AND(AG943=1,AT943&gt;0,AF943&gt;0),100*AF943/AT943,"")</f>
        <v/>
      </c>
      <c r="AV943" s="44">
        <f>IF(AU943="","",T943/(AU943/100))</f>
        <v/>
      </c>
      <c r="AW943" s="53">
        <f>IF(AU943="","",IF(AND(ABS(AH943)&gt;=0.1,ABS(T943)&gt;=0.05,SIGN(AH943)=SIGN(T943)),100*T943/AH943,""))</f>
        <v/>
      </c>
      <c r="AX943" s="45">
        <f>IF(AU943="","",T943-AV943)</f>
        <v/>
      </c>
      <c r="AY943" s="45">
        <f>IF(AU943="","",AH943-AV943)</f>
        <v/>
      </c>
      <c r="AZ943" s="54">
        <f>(AL943-AM943)-T943*AT943</f>
        <v/>
      </c>
      <c r="BA943" s="43">
        <f>IF(AU943="",0,(AH943-T943)*AF943)</f>
        <v/>
      </c>
      <c r="BB943" s="43">
        <f>IF(AU943="",0,T943*(AF943-AT943))</f>
        <v/>
      </c>
      <c r="BC943" s="51" t="n">
        <v>0.009147844955123779</v>
      </c>
      <c r="BD943" s="51" t="n">
        <v>0.01163822862215209</v>
      </c>
      <c r="BE943" s="51" t="n">
        <v>0.178976380699857</v>
      </c>
      <c r="BF943" s="43" t="n">
        <v>40556</v>
      </c>
    </row>
    <row r="944">
      <c r="A944" s="42" t="inlineStr">
        <is>
          <t>OH</t>
        </is>
      </c>
      <c r="B944" s="42" t="inlineStr">
        <is>
          <t>39137</t>
        </is>
      </c>
      <c r="C944" s="42" t="inlineStr">
        <is>
          <t>Putnam</t>
        </is>
      </c>
      <c r="D944" s="42" t="inlineStr">
        <is>
          <t>Small town &amp; rural</t>
        </is>
      </c>
      <c r="E944" s="42" t="inlineStr"/>
      <c r="F944" s="43" t="n">
        <v>2996</v>
      </c>
      <c r="G944" s="43" t="n">
        <v>16576</v>
      </c>
      <c r="H944" s="43" t="n">
        <v>19754</v>
      </c>
      <c r="I944" s="43" t="n">
        <v>3195</v>
      </c>
      <c r="J944" s="43" t="n">
        <v>16412</v>
      </c>
      <c r="K944" s="42" t="inlineStr">
        <is>
          <t>US Senate</t>
        </is>
      </c>
      <c r="L944" s="43" t="n">
        <v>2667</v>
      </c>
      <c r="M944" s="43" t="n">
        <v>12332</v>
      </c>
      <c r="N944" s="43" t="n">
        <v>15004</v>
      </c>
      <c r="O944" s="44">
        <f>IFERROR((F944-G944)/(F944+G944),"")</f>
        <v/>
      </c>
      <c r="P944" s="44">
        <f>IFERROR((I944-J944)/(I944+J944),"")</f>
        <v/>
      </c>
      <c r="Q944" s="45">
        <f>IFERROR(O944-P944,"")</f>
        <v/>
      </c>
      <c r="R944" s="44">
        <f>IFERROR((L944-M944)/(L944+M944),"")</f>
        <v/>
      </c>
      <c r="S944" s="46">
        <f>H944/SUMIFS(Counties!$H$2:$H$1583,Counties!$A$2:$A$1583,$A944)</f>
        <v/>
      </c>
      <c r="T944" s="44">
        <f>O944+INDEX(Dashboard!$F$6:$F$22,MATCH($A944,Dashboard!$A$6:$A$22,0))</f>
        <v/>
      </c>
      <c r="U944" s="43">
        <f>AQ944*INDEX(Dashboard!$G$6:$G$22,MATCH($A944,Dashboard!$A$6:$A$22,0))</f>
        <v/>
      </c>
      <c r="V944" s="47" t="n"/>
      <c r="W944" s="47" t="n"/>
      <c r="X944" s="47" t="n"/>
      <c r="Y944" s="48" t="n"/>
      <c r="Z944" s="49" t="n"/>
      <c r="AA944" s="49" t="n"/>
      <c r="AB944" s="49" t="n"/>
      <c r="AC944" s="50" t="n"/>
      <c r="AD944" s="43">
        <f>IF(Z944&lt;&gt;"",Z944,N(V944))</f>
        <v/>
      </c>
      <c r="AE944" s="43">
        <f>IF(AA944&lt;&gt;"",AA944,N(W944))</f>
        <v/>
      </c>
      <c r="AF944" s="43">
        <f>AD944+AE944</f>
        <v/>
      </c>
      <c r="AG944" s="42">
        <f>IF(UPPER(AC944)="Y",1,IF(AF944=0,0,IF(AND(Z944="",Y944&lt;&gt;""),IF(Y944&gt;=0.999,1,0),IF(AF944&gt;=U944,1,0))))</f>
        <v/>
      </c>
      <c r="AH944" s="44">
        <f>IF(AF944&gt;0,(AD944-AE944)/AF944,"")</f>
        <v/>
      </c>
      <c r="AI944" s="45">
        <f>IF(AG944=1,AH944-O944,"")</f>
        <v/>
      </c>
      <c r="AJ944" s="44">
        <f>IF(AG944=1,AH944,MAX(-1,MIN(1,O944+INDEX(Types!$H:$H,MATCH($A944&amp;"|"&amp;$D944,Types!$A:$A,0)))))</f>
        <v/>
      </c>
      <c r="AK944" s="43">
        <f>IF(AG944=1,AF944,MAX(AQ944*AS944,AF944))</f>
        <v/>
      </c>
      <c r="AL944" s="43">
        <f>IF(AG944=1,AD944,AK944*(1+AJ944)/2)</f>
        <v/>
      </c>
      <c r="AM944" s="43">
        <f>IF(AG944=1,AE944,AK944*(1-AJ944)/2)</f>
        <v/>
      </c>
      <c r="AN944" s="45">
        <f>IF(AH944="","",AH944-T944)</f>
        <v/>
      </c>
      <c r="AO944" s="51">
        <f>IF(AG944=1,1,IF(U944&gt;0,MIN(AF944/U944,0.99),0))</f>
        <v/>
      </c>
      <c r="AP944" s="43">
        <f>IF(AG944=1,AI944*AF944,0)</f>
        <v/>
      </c>
      <c r="AQ944" s="43">
        <f>N944*(F944+G944)/H944</f>
        <v/>
      </c>
      <c r="AR944" s="43">
        <f>O944*AQ944</f>
        <v/>
      </c>
      <c r="AS944" s="52">
        <f>IF(AG944=1,IF(AQ944&gt;0,AF944/AQ944,1),IFERROR(INDEX(Types!$K:$K,MATCH($A944&amp;"|"&amp;$D944,Types!$A:$A,0)),INDEX(Dashboard!$X$6:$X$22,MATCH($A944,Dashboard!$A$6:$A$22,0))))</f>
        <v/>
      </c>
      <c r="AT944" s="43">
        <f>AQ944*INDEX(Dashboard!$Y$6:$Y$22,MATCH($A944,Dashboard!$A$6:$A$22,0))</f>
        <v/>
      </c>
      <c r="AU944" s="53">
        <f>IF(AND(AG944=1,AT944&gt;0,AF944&gt;0),100*AF944/AT944,"")</f>
        <v/>
      </c>
      <c r="AV944" s="44">
        <f>IF(AU944="","",T944/(AU944/100))</f>
        <v/>
      </c>
      <c r="AW944" s="53">
        <f>IF(AU944="","",IF(AND(ABS(AH944)&gt;=0.1,ABS(T944)&gt;=0.05,SIGN(AH944)=SIGN(T944)),100*T944/AH944,""))</f>
        <v/>
      </c>
      <c r="AX944" s="45">
        <f>IF(AU944="","",T944-AV944)</f>
        <v/>
      </c>
      <c r="AY944" s="45">
        <f>IF(AU944="","",AH944-AV944)</f>
        <v/>
      </c>
      <c r="AZ944" s="54">
        <f>(AL944-AM944)-T944*AT944</f>
        <v/>
      </c>
      <c r="BA944" s="43">
        <f>IF(AU944="",0,(AH944-T944)*AF944)</f>
        <v/>
      </c>
      <c r="BB944" s="43">
        <f>IF(AU944="",0,T944*(AF944-AT944))</f>
        <v/>
      </c>
      <c r="BC944" s="51" t="n">
        <v>0.005409514898096436</v>
      </c>
      <c r="BD944" s="51" t="n">
        <v>0.06719494722067897</v>
      </c>
      <c r="BE944" s="51" t="n">
        <v>0.2629932209282114</v>
      </c>
      <c r="BF944" s="43" t="n">
        <v>34199</v>
      </c>
    </row>
    <row r="945">
      <c r="A945" s="42" t="inlineStr">
        <is>
          <t>OH</t>
        </is>
      </c>
      <c r="B945" s="42" t="inlineStr">
        <is>
          <t>39139</t>
        </is>
      </c>
      <c r="C945" s="42" t="inlineStr">
        <is>
          <t>Richland</t>
        </is>
      </c>
      <c r="D945" s="42" t="inlineStr">
        <is>
          <t>Mid-size/working metro</t>
        </is>
      </c>
      <c r="E945" s="42" t="inlineStr"/>
      <c r="F945" s="43" t="n">
        <v>16591</v>
      </c>
      <c r="G945" s="43" t="n">
        <v>41298</v>
      </c>
      <c r="H945" s="43" t="n">
        <v>58358</v>
      </c>
      <c r="I945" s="43" t="n">
        <v>17640</v>
      </c>
      <c r="J945" s="43" t="n">
        <v>41472</v>
      </c>
      <c r="K945" s="42" t="inlineStr">
        <is>
          <t>US Senate</t>
        </is>
      </c>
      <c r="L945" s="43" t="n">
        <v>12904</v>
      </c>
      <c r="M945" s="43" t="n">
        <v>28812</v>
      </c>
      <c r="N945" s="43" t="n">
        <v>41732</v>
      </c>
      <c r="O945" s="44">
        <f>IFERROR((F945-G945)/(F945+G945),"")</f>
        <v/>
      </c>
      <c r="P945" s="44">
        <f>IFERROR((I945-J945)/(I945+J945),"")</f>
        <v/>
      </c>
      <c r="Q945" s="45">
        <f>IFERROR(O945-P945,"")</f>
        <v/>
      </c>
      <c r="R945" s="44">
        <f>IFERROR((L945-M945)/(L945+M945),"")</f>
        <v/>
      </c>
      <c r="S945" s="46">
        <f>H945/SUMIFS(Counties!$H$2:$H$1583,Counties!$A$2:$A$1583,$A945)</f>
        <v/>
      </c>
      <c r="T945" s="44">
        <f>O945+INDEX(Dashboard!$F$6:$F$22,MATCH($A945,Dashboard!$A$6:$A$22,0))</f>
        <v/>
      </c>
      <c r="U945" s="43">
        <f>AQ945*INDEX(Dashboard!$G$6:$G$22,MATCH($A945,Dashboard!$A$6:$A$22,0))</f>
        <v/>
      </c>
      <c r="V945" s="47" t="n"/>
      <c r="W945" s="47" t="n"/>
      <c r="X945" s="47" t="n"/>
      <c r="Y945" s="48" t="n"/>
      <c r="Z945" s="49" t="n"/>
      <c r="AA945" s="49" t="n"/>
      <c r="AB945" s="49" t="n"/>
      <c r="AC945" s="50" t="n"/>
      <c r="AD945" s="43">
        <f>IF(Z945&lt;&gt;"",Z945,N(V945))</f>
        <v/>
      </c>
      <c r="AE945" s="43">
        <f>IF(AA945&lt;&gt;"",AA945,N(W945))</f>
        <v/>
      </c>
      <c r="AF945" s="43">
        <f>AD945+AE945</f>
        <v/>
      </c>
      <c r="AG945" s="42">
        <f>IF(UPPER(AC945)="Y",1,IF(AF945=0,0,IF(AND(Z945="",Y945&lt;&gt;""),IF(Y945&gt;=0.999,1,0),IF(AF945&gt;=U945,1,0))))</f>
        <v/>
      </c>
      <c r="AH945" s="44">
        <f>IF(AF945&gt;0,(AD945-AE945)/AF945,"")</f>
        <v/>
      </c>
      <c r="AI945" s="45">
        <f>IF(AG945=1,AH945-O945,"")</f>
        <v/>
      </c>
      <c r="AJ945" s="44">
        <f>IF(AG945=1,AH945,MAX(-1,MIN(1,O945+INDEX(Types!$H:$H,MATCH($A945&amp;"|"&amp;$D945,Types!$A:$A,0)))))</f>
        <v/>
      </c>
      <c r="AK945" s="43">
        <f>IF(AG945=1,AF945,MAX(AQ945*AS945,AF945))</f>
        <v/>
      </c>
      <c r="AL945" s="43">
        <f>IF(AG945=1,AD945,AK945*(1+AJ945)/2)</f>
        <v/>
      </c>
      <c r="AM945" s="43">
        <f>IF(AG945=1,AE945,AK945*(1-AJ945)/2)</f>
        <v/>
      </c>
      <c r="AN945" s="45">
        <f>IF(AH945="","",AH945-T945)</f>
        <v/>
      </c>
      <c r="AO945" s="51">
        <f>IF(AG945=1,1,IF(U945&gt;0,MIN(AF945/U945,0.99),0))</f>
        <v/>
      </c>
      <c r="AP945" s="43">
        <f>IF(AG945=1,AI945*AF945,0)</f>
        <v/>
      </c>
      <c r="AQ945" s="43">
        <f>N945*(F945+G945)/H945</f>
        <v/>
      </c>
      <c r="AR945" s="43">
        <f>O945*AQ945</f>
        <v/>
      </c>
      <c r="AS945" s="52">
        <f>IF(AG945=1,IF(AQ945&gt;0,AF945/AQ945,1),IFERROR(INDEX(Types!$K:$K,MATCH($A945&amp;"|"&amp;$D945,Types!$A:$A,0)),INDEX(Dashboard!$X$6:$X$22,MATCH($A945,Dashboard!$A$6:$A$22,0))))</f>
        <v/>
      </c>
      <c r="AT945" s="43">
        <f>AQ945*INDEX(Dashboard!$Y$6:$Y$22,MATCH($A945,Dashboard!$A$6:$A$22,0))</f>
        <v/>
      </c>
      <c r="AU945" s="53">
        <f>IF(AND(AG945=1,AT945&gt;0,AF945&gt;0),100*AF945/AT945,"")</f>
        <v/>
      </c>
      <c r="AV945" s="44">
        <f>IF(AU945="","",T945/(AU945/100))</f>
        <v/>
      </c>
      <c r="AW945" s="53">
        <f>IF(AU945="","",IF(AND(ABS(AH945)&gt;=0.1,ABS(T945)&gt;=0.05,SIGN(AH945)=SIGN(T945)),100*T945/AH945,""))</f>
        <v/>
      </c>
      <c r="AX945" s="45">
        <f>IF(AU945="","",T945-AV945)</f>
        <v/>
      </c>
      <c r="AY945" s="45">
        <f>IF(AU945="","",AH945-AV945)</f>
        <v/>
      </c>
      <c r="AZ945" s="54">
        <f>(AL945-AM945)-T945*AT945</f>
        <v/>
      </c>
      <c r="BA945" s="43">
        <f>IF(AU945="",0,(AH945-T945)*AF945)</f>
        <v/>
      </c>
      <c r="BB945" s="43">
        <f>IF(AU945="",0,T945*(AF945-AT945))</f>
        <v/>
      </c>
      <c r="BC945" s="51" t="n">
        <v>0.09464754045928485</v>
      </c>
      <c r="BD945" s="51" t="n">
        <v>0.02342800486151091</v>
      </c>
      <c r="BE945" s="51" t="n">
        <v>0.1788139171316741</v>
      </c>
      <c r="BF945" s="43" t="n">
        <v>125064</v>
      </c>
    </row>
    <row r="946">
      <c r="A946" s="42" t="inlineStr">
        <is>
          <t>OH</t>
        </is>
      </c>
      <c r="B946" s="42" t="inlineStr">
        <is>
          <t>39141</t>
        </is>
      </c>
      <c r="C946" s="42" t="inlineStr">
        <is>
          <t>Ross</t>
        </is>
      </c>
      <c r="D946" s="42" t="inlineStr">
        <is>
          <t>Small town &amp; rural</t>
        </is>
      </c>
      <c r="E946" s="42" t="inlineStr"/>
      <c r="F946" s="43" t="n">
        <v>9846</v>
      </c>
      <c r="G946" s="43" t="n">
        <v>22801</v>
      </c>
      <c r="H946" s="43" t="n">
        <v>32930</v>
      </c>
      <c r="I946" s="43" t="n">
        <v>10557</v>
      </c>
      <c r="J946" s="43" t="n">
        <v>22278</v>
      </c>
      <c r="K946" s="42" t="inlineStr">
        <is>
          <t>US Senate</t>
        </is>
      </c>
      <c r="L946" s="43" t="n">
        <v>7858</v>
      </c>
      <c r="M946" s="43" t="n">
        <v>14728</v>
      </c>
      <c r="N946" s="43" t="n">
        <v>22592</v>
      </c>
      <c r="O946" s="44">
        <f>IFERROR((F946-G946)/(F946+G946),"")</f>
        <v/>
      </c>
      <c r="P946" s="44">
        <f>IFERROR((I946-J946)/(I946+J946),"")</f>
        <v/>
      </c>
      <c r="Q946" s="45">
        <f>IFERROR(O946-P946,"")</f>
        <v/>
      </c>
      <c r="R946" s="44">
        <f>IFERROR((L946-M946)/(L946+M946),"")</f>
        <v/>
      </c>
      <c r="S946" s="46">
        <f>H946/SUMIFS(Counties!$H$2:$H$1583,Counties!$A$2:$A$1583,$A946)</f>
        <v/>
      </c>
      <c r="T946" s="44">
        <f>O946+INDEX(Dashboard!$F$6:$F$22,MATCH($A946,Dashboard!$A$6:$A$22,0))</f>
        <v/>
      </c>
      <c r="U946" s="43">
        <f>AQ946*INDEX(Dashboard!$G$6:$G$22,MATCH($A946,Dashboard!$A$6:$A$22,0))</f>
        <v/>
      </c>
      <c r="V946" s="47" t="n"/>
      <c r="W946" s="47" t="n"/>
      <c r="X946" s="47" t="n"/>
      <c r="Y946" s="48" t="n"/>
      <c r="Z946" s="49" t="n"/>
      <c r="AA946" s="49" t="n"/>
      <c r="AB946" s="49" t="n"/>
      <c r="AC946" s="50" t="n"/>
      <c r="AD946" s="43">
        <f>IF(Z946&lt;&gt;"",Z946,N(V946))</f>
        <v/>
      </c>
      <c r="AE946" s="43">
        <f>IF(AA946&lt;&gt;"",AA946,N(W946))</f>
        <v/>
      </c>
      <c r="AF946" s="43">
        <f>AD946+AE946</f>
        <v/>
      </c>
      <c r="AG946" s="42">
        <f>IF(UPPER(AC946)="Y",1,IF(AF946=0,0,IF(AND(Z946="",Y946&lt;&gt;""),IF(Y946&gt;=0.999,1,0),IF(AF946&gt;=U946,1,0))))</f>
        <v/>
      </c>
      <c r="AH946" s="44">
        <f>IF(AF946&gt;0,(AD946-AE946)/AF946,"")</f>
        <v/>
      </c>
      <c r="AI946" s="45">
        <f>IF(AG946=1,AH946-O946,"")</f>
        <v/>
      </c>
      <c r="AJ946" s="44">
        <f>IF(AG946=1,AH946,MAX(-1,MIN(1,O946+INDEX(Types!$H:$H,MATCH($A946&amp;"|"&amp;$D946,Types!$A:$A,0)))))</f>
        <v/>
      </c>
      <c r="AK946" s="43">
        <f>IF(AG946=1,AF946,MAX(AQ946*AS946,AF946))</f>
        <v/>
      </c>
      <c r="AL946" s="43">
        <f>IF(AG946=1,AD946,AK946*(1+AJ946)/2)</f>
        <v/>
      </c>
      <c r="AM946" s="43">
        <f>IF(AG946=1,AE946,AK946*(1-AJ946)/2)</f>
        <v/>
      </c>
      <c r="AN946" s="45">
        <f>IF(AH946="","",AH946-T946)</f>
        <v/>
      </c>
      <c r="AO946" s="51">
        <f>IF(AG946=1,1,IF(U946&gt;0,MIN(AF946/U946,0.99),0))</f>
        <v/>
      </c>
      <c r="AP946" s="43">
        <f>IF(AG946=1,AI946*AF946,0)</f>
        <v/>
      </c>
      <c r="AQ946" s="43">
        <f>N946*(F946+G946)/H946</f>
        <v/>
      </c>
      <c r="AR946" s="43">
        <f>O946*AQ946</f>
        <v/>
      </c>
      <c r="AS946" s="52">
        <f>IF(AG946=1,IF(AQ946&gt;0,AF946/AQ946,1),IFERROR(INDEX(Types!$K:$K,MATCH($A946&amp;"|"&amp;$D946,Types!$A:$A,0)),INDEX(Dashboard!$X$6:$X$22,MATCH($A946,Dashboard!$A$6:$A$22,0))))</f>
        <v/>
      </c>
      <c r="AT946" s="43">
        <f>AQ946*INDEX(Dashboard!$Y$6:$Y$22,MATCH($A946,Dashboard!$A$6:$A$22,0))</f>
        <v/>
      </c>
      <c r="AU946" s="53">
        <f>IF(AND(AG946=1,AT946&gt;0,AF946&gt;0),100*AF946/AT946,"")</f>
        <v/>
      </c>
      <c r="AV946" s="44">
        <f>IF(AU946="","",T946/(AU946/100))</f>
        <v/>
      </c>
      <c r="AW946" s="53">
        <f>IF(AU946="","",IF(AND(ABS(AH946)&gt;=0.1,ABS(T946)&gt;=0.05,SIGN(AH946)=SIGN(T946)),100*T946/AH946,""))</f>
        <v/>
      </c>
      <c r="AX946" s="45">
        <f>IF(AU946="","",T946-AV946)</f>
        <v/>
      </c>
      <c r="AY946" s="45">
        <f>IF(AU946="","",AH946-AV946)</f>
        <v/>
      </c>
      <c r="AZ946" s="54">
        <f>(AL946-AM946)-T946*AT946</f>
        <v/>
      </c>
      <c r="BA946" s="43">
        <f>IF(AU946="",0,(AH946-T946)*AF946)</f>
        <v/>
      </c>
      <c r="BB946" s="43">
        <f>IF(AU946="",0,T946*(AF946-AT946))</f>
        <v/>
      </c>
      <c r="BC946" s="51" t="n">
        <v>0.05633913282179318</v>
      </c>
      <c r="BD946" s="51" t="n">
        <v>0.01477104874446086</v>
      </c>
      <c r="BE946" s="51" t="n">
        <v>0.1710579280565009</v>
      </c>
      <c r="BF946" s="43" t="n">
        <v>76501</v>
      </c>
    </row>
    <row r="947">
      <c r="A947" s="42" t="inlineStr">
        <is>
          <t>OH</t>
        </is>
      </c>
      <c r="B947" s="42" t="inlineStr">
        <is>
          <t>39143</t>
        </is>
      </c>
      <c r="C947" s="42" t="inlineStr">
        <is>
          <t>Sandusky</t>
        </is>
      </c>
      <c r="D947" s="42" t="inlineStr">
        <is>
          <t>Small town &amp; rural</t>
        </is>
      </c>
      <c r="E947" s="42" t="inlineStr"/>
      <c r="F947" s="43" t="n">
        <v>10139</v>
      </c>
      <c r="G947" s="43" t="n">
        <v>19311</v>
      </c>
      <c r="H947" s="43" t="n">
        <v>29713</v>
      </c>
      <c r="I947" s="43" t="n">
        <v>10596</v>
      </c>
      <c r="J947" s="43" t="n">
        <v>18896</v>
      </c>
      <c r="K947" s="42" t="inlineStr">
        <is>
          <t>US Senate</t>
        </is>
      </c>
      <c r="L947" s="43" t="n">
        <v>8177</v>
      </c>
      <c r="M947" s="43" t="n">
        <v>13076</v>
      </c>
      <c r="N947" s="43" t="n">
        <v>21308</v>
      </c>
      <c r="O947" s="44">
        <f>IFERROR((F947-G947)/(F947+G947),"")</f>
        <v/>
      </c>
      <c r="P947" s="44">
        <f>IFERROR((I947-J947)/(I947+J947),"")</f>
        <v/>
      </c>
      <c r="Q947" s="45">
        <f>IFERROR(O947-P947,"")</f>
        <v/>
      </c>
      <c r="R947" s="44">
        <f>IFERROR((L947-M947)/(L947+M947),"")</f>
        <v/>
      </c>
      <c r="S947" s="46">
        <f>H947/SUMIFS(Counties!$H$2:$H$1583,Counties!$A$2:$A$1583,$A947)</f>
        <v/>
      </c>
      <c r="T947" s="44">
        <f>O947+INDEX(Dashboard!$F$6:$F$22,MATCH($A947,Dashboard!$A$6:$A$22,0))</f>
        <v/>
      </c>
      <c r="U947" s="43">
        <f>AQ947*INDEX(Dashboard!$G$6:$G$22,MATCH($A947,Dashboard!$A$6:$A$22,0))</f>
        <v/>
      </c>
      <c r="V947" s="47" t="n"/>
      <c r="W947" s="47" t="n"/>
      <c r="X947" s="47" t="n"/>
      <c r="Y947" s="48" t="n"/>
      <c r="Z947" s="49" t="n"/>
      <c r="AA947" s="49" t="n"/>
      <c r="AB947" s="49" t="n"/>
      <c r="AC947" s="50" t="n"/>
      <c r="AD947" s="43">
        <f>IF(Z947&lt;&gt;"",Z947,N(V947))</f>
        <v/>
      </c>
      <c r="AE947" s="43">
        <f>IF(AA947&lt;&gt;"",AA947,N(W947))</f>
        <v/>
      </c>
      <c r="AF947" s="43">
        <f>AD947+AE947</f>
        <v/>
      </c>
      <c r="AG947" s="42">
        <f>IF(UPPER(AC947)="Y",1,IF(AF947=0,0,IF(AND(Z947="",Y947&lt;&gt;""),IF(Y947&gt;=0.999,1,0),IF(AF947&gt;=U947,1,0))))</f>
        <v/>
      </c>
      <c r="AH947" s="44">
        <f>IF(AF947&gt;0,(AD947-AE947)/AF947,"")</f>
        <v/>
      </c>
      <c r="AI947" s="45">
        <f>IF(AG947=1,AH947-O947,"")</f>
        <v/>
      </c>
      <c r="AJ947" s="44">
        <f>IF(AG947=1,AH947,MAX(-1,MIN(1,O947+INDEX(Types!$H:$H,MATCH($A947&amp;"|"&amp;$D947,Types!$A:$A,0)))))</f>
        <v/>
      </c>
      <c r="AK947" s="43">
        <f>IF(AG947=1,AF947,MAX(AQ947*AS947,AF947))</f>
        <v/>
      </c>
      <c r="AL947" s="43">
        <f>IF(AG947=1,AD947,AK947*(1+AJ947)/2)</f>
        <v/>
      </c>
      <c r="AM947" s="43">
        <f>IF(AG947=1,AE947,AK947*(1-AJ947)/2)</f>
        <v/>
      </c>
      <c r="AN947" s="45">
        <f>IF(AH947="","",AH947-T947)</f>
        <v/>
      </c>
      <c r="AO947" s="51">
        <f>IF(AG947=1,1,IF(U947&gt;0,MIN(AF947/U947,0.99),0))</f>
        <v/>
      </c>
      <c r="AP947" s="43">
        <f>IF(AG947=1,AI947*AF947,0)</f>
        <v/>
      </c>
      <c r="AQ947" s="43">
        <f>N947*(F947+G947)/H947</f>
        <v/>
      </c>
      <c r="AR947" s="43">
        <f>O947*AQ947</f>
        <v/>
      </c>
      <c r="AS947" s="52">
        <f>IF(AG947=1,IF(AQ947&gt;0,AF947/AQ947,1),IFERROR(INDEX(Types!$K:$K,MATCH($A947&amp;"|"&amp;$D947,Types!$A:$A,0)),INDEX(Dashboard!$X$6:$X$22,MATCH($A947,Dashboard!$A$6:$A$22,0))))</f>
        <v/>
      </c>
      <c r="AT947" s="43">
        <f>AQ947*INDEX(Dashboard!$Y$6:$Y$22,MATCH($A947,Dashboard!$A$6:$A$22,0))</f>
        <v/>
      </c>
      <c r="AU947" s="53">
        <f>IF(AND(AG947=1,AT947&gt;0,AF947&gt;0),100*AF947/AT947,"")</f>
        <v/>
      </c>
      <c r="AV947" s="44">
        <f>IF(AU947="","",T947/(AU947/100))</f>
        <v/>
      </c>
      <c r="AW947" s="53">
        <f>IF(AU947="","",IF(AND(ABS(AH947)&gt;=0.1,ABS(T947)&gt;=0.05,SIGN(AH947)=SIGN(T947)),100*T947/AH947,""))</f>
        <v/>
      </c>
      <c r="AX947" s="45">
        <f>IF(AU947="","",T947-AV947)</f>
        <v/>
      </c>
      <c r="AY947" s="45">
        <f>IF(AU947="","",AH947-AV947)</f>
        <v/>
      </c>
      <c r="AZ947" s="54">
        <f>(AL947-AM947)-T947*AT947</f>
        <v/>
      </c>
      <c r="BA947" s="43">
        <f>IF(AU947="",0,(AH947-T947)*AF947)</f>
        <v/>
      </c>
      <c r="BB947" s="43">
        <f>IF(AU947="",0,T947*(AF947-AT947))</f>
        <v/>
      </c>
      <c r="BC947" s="51" t="n">
        <v>0.03094925820572655</v>
      </c>
      <c r="BD947" s="51" t="n">
        <v>0.1105622647294282</v>
      </c>
      <c r="BE947" s="51" t="n">
        <v>0.1910533010151431</v>
      </c>
      <c r="BF947" s="43" t="n">
        <v>58709</v>
      </c>
    </row>
    <row r="948">
      <c r="A948" s="42" t="inlineStr">
        <is>
          <t>OH</t>
        </is>
      </c>
      <c r="B948" s="42" t="inlineStr">
        <is>
          <t>39145</t>
        </is>
      </c>
      <c r="C948" s="42" t="inlineStr">
        <is>
          <t>Scioto</t>
        </is>
      </c>
      <c r="D948" s="42" t="inlineStr">
        <is>
          <t>Small town &amp; rural</t>
        </is>
      </c>
      <c r="E948" s="42" t="inlineStr"/>
      <c r="F948" s="43" t="n">
        <v>8021</v>
      </c>
      <c r="G948" s="43" t="n">
        <v>22978</v>
      </c>
      <c r="H948" s="43" t="n">
        <v>31179</v>
      </c>
      <c r="I948" s="43" t="n">
        <v>9080</v>
      </c>
      <c r="J948" s="43" t="n">
        <v>22609</v>
      </c>
      <c r="K948" s="42" t="inlineStr">
        <is>
          <t>US Senate</t>
        </is>
      </c>
      <c r="L948" s="43" t="n">
        <v>6411</v>
      </c>
      <c r="M948" s="43" t="n">
        <v>14656</v>
      </c>
      <c r="N948" s="43" t="n">
        <v>21069</v>
      </c>
      <c r="O948" s="44">
        <f>IFERROR((F948-G948)/(F948+G948),"")</f>
        <v/>
      </c>
      <c r="P948" s="44">
        <f>IFERROR((I948-J948)/(I948+J948),"")</f>
        <v/>
      </c>
      <c r="Q948" s="45">
        <f>IFERROR(O948-P948,"")</f>
        <v/>
      </c>
      <c r="R948" s="44">
        <f>IFERROR((L948-M948)/(L948+M948),"")</f>
        <v/>
      </c>
      <c r="S948" s="46">
        <f>H948/SUMIFS(Counties!$H$2:$H$1583,Counties!$A$2:$A$1583,$A948)</f>
        <v/>
      </c>
      <c r="T948" s="44">
        <f>O948+INDEX(Dashboard!$F$6:$F$22,MATCH($A948,Dashboard!$A$6:$A$22,0))</f>
        <v/>
      </c>
      <c r="U948" s="43">
        <f>AQ948*INDEX(Dashboard!$G$6:$G$22,MATCH($A948,Dashboard!$A$6:$A$22,0))</f>
        <v/>
      </c>
      <c r="V948" s="47" t="n"/>
      <c r="W948" s="47" t="n"/>
      <c r="X948" s="47" t="n"/>
      <c r="Y948" s="48" t="n"/>
      <c r="Z948" s="49" t="n"/>
      <c r="AA948" s="49" t="n"/>
      <c r="AB948" s="49" t="n"/>
      <c r="AC948" s="50" t="n"/>
      <c r="AD948" s="43">
        <f>IF(Z948&lt;&gt;"",Z948,N(V948))</f>
        <v/>
      </c>
      <c r="AE948" s="43">
        <f>IF(AA948&lt;&gt;"",AA948,N(W948))</f>
        <v/>
      </c>
      <c r="AF948" s="43">
        <f>AD948+AE948</f>
        <v/>
      </c>
      <c r="AG948" s="42">
        <f>IF(UPPER(AC948)="Y",1,IF(AF948=0,0,IF(AND(Z948="",Y948&lt;&gt;""),IF(Y948&gt;=0.999,1,0),IF(AF948&gt;=U948,1,0))))</f>
        <v/>
      </c>
      <c r="AH948" s="44">
        <f>IF(AF948&gt;0,(AD948-AE948)/AF948,"")</f>
        <v/>
      </c>
      <c r="AI948" s="45">
        <f>IF(AG948=1,AH948-O948,"")</f>
        <v/>
      </c>
      <c r="AJ948" s="44">
        <f>IF(AG948=1,AH948,MAX(-1,MIN(1,O948+INDEX(Types!$H:$H,MATCH($A948&amp;"|"&amp;$D948,Types!$A:$A,0)))))</f>
        <v/>
      </c>
      <c r="AK948" s="43">
        <f>IF(AG948=1,AF948,MAX(AQ948*AS948,AF948))</f>
        <v/>
      </c>
      <c r="AL948" s="43">
        <f>IF(AG948=1,AD948,AK948*(1+AJ948)/2)</f>
        <v/>
      </c>
      <c r="AM948" s="43">
        <f>IF(AG948=1,AE948,AK948*(1-AJ948)/2)</f>
        <v/>
      </c>
      <c r="AN948" s="45">
        <f>IF(AH948="","",AH948-T948)</f>
        <v/>
      </c>
      <c r="AO948" s="51">
        <f>IF(AG948=1,1,IF(U948&gt;0,MIN(AF948/U948,0.99),0))</f>
        <v/>
      </c>
      <c r="AP948" s="43">
        <f>IF(AG948=1,AI948*AF948,0)</f>
        <v/>
      </c>
      <c r="AQ948" s="43">
        <f>N948*(F948+G948)/H948</f>
        <v/>
      </c>
      <c r="AR948" s="43">
        <f>O948*AQ948</f>
        <v/>
      </c>
      <c r="AS948" s="52">
        <f>IF(AG948=1,IF(AQ948&gt;0,AF948/AQ948,1),IFERROR(INDEX(Types!$K:$K,MATCH($A948&amp;"|"&amp;$D948,Types!$A:$A,0)),INDEX(Dashboard!$X$6:$X$22,MATCH($A948,Dashboard!$A$6:$A$22,0))))</f>
        <v/>
      </c>
      <c r="AT948" s="43">
        <f>AQ948*INDEX(Dashboard!$Y$6:$Y$22,MATCH($A948,Dashboard!$A$6:$A$22,0))</f>
        <v/>
      </c>
      <c r="AU948" s="53">
        <f>IF(AND(AG948=1,AT948&gt;0,AF948&gt;0),100*AF948/AT948,"")</f>
        <v/>
      </c>
      <c r="AV948" s="44">
        <f>IF(AU948="","",T948/(AU948/100))</f>
        <v/>
      </c>
      <c r="AW948" s="53">
        <f>IF(AU948="","",IF(AND(ABS(AH948)&gt;=0.1,ABS(T948)&gt;=0.05,SIGN(AH948)=SIGN(T948)),100*T948/AH948,""))</f>
        <v/>
      </c>
      <c r="AX948" s="45">
        <f>IF(AU948="","",T948-AV948)</f>
        <v/>
      </c>
      <c r="AY948" s="45">
        <f>IF(AU948="","",AH948-AV948)</f>
        <v/>
      </c>
      <c r="AZ948" s="54">
        <f>(AL948-AM948)-T948*AT948</f>
        <v/>
      </c>
      <c r="BA948" s="43">
        <f>IF(AU948="",0,(AH948-T948)*AF948)</f>
        <v/>
      </c>
      <c r="BB948" s="43">
        <f>IF(AU948="",0,T948*(AF948-AT948))</f>
        <v/>
      </c>
      <c r="BC948" s="51" t="n">
        <v>0.02816490433381039</v>
      </c>
      <c r="BD948" s="51" t="n">
        <v>0.01588183801358918</v>
      </c>
      <c r="BE948" s="51" t="n">
        <v>0.1795103371095361</v>
      </c>
      <c r="BF948" s="43" t="n">
        <v>71969</v>
      </c>
    </row>
    <row r="949">
      <c r="A949" s="42" t="inlineStr">
        <is>
          <t>OH</t>
        </is>
      </c>
      <c r="B949" s="42" t="inlineStr">
        <is>
          <t>39147</t>
        </is>
      </c>
      <c r="C949" s="42" t="inlineStr">
        <is>
          <t>Seneca</t>
        </is>
      </c>
      <c r="D949" s="42" t="inlineStr">
        <is>
          <t>Small town &amp; rural</t>
        </is>
      </c>
      <c r="E949" s="42" t="inlineStr"/>
      <c r="F949" s="43" t="n">
        <v>7765</v>
      </c>
      <c r="G949" s="43" t="n">
        <v>17241</v>
      </c>
      <c r="H949" s="43" t="n">
        <v>25262</v>
      </c>
      <c r="I949" s="43" t="n">
        <v>8266</v>
      </c>
      <c r="J949" s="43" t="n">
        <v>17086</v>
      </c>
      <c r="K949" s="42" t="inlineStr">
        <is>
          <t>US Senate</t>
        </is>
      </c>
      <c r="L949" s="43" t="n">
        <v>6322</v>
      </c>
      <c r="M949" s="43" t="n">
        <v>11618</v>
      </c>
      <c r="N949" s="43" t="n">
        <v>17958</v>
      </c>
      <c r="O949" s="44">
        <f>IFERROR((F949-G949)/(F949+G949),"")</f>
        <v/>
      </c>
      <c r="P949" s="44">
        <f>IFERROR((I949-J949)/(I949+J949),"")</f>
        <v/>
      </c>
      <c r="Q949" s="45">
        <f>IFERROR(O949-P949,"")</f>
        <v/>
      </c>
      <c r="R949" s="44">
        <f>IFERROR((L949-M949)/(L949+M949),"")</f>
        <v/>
      </c>
      <c r="S949" s="46">
        <f>H949/SUMIFS(Counties!$H$2:$H$1583,Counties!$A$2:$A$1583,$A949)</f>
        <v/>
      </c>
      <c r="T949" s="44">
        <f>O949+INDEX(Dashboard!$F$6:$F$22,MATCH($A949,Dashboard!$A$6:$A$22,0))</f>
        <v/>
      </c>
      <c r="U949" s="43">
        <f>AQ949*INDEX(Dashboard!$G$6:$G$22,MATCH($A949,Dashboard!$A$6:$A$22,0))</f>
        <v/>
      </c>
      <c r="V949" s="47" t="n"/>
      <c r="W949" s="47" t="n"/>
      <c r="X949" s="47" t="n"/>
      <c r="Y949" s="48" t="n"/>
      <c r="Z949" s="49" t="n"/>
      <c r="AA949" s="49" t="n"/>
      <c r="AB949" s="49" t="n"/>
      <c r="AC949" s="50" t="n"/>
      <c r="AD949" s="43">
        <f>IF(Z949&lt;&gt;"",Z949,N(V949))</f>
        <v/>
      </c>
      <c r="AE949" s="43">
        <f>IF(AA949&lt;&gt;"",AA949,N(W949))</f>
        <v/>
      </c>
      <c r="AF949" s="43">
        <f>AD949+AE949</f>
        <v/>
      </c>
      <c r="AG949" s="42">
        <f>IF(UPPER(AC949)="Y",1,IF(AF949=0,0,IF(AND(Z949="",Y949&lt;&gt;""),IF(Y949&gt;=0.999,1,0),IF(AF949&gt;=U949,1,0))))</f>
        <v/>
      </c>
      <c r="AH949" s="44">
        <f>IF(AF949&gt;0,(AD949-AE949)/AF949,"")</f>
        <v/>
      </c>
      <c r="AI949" s="45">
        <f>IF(AG949=1,AH949-O949,"")</f>
        <v/>
      </c>
      <c r="AJ949" s="44">
        <f>IF(AG949=1,AH949,MAX(-1,MIN(1,O949+INDEX(Types!$H:$H,MATCH($A949&amp;"|"&amp;$D949,Types!$A:$A,0)))))</f>
        <v/>
      </c>
      <c r="AK949" s="43">
        <f>IF(AG949=1,AF949,MAX(AQ949*AS949,AF949))</f>
        <v/>
      </c>
      <c r="AL949" s="43">
        <f>IF(AG949=1,AD949,AK949*(1+AJ949)/2)</f>
        <v/>
      </c>
      <c r="AM949" s="43">
        <f>IF(AG949=1,AE949,AK949*(1-AJ949)/2)</f>
        <v/>
      </c>
      <c r="AN949" s="45">
        <f>IF(AH949="","",AH949-T949)</f>
        <v/>
      </c>
      <c r="AO949" s="51">
        <f>IF(AG949=1,1,IF(U949&gt;0,MIN(AF949/U949,0.99),0))</f>
        <v/>
      </c>
      <c r="AP949" s="43">
        <f>IF(AG949=1,AI949*AF949,0)</f>
        <v/>
      </c>
      <c r="AQ949" s="43">
        <f>N949*(F949+G949)/H949</f>
        <v/>
      </c>
      <c r="AR949" s="43">
        <f>O949*AQ949</f>
        <v/>
      </c>
      <c r="AS949" s="52">
        <f>IF(AG949=1,IF(AQ949&gt;0,AF949/AQ949,1),IFERROR(INDEX(Types!$K:$K,MATCH($A949&amp;"|"&amp;$D949,Types!$A:$A,0)),INDEX(Dashboard!$X$6:$X$22,MATCH($A949,Dashboard!$A$6:$A$22,0))))</f>
        <v/>
      </c>
      <c r="AT949" s="43">
        <f>AQ949*INDEX(Dashboard!$Y$6:$Y$22,MATCH($A949,Dashboard!$A$6:$A$22,0))</f>
        <v/>
      </c>
      <c r="AU949" s="53">
        <f>IF(AND(AG949=1,AT949&gt;0,AF949&gt;0),100*AF949/AT949,"")</f>
        <v/>
      </c>
      <c r="AV949" s="44">
        <f>IF(AU949="","",T949/(AU949/100))</f>
        <v/>
      </c>
      <c r="AW949" s="53">
        <f>IF(AU949="","",IF(AND(ABS(AH949)&gt;=0.1,ABS(T949)&gt;=0.05,SIGN(AH949)=SIGN(T949)),100*T949/AH949,""))</f>
        <v/>
      </c>
      <c r="AX949" s="45">
        <f>IF(AU949="","",T949-AV949)</f>
        <v/>
      </c>
      <c r="AY949" s="45">
        <f>IF(AU949="","",AH949-AV949)</f>
        <v/>
      </c>
      <c r="AZ949" s="54">
        <f>(AL949-AM949)-T949*AT949</f>
        <v/>
      </c>
      <c r="BA949" s="43">
        <f>IF(AU949="",0,(AH949-T949)*AF949)</f>
        <v/>
      </c>
      <c r="BB949" s="43">
        <f>IF(AU949="",0,T949*(AF949-AT949))</f>
        <v/>
      </c>
      <c r="BC949" s="51" t="n">
        <v>0.02382306013534579</v>
      </c>
      <c r="BD949" s="51" t="n">
        <v>0.05815467566526675</v>
      </c>
      <c r="BE949" s="51" t="n">
        <v>0.2071235833783054</v>
      </c>
      <c r="BF949" s="43" t="n">
        <v>54527</v>
      </c>
    </row>
    <row r="950">
      <c r="A950" s="42" t="inlineStr">
        <is>
          <t>OH</t>
        </is>
      </c>
      <c r="B950" s="42" t="inlineStr">
        <is>
          <t>39149</t>
        </is>
      </c>
      <c r="C950" s="42" t="inlineStr">
        <is>
          <t>Shelby</t>
        </is>
      </c>
      <c r="D950" s="42" t="inlineStr">
        <is>
          <t>Small town &amp; rural</t>
        </is>
      </c>
      <c r="E950" s="42" t="inlineStr"/>
      <c r="F950" s="43" t="n">
        <v>4350</v>
      </c>
      <c r="G950" s="43" t="n">
        <v>20740</v>
      </c>
      <c r="H950" s="43" t="n">
        <v>25288</v>
      </c>
      <c r="I950" s="43" t="n">
        <v>4465</v>
      </c>
      <c r="J950" s="43" t="n">
        <v>20422</v>
      </c>
      <c r="K950" s="42" t="inlineStr">
        <is>
          <t>US Senate</t>
        </is>
      </c>
      <c r="L950" s="43" t="n">
        <v>3509</v>
      </c>
      <c r="M950" s="43" t="n">
        <v>14512</v>
      </c>
      <c r="N950" s="43" t="n">
        <v>18028</v>
      </c>
      <c r="O950" s="44">
        <f>IFERROR((F950-G950)/(F950+G950),"")</f>
        <v/>
      </c>
      <c r="P950" s="44">
        <f>IFERROR((I950-J950)/(I950+J950),"")</f>
        <v/>
      </c>
      <c r="Q950" s="45">
        <f>IFERROR(O950-P950,"")</f>
        <v/>
      </c>
      <c r="R950" s="44">
        <f>IFERROR((L950-M950)/(L950+M950),"")</f>
        <v/>
      </c>
      <c r="S950" s="46">
        <f>H950/SUMIFS(Counties!$H$2:$H$1583,Counties!$A$2:$A$1583,$A950)</f>
        <v/>
      </c>
      <c r="T950" s="44">
        <f>O950+INDEX(Dashboard!$F$6:$F$22,MATCH($A950,Dashboard!$A$6:$A$22,0))</f>
        <v/>
      </c>
      <c r="U950" s="43">
        <f>AQ950*INDEX(Dashboard!$G$6:$G$22,MATCH($A950,Dashboard!$A$6:$A$22,0))</f>
        <v/>
      </c>
      <c r="V950" s="47" t="n"/>
      <c r="W950" s="47" t="n"/>
      <c r="X950" s="47" t="n"/>
      <c r="Y950" s="48" t="n"/>
      <c r="Z950" s="49" t="n"/>
      <c r="AA950" s="49" t="n"/>
      <c r="AB950" s="49" t="n"/>
      <c r="AC950" s="50" t="n"/>
      <c r="AD950" s="43">
        <f>IF(Z950&lt;&gt;"",Z950,N(V950))</f>
        <v/>
      </c>
      <c r="AE950" s="43">
        <f>IF(AA950&lt;&gt;"",AA950,N(W950))</f>
        <v/>
      </c>
      <c r="AF950" s="43">
        <f>AD950+AE950</f>
        <v/>
      </c>
      <c r="AG950" s="42">
        <f>IF(UPPER(AC950)="Y",1,IF(AF950=0,0,IF(AND(Z950="",Y950&lt;&gt;""),IF(Y950&gt;=0.999,1,0),IF(AF950&gt;=U950,1,0))))</f>
        <v/>
      </c>
      <c r="AH950" s="44">
        <f>IF(AF950&gt;0,(AD950-AE950)/AF950,"")</f>
        <v/>
      </c>
      <c r="AI950" s="45">
        <f>IF(AG950=1,AH950-O950,"")</f>
        <v/>
      </c>
      <c r="AJ950" s="44">
        <f>IF(AG950=1,AH950,MAX(-1,MIN(1,O950+INDEX(Types!$H:$H,MATCH($A950&amp;"|"&amp;$D950,Types!$A:$A,0)))))</f>
        <v/>
      </c>
      <c r="AK950" s="43">
        <f>IF(AG950=1,AF950,MAX(AQ950*AS950,AF950))</f>
        <v/>
      </c>
      <c r="AL950" s="43">
        <f>IF(AG950=1,AD950,AK950*(1+AJ950)/2)</f>
        <v/>
      </c>
      <c r="AM950" s="43">
        <f>IF(AG950=1,AE950,AK950*(1-AJ950)/2)</f>
        <v/>
      </c>
      <c r="AN950" s="45">
        <f>IF(AH950="","",AH950-T950)</f>
        <v/>
      </c>
      <c r="AO950" s="51">
        <f>IF(AG950=1,1,IF(U950&gt;0,MIN(AF950/U950,0.99),0))</f>
        <v/>
      </c>
      <c r="AP950" s="43">
        <f>IF(AG950=1,AI950*AF950,0)</f>
        <v/>
      </c>
      <c r="AQ950" s="43">
        <f>N950*(F950+G950)/H950</f>
        <v/>
      </c>
      <c r="AR950" s="43">
        <f>O950*AQ950</f>
        <v/>
      </c>
      <c r="AS950" s="52">
        <f>IF(AG950=1,IF(AQ950&gt;0,AF950/AQ950,1),IFERROR(INDEX(Types!$K:$K,MATCH($A950&amp;"|"&amp;$D950,Types!$A:$A,0)),INDEX(Dashboard!$X$6:$X$22,MATCH($A950,Dashboard!$A$6:$A$22,0))))</f>
        <v/>
      </c>
      <c r="AT950" s="43">
        <f>AQ950*INDEX(Dashboard!$Y$6:$Y$22,MATCH($A950,Dashboard!$A$6:$A$22,0))</f>
        <v/>
      </c>
      <c r="AU950" s="53">
        <f>IF(AND(AG950=1,AT950&gt;0,AF950&gt;0),100*AF950/AT950,"")</f>
        <v/>
      </c>
      <c r="AV950" s="44">
        <f>IF(AU950="","",T950/(AU950/100))</f>
        <v/>
      </c>
      <c r="AW950" s="53">
        <f>IF(AU950="","",IF(AND(ABS(AH950)&gt;=0.1,ABS(T950)&gt;=0.05,SIGN(AH950)=SIGN(T950)),100*T950/AH950,""))</f>
        <v/>
      </c>
      <c r="AX950" s="45">
        <f>IF(AU950="","",T950-AV950)</f>
        <v/>
      </c>
      <c r="AY950" s="45">
        <f>IF(AU950="","",AH950-AV950)</f>
        <v/>
      </c>
      <c r="AZ950" s="54">
        <f>(AL950-AM950)-T950*AT950</f>
        <v/>
      </c>
      <c r="BA950" s="43">
        <f>IF(AU950="",0,(AH950-T950)*AF950)</f>
        <v/>
      </c>
      <c r="BB950" s="43">
        <f>IF(AU950="",0,T950*(AF950-AT950))</f>
        <v/>
      </c>
      <c r="BC950" s="51" t="n">
        <v>0.0240343347639485</v>
      </c>
      <c r="BD950" s="51" t="n">
        <v>0.01756516277609128</v>
      </c>
      <c r="BE950" s="51" t="n">
        <v>0.2061194633797118</v>
      </c>
      <c r="BF950" s="43" t="n">
        <v>47765</v>
      </c>
    </row>
    <row r="951">
      <c r="A951" s="42" t="inlineStr">
        <is>
          <t>OH</t>
        </is>
      </c>
      <c r="B951" s="42" t="inlineStr">
        <is>
          <t>39151</t>
        </is>
      </c>
      <c r="C951" s="42" t="inlineStr">
        <is>
          <t>Stark</t>
        </is>
      </c>
      <c r="D951" s="42" t="inlineStr">
        <is>
          <t>Mid-size/working metro</t>
        </is>
      </c>
      <c r="E951" s="42" t="inlineStr">
        <is>
          <t>★</t>
        </is>
      </c>
      <c r="F951" s="43" t="n">
        <v>71090</v>
      </c>
      <c r="G951" s="43" t="n">
        <v>111478</v>
      </c>
      <c r="H951" s="43" t="n">
        <v>184158</v>
      </c>
      <c r="I951" s="43" t="n">
        <v>75904</v>
      </c>
      <c r="J951" s="43" t="n">
        <v>111097</v>
      </c>
      <c r="K951" s="42" t="inlineStr">
        <is>
          <t>US Senate</t>
        </is>
      </c>
      <c r="L951" s="43" t="n">
        <v>56215</v>
      </c>
      <c r="M951" s="43" t="n">
        <v>77287</v>
      </c>
      <c r="N951" s="43" t="n">
        <v>133546</v>
      </c>
      <c r="O951" s="44">
        <f>IFERROR((F951-G951)/(F951+G951),"")</f>
        <v/>
      </c>
      <c r="P951" s="44">
        <f>IFERROR((I951-J951)/(I951+J951),"")</f>
        <v/>
      </c>
      <c r="Q951" s="45">
        <f>IFERROR(O951-P951,"")</f>
        <v/>
      </c>
      <c r="R951" s="44">
        <f>IFERROR((L951-M951)/(L951+M951),"")</f>
        <v/>
      </c>
      <c r="S951" s="46">
        <f>H951/SUMIFS(Counties!$H$2:$H$1583,Counties!$A$2:$A$1583,$A951)</f>
        <v/>
      </c>
      <c r="T951" s="44">
        <f>O951+INDEX(Dashboard!$F$6:$F$22,MATCH($A951,Dashboard!$A$6:$A$22,0))</f>
        <v/>
      </c>
      <c r="U951" s="43">
        <f>AQ951*INDEX(Dashboard!$G$6:$G$22,MATCH($A951,Dashboard!$A$6:$A$22,0))</f>
        <v/>
      </c>
      <c r="V951" s="47" t="n"/>
      <c r="W951" s="47" t="n"/>
      <c r="X951" s="47" t="n"/>
      <c r="Y951" s="48" t="n"/>
      <c r="Z951" s="49" t="n"/>
      <c r="AA951" s="49" t="n"/>
      <c r="AB951" s="49" t="n"/>
      <c r="AC951" s="50" t="n"/>
      <c r="AD951" s="43">
        <f>IF(Z951&lt;&gt;"",Z951,N(V951))</f>
        <v/>
      </c>
      <c r="AE951" s="43">
        <f>IF(AA951&lt;&gt;"",AA951,N(W951))</f>
        <v/>
      </c>
      <c r="AF951" s="43">
        <f>AD951+AE951</f>
        <v/>
      </c>
      <c r="AG951" s="42">
        <f>IF(UPPER(AC951)="Y",1,IF(AF951=0,0,IF(AND(Z951="",Y951&lt;&gt;""),IF(Y951&gt;=0.999,1,0),IF(AF951&gt;=U951,1,0))))</f>
        <v/>
      </c>
      <c r="AH951" s="44">
        <f>IF(AF951&gt;0,(AD951-AE951)/AF951,"")</f>
        <v/>
      </c>
      <c r="AI951" s="45">
        <f>IF(AG951=1,AH951-O951,"")</f>
        <v/>
      </c>
      <c r="AJ951" s="44">
        <f>IF(AG951=1,AH951,MAX(-1,MIN(1,O951+INDEX(Types!$H:$H,MATCH($A951&amp;"|"&amp;$D951,Types!$A:$A,0)))))</f>
        <v/>
      </c>
      <c r="AK951" s="43">
        <f>IF(AG951=1,AF951,MAX(AQ951*AS951,AF951))</f>
        <v/>
      </c>
      <c r="AL951" s="43">
        <f>IF(AG951=1,AD951,AK951*(1+AJ951)/2)</f>
        <v/>
      </c>
      <c r="AM951" s="43">
        <f>IF(AG951=1,AE951,AK951*(1-AJ951)/2)</f>
        <v/>
      </c>
      <c r="AN951" s="45">
        <f>IF(AH951="","",AH951-T951)</f>
        <v/>
      </c>
      <c r="AO951" s="51">
        <f>IF(AG951=1,1,IF(U951&gt;0,MIN(AF951/U951,0.99),0))</f>
        <v/>
      </c>
      <c r="AP951" s="43">
        <f>IF(AG951=1,AI951*AF951,0)</f>
        <v/>
      </c>
      <c r="AQ951" s="43">
        <f>N951*(F951+G951)/H951</f>
        <v/>
      </c>
      <c r="AR951" s="43">
        <f>O951*AQ951</f>
        <v/>
      </c>
      <c r="AS951" s="52">
        <f>IF(AG951=1,IF(AQ951&gt;0,AF951/AQ951,1),IFERROR(INDEX(Types!$K:$K,MATCH($A951&amp;"|"&amp;$D951,Types!$A:$A,0)),INDEX(Dashboard!$X$6:$X$22,MATCH($A951,Dashboard!$A$6:$A$22,0))))</f>
        <v/>
      </c>
      <c r="AT951" s="43">
        <f>AQ951*INDEX(Dashboard!$Y$6:$Y$22,MATCH($A951,Dashboard!$A$6:$A$22,0))</f>
        <v/>
      </c>
      <c r="AU951" s="53">
        <f>IF(AND(AG951=1,AT951&gt;0,AF951&gt;0),100*AF951/AT951,"")</f>
        <v/>
      </c>
      <c r="AV951" s="44">
        <f>IF(AU951="","",T951/(AU951/100))</f>
        <v/>
      </c>
      <c r="AW951" s="53">
        <f>IF(AU951="","",IF(AND(ABS(AH951)&gt;=0.1,ABS(T951)&gt;=0.05,SIGN(AH951)=SIGN(T951)),100*T951/AH951,""))</f>
        <v/>
      </c>
      <c r="AX951" s="45">
        <f>IF(AU951="","",T951-AV951)</f>
        <v/>
      </c>
      <c r="AY951" s="45">
        <f>IF(AU951="","",AH951-AV951)</f>
        <v/>
      </c>
      <c r="AZ951" s="54">
        <f>(AL951-AM951)-T951*AT951</f>
        <v/>
      </c>
      <c r="BA951" s="43">
        <f>IF(AU951="",0,(AH951-T951)*AF951)</f>
        <v/>
      </c>
      <c r="BB951" s="43">
        <f>IF(AU951="",0,T951*(AF951-AT951))</f>
        <v/>
      </c>
      <c r="BC951" s="51" t="n">
        <v>0.07935800985200528</v>
      </c>
      <c r="BD951" s="51" t="n">
        <v>0.0311524055849494</v>
      </c>
      <c r="BE951" s="51" t="n">
        <v>0.2498283255253239</v>
      </c>
      <c r="BF951" s="43" t="n">
        <v>372716</v>
      </c>
    </row>
    <row r="952">
      <c r="A952" s="42" t="inlineStr">
        <is>
          <t>OH</t>
        </is>
      </c>
      <c r="B952" s="42" t="inlineStr">
        <is>
          <t>39153</t>
        </is>
      </c>
      <c r="C952" s="42" t="inlineStr">
        <is>
          <t>Summit</t>
        </is>
      </c>
      <c r="D952" s="42" t="inlineStr">
        <is>
          <t>Mid-size/working metro</t>
        </is>
      </c>
      <c r="E952" s="42" t="inlineStr">
        <is>
          <t>★</t>
        </is>
      </c>
      <c r="F952" s="43" t="n">
        <v>145005</v>
      </c>
      <c r="G952" s="43" t="n">
        <v>125910</v>
      </c>
      <c r="H952" s="43" t="n">
        <v>273413</v>
      </c>
      <c r="I952" s="43" t="n">
        <v>151668</v>
      </c>
      <c r="J952" s="43" t="n">
        <v>124833</v>
      </c>
      <c r="K952" s="42" t="inlineStr">
        <is>
          <t>US Senate</t>
        </is>
      </c>
      <c r="L952" s="43" t="n">
        <v>113111</v>
      </c>
      <c r="M952" s="43" t="n">
        <v>86724</v>
      </c>
      <c r="N952" s="43" t="n">
        <v>199897</v>
      </c>
      <c r="O952" s="44">
        <f>IFERROR((F952-G952)/(F952+G952),"")</f>
        <v/>
      </c>
      <c r="P952" s="44">
        <f>IFERROR((I952-J952)/(I952+J952),"")</f>
        <v/>
      </c>
      <c r="Q952" s="45">
        <f>IFERROR(O952-P952,"")</f>
        <v/>
      </c>
      <c r="R952" s="44">
        <f>IFERROR((L952-M952)/(L952+M952),"")</f>
        <v/>
      </c>
      <c r="S952" s="46">
        <f>H952/SUMIFS(Counties!$H$2:$H$1583,Counties!$A$2:$A$1583,$A952)</f>
        <v/>
      </c>
      <c r="T952" s="44">
        <f>O952+INDEX(Dashboard!$F$6:$F$22,MATCH($A952,Dashboard!$A$6:$A$22,0))</f>
        <v/>
      </c>
      <c r="U952" s="43">
        <f>AQ952*INDEX(Dashboard!$G$6:$G$22,MATCH($A952,Dashboard!$A$6:$A$22,0))</f>
        <v/>
      </c>
      <c r="V952" s="47" t="n"/>
      <c r="W952" s="47" t="n"/>
      <c r="X952" s="47" t="n"/>
      <c r="Y952" s="48" t="n"/>
      <c r="Z952" s="49" t="n"/>
      <c r="AA952" s="49" t="n"/>
      <c r="AB952" s="49" t="n"/>
      <c r="AC952" s="50" t="n"/>
      <c r="AD952" s="43">
        <f>IF(Z952&lt;&gt;"",Z952,N(V952))</f>
        <v/>
      </c>
      <c r="AE952" s="43">
        <f>IF(AA952&lt;&gt;"",AA952,N(W952))</f>
        <v/>
      </c>
      <c r="AF952" s="43">
        <f>AD952+AE952</f>
        <v/>
      </c>
      <c r="AG952" s="42">
        <f>IF(UPPER(AC952)="Y",1,IF(AF952=0,0,IF(AND(Z952="",Y952&lt;&gt;""),IF(Y952&gt;=0.999,1,0),IF(AF952&gt;=U952,1,0))))</f>
        <v/>
      </c>
      <c r="AH952" s="44">
        <f>IF(AF952&gt;0,(AD952-AE952)/AF952,"")</f>
        <v/>
      </c>
      <c r="AI952" s="45">
        <f>IF(AG952=1,AH952-O952,"")</f>
        <v/>
      </c>
      <c r="AJ952" s="44">
        <f>IF(AG952=1,AH952,MAX(-1,MIN(1,O952+INDEX(Types!$H:$H,MATCH($A952&amp;"|"&amp;$D952,Types!$A:$A,0)))))</f>
        <v/>
      </c>
      <c r="AK952" s="43">
        <f>IF(AG952=1,AF952,MAX(AQ952*AS952,AF952))</f>
        <v/>
      </c>
      <c r="AL952" s="43">
        <f>IF(AG952=1,AD952,AK952*(1+AJ952)/2)</f>
        <v/>
      </c>
      <c r="AM952" s="43">
        <f>IF(AG952=1,AE952,AK952*(1-AJ952)/2)</f>
        <v/>
      </c>
      <c r="AN952" s="45">
        <f>IF(AH952="","",AH952-T952)</f>
        <v/>
      </c>
      <c r="AO952" s="51">
        <f>IF(AG952=1,1,IF(U952&gt;0,MIN(AF952/U952,0.99),0))</f>
        <v/>
      </c>
      <c r="AP952" s="43">
        <f>IF(AG952=1,AI952*AF952,0)</f>
        <v/>
      </c>
      <c r="AQ952" s="43">
        <f>N952*(F952+G952)/H952</f>
        <v/>
      </c>
      <c r="AR952" s="43">
        <f>O952*AQ952</f>
        <v/>
      </c>
      <c r="AS952" s="52">
        <f>IF(AG952=1,IF(AQ952&gt;0,AF952/AQ952,1),IFERROR(INDEX(Types!$K:$K,MATCH($A952&amp;"|"&amp;$D952,Types!$A:$A,0)),INDEX(Dashboard!$X$6:$X$22,MATCH($A952,Dashboard!$A$6:$A$22,0))))</f>
        <v/>
      </c>
      <c r="AT952" s="43">
        <f>AQ952*INDEX(Dashboard!$Y$6:$Y$22,MATCH($A952,Dashboard!$A$6:$A$22,0))</f>
        <v/>
      </c>
      <c r="AU952" s="53">
        <f>IF(AND(AG952=1,AT952&gt;0,AF952&gt;0),100*AF952/AT952,"")</f>
        <v/>
      </c>
      <c r="AV952" s="44">
        <f>IF(AU952="","",T952/(AU952/100))</f>
        <v/>
      </c>
      <c r="AW952" s="53">
        <f>IF(AU952="","",IF(AND(ABS(AH952)&gt;=0.1,ABS(T952)&gt;=0.05,SIGN(AH952)=SIGN(T952)),100*T952/AH952,""))</f>
        <v/>
      </c>
      <c r="AX952" s="45">
        <f>IF(AU952="","",T952-AV952)</f>
        <v/>
      </c>
      <c r="AY952" s="45">
        <f>IF(AU952="","",AH952-AV952)</f>
        <v/>
      </c>
      <c r="AZ952" s="54">
        <f>(AL952-AM952)-T952*AT952</f>
        <v/>
      </c>
      <c r="BA952" s="43">
        <f>IF(AU952="",0,(AH952-T952)*AF952)</f>
        <v/>
      </c>
      <c r="BB952" s="43">
        <f>IF(AU952="",0,T952*(AF952-AT952))</f>
        <v/>
      </c>
      <c r="BC952" s="51" t="n">
        <v>0.1514392430557759</v>
      </c>
      <c r="BD952" s="51" t="n">
        <v>0.02795422346579359</v>
      </c>
      <c r="BE952" s="51" t="n">
        <v>0.3528615445728787</v>
      </c>
      <c r="BF952" s="43" t="n">
        <v>535733</v>
      </c>
    </row>
    <row r="953">
      <c r="A953" s="42" t="inlineStr">
        <is>
          <t>OH</t>
        </is>
      </c>
      <c r="B953" s="42" t="inlineStr">
        <is>
          <t>39155</t>
        </is>
      </c>
      <c r="C953" s="42" t="inlineStr">
        <is>
          <t>Trumbull</t>
        </is>
      </c>
      <c r="D953" s="42" t="inlineStr">
        <is>
          <t>Mid-size/working metro</t>
        </is>
      </c>
      <c r="E953" s="42" t="inlineStr"/>
      <c r="F953" s="43" t="n">
        <v>39758</v>
      </c>
      <c r="G953" s="43" t="n">
        <v>55983</v>
      </c>
      <c r="H953" s="43" t="n">
        <v>96514</v>
      </c>
      <c r="I953" s="43" t="n">
        <v>44519</v>
      </c>
      <c r="J953" s="43" t="n">
        <v>55194</v>
      </c>
      <c r="K953" s="42" t="inlineStr">
        <is>
          <t>US Senate</t>
        </is>
      </c>
      <c r="L953" s="43" t="n">
        <v>33890</v>
      </c>
      <c r="M953" s="43" t="n">
        <v>39082</v>
      </c>
      <c r="N953" s="43" t="n">
        <v>73000</v>
      </c>
      <c r="O953" s="44">
        <f>IFERROR((F953-G953)/(F953+G953),"")</f>
        <v/>
      </c>
      <c r="P953" s="44">
        <f>IFERROR((I953-J953)/(I953+J953),"")</f>
        <v/>
      </c>
      <c r="Q953" s="45">
        <f>IFERROR(O953-P953,"")</f>
        <v/>
      </c>
      <c r="R953" s="44">
        <f>IFERROR((L953-M953)/(L953+M953),"")</f>
        <v/>
      </c>
      <c r="S953" s="46">
        <f>H953/SUMIFS(Counties!$H$2:$H$1583,Counties!$A$2:$A$1583,$A953)</f>
        <v/>
      </c>
      <c r="T953" s="44">
        <f>O953+INDEX(Dashboard!$F$6:$F$22,MATCH($A953,Dashboard!$A$6:$A$22,0))</f>
        <v/>
      </c>
      <c r="U953" s="43">
        <f>AQ953*INDEX(Dashboard!$G$6:$G$22,MATCH($A953,Dashboard!$A$6:$A$22,0))</f>
        <v/>
      </c>
      <c r="V953" s="47" t="n"/>
      <c r="W953" s="47" t="n"/>
      <c r="X953" s="47" t="n"/>
      <c r="Y953" s="48" t="n"/>
      <c r="Z953" s="49" t="n"/>
      <c r="AA953" s="49" t="n"/>
      <c r="AB953" s="49" t="n"/>
      <c r="AC953" s="50" t="n"/>
      <c r="AD953" s="43">
        <f>IF(Z953&lt;&gt;"",Z953,N(V953))</f>
        <v/>
      </c>
      <c r="AE953" s="43">
        <f>IF(AA953&lt;&gt;"",AA953,N(W953))</f>
        <v/>
      </c>
      <c r="AF953" s="43">
        <f>AD953+AE953</f>
        <v/>
      </c>
      <c r="AG953" s="42">
        <f>IF(UPPER(AC953)="Y",1,IF(AF953=0,0,IF(AND(Z953="",Y953&lt;&gt;""),IF(Y953&gt;=0.999,1,0),IF(AF953&gt;=U953,1,0))))</f>
        <v/>
      </c>
      <c r="AH953" s="44">
        <f>IF(AF953&gt;0,(AD953-AE953)/AF953,"")</f>
        <v/>
      </c>
      <c r="AI953" s="45">
        <f>IF(AG953=1,AH953-O953,"")</f>
        <v/>
      </c>
      <c r="AJ953" s="44">
        <f>IF(AG953=1,AH953,MAX(-1,MIN(1,O953+INDEX(Types!$H:$H,MATCH($A953&amp;"|"&amp;$D953,Types!$A:$A,0)))))</f>
        <v/>
      </c>
      <c r="AK953" s="43">
        <f>IF(AG953=1,AF953,MAX(AQ953*AS953,AF953))</f>
        <v/>
      </c>
      <c r="AL953" s="43">
        <f>IF(AG953=1,AD953,AK953*(1+AJ953)/2)</f>
        <v/>
      </c>
      <c r="AM953" s="43">
        <f>IF(AG953=1,AE953,AK953*(1-AJ953)/2)</f>
        <v/>
      </c>
      <c r="AN953" s="45">
        <f>IF(AH953="","",AH953-T953)</f>
        <v/>
      </c>
      <c r="AO953" s="51">
        <f>IF(AG953=1,1,IF(U953&gt;0,MIN(AF953/U953,0.99),0))</f>
        <v/>
      </c>
      <c r="AP953" s="43">
        <f>IF(AG953=1,AI953*AF953,0)</f>
        <v/>
      </c>
      <c r="AQ953" s="43">
        <f>N953*(F953+G953)/H953</f>
        <v/>
      </c>
      <c r="AR953" s="43">
        <f>O953*AQ953</f>
        <v/>
      </c>
      <c r="AS953" s="52">
        <f>IF(AG953=1,IF(AQ953&gt;0,AF953/AQ953,1),IFERROR(INDEX(Types!$K:$K,MATCH($A953&amp;"|"&amp;$D953,Types!$A:$A,0)),INDEX(Dashboard!$X$6:$X$22,MATCH($A953,Dashboard!$A$6:$A$22,0))))</f>
        <v/>
      </c>
      <c r="AT953" s="43">
        <f>AQ953*INDEX(Dashboard!$Y$6:$Y$22,MATCH($A953,Dashboard!$A$6:$A$22,0))</f>
        <v/>
      </c>
      <c r="AU953" s="53">
        <f>IF(AND(AG953=1,AT953&gt;0,AF953&gt;0),100*AF953/AT953,"")</f>
        <v/>
      </c>
      <c r="AV953" s="44">
        <f>IF(AU953="","",T953/(AU953/100))</f>
        <v/>
      </c>
      <c r="AW953" s="53">
        <f>IF(AU953="","",IF(AND(ABS(AH953)&gt;=0.1,ABS(T953)&gt;=0.05,SIGN(AH953)=SIGN(T953)),100*T953/AH953,""))</f>
        <v/>
      </c>
      <c r="AX953" s="45">
        <f>IF(AU953="","",T953-AV953)</f>
        <v/>
      </c>
      <c r="AY953" s="45">
        <f>IF(AU953="","",AH953-AV953)</f>
        <v/>
      </c>
      <c r="AZ953" s="54">
        <f>(AL953-AM953)-T953*AT953</f>
        <v/>
      </c>
      <c r="BA953" s="43">
        <f>IF(AU953="",0,(AH953-T953)*AF953)</f>
        <v/>
      </c>
      <c r="BB953" s="43">
        <f>IF(AU953="",0,T953*(AF953-AT953))</f>
        <v/>
      </c>
      <c r="BC953" s="51" t="n">
        <v>0.08637890334526109</v>
      </c>
      <c r="BD953" s="51" t="n">
        <v>0.0239104070907757</v>
      </c>
      <c r="BE953" s="51" t="n">
        <v>0.2029348827224188</v>
      </c>
      <c r="BF953" s="43" t="n">
        <v>200373</v>
      </c>
    </row>
    <row r="954">
      <c r="A954" s="42" t="inlineStr">
        <is>
          <t>OH</t>
        </is>
      </c>
      <c r="B954" s="42" t="inlineStr">
        <is>
          <t>39157</t>
        </is>
      </c>
      <c r="C954" s="42" t="inlineStr">
        <is>
          <t>Tuscarawas</t>
        </is>
      </c>
      <c r="D954" s="42" t="inlineStr">
        <is>
          <t>Small town &amp; rural</t>
        </is>
      </c>
      <c r="E954" s="42" t="inlineStr"/>
      <c r="F954" s="43" t="n">
        <v>12032</v>
      </c>
      <c r="G954" s="43" t="n">
        <v>30652</v>
      </c>
      <c r="H954" s="43" t="n">
        <v>43019</v>
      </c>
      <c r="I954" s="43" t="n">
        <v>12889</v>
      </c>
      <c r="J954" s="43" t="n">
        <v>30458</v>
      </c>
      <c r="K954" s="42" t="inlineStr">
        <is>
          <t>US Senate</t>
        </is>
      </c>
      <c r="L954" s="43" t="n">
        <v>10267</v>
      </c>
      <c r="M954" s="43" t="n">
        <v>20072</v>
      </c>
      <c r="N954" s="43" t="n">
        <v>30350</v>
      </c>
      <c r="O954" s="44">
        <f>IFERROR((F954-G954)/(F954+G954),"")</f>
        <v/>
      </c>
      <c r="P954" s="44">
        <f>IFERROR((I954-J954)/(I954+J954),"")</f>
        <v/>
      </c>
      <c r="Q954" s="45">
        <f>IFERROR(O954-P954,"")</f>
        <v/>
      </c>
      <c r="R954" s="44">
        <f>IFERROR((L954-M954)/(L954+M954),"")</f>
        <v/>
      </c>
      <c r="S954" s="46">
        <f>H954/SUMIFS(Counties!$H$2:$H$1583,Counties!$A$2:$A$1583,$A954)</f>
        <v/>
      </c>
      <c r="T954" s="44">
        <f>O954+INDEX(Dashboard!$F$6:$F$22,MATCH($A954,Dashboard!$A$6:$A$22,0))</f>
        <v/>
      </c>
      <c r="U954" s="43">
        <f>AQ954*INDEX(Dashboard!$G$6:$G$22,MATCH($A954,Dashboard!$A$6:$A$22,0))</f>
        <v/>
      </c>
      <c r="V954" s="47" t="n"/>
      <c r="W954" s="47" t="n"/>
      <c r="X954" s="47" t="n"/>
      <c r="Y954" s="48" t="n"/>
      <c r="Z954" s="49" t="n"/>
      <c r="AA954" s="49" t="n"/>
      <c r="AB954" s="49" t="n"/>
      <c r="AC954" s="50" t="n"/>
      <c r="AD954" s="43">
        <f>IF(Z954&lt;&gt;"",Z954,N(V954))</f>
        <v/>
      </c>
      <c r="AE954" s="43">
        <f>IF(AA954&lt;&gt;"",AA954,N(W954))</f>
        <v/>
      </c>
      <c r="AF954" s="43">
        <f>AD954+AE954</f>
        <v/>
      </c>
      <c r="AG954" s="42">
        <f>IF(UPPER(AC954)="Y",1,IF(AF954=0,0,IF(AND(Z954="",Y954&lt;&gt;""),IF(Y954&gt;=0.999,1,0),IF(AF954&gt;=U954,1,0))))</f>
        <v/>
      </c>
      <c r="AH954" s="44">
        <f>IF(AF954&gt;0,(AD954-AE954)/AF954,"")</f>
        <v/>
      </c>
      <c r="AI954" s="45">
        <f>IF(AG954=1,AH954-O954,"")</f>
        <v/>
      </c>
      <c r="AJ954" s="44">
        <f>IF(AG954=1,AH954,MAX(-1,MIN(1,O954+INDEX(Types!$H:$H,MATCH($A954&amp;"|"&amp;$D954,Types!$A:$A,0)))))</f>
        <v/>
      </c>
      <c r="AK954" s="43">
        <f>IF(AG954=1,AF954,MAX(AQ954*AS954,AF954))</f>
        <v/>
      </c>
      <c r="AL954" s="43">
        <f>IF(AG954=1,AD954,AK954*(1+AJ954)/2)</f>
        <v/>
      </c>
      <c r="AM954" s="43">
        <f>IF(AG954=1,AE954,AK954*(1-AJ954)/2)</f>
        <v/>
      </c>
      <c r="AN954" s="45">
        <f>IF(AH954="","",AH954-T954)</f>
        <v/>
      </c>
      <c r="AO954" s="51">
        <f>IF(AG954=1,1,IF(U954&gt;0,MIN(AF954/U954,0.99),0))</f>
        <v/>
      </c>
      <c r="AP954" s="43">
        <f>IF(AG954=1,AI954*AF954,0)</f>
        <v/>
      </c>
      <c r="AQ954" s="43">
        <f>N954*(F954+G954)/H954</f>
        <v/>
      </c>
      <c r="AR954" s="43">
        <f>O954*AQ954</f>
        <v/>
      </c>
      <c r="AS954" s="52">
        <f>IF(AG954=1,IF(AQ954&gt;0,AF954/AQ954,1),IFERROR(INDEX(Types!$K:$K,MATCH($A954&amp;"|"&amp;$D954,Types!$A:$A,0)),INDEX(Dashboard!$X$6:$X$22,MATCH($A954,Dashboard!$A$6:$A$22,0))))</f>
        <v/>
      </c>
      <c r="AT954" s="43">
        <f>AQ954*INDEX(Dashboard!$Y$6:$Y$22,MATCH($A954,Dashboard!$A$6:$A$22,0))</f>
        <v/>
      </c>
      <c r="AU954" s="53">
        <f>IF(AND(AG954=1,AT954&gt;0,AF954&gt;0),100*AF954/AT954,"")</f>
        <v/>
      </c>
      <c r="AV954" s="44">
        <f>IF(AU954="","",T954/(AU954/100))</f>
        <v/>
      </c>
      <c r="AW954" s="53">
        <f>IF(AU954="","",IF(AND(ABS(AH954)&gt;=0.1,ABS(T954)&gt;=0.05,SIGN(AH954)=SIGN(T954)),100*T954/AH954,""))</f>
        <v/>
      </c>
      <c r="AX954" s="45">
        <f>IF(AU954="","",T954-AV954)</f>
        <v/>
      </c>
      <c r="AY954" s="45">
        <f>IF(AU954="","",AH954-AV954)</f>
        <v/>
      </c>
      <c r="AZ954" s="54">
        <f>(AL954-AM954)-T954*AT954</f>
        <v/>
      </c>
      <c r="BA954" s="43">
        <f>IF(AU954="",0,(AH954-T954)*AF954)</f>
        <v/>
      </c>
      <c r="BB954" s="43">
        <f>IF(AU954="",0,T954*(AF954-AT954))</f>
        <v/>
      </c>
      <c r="BC954" s="51" t="n">
        <v>0.008315736769924026</v>
      </c>
      <c r="BD954" s="51" t="n">
        <v>0.04704268890001524</v>
      </c>
      <c r="BE954" s="51" t="n">
        <v>0.1959183673469388</v>
      </c>
      <c r="BF954" s="43" t="n">
        <v>91874</v>
      </c>
    </row>
    <row r="955">
      <c r="A955" s="42" t="inlineStr">
        <is>
          <t>OH</t>
        </is>
      </c>
      <c r="B955" s="42" t="inlineStr">
        <is>
          <t>39159</t>
        </is>
      </c>
      <c r="C955" s="42" t="inlineStr">
        <is>
          <t>Union</t>
        </is>
      </c>
      <c r="D955" s="42" t="inlineStr">
        <is>
          <t>Small town &amp; rural</t>
        </is>
      </c>
      <c r="E955" s="42" t="inlineStr"/>
      <c r="F955" s="43" t="n">
        <v>12934</v>
      </c>
      <c r="G955" s="43" t="n">
        <v>23982</v>
      </c>
      <c r="H955" s="43" t="n">
        <v>37288</v>
      </c>
      <c r="I955" s="43" t="n">
        <v>11141</v>
      </c>
      <c r="J955" s="43" t="n">
        <v>21669</v>
      </c>
      <c r="K955" s="42" t="inlineStr">
        <is>
          <t>US Senate</t>
        </is>
      </c>
      <c r="L955" s="43" t="n">
        <v>9075</v>
      </c>
      <c r="M955" s="43" t="n">
        <v>16320</v>
      </c>
      <c r="N955" s="43" t="n">
        <v>25399</v>
      </c>
      <c r="O955" s="44">
        <f>IFERROR((F955-G955)/(F955+G955),"")</f>
        <v/>
      </c>
      <c r="P955" s="44">
        <f>IFERROR((I955-J955)/(I955+J955),"")</f>
        <v/>
      </c>
      <c r="Q955" s="45">
        <f>IFERROR(O955-P955,"")</f>
        <v/>
      </c>
      <c r="R955" s="44">
        <f>IFERROR((L955-M955)/(L955+M955),"")</f>
        <v/>
      </c>
      <c r="S955" s="46">
        <f>H955/SUMIFS(Counties!$H$2:$H$1583,Counties!$A$2:$A$1583,$A955)</f>
        <v/>
      </c>
      <c r="T955" s="44">
        <f>O955+INDEX(Dashboard!$F$6:$F$22,MATCH($A955,Dashboard!$A$6:$A$22,0))</f>
        <v/>
      </c>
      <c r="U955" s="43">
        <f>AQ955*INDEX(Dashboard!$G$6:$G$22,MATCH($A955,Dashboard!$A$6:$A$22,0))</f>
        <v/>
      </c>
      <c r="V955" s="47" t="n"/>
      <c r="W955" s="47" t="n"/>
      <c r="X955" s="47" t="n"/>
      <c r="Y955" s="48" t="n"/>
      <c r="Z955" s="49" t="n"/>
      <c r="AA955" s="49" t="n"/>
      <c r="AB955" s="49" t="n"/>
      <c r="AC955" s="50" t="n"/>
      <c r="AD955" s="43">
        <f>IF(Z955&lt;&gt;"",Z955,N(V955))</f>
        <v/>
      </c>
      <c r="AE955" s="43">
        <f>IF(AA955&lt;&gt;"",AA955,N(W955))</f>
        <v/>
      </c>
      <c r="AF955" s="43">
        <f>AD955+AE955</f>
        <v/>
      </c>
      <c r="AG955" s="42">
        <f>IF(UPPER(AC955)="Y",1,IF(AF955=0,0,IF(AND(Z955="",Y955&lt;&gt;""),IF(Y955&gt;=0.999,1,0),IF(AF955&gt;=U955,1,0))))</f>
        <v/>
      </c>
      <c r="AH955" s="44">
        <f>IF(AF955&gt;0,(AD955-AE955)/AF955,"")</f>
        <v/>
      </c>
      <c r="AI955" s="45">
        <f>IF(AG955=1,AH955-O955,"")</f>
        <v/>
      </c>
      <c r="AJ955" s="44">
        <f>IF(AG955=1,AH955,MAX(-1,MIN(1,O955+INDEX(Types!$H:$H,MATCH($A955&amp;"|"&amp;$D955,Types!$A:$A,0)))))</f>
        <v/>
      </c>
      <c r="AK955" s="43">
        <f>IF(AG955=1,AF955,MAX(AQ955*AS955,AF955))</f>
        <v/>
      </c>
      <c r="AL955" s="43">
        <f>IF(AG955=1,AD955,AK955*(1+AJ955)/2)</f>
        <v/>
      </c>
      <c r="AM955" s="43">
        <f>IF(AG955=1,AE955,AK955*(1-AJ955)/2)</f>
        <v/>
      </c>
      <c r="AN955" s="45">
        <f>IF(AH955="","",AH955-T955)</f>
        <v/>
      </c>
      <c r="AO955" s="51">
        <f>IF(AG955=1,1,IF(U955&gt;0,MIN(AF955/U955,0.99),0))</f>
        <v/>
      </c>
      <c r="AP955" s="43">
        <f>IF(AG955=1,AI955*AF955,0)</f>
        <v/>
      </c>
      <c r="AQ955" s="43">
        <f>N955*(F955+G955)/H955</f>
        <v/>
      </c>
      <c r="AR955" s="43">
        <f>O955*AQ955</f>
        <v/>
      </c>
      <c r="AS955" s="52">
        <f>IF(AG955=1,IF(AQ955&gt;0,AF955/AQ955,1),IFERROR(INDEX(Types!$K:$K,MATCH($A955&amp;"|"&amp;$D955,Types!$A:$A,0)),INDEX(Dashboard!$X$6:$X$22,MATCH($A955,Dashboard!$A$6:$A$22,0))))</f>
        <v/>
      </c>
      <c r="AT955" s="43">
        <f>AQ955*INDEX(Dashboard!$Y$6:$Y$22,MATCH($A955,Dashboard!$A$6:$A$22,0))</f>
        <v/>
      </c>
      <c r="AU955" s="53">
        <f>IF(AND(AG955=1,AT955&gt;0,AF955&gt;0),100*AF955/AT955,"")</f>
        <v/>
      </c>
      <c r="AV955" s="44">
        <f>IF(AU955="","",T955/(AU955/100))</f>
        <v/>
      </c>
      <c r="AW955" s="53">
        <f>IF(AU955="","",IF(AND(ABS(AH955)&gt;=0.1,ABS(T955)&gt;=0.05,SIGN(AH955)=SIGN(T955)),100*T955/AH955,""))</f>
        <v/>
      </c>
      <c r="AX955" s="45">
        <f>IF(AU955="","",T955-AV955)</f>
        <v/>
      </c>
      <c r="AY955" s="45">
        <f>IF(AU955="","",AH955-AV955)</f>
        <v/>
      </c>
      <c r="AZ955" s="54">
        <f>(AL955-AM955)-T955*AT955</f>
        <v/>
      </c>
      <c r="BA955" s="43">
        <f>IF(AU955="",0,(AH955-T955)*AF955)</f>
        <v/>
      </c>
      <c r="BB955" s="43">
        <f>IF(AU955="",0,T955*(AF955-AT955))</f>
        <v/>
      </c>
      <c r="BC955" s="51" t="n">
        <v>0.02886396599508882</v>
      </c>
      <c r="BD955" s="51" t="n">
        <v>0.03674770596091158</v>
      </c>
      <c r="BE955" s="51" t="n">
        <v>0.3910229035085748</v>
      </c>
      <c r="BF955" s="43" t="n">
        <v>69637</v>
      </c>
    </row>
    <row r="956">
      <c r="A956" s="42" t="inlineStr">
        <is>
          <t>OH</t>
        </is>
      </c>
      <c r="B956" s="42" t="inlineStr">
        <is>
          <t>39161</t>
        </is>
      </c>
      <c r="C956" s="42" t="inlineStr">
        <is>
          <t>Van Wert</t>
        </is>
      </c>
      <c r="D956" s="42" t="inlineStr">
        <is>
          <t>Small town &amp; rural</t>
        </is>
      </c>
      <c r="E956" s="42" t="inlineStr"/>
      <c r="F956" s="43" t="n">
        <v>3000</v>
      </c>
      <c r="G956" s="43" t="n">
        <v>11616</v>
      </c>
      <c r="H956" s="43" t="n">
        <v>14729</v>
      </c>
      <c r="I956" s="43" t="n">
        <v>3067</v>
      </c>
      <c r="J956" s="43" t="n">
        <v>11650</v>
      </c>
      <c r="K956" s="42" t="inlineStr">
        <is>
          <t>US Senate</t>
        </is>
      </c>
      <c r="L956" s="43" t="n">
        <v>2176</v>
      </c>
      <c r="M956" s="43" t="n">
        <v>7959</v>
      </c>
      <c r="N956" s="43" t="n">
        <v>10135</v>
      </c>
      <c r="O956" s="44">
        <f>IFERROR((F956-G956)/(F956+G956),"")</f>
        <v/>
      </c>
      <c r="P956" s="44">
        <f>IFERROR((I956-J956)/(I956+J956),"")</f>
        <v/>
      </c>
      <c r="Q956" s="45">
        <f>IFERROR(O956-P956,"")</f>
        <v/>
      </c>
      <c r="R956" s="44">
        <f>IFERROR((L956-M956)/(L956+M956),"")</f>
        <v/>
      </c>
      <c r="S956" s="46">
        <f>H956/SUMIFS(Counties!$H$2:$H$1583,Counties!$A$2:$A$1583,$A956)</f>
        <v/>
      </c>
      <c r="T956" s="44">
        <f>O956+INDEX(Dashboard!$F$6:$F$22,MATCH($A956,Dashboard!$A$6:$A$22,0))</f>
        <v/>
      </c>
      <c r="U956" s="43">
        <f>AQ956*INDEX(Dashboard!$G$6:$G$22,MATCH($A956,Dashboard!$A$6:$A$22,0))</f>
        <v/>
      </c>
      <c r="V956" s="47" t="n"/>
      <c r="W956" s="47" t="n"/>
      <c r="X956" s="47" t="n"/>
      <c r="Y956" s="48" t="n"/>
      <c r="Z956" s="49" t="n"/>
      <c r="AA956" s="49" t="n"/>
      <c r="AB956" s="49" t="n"/>
      <c r="AC956" s="50" t="n"/>
      <c r="AD956" s="43">
        <f>IF(Z956&lt;&gt;"",Z956,N(V956))</f>
        <v/>
      </c>
      <c r="AE956" s="43">
        <f>IF(AA956&lt;&gt;"",AA956,N(W956))</f>
        <v/>
      </c>
      <c r="AF956" s="43">
        <f>AD956+AE956</f>
        <v/>
      </c>
      <c r="AG956" s="42">
        <f>IF(UPPER(AC956)="Y",1,IF(AF956=0,0,IF(AND(Z956="",Y956&lt;&gt;""),IF(Y956&gt;=0.999,1,0),IF(AF956&gt;=U956,1,0))))</f>
        <v/>
      </c>
      <c r="AH956" s="44">
        <f>IF(AF956&gt;0,(AD956-AE956)/AF956,"")</f>
        <v/>
      </c>
      <c r="AI956" s="45">
        <f>IF(AG956=1,AH956-O956,"")</f>
        <v/>
      </c>
      <c r="AJ956" s="44">
        <f>IF(AG956=1,AH956,MAX(-1,MIN(1,O956+INDEX(Types!$H:$H,MATCH($A956&amp;"|"&amp;$D956,Types!$A:$A,0)))))</f>
        <v/>
      </c>
      <c r="AK956" s="43">
        <f>IF(AG956=1,AF956,MAX(AQ956*AS956,AF956))</f>
        <v/>
      </c>
      <c r="AL956" s="43">
        <f>IF(AG956=1,AD956,AK956*(1+AJ956)/2)</f>
        <v/>
      </c>
      <c r="AM956" s="43">
        <f>IF(AG956=1,AE956,AK956*(1-AJ956)/2)</f>
        <v/>
      </c>
      <c r="AN956" s="45">
        <f>IF(AH956="","",AH956-T956)</f>
        <v/>
      </c>
      <c r="AO956" s="51">
        <f>IF(AG956=1,1,IF(U956&gt;0,MIN(AF956/U956,0.99),0))</f>
        <v/>
      </c>
      <c r="AP956" s="43">
        <f>IF(AG956=1,AI956*AF956,0)</f>
        <v/>
      </c>
      <c r="AQ956" s="43">
        <f>N956*(F956+G956)/H956</f>
        <v/>
      </c>
      <c r="AR956" s="43">
        <f>O956*AQ956</f>
        <v/>
      </c>
      <c r="AS956" s="52">
        <f>IF(AG956=1,IF(AQ956&gt;0,AF956/AQ956,1),IFERROR(INDEX(Types!$K:$K,MATCH($A956&amp;"|"&amp;$D956,Types!$A:$A,0)),INDEX(Dashboard!$X$6:$X$22,MATCH($A956,Dashboard!$A$6:$A$22,0))))</f>
        <v/>
      </c>
      <c r="AT956" s="43">
        <f>AQ956*INDEX(Dashboard!$Y$6:$Y$22,MATCH($A956,Dashboard!$A$6:$A$22,0))</f>
        <v/>
      </c>
      <c r="AU956" s="53">
        <f>IF(AND(AG956=1,AT956&gt;0,AF956&gt;0),100*AF956/AT956,"")</f>
        <v/>
      </c>
      <c r="AV956" s="44">
        <f>IF(AU956="","",T956/(AU956/100))</f>
        <v/>
      </c>
      <c r="AW956" s="53">
        <f>IF(AU956="","",IF(AND(ABS(AH956)&gt;=0.1,ABS(T956)&gt;=0.05,SIGN(AH956)=SIGN(T956)),100*T956/AH956,""))</f>
        <v/>
      </c>
      <c r="AX956" s="45">
        <f>IF(AU956="","",T956-AV956)</f>
        <v/>
      </c>
      <c r="AY956" s="45">
        <f>IF(AU956="","",AH956-AV956)</f>
        <v/>
      </c>
      <c r="AZ956" s="54">
        <f>(AL956-AM956)-T956*AT956</f>
        <v/>
      </c>
      <c r="BA956" s="43">
        <f>IF(AU956="",0,(AH956-T956)*AF956)</f>
        <v/>
      </c>
      <c r="BB956" s="43">
        <f>IF(AU956="",0,T956*(AF956-AT956))</f>
        <v/>
      </c>
      <c r="BC956" s="51" t="n">
        <v>0.01111343366778149</v>
      </c>
      <c r="BD956" s="51" t="n">
        <v>0.04222408026755853</v>
      </c>
      <c r="BE956" s="51" t="n">
        <v>0.1699654256651801</v>
      </c>
      <c r="BF956" s="43" t="n">
        <v>28704</v>
      </c>
    </row>
    <row r="957">
      <c r="A957" s="42" t="inlineStr">
        <is>
          <t>OH</t>
        </is>
      </c>
      <c r="B957" s="42" t="inlineStr">
        <is>
          <t>39163</t>
        </is>
      </c>
      <c r="C957" s="42" t="inlineStr">
        <is>
          <t>Vinton</t>
        </is>
      </c>
      <c r="D957" s="42" t="inlineStr">
        <is>
          <t>Small town &amp; rural</t>
        </is>
      </c>
      <c r="E957" s="42" t="inlineStr"/>
      <c r="F957" s="43" t="n">
        <v>1169</v>
      </c>
      <c r="G957" s="43" t="n">
        <v>4531</v>
      </c>
      <c r="H957" s="43" t="n">
        <v>5737</v>
      </c>
      <c r="I957" s="43" t="n">
        <v>1331</v>
      </c>
      <c r="J957" s="43" t="n">
        <v>4632</v>
      </c>
      <c r="K957" s="42" t="inlineStr">
        <is>
          <t>US Senate</t>
        </is>
      </c>
      <c r="L957" s="43" t="n">
        <v>1028</v>
      </c>
      <c r="M957" s="43" t="n">
        <v>2986</v>
      </c>
      <c r="N957" s="43" t="n">
        <v>4016</v>
      </c>
      <c r="O957" s="44">
        <f>IFERROR((F957-G957)/(F957+G957),"")</f>
        <v/>
      </c>
      <c r="P957" s="44">
        <f>IFERROR((I957-J957)/(I957+J957),"")</f>
        <v/>
      </c>
      <c r="Q957" s="45">
        <f>IFERROR(O957-P957,"")</f>
        <v/>
      </c>
      <c r="R957" s="44">
        <f>IFERROR((L957-M957)/(L957+M957),"")</f>
        <v/>
      </c>
      <c r="S957" s="46">
        <f>H957/SUMIFS(Counties!$H$2:$H$1583,Counties!$A$2:$A$1583,$A957)</f>
        <v/>
      </c>
      <c r="T957" s="44">
        <f>O957+INDEX(Dashboard!$F$6:$F$22,MATCH($A957,Dashboard!$A$6:$A$22,0))</f>
        <v/>
      </c>
      <c r="U957" s="43">
        <f>AQ957*INDEX(Dashboard!$G$6:$G$22,MATCH($A957,Dashboard!$A$6:$A$22,0))</f>
        <v/>
      </c>
      <c r="V957" s="47" t="n"/>
      <c r="W957" s="47" t="n"/>
      <c r="X957" s="47" t="n"/>
      <c r="Y957" s="48" t="n"/>
      <c r="Z957" s="49" t="n"/>
      <c r="AA957" s="49" t="n"/>
      <c r="AB957" s="49" t="n"/>
      <c r="AC957" s="50" t="n"/>
      <c r="AD957" s="43">
        <f>IF(Z957&lt;&gt;"",Z957,N(V957))</f>
        <v/>
      </c>
      <c r="AE957" s="43">
        <f>IF(AA957&lt;&gt;"",AA957,N(W957))</f>
        <v/>
      </c>
      <c r="AF957" s="43">
        <f>AD957+AE957</f>
        <v/>
      </c>
      <c r="AG957" s="42">
        <f>IF(UPPER(AC957)="Y",1,IF(AF957=0,0,IF(AND(Z957="",Y957&lt;&gt;""),IF(Y957&gt;=0.999,1,0),IF(AF957&gt;=U957,1,0))))</f>
        <v/>
      </c>
      <c r="AH957" s="44">
        <f>IF(AF957&gt;0,(AD957-AE957)/AF957,"")</f>
        <v/>
      </c>
      <c r="AI957" s="45">
        <f>IF(AG957=1,AH957-O957,"")</f>
        <v/>
      </c>
      <c r="AJ957" s="44">
        <f>IF(AG957=1,AH957,MAX(-1,MIN(1,O957+INDEX(Types!$H:$H,MATCH($A957&amp;"|"&amp;$D957,Types!$A:$A,0)))))</f>
        <v/>
      </c>
      <c r="AK957" s="43">
        <f>IF(AG957=1,AF957,MAX(AQ957*AS957,AF957))</f>
        <v/>
      </c>
      <c r="AL957" s="43">
        <f>IF(AG957=1,AD957,AK957*(1+AJ957)/2)</f>
        <v/>
      </c>
      <c r="AM957" s="43">
        <f>IF(AG957=1,AE957,AK957*(1-AJ957)/2)</f>
        <v/>
      </c>
      <c r="AN957" s="45">
        <f>IF(AH957="","",AH957-T957)</f>
        <v/>
      </c>
      <c r="AO957" s="51">
        <f>IF(AG957=1,1,IF(U957&gt;0,MIN(AF957/U957,0.99),0))</f>
        <v/>
      </c>
      <c r="AP957" s="43">
        <f>IF(AG957=1,AI957*AF957,0)</f>
        <v/>
      </c>
      <c r="AQ957" s="43">
        <f>N957*(F957+G957)/H957</f>
        <v/>
      </c>
      <c r="AR957" s="43">
        <f>O957*AQ957</f>
        <v/>
      </c>
      <c r="AS957" s="52">
        <f>IF(AG957=1,IF(AQ957&gt;0,AF957/AQ957,1),IFERROR(INDEX(Types!$K:$K,MATCH($A957&amp;"|"&amp;$D957,Types!$A:$A,0)),INDEX(Dashboard!$X$6:$X$22,MATCH($A957,Dashboard!$A$6:$A$22,0))))</f>
        <v/>
      </c>
      <c r="AT957" s="43">
        <f>AQ957*INDEX(Dashboard!$Y$6:$Y$22,MATCH($A957,Dashboard!$A$6:$A$22,0))</f>
        <v/>
      </c>
      <c r="AU957" s="53">
        <f>IF(AND(AG957=1,AT957&gt;0,AF957&gt;0),100*AF957/AT957,"")</f>
        <v/>
      </c>
      <c r="AV957" s="44">
        <f>IF(AU957="","",T957/(AU957/100))</f>
        <v/>
      </c>
      <c r="AW957" s="53">
        <f>IF(AU957="","",IF(AND(ABS(AH957)&gt;=0.1,ABS(T957)&gt;=0.05,SIGN(AH957)=SIGN(T957)),100*T957/AH957,""))</f>
        <v/>
      </c>
      <c r="AX957" s="45">
        <f>IF(AU957="","",T957-AV957)</f>
        <v/>
      </c>
      <c r="AY957" s="45">
        <f>IF(AU957="","",AH957-AV957)</f>
        <v/>
      </c>
      <c r="AZ957" s="54">
        <f>(AL957-AM957)-T957*AT957</f>
        <v/>
      </c>
      <c r="BA957" s="43">
        <f>IF(AU957="",0,(AH957-T957)*AF957)</f>
        <v/>
      </c>
      <c r="BB957" s="43">
        <f>IF(AU957="",0,T957*(AF957-AT957))</f>
        <v/>
      </c>
      <c r="BC957" s="51" t="n">
        <v>0.005772005772005772</v>
      </c>
      <c r="BD957" s="51" t="n">
        <v>0.010662177328844</v>
      </c>
      <c r="BE957" s="51" t="n">
        <v>0.1511835640911121</v>
      </c>
      <c r="BF957" s="43" t="n">
        <v>12474</v>
      </c>
    </row>
    <row r="958">
      <c r="A958" s="42" t="inlineStr">
        <is>
          <t>OH</t>
        </is>
      </c>
      <c r="B958" s="42" t="inlineStr">
        <is>
          <t>39165</t>
        </is>
      </c>
      <c r="C958" s="42" t="inlineStr">
        <is>
          <t>Warren</t>
        </is>
      </c>
      <c r="D958" s="42" t="inlineStr">
        <is>
          <t>College suburb/metro</t>
        </is>
      </c>
      <c r="E958" s="42" t="inlineStr">
        <is>
          <t>★</t>
        </is>
      </c>
      <c r="F958" s="43" t="n">
        <v>47128</v>
      </c>
      <c r="G958" s="43" t="n">
        <v>91132</v>
      </c>
      <c r="H958" s="43" t="n">
        <v>139593</v>
      </c>
      <c r="I958" s="43" t="n">
        <v>46069</v>
      </c>
      <c r="J958" s="43" t="n">
        <v>87988</v>
      </c>
      <c r="K958" s="42" t="inlineStr">
        <is>
          <t>US Senate</t>
        </is>
      </c>
      <c r="L958" s="43" t="n">
        <v>35970</v>
      </c>
      <c r="M958" s="43" t="n">
        <v>65370</v>
      </c>
      <c r="N958" s="43" t="n">
        <v>101372</v>
      </c>
      <c r="O958" s="44">
        <f>IFERROR((F958-G958)/(F958+G958),"")</f>
        <v/>
      </c>
      <c r="P958" s="44">
        <f>IFERROR((I958-J958)/(I958+J958),"")</f>
        <v/>
      </c>
      <c r="Q958" s="45">
        <f>IFERROR(O958-P958,"")</f>
        <v/>
      </c>
      <c r="R958" s="44">
        <f>IFERROR((L958-M958)/(L958+M958),"")</f>
        <v/>
      </c>
      <c r="S958" s="46">
        <f>H958/SUMIFS(Counties!$H$2:$H$1583,Counties!$A$2:$A$1583,$A958)</f>
        <v/>
      </c>
      <c r="T958" s="44">
        <f>O958+INDEX(Dashboard!$F$6:$F$22,MATCH($A958,Dashboard!$A$6:$A$22,0))</f>
        <v/>
      </c>
      <c r="U958" s="43">
        <f>AQ958*INDEX(Dashboard!$G$6:$G$22,MATCH($A958,Dashboard!$A$6:$A$22,0))</f>
        <v/>
      </c>
      <c r="V958" s="47" t="n"/>
      <c r="W958" s="47" t="n"/>
      <c r="X958" s="47" t="n"/>
      <c r="Y958" s="48" t="n"/>
      <c r="Z958" s="49" t="n"/>
      <c r="AA958" s="49" t="n"/>
      <c r="AB958" s="49" t="n"/>
      <c r="AC958" s="50" t="n"/>
      <c r="AD958" s="43">
        <f>IF(Z958&lt;&gt;"",Z958,N(V958))</f>
        <v/>
      </c>
      <c r="AE958" s="43">
        <f>IF(AA958&lt;&gt;"",AA958,N(W958))</f>
        <v/>
      </c>
      <c r="AF958" s="43">
        <f>AD958+AE958</f>
        <v/>
      </c>
      <c r="AG958" s="42">
        <f>IF(UPPER(AC958)="Y",1,IF(AF958=0,0,IF(AND(Z958="",Y958&lt;&gt;""),IF(Y958&gt;=0.999,1,0),IF(AF958&gt;=U958,1,0))))</f>
        <v/>
      </c>
      <c r="AH958" s="44">
        <f>IF(AF958&gt;0,(AD958-AE958)/AF958,"")</f>
        <v/>
      </c>
      <c r="AI958" s="45">
        <f>IF(AG958=1,AH958-O958,"")</f>
        <v/>
      </c>
      <c r="AJ958" s="44">
        <f>IF(AG958=1,AH958,MAX(-1,MIN(1,O958+INDEX(Types!$H:$H,MATCH($A958&amp;"|"&amp;$D958,Types!$A:$A,0)))))</f>
        <v/>
      </c>
      <c r="AK958" s="43">
        <f>IF(AG958=1,AF958,MAX(AQ958*AS958,AF958))</f>
        <v/>
      </c>
      <c r="AL958" s="43">
        <f>IF(AG958=1,AD958,AK958*(1+AJ958)/2)</f>
        <v/>
      </c>
      <c r="AM958" s="43">
        <f>IF(AG958=1,AE958,AK958*(1-AJ958)/2)</f>
        <v/>
      </c>
      <c r="AN958" s="45">
        <f>IF(AH958="","",AH958-T958)</f>
        <v/>
      </c>
      <c r="AO958" s="51">
        <f>IF(AG958=1,1,IF(U958&gt;0,MIN(AF958/U958,0.99),0))</f>
        <v/>
      </c>
      <c r="AP958" s="43">
        <f>IF(AG958=1,AI958*AF958,0)</f>
        <v/>
      </c>
      <c r="AQ958" s="43">
        <f>N958*(F958+G958)/H958</f>
        <v/>
      </c>
      <c r="AR958" s="43">
        <f>O958*AQ958</f>
        <v/>
      </c>
      <c r="AS958" s="52">
        <f>IF(AG958=1,IF(AQ958&gt;0,AF958/AQ958,1),IFERROR(INDEX(Types!$K:$K,MATCH($A958&amp;"|"&amp;$D958,Types!$A:$A,0)),INDEX(Dashboard!$X$6:$X$22,MATCH($A958,Dashboard!$A$6:$A$22,0))))</f>
        <v/>
      </c>
      <c r="AT958" s="43">
        <f>AQ958*INDEX(Dashboard!$Y$6:$Y$22,MATCH($A958,Dashboard!$A$6:$A$22,0))</f>
        <v/>
      </c>
      <c r="AU958" s="53">
        <f>IF(AND(AG958=1,AT958&gt;0,AF958&gt;0),100*AF958/AT958,"")</f>
        <v/>
      </c>
      <c r="AV958" s="44">
        <f>IF(AU958="","",T958/(AU958/100))</f>
        <v/>
      </c>
      <c r="AW958" s="53">
        <f>IF(AU958="","",IF(AND(ABS(AH958)&gt;=0.1,ABS(T958)&gt;=0.05,SIGN(AH958)=SIGN(T958)),100*T958/AH958,""))</f>
        <v/>
      </c>
      <c r="AX958" s="45">
        <f>IF(AU958="","",T958-AV958)</f>
        <v/>
      </c>
      <c r="AY958" s="45">
        <f>IF(AU958="","",AH958-AV958)</f>
        <v/>
      </c>
      <c r="AZ958" s="54">
        <f>(AL958-AM958)-T958*AT958</f>
        <v/>
      </c>
      <c r="BA958" s="43">
        <f>IF(AU958="",0,(AH958-T958)*AF958)</f>
        <v/>
      </c>
      <c r="BB958" s="43">
        <f>IF(AU958="",0,T958*(AF958-AT958))</f>
        <v/>
      </c>
      <c r="BC958" s="51" t="n">
        <v>0.03733918175040056</v>
      </c>
      <c r="BD958" s="51" t="n">
        <v>0.0356814251947269</v>
      </c>
      <c r="BE958" s="51" t="n">
        <v>0.4568689524422743</v>
      </c>
      <c r="BF958" s="43" t="n">
        <v>252148</v>
      </c>
    </row>
    <row r="959">
      <c r="A959" s="42" t="inlineStr">
        <is>
          <t>OH</t>
        </is>
      </c>
      <c r="B959" s="42" t="inlineStr">
        <is>
          <t>39167</t>
        </is>
      </c>
      <c r="C959" s="42" t="inlineStr">
        <is>
          <t>Washington</t>
        </is>
      </c>
      <c r="D959" s="42" t="inlineStr">
        <is>
          <t>Small town &amp; rural</t>
        </is>
      </c>
      <c r="E959" s="42" t="inlineStr"/>
      <c r="F959" s="43" t="n">
        <v>8600</v>
      </c>
      <c r="G959" s="43" t="n">
        <v>22161</v>
      </c>
      <c r="H959" s="43" t="n">
        <v>31000</v>
      </c>
      <c r="I959" s="43" t="n">
        <v>9243</v>
      </c>
      <c r="J959" s="43" t="n">
        <v>22307</v>
      </c>
      <c r="K959" s="42" t="inlineStr">
        <is>
          <t>US Senate</t>
        </is>
      </c>
      <c r="L959" s="43" t="n">
        <v>6938</v>
      </c>
      <c r="M959" s="43" t="n">
        <v>15812</v>
      </c>
      <c r="N959" s="43" t="n">
        <v>22751</v>
      </c>
      <c r="O959" s="44">
        <f>IFERROR((F959-G959)/(F959+G959),"")</f>
        <v/>
      </c>
      <c r="P959" s="44">
        <f>IFERROR((I959-J959)/(I959+J959),"")</f>
        <v/>
      </c>
      <c r="Q959" s="45">
        <f>IFERROR(O959-P959,"")</f>
        <v/>
      </c>
      <c r="R959" s="44">
        <f>IFERROR((L959-M959)/(L959+M959),"")</f>
        <v/>
      </c>
      <c r="S959" s="46">
        <f>H959/SUMIFS(Counties!$H$2:$H$1583,Counties!$A$2:$A$1583,$A959)</f>
        <v/>
      </c>
      <c r="T959" s="44">
        <f>O959+INDEX(Dashboard!$F$6:$F$22,MATCH($A959,Dashboard!$A$6:$A$22,0))</f>
        <v/>
      </c>
      <c r="U959" s="43">
        <f>AQ959*INDEX(Dashboard!$G$6:$G$22,MATCH($A959,Dashboard!$A$6:$A$22,0))</f>
        <v/>
      </c>
      <c r="V959" s="47" t="n"/>
      <c r="W959" s="47" t="n"/>
      <c r="X959" s="47" t="n"/>
      <c r="Y959" s="48" t="n"/>
      <c r="Z959" s="49" t="n"/>
      <c r="AA959" s="49" t="n"/>
      <c r="AB959" s="49" t="n"/>
      <c r="AC959" s="50" t="n"/>
      <c r="AD959" s="43">
        <f>IF(Z959&lt;&gt;"",Z959,N(V959))</f>
        <v/>
      </c>
      <c r="AE959" s="43">
        <f>IF(AA959&lt;&gt;"",AA959,N(W959))</f>
        <v/>
      </c>
      <c r="AF959" s="43">
        <f>AD959+AE959</f>
        <v/>
      </c>
      <c r="AG959" s="42">
        <f>IF(UPPER(AC959)="Y",1,IF(AF959=0,0,IF(AND(Z959="",Y959&lt;&gt;""),IF(Y959&gt;=0.999,1,0),IF(AF959&gt;=U959,1,0))))</f>
        <v/>
      </c>
      <c r="AH959" s="44">
        <f>IF(AF959&gt;0,(AD959-AE959)/AF959,"")</f>
        <v/>
      </c>
      <c r="AI959" s="45">
        <f>IF(AG959=1,AH959-O959,"")</f>
        <v/>
      </c>
      <c r="AJ959" s="44">
        <f>IF(AG959=1,AH959,MAX(-1,MIN(1,O959+INDEX(Types!$H:$H,MATCH($A959&amp;"|"&amp;$D959,Types!$A:$A,0)))))</f>
        <v/>
      </c>
      <c r="AK959" s="43">
        <f>IF(AG959=1,AF959,MAX(AQ959*AS959,AF959))</f>
        <v/>
      </c>
      <c r="AL959" s="43">
        <f>IF(AG959=1,AD959,AK959*(1+AJ959)/2)</f>
        <v/>
      </c>
      <c r="AM959" s="43">
        <f>IF(AG959=1,AE959,AK959*(1-AJ959)/2)</f>
        <v/>
      </c>
      <c r="AN959" s="45">
        <f>IF(AH959="","",AH959-T959)</f>
        <v/>
      </c>
      <c r="AO959" s="51">
        <f>IF(AG959=1,1,IF(U959&gt;0,MIN(AF959/U959,0.99),0))</f>
        <v/>
      </c>
      <c r="AP959" s="43">
        <f>IF(AG959=1,AI959*AF959,0)</f>
        <v/>
      </c>
      <c r="AQ959" s="43">
        <f>N959*(F959+G959)/H959</f>
        <v/>
      </c>
      <c r="AR959" s="43">
        <f>O959*AQ959</f>
        <v/>
      </c>
      <c r="AS959" s="52">
        <f>IF(AG959=1,IF(AQ959&gt;0,AF959/AQ959,1),IFERROR(INDEX(Types!$K:$K,MATCH($A959&amp;"|"&amp;$D959,Types!$A:$A,0)),INDEX(Dashboard!$X$6:$X$22,MATCH($A959,Dashboard!$A$6:$A$22,0))))</f>
        <v/>
      </c>
      <c r="AT959" s="43">
        <f>AQ959*INDEX(Dashboard!$Y$6:$Y$22,MATCH($A959,Dashboard!$A$6:$A$22,0))</f>
        <v/>
      </c>
      <c r="AU959" s="53">
        <f>IF(AND(AG959=1,AT959&gt;0,AF959&gt;0),100*AF959/AT959,"")</f>
        <v/>
      </c>
      <c r="AV959" s="44">
        <f>IF(AU959="","",T959/(AU959/100))</f>
        <v/>
      </c>
      <c r="AW959" s="53">
        <f>IF(AU959="","",IF(AND(ABS(AH959)&gt;=0.1,ABS(T959)&gt;=0.05,SIGN(AH959)=SIGN(T959)),100*T959/AH959,""))</f>
        <v/>
      </c>
      <c r="AX959" s="45">
        <f>IF(AU959="","",T959-AV959)</f>
        <v/>
      </c>
      <c r="AY959" s="45">
        <f>IF(AU959="","",AH959-AV959)</f>
        <v/>
      </c>
      <c r="AZ959" s="54">
        <f>(AL959-AM959)-T959*AT959</f>
        <v/>
      </c>
      <c r="BA959" s="43">
        <f>IF(AU959="",0,(AH959-T959)*AF959)</f>
        <v/>
      </c>
      <c r="BB959" s="43">
        <f>IF(AU959="",0,T959*(AF959-AT959))</f>
        <v/>
      </c>
      <c r="BC959" s="51" t="n">
        <v>0.01358895129487683</v>
      </c>
      <c r="BD959" s="51" t="n">
        <v>0.01287194632705669</v>
      </c>
      <c r="BE959" s="51" t="n">
        <v>0.2070269381620047</v>
      </c>
      <c r="BF959" s="43" t="n">
        <v>58577</v>
      </c>
    </row>
    <row r="960">
      <c r="A960" s="42" t="inlineStr">
        <is>
          <t>OH</t>
        </is>
      </c>
      <c r="B960" s="42" t="inlineStr">
        <is>
          <t>39169</t>
        </is>
      </c>
      <c r="C960" s="42" t="inlineStr">
        <is>
          <t>Wayne</t>
        </is>
      </c>
      <c r="D960" s="42" t="inlineStr">
        <is>
          <t>Mid-size/working metro</t>
        </is>
      </c>
      <c r="E960" s="42" t="inlineStr"/>
      <c r="F960" s="43" t="n">
        <v>15898</v>
      </c>
      <c r="G960" s="43" t="n">
        <v>36764</v>
      </c>
      <c r="H960" s="43" t="n">
        <v>53140</v>
      </c>
      <c r="I960" s="43" t="n">
        <v>16660</v>
      </c>
      <c r="J960" s="43" t="n">
        <v>36759</v>
      </c>
      <c r="K960" s="42" t="inlineStr">
        <is>
          <t>US Senate</t>
        </is>
      </c>
      <c r="L960" s="43" t="n">
        <v>12832</v>
      </c>
      <c r="M960" s="43" t="n">
        <v>25599</v>
      </c>
      <c r="N960" s="43" t="n">
        <v>38450</v>
      </c>
      <c r="O960" s="44">
        <f>IFERROR((F960-G960)/(F960+G960),"")</f>
        <v/>
      </c>
      <c r="P960" s="44">
        <f>IFERROR((I960-J960)/(I960+J960),"")</f>
        <v/>
      </c>
      <c r="Q960" s="45">
        <f>IFERROR(O960-P960,"")</f>
        <v/>
      </c>
      <c r="R960" s="44">
        <f>IFERROR((L960-M960)/(L960+M960),"")</f>
        <v/>
      </c>
      <c r="S960" s="46">
        <f>H960/SUMIFS(Counties!$H$2:$H$1583,Counties!$A$2:$A$1583,$A960)</f>
        <v/>
      </c>
      <c r="T960" s="44">
        <f>O960+INDEX(Dashboard!$F$6:$F$22,MATCH($A960,Dashboard!$A$6:$A$22,0))</f>
        <v/>
      </c>
      <c r="U960" s="43">
        <f>AQ960*INDEX(Dashboard!$G$6:$G$22,MATCH($A960,Dashboard!$A$6:$A$22,0))</f>
        <v/>
      </c>
      <c r="V960" s="47" t="n"/>
      <c r="W960" s="47" t="n"/>
      <c r="X960" s="47" t="n"/>
      <c r="Y960" s="48" t="n"/>
      <c r="Z960" s="49" t="n"/>
      <c r="AA960" s="49" t="n"/>
      <c r="AB960" s="49" t="n"/>
      <c r="AC960" s="50" t="n"/>
      <c r="AD960" s="43">
        <f>IF(Z960&lt;&gt;"",Z960,N(V960))</f>
        <v/>
      </c>
      <c r="AE960" s="43">
        <f>IF(AA960&lt;&gt;"",AA960,N(W960))</f>
        <v/>
      </c>
      <c r="AF960" s="43">
        <f>AD960+AE960</f>
        <v/>
      </c>
      <c r="AG960" s="42">
        <f>IF(UPPER(AC960)="Y",1,IF(AF960=0,0,IF(AND(Z960="",Y960&lt;&gt;""),IF(Y960&gt;=0.999,1,0),IF(AF960&gt;=U960,1,0))))</f>
        <v/>
      </c>
      <c r="AH960" s="44">
        <f>IF(AF960&gt;0,(AD960-AE960)/AF960,"")</f>
        <v/>
      </c>
      <c r="AI960" s="45">
        <f>IF(AG960=1,AH960-O960,"")</f>
        <v/>
      </c>
      <c r="AJ960" s="44">
        <f>IF(AG960=1,AH960,MAX(-1,MIN(1,O960+INDEX(Types!$H:$H,MATCH($A960&amp;"|"&amp;$D960,Types!$A:$A,0)))))</f>
        <v/>
      </c>
      <c r="AK960" s="43">
        <f>IF(AG960=1,AF960,MAX(AQ960*AS960,AF960))</f>
        <v/>
      </c>
      <c r="AL960" s="43">
        <f>IF(AG960=1,AD960,AK960*(1+AJ960)/2)</f>
        <v/>
      </c>
      <c r="AM960" s="43">
        <f>IF(AG960=1,AE960,AK960*(1-AJ960)/2)</f>
        <v/>
      </c>
      <c r="AN960" s="45">
        <f>IF(AH960="","",AH960-T960)</f>
        <v/>
      </c>
      <c r="AO960" s="51">
        <f>IF(AG960=1,1,IF(U960&gt;0,MIN(AF960/U960,0.99),0))</f>
        <v/>
      </c>
      <c r="AP960" s="43">
        <f>IF(AG960=1,AI960*AF960,0)</f>
        <v/>
      </c>
      <c r="AQ960" s="43">
        <f>N960*(F960+G960)/H960</f>
        <v/>
      </c>
      <c r="AR960" s="43">
        <f>O960*AQ960</f>
        <v/>
      </c>
      <c r="AS960" s="52">
        <f>IF(AG960=1,IF(AQ960&gt;0,AF960/AQ960,1),IFERROR(INDEX(Types!$K:$K,MATCH($A960&amp;"|"&amp;$D960,Types!$A:$A,0)),INDEX(Dashboard!$X$6:$X$22,MATCH($A960,Dashboard!$A$6:$A$22,0))))</f>
        <v/>
      </c>
      <c r="AT960" s="43">
        <f>AQ960*INDEX(Dashboard!$Y$6:$Y$22,MATCH($A960,Dashboard!$A$6:$A$22,0))</f>
        <v/>
      </c>
      <c r="AU960" s="53">
        <f>IF(AND(AG960=1,AT960&gt;0,AF960&gt;0),100*AF960/AT960,"")</f>
        <v/>
      </c>
      <c r="AV960" s="44">
        <f>IF(AU960="","",T960/(AU960/100))</f>
        <v/>
      </c>
      <c r="AW960" s="53">
        <f>IF(AU960="","",IF(AND(ABS(AH960)&gt;=0.1,ABS(T960)&gt;=0.05,SIGN(AH960)=SIGN(T960)),100*T960/AH960,""))</f>
        <v/>
      </c>
      <c r="AX960" s="45">
        <f>IF(AU960="","",T960-AV960)</f>
        <v/>
      </c>
      <c r="AY960" s="45">
        <f>IF(AU960="","",AH960-AV960)</f>
        <v/>
      </c>
      <c r="AZ960" s="54">
        <f>(AL960-AM960)-T960*AT960</f>
        <v/>
      </c>
      <c r="BA960" s="43">
        <f>IF(AU960="",0,(AH960-T960)*AF960)</f>
        <v/>
      </c>
      <c r="BB960" s="43">
        <f>IF(AU960="",0,T960*(AF960-AT960))</f>
        <v/>
      </c>
      <c r="BC960" s="51" t="n">
        <v>0.01585271650502103</v>
      </c>
      <c r="BD960" s="51" t="n">
        <v>0.02512230709810317</v>
      </c>
      <c r="BE960" s="51" t="n">
        <v>0.2471529901737489</v>
      </c>
      <c r="BF960" s="43" t="n">
        <v>116510</v>
      </c>
    </row>
    <row r="961">
      <c r="A961" s="42" t="inlineStr">
        <is>
          <t>OH</t>
        </is>
      </c>
      <c r="B961" s="42" t="inlineStr">
        <is>
          <t>39171</t>
        </is>
      </c>
      <c r="C961" s="42" t="inlineStr">
        <is>
          <t>Williams</t>
        </is>
      </c>
      <c r="D961" s="42" t="inlineStr">
        <is>
          <t>Small town &amp; rural</t>
        </is>
      </c>
      <c r="E961" s="42" t="inlineStr"/>
      <c r="F961" s="43" t="n">
        <v>4644</v>
      </c>
      <c r="G961" s="43" t="n">
        <v>13461</v>
      </c>
      <c r="H961" s="43" t="n">
        <v>18274</v>
      </c>
      <c r="I961" s="43" t="n">
        <v>4842</v>
      </c>
      <c r="J961" s="43" t="n">
        <v>13452</v>
      </c>
      <c r="K961" s="42" t="inlineStr">
        <is>
          <t>US Senate</t>
        </is>
      </c>
      <c r="L961" s="43" t="n">
        <v>3903</v>
      </c>
      <c r="M961" s="43" t="n">
        <v>8935</v>
      </c>
      <c r="N961" s="43" t="n">
        <v>12843</v>
      </c>
      <c r="O961" s="44">
        <f>IFERROR((F961-G961)/(F961+G961),"")</f>
        <v/>
      </c>
      <c r="P961" s="44">
        <f>IFERROR((I961-J961)/(I961+J961),"")</f>
        <v/>
      </c>
      <c r="Q961" s="45">
        <f>IFERROR(O961-P961,"")</f>
        <v/>
      </c>
      <c r="R961" s="44">
        <f>IFERROR((L961-M961)/(L961+M961),"")</f>
        <v/>
      </c>
      <c r="S961" s="46">
        <f>H961/SUMIFS(Counties!$H$2:$H$1583,Counties!$A$2:$A$1583,$A961)</f>
        <v/>
      </c>
      <c r="T961" s="44">
        <f>O961+INDEX(Dashboard!$F$6:$F$22,MATCH($A961,Dashboard!$A$6:$A$22,0))</f>
        <v/>
      </c>
      <c r="U961" s="43">
        <f>AQ961*INDEX(Dashboard!$G$6:$G$22,MATCH($A961,Dashboard!$A$6:$A$22,0))</f>
        <v/>
      </c>
      <c r="V961" s="47" t="n"/>
      <c r="W961" s="47" t="n"/>
      <c r="X961" s="47" t="n"/>
      <c r="Y961" s="48" t="n"/>
      <c r="Z961" s="49" t="n"/>
      <c r="AA961" s="49" t="n"/>
      <c r="AB961" s="49" t="n"/>
      <c r="AC961" s="50" t="n"/>
      <c r="AD961" s="43">
        <f>IF(Z961&lt;&gt;"",Z961,N(V961))</f>
        <v/>
      </c>
      <c r="AE961" s="43">
        <f>IF(AA961&lt;&gt;"",AA961,N(W961))</f>
        <v/>
      </c>
      <c r="AF961" s="43">
        <f>AD961+AE961</f>
        <v/>
      </c>
      <c r="AG961" s="42">
        <f>IF(UPPER(AC961)="Y",1,IF(AF961=0,0,IF(AND(Z961="",Y961&lt;&gt;""),IF(Y961&gt;=0.999,1,0),IF(AF961&gt;=U961,1,0))))</f>
        <v/>
      </c>
      <c r="AH961" s="44">
        <f>IF(AF961&gt;0,(AD961-AE961)/AF961,"")</f>
        <v/>
      </c>
      <c r="AI961" s="45">
        <f>IF(AG961=1,AH961-O961,"")</f>
        <v/>
      </c>
      <c r="AJ961" s="44">
        <f>IF(AG961=1,AH961,MAX(-1,MIN(1,O961+INDEX(Types!$H:$H,MATCH($A961&amp;"|"&amp;$D961,Types!$A:$A,0)))))</f>
        <v/>
      </c>
      <c r="AK961" s="43">
        <f>IF(AG961=1,AF961,MAX(AQ961*AS961,AF961))</f>
        <v/>
      </c>
      <c r="AL961" s="43">
        <f>IF(AG961=1,AD961,AK961*(1+AJ961)/2)</f>
        <v/>
      </c>
      <c r="AM961" s="43">
        <f>IF(AG961=1,AE961,AK961*(1-AJ961)/2)</f>
        <v/>
      </c>
      <c r="AN961" s="45">
        <f>IF(AH961="","",AH961-T961)</f>
        <v/>
      </c>
      <c r="AO961" s="51">
        <f>IF(AG961=1,1,IF(U961&gt;0,MIN(AF961/U961,0.99),0))</f>
        <v/>
      </c>
      <c r="AP961" s="43">
        <f>IF(AG961=1,AI961*AF961,0)</f>
        <v/>
      </c>
      <c r="AQ961" s="43">
        <f>N961*(F961+G961)/H961</f>
        <v/>
      </c>
      <c r="AR961" s="43">
        <f>O961*AQ961</f>
        <v/>
      </c>
      <c r="AS961" s="52">
        <f>IF(AG961=1,IF(AQ961&gt;0,AF961/AQ961,1),IFERROR(INDEX(Types!$K:$K,MATCH($A961&amp;"|"&amp;$D961,Types!$A:$A,0)),INDEX(Dashboard!$X$6:$X$22,MATCH($A961,Dashboard!$A$6:$A$22,0))))</f>
        <v/>
      </c>
      <c r="AT961" s="43">
        <f>AQ961*INDEX(Dashboard!$Y$6:$Y$22,MATCH($A961,Dashboard!$A$6:$A$22,0))</f>
        <v/>
      </c>
      <c r="AU961" s="53">
        <f>IF(AND(AG961=1,AT961&gt;0,AF961&gt;0),100*AF961/AT961,"")</f>
        <v/>
      </c>
      <c r="AV961" s="44">
        <f>IF(AU961="","",T961/(AU961/100))</f>
        <v/>
      </c>
      <c r="AW961" s="53">
        <f>IF(AU961="","",IF(AND(ABS(AH961)&gt;=0.1,ABS(T961)&gt;=0.05,SIGN(AH961)=SIGN(T961)),100*T961/AH961,""))</f>
        <v/>
      </c>
      <c r="AX961" s="45">
        <f>IF(AU961="","",T961-AV961)</f>
        <v/>
      </c>
      <c r="AY961" s="45">
        <f>IF(AU961="","",AH961-AV961)</f>
        <v/>
      </c>
      <c r="AZ961" s="54">
        <f>(AL961-AM961)-T961*AT961</f>
        <v/>
      </c>
      <c r="BA961" s="43">
        <f>IF(AU961="",0,(AH961-T961)*AF961)</f>
        <v/>
      </c>
      <c r="BB961" s="43">
        <f>IF(AU961="",0,T961*(AF961-AT961))</f>
        <v/>
      </c>
      <c r="BC961" s="51" t="n">
        <v>0.01306332158180974</v>
      </c>
      <c r="BD961" s="51" t="n">
        <v>0.05613402202727447</v>
      </c>
      <c r="BE961" s="51" t="n">
        <v>0.1423435265009471</v>
      </c>
      <c r="BF961" s="43" t="n">
        <v>36591</v>
      </c>
    </row>
    <row r="962">
      <c r="A962" s="42" t="inlineStr">
        <is>
          <t>OH</t>
        </is>
      </c>
      <c r="B962" s="42" t="inlineStr">
        <is>
          <t>39173</t>
        </is>
      </c>
      <c r="C962" s="42" t="inlineStr">
        <is>
          <t>Wood</t>
        </is>
      </c>
      <c r="D962" s="42" t="inlineStr">
        <is>
          <t>Mid-size/working metro</t>
        </is>
      </c>
      <c r="E962" s="42" t="inlineStr"/>
      <c r="F962" s="43" t="n">
        <v>30016</v>
      </c>
      <c r="G962" s="43" t="n">
        <v>36877</v>
      </c>
      <c r="H962" s="43" t="n">
        <v>67565</v>
      </c>
      <c r="I962" s="43" t="n">
        <v>30617</v>
      </c>
      <c r="J962" s="43" t="n">
        <v>35757</v>
      </c>
      <c r="K962" s="42" t="inlineStr">
        <is>
          <t>US Senate</t>
        </is>
      </c>
      <c r="L962" s="43" t="n">
        <v>23269</v>
      </c>
      <c r="M962" s="43" t="n">
        <v>24854</v>
      </c>
      <c r="N962" s="43" t="n">
        <v>48148</v>
      </c>
      <c r="O962" s="44">
        <f>IFERROR((F962-G962)/(F962+G962),"")</f>
        <v/>
      </c>
      <c r="P962" s="44">
        <f>IFERROR((I962-J962)/(I962+J962),"")</f>
        <v/>
      </c>
      <c r="Q962" s="45">
        <f>IFERROR(O962-P962,"")</f>
        <v/>
      </c>
      <c r="R962" s="44">
        <f>IFERROR((L962-M962)/(L962+M962),"")</f>
        <v/>
      </c>
      <c r="S962" s="46">
        <f>H962/SUMIFS(Counties!$H$2:$H$1583,Counties!$A$2:$A$1583,$A962)</f>
        <v/>
      </c>
      <c r="T962" s="44">
        <f>O962+INDEX(Dashboard!$F$6:$F$22,MATCH($A962,Dashboard!$A$6:$A$22,0))</f>
        <v/>
      </c>
      <c r="U962" s="43">
        <f>AQ962*INDEX(Dashboard!$G$6:$G$22,MATCH($A962,Dashboard!$A$6:$A$22,0))</f>
        <v/>
      </c>
      <c r="V962" s="47" t="n"/>
      <c r="W962" s="47" t="n"/>
      <c r="X962" s="47" t="n"/>
      <c r="Y962" s="48" t="n"/>
      <c r="Z962" s="49" t="n"/>
      <c r="AA962" s="49" t="n"/>
      <c r="AB962" s="49" t="n"/>
      <c r="AC962" s="50" t="n"/>
      <c r="AD962" s="43">
        <f>IF(Z962&lt;&gt;"",Z962,N(V962))</f>
        <v/>
      </c>
      <c r="AE962" s="43">
        <f>IF(AA962&lt;&gt;"",AA962,N(W962))</f>
        <v/>
      </c>
      <c r="AF962" s="43">
        <f>AD962+AE962</f>
        <v/>
      </c>
      <c r="AG962" s="42">
        <f>IF(UPPER(AC962)="Y",1,IF(AF962=0,0,IF(AND(Z962="",Y962&lt;&gt;""),IF(Y962&gt;=0.999,1,0),IF(AF962&gt;=U962,1,0))))</f>
        <v/>
      </c>
      <c r="AH962" s="44">
        <f>IF(AF962&gt;0,(AD962-AE962)/AF962,"")</f>
        <v/>
      </c>
      <c r="AI962" s="45">
        <f>IF(AG962=1,AH962-O962,"")</f>
        <v/>
      </c>
      <c r="AJ962" s="44">
        <f>IF(AG962=1,AH962,MAX(-1,MIN(1,O962+INDEX(Types!$H:$H,MATCH($A962&amp;"|"&amp;$D962,Types!$A:$A,0)))))</f>
        <v/>
      </c>
      <c r="AK962" s="43">
        <f>IF(AG962=1,AF962,MAX(AQ962*AS962,AF962))</f>
        <v/>
      </c>
      <c r="AL962" s="43">
        <f>IF(AG962=1,AD962,AK962*(1+AJ962)/2)</f>
        <v/>
      </c>
      <c r="AM962" s="43">
        <f>IF(AG962=1,AE962,AK962*(1-AJ962)/2)</f>
        <v/>
      </c>
      <c r="AN962" s="45">
        <f>IF(AH962="","",AH962-T962)</f>
        <v/>
      </c>
      <c r="AO962" s="51">
        <f>IF(AG962=1,1,IF(U962&gt;0,MIN(AF962/U962,0.99),0))</f>
        <v/>
      </c>
      <c r="AP962" s="43">
        <f>IF(AG962=1,AI962*AF962,0)</f>
        <v/>
      </c>
      <c r="AQ962" s="43">
        <f>N962*(F962+G962)/H962</f>
        <v/>
      </c>
      <c r="AR962" s="43">
        <f>O962*AQ962</f>
        <v/>
      </c>
      <c r="AS962" s="52">
        <f>IF(AG962=1,IF(AQ962&gt;0,AF962/AQ962,1),IFERROR(INDEX(Types!$K:$K,MATCH($A962&amp;"|"&amp;$D962,Types!$A:$A,0)),INDEX(Dashboard!$X$6:$X$22,MATCH($A962,Dashboard!$A$6:$A$22,0))))</f>
        <v/>
      </c>
      <c r="AT962" s="43">
        <f>AQ962*INDEX(Dashboard!$Y$6:$Y$22,MATCH($A962,Dashboard!$A$6:$A$22,0))</f>
        <v/>
      </c>
      <c r="AU962" s="53">
        <f>IF(AND(AG962=1,AT962&gt;0,AF962&gt;0),100*AF962/AT962,"")</f>
        <v/>
      </c>
      <c r="AV962" s="44">
        <f>IF(AU962="","",T962/(AU962/100))</f>
        <v/>
      </c>
      <c r="AW962" s="53">
        <f>IF(AU962="","",IF(AND(ABS(AH962)&gt;=0.1,ABS(T962)&gt;=0.05,SIGN(AH962)=SIGN(T962)),100*T962/AH962,""))</f>
        <v/>
      </c>
      <c r="AX962" s="45">
        <f>IF(AU962="","",T962-AV962)</f>
        <v/>
      </c>
      <c r="AY962" s="45">
        <f>IF(AU962="","",AH962-AV962)</f>
        <v/>
      </c>
      <c r="AZ962" s="54">
        <f>(AL962-AM962)-T962*AT962</f>
        <v/>
      </c>
      <c r="BA962" s="43">
        <f>IF(AU962="",0,(AH962-T962)*AF962)</f>
        <v/>
      </c>
      <c r="BB962" s="43">
        <f>IF(AU962="",0,T962*(AF962-AT962))</f>
        <v/>
      </c>
      <c r="BC962" s="51" t="n">
        <v>0.02762156049754994</v>
      </c>
      <c r="BD962" s="51" t="n">
        <v>0.06637014700339239</v>
      </c>
      <c r="BE962" s="51" t="n">
        <v>0.3736454945819783</v>
      </c>
      <c r="BF962" s="43" t="n">
        <v>132650</v>
      </c>
    </row>
    <row r="963">
      <c r="A963" s="42" t="inlineStr">
        <is>
          <t>OH</t>
        </is>
      </c>
      <c r="B963" s="42" t="inlineStr">
        <is>
          <t>39175</t>
        </is>
      </c>
      <c r="C963" s="42" t="inlineStr">
        <is>
          <t>Wyandot</t>
        </is>
      </c>
      <c r="D963" s="42" t="inlineStr">
        <is>
          <t>Small town &amp; rural</t>
        </is>
      </c>
      <c r="E963" s="42" t="inlineStr"/>
      <c r="F963" s="43" t="n">
        <v>2731</v>
      </c>
      <c r="G963" s="43" t="n">
        <v>8564</v>
      </c>
      <c r="H963" s="43" t="n">
        <v>11389</v>
      </c>
      <c r="I963" s="43" t="n">
        <v>2733</v>
      </c>
      <c r="J963" s="43" t="n">
        <v>8462</v>
      </c>
      <c r="K963" s="42" t="inlineStr">
        <is>
          <t>US Senate</t>
        </is>
      </c>
      <c r="L963" s="43" t="n">
        <v>2255</v>
      </c>
      <c r="M963" s="43" t="n">
        <v>5811</v>
      </c>
      <c r="N963" s="43" t="n">
        <v>8069</v>
      </c>
      <c r="O963" s="44">
        <f>IFERROR((F963-G963)/(F963+G963),"")</f>
        <v/>
      </c>
      <c r="P963" s="44">
        <f>IFERROR((I963-J963)/(I963+J963),"")</f>
        <v/>
      </c>
      <c r="Q963" s="45">
        <f>IFERROR(O963-P963,"")</f>
        <v/>
      </c>
      <c r="R963" s="44">
        <f>IFERROR((L963-M963)/(L963+M963),"")</f>
        <v/>
      </c>
      <c r="S963" s="46">
        <f>H963/SUMIFS(Counties!$H$2:$H$1583,Counties!$A$2:$A$1583,$A963)</f>
        <v/>
      </c>
      <c r="T963" s="44">
        <f>O963+INDEX(Dashboard!$F$6:$F$22,MATCH($A963,Dashboard!$A$6:$A$22,0))</f>
        <v/>
      </c>
      <c r="U963" s="43">
        <f>AQ963*INDEX(Dashboard!$G$6:$G$22,MATCH($A963,Dashboard!$A$6:$A$22,0))</f>
        <v/>
      </c>
      <c r="V963" s="47" t="n"/>
      <c r="W963" s="47" t="n"/>
      <c r="X963" s="47" t="n"/>
      <c r="Y963" s="48" t="n"/>
      <c r="Z963" s="49" t="n"/>
      <c r="AA963" s="49" t="n"/>
      <c r="AB963" s="49" t="n"/>
      <c r="AC963" s="50" t="n"/>
      <c r="AD963" s="43">
        <f>IF(Z963&lt;&gt;"",Z963,N(V963))</f>
        <v/>
      </c>
      <c r="AE963" s="43">
        <f>IF(AA963&lt;&gt;"",AA963,N(W963))</f>
        <v/>
      </c>
      <c r="AF963" s="43">
        <f>AD963+AE963</f>
        <v/>
      </c>
      <c r="AG963" s="42">
        <f>IF(UPPER(AC963)="Y",1,IF(AF963=0,0,IF(AND(Z963="",Y963&lt;&gt;""),IF(Y963&gt;=0.999,1,0),IF(AF963&gt;=U963,1,0))))</f>
        <v/>
      </c>
      <c r="AH963" s="44">
        <f>IF(AF963&gt;0,(AD963-AE963)/AF963,"")</f>
        <v/>
      </c>
      <c r="AI963" s="45">
        <f>IF(AG963=1,AH963-O963,"")</f>
        <v/>
      </c>
      <c r="AJ963" s="44">
        <f>IF(AG963=1,AH963,MAX(-1,MIN(1,O963+INDEX(Types!$H:$H,MATCH($A963&amp;"|"&amp;$D963,Types!$A:$A,0)))))</f>
        <v/>
      </c>
      <c r="AK963" s="43">
        <f>IF(AG963=1,AF963,MAX(AQ963*AS963,AF963))</f>
        <v/>
      </c>
      <c r="AL963" s="43">
        <f>IF(AG963=1,AD963,AK963*(1+AJ963)/2)</f>
        <v/>
      </c>
      <c r="AM963" s="43">
        <f>IF(AG963=1,AE963,AK963*(1-AJ963)/2)</f>
        <v/>
      </c>
      <c r="AN963" s="45">
        <f>IF(AH963="","",AH963-T963)</f>
        <v/>
      </c>
      <c r="AO963" s="51">
        <f>IF(AG963=1,1,IF(U963&gt;0,MIN(AF963/U963,0.99),0))</f>
        <v/>
      </c>
      <c r="AP963" s="43">
        <f>IF(AG963=1,AI963*AF963,0)</f>
        <v/>
      </c>
      <c r="AQ963" s="43">
        <f>N963*(F963+G963)/H963</f>
        <v/>
      </c>
      <c r="AR963" s="43">
        <f>O963*AQ963</f>
        <v/>
      </c>
      <c r="AS963" s="52">
        <f>IF(AG963=1,IF(AQ963&gt;0,AF963/AQ963,1),IFERROR(INDEX(Types!$K:$K,MATCH($A963&amp;"|"&amp;$D963,Types!$A:$A,0)),INDEX(Dashboard!$X$6:$X$22,MATCH($A963,Dashboard!$A$6:$A$22,0))))</f>
        <v/>
      </c>
      <c r="AT963" s="43">
        <f>AQ963*INDEX(Dashboard!$Y$6:$Y$22,MATCH($A963,Dashboard!$A$6:$A$22,0))</f>
        <v/>
      </c>
      <c r="AU963" s="53">
        <f>IF(AND(AG963=1,AT963&gt;0,AF963&gt;0),100*AF963/AT963,"")</f>
        <v/>
      </c>
      <c r="AV963" s="44">
        <f>IF(AU963="","",T963/(AU963/100))</f>
        <v/>
      </c>
      <c r="AW963" s="53">
        <f>IF(AU963="","",IF(AND(ABS(AH963)&gt;=0.1,ABS(T963)&gt;=0.05,SIGN(AH963)=SIGN(T963)),100*T963/AH963,""))</f>
        <v/>
      </c>
      <c r="AX963" s="45">
        <f>IF(AU963="","",T963-AV963)</f>
        <v/>
      </c>
      <c r="AY963" s="45">
        <f>IF(AU963="","",AH963-AV963)</f>
        <v/>
      </c>
      <c r="AZ963" s="54">
        <f>(AL963-AM963)-T963*AT963</f>
        <v/>
      </c>
      <c r="BA963" s="43">
        <f>IF(AU963="",0,(AH963-T963)*AF963)</f>
        <v/>
      </c>
      <c r="BB963" s="43">
        <f>IF(AU963="",0,T963*(AF963-AT963))</f>
        <v/>
      </c>
      <c r="BC963" s="51" t="n">
        <v>0.004753693433378385</v>
      </c>
      <c r="BD963" s="51" t="n">
        <v>0.03038635410355595</v>
      </c>
      <c r="BE963" s="51" t="n">
        <v>0.206758530183727</v>
      </c>
      <c r="BF963" s="43" t="n">
        <v>21457</v>
      </c>
    </row>
    <row r="964">
      <c r="A964" s="42" t="inlineStr">
        <is>
          <t>SC</t>
        </is>
      </c>
      <c r="B964" s="42" t="inlineStr">
        <is>
          <t>45001</t>
        </is>
      </c>
      <c r="C964" s="42" t="inlineStr">
        <is>
          <t>Abbeville</t>
        </is>
      </c>
      <c r="D964" s="42" t="inlineStr">
        <is>
          <t>Small town &amp; rural</t>
        </is>
      </c>
      <c r="E964" s="42" t="inlineStr"/>
      <c r="F964" s="43" t="n">
        <v>3399</v>
      </c>
      <c r="G964" s="43" t="n">
        <v>8509</v>
      </c>
      <c r="H964" s="43" t="n">
        <v>12048</v>
      </c>
      <c r="I964" s="43" t="n">
        <v>4101</v>
      </c>
      <c r="J964" s="43" t="n">
        <v>8215</v>
      </c>
      <c r="K964" s="42" t="inlineStr">
        <is>
          <t>US Senate</t>
        </is>
      </c>
      <c r="L964" s="43" t="n">
        <v>2310</v>
      </c>
      <c r="M964" s="43" t="n">
        <v>6259</v>
      </c>
      <c r="N964" s="43" t="n">
        <v>8573</v>
      </c>
      <c r="O964" s="44">
        <f>IFERROR((F964-G964)/(F964+G964),"")</f>
        <v/>
      </c>
      <c r="P964" s="44">
        <f>IFERROR((I964-J964)/(I964+J964),"")</f>
        <v/>
      </c>
      <c r="Q964" s="45">
        <f>IFERROR(O964-P964,"")</f>
        <v/>
      </c>
      <c r="R964" s="44">
        <f>IFERROR((L964-M964)/(L964+M964),"")</f>
        <v/>
      </c>
      <c r="S964" s="46">
        <f>H964/SUMIFS(Counties!$H$2:$H$1583,Counties!$A$2:$A$1583,$A964)</f>
        <v/>
      </c>
      <c r="T964" s="44">
        <f>O964+INDEX(Dashboard!$F$6:$F$22,MATCH($A964,Dashboard!$A$6:$A$22,0))</f>
        <v/>
      </c>
      <c r="U964" s="43">
        <f>AQ964*INDEX(Dashboard!$G$6:$G$22,MATCH($A964,Dashboard!$A$6:$A$22,0))</f>
        <v/>
      </c>
      <c r="V964" s="47" t="n"/>
      <c r="W964" s="47" t="n"/>
      <c r="X964" s="47" t="n"/>
      <c r="Y964" s="48" t="n"/>
      <c r="Z964" s="49" t="n"/>
      <c r="AA964" s="49" t="n"/>
      <c r="AB964" s="49" t="n"/>
      <c r="AC964" s="50" t="n"/>
      <c r="AD964" s="43">
        <f>IF(Z964&lt;&gt;"",Z964,N(V964))</f>
        <v/>
      </c>
      <c r="AE964" s="43">
        <f>IF(AA964&lt;&gt;"",AA964,N(W964))</f>
        <v/>
      </c>
      <c r="AF964" s="43">
        <f>AD964+AE964</f>
        <v/>
      </c>
      <c r="AG964" s="42">
        <f>IF(UPPER(AC964)="Y",1,IF(AF964=0,0,IF(AND(Z964="",Y964&lt;&gt;""),IF(Y964&gt;=0.999,1,0),IF(AF964&gt;=U964,1,0))))</f>
        <v/>
      </c>
      <c r="AH964" s="44">
        <f>IF(AF964&gt;0,(AD964-AE964)/AF964,"")</f>
        <v/>
      </c>
      <c r="AI964" s="45">
        <f>IF(AG964=1,AH964-O964,"")</f>
        <v/>
      </c>
      <c r="AJ964" s="44">
        <f>IF(AG964=1,AH964,MAX(-1,MIN(1,O964+INDEX(Types!$H:$H,MATCH($A964&amp;"|"&amp;$D964,Types!$A:$A,0)))))</f>
        <v/>
      </c>
      <c r="AK964" s="43">
        <f>IF(AG964=1,AF964,MAX(AQ964*AS964,AF964))</f>
        <v/>
      </c>
      <c r="AL964" s="43">
        <f>IF(AG964=1,AD964,AK964*(1+AJ964)/2)</f>
        <v/>
      </c>
      <c r="AM964" s="43">
        <f>IF(AG964=1,AE964,AK964*(1-AJ964)/2)</f>
        <v/>
      </c>
      <c r="AN964" s="45">
        <f>IF(AH964="","",AH964-T964)</f>
        <v/>
      </c>
      <c r="AO964" s="51">
        <f>IF(AG964=1,1,IF(U964&gt;0,MIN(AF964/U964,0.99),0))</f>
        <v/>
      </c>
      <c r="AP964" s="43">
        <f>IF(AG964=1,AI964*AF964,0)</f>
        <v/>
      </c>
      <c r="AQ964" s="43">
        <f>N964*(F964+G964)/H964</f>
        <v/>
      </c>
      <c r="AR964" s="43">
        <f>O964*AQ964</f>
        <v/>
      </c>
      <c r="AS964" s="52">
        <f>IF(AG964=1,IF(AQ964&gt;0,AF964/AQ964,1),IFERROR(INDEX(Types!$K:$K,MATCH($A964&amp;"|"&amp;$D964,Types!$A:$A,0)),INDEX(Dashboard!$X$6:$X$22,MATCH($A964,Dashboard!$A$6:$A$22,0))))</f>
        <v/>
      </c>
      <c r="AT964" s="43">
        <f>AQ964*INDEX(Dashboard!$Y$6:$Y$22,MATCH($A964,Dashboard!$A$6:$A$22,0))</f>
        <v/>
      </c>
      <c r="AU964" s="53">
        <f>IF(AND(AG964=1,AT964&gt;0,AF964&gt;0),100*AF964/AT964,"")</f>
        <v/>
      </c>
      <c r="AV964" s="44">
        <f>IF(AU964="","",T964/(AU964/100))</f>
        <v/>
      </c>
      <c r="AW964" s="53">
        <f>IF(AU964="","",IF(AND(ABS(AH964)&gt;=0.1,ABS(T964)&gt;=0.05,SIGN(AH964)=SIGN(T964)),100*T964/AH964,""))</f>
        <v/>
      </c>
      <c r="AX964" s="45">
        <f>IF(AU964="","",T964-AV964)</f>
        <v/>
      </c>
      <c r="AY964" s="45">
        <f>IF(AU964="","",AH964-AV964)</f>
        <v/>
      </c>
      <c r="AZ964" s="54">
        <f>(AL964-AM964)-T964*AT964</f>
        <v/>
      </c>
      <c r="BA964" s="43">
        <f>IF(AU964="",0,(AH964-T964)*AF964)</f>
        <v/>
      </c>
      <c r="BB964" s="43">
        <f>IF(AU964="",0,T964*(AF964-AT964))</f>
        <v/>
      </c>
      <c r="BC964" s="51" t="n">
        <v>0.253622002128182</v>
      </c>
      <c r="BD964" s="51" t="n">
        <v>0.02275517721208153</v>
      </c>
      <c r="BE964" s="51" t="n">
        <v>0.1932714617169373</v>
      </c>
      <c r="BF964" s="43" t="n">
        <v>24434</v>
      </c>
    </row>
    <row r="965">
      <c r="A965" s="42" t="inlineStr">
        <is>
          <t>SC</t>
        </is>
      </c>
      <c r="B965" s="42" t="inlineStr">
        <is>
          <t>45003</t>
        </is>
      </c>
      <c r="C965" s="42" t="inlineStr">
        <is>
          <t>Aiken</t>
        </is>
      </c>
      <c r="D965" s="42" t="inlineStr">
        <is>
          <t>Mid-size/working metro</t>
        </is>
      </c>
      <c r="E965" s="42" t="inlineStr"/>
      <c r="F965" s="43" t="n">
        <v>31298</v>
      </c>
      <c r="G965" s="43" t="n">
        <v>53592</v>
      </c>
      <c r="H965" s="43" t="n">
        <v>86091</v>
      </c>
      <c r="I965" s="43" t="n">
        <v>32275</v>
      </c>
      <c r="J965" s="43" t="n">
        <v>51589</v>
      </c>
      <c r="K965" s="42" t="inlineStr">
        <is>
          <t>US Senate</t>
        </is>
      </c>
      <c r="L965" s="43" t="n">
        <v>17180</v>
      </c>
      <c r="M965" s="43" t="n">
        <v>37549</v>
      </c>
      <c r="N965" s="43" t="n">
        <v>54779</v>
      </c>
      <c r="O965" s="44">
        <f>IFERROR((F965-G965)/(F965+G965),"")</f>
        <v/>
      </c>
      <c r="P965" s="44">
        <f>IFERROR((I965-J965)/(I965+J965),"")</f>
        <v/>
      </c>
      <c r="Q965" s="45">
        <f>IFERROR(O965-P965,"")</f>
        <v/>
      </c>
      <c r="R965" s="44">
        <f>IFERROR((L965-M965)/(L965+M965),"")</f>
        <v/>
      </c>
      <c r="S965" s="46">
        <f>H965/SUMIFS(Counties!$H$2:$H$1583,Counties!$A$2:$A$1583,$A965)</f>
        <v/>
      </c>
      <c r="T965" s="44">
        <f>O965+INDEX(Dashboard!$F$6:$F$22,MATCH($A965,Dashboard!$A$6:$A$22,0))</f>
        <v/>
      </c>
      <c r="U965" s="43">
        <f>AQ965*INDEX(Dashboard!$G$6:$G$22,MATCH($A965,Dashboard!$A$6:$A$22,0))</f>
        <v/>
      </c>
      <c r="V965" s="47" t="n"/>
      <c r="W965" s="47" t="n"/>
      <c r="X965" s="47" t="n"/>
      <c r="Y965" s="48" t="n"/>
      <c r="Z965" s="49" t="n"/>
      <c r="AA965" s="49" t="n"/>
      <c r="AB965" s="49" t="n"/>
      <c r="AC965" s="50" t="n"/>
      <c r="AD965" s="43">
        <f>IF(Z965&lt;&gt;"",Z965,N(V965))</f>
        <v/>
      </c>
      <c r="AE965" s="43">
        <f>IF(AA965&lt;&gt;"",AA965,N(W965))</f>
        <v/>
      </c>
      <c r="AF965" s="43">
        <f>AD965+AE965</f>
        <v/>
      </c>
      <c r="AG965" s="42">
        <f>IF(UPPER(AC965)="Y",1,IF(AF965=0,0,IF(AND(Z965="",Y965&lt;&gt;""),IF(Y965&gt;=0.999,1,0),IF(AF965&gt;=U965,1,0))))</f>
        <v/>
      </c>
      <c r="AH965" s="44">
        <f>IF(AF965&gt;0,(AD965-AE965)/AF965,"")</f>
        <v/>
      </c>
      <c r="AI965" s="45">
        <f>IF(AG965=1,AH965-O965,"")</f>
        <v/>
      </c>
      <c r="AJ965" s="44">
        <f>IF(AG965=1,AH965,MAX(-1,MIN(1,O965+INDEX(Types!$H:$H,MATCH($A965&amp;"|"&amp;$D965,Types!$A:$A,0)))))</f>
        <v/>
      </c>
      <c r="AK965" s="43">
        <f>IF(AG965=1,AF965,MAX(AQ965*AS965,AF965))</f>
        <v/>
      </c>
      <c r="AL965" s="43">
        <f>IF(AG965=1,AD965,AK965*(1+AJ965)/2)</f>
        <v/>
      </c>
      <c r="AM965" s="43">
        <f>IF(AG965=1,AE965,AK965*(1-AJ965)/2)</f>
        <v/>
      </c>
      <c r="AN965" s="45">
        <f>IF(AH965="","",AH965-T965)</f>
        <v/>
      </c>
      <c r="AO965" s="51">
        <f>IF(AG965=1,1,IF(U965&gt;0,MIN(AF965/U965,0.99),0))</f>
        <v/>
      </c>
      <c r="AP965" s="43">
        <f>IF(AG965=1,AI965*AF965,0)</f>
        <v/>
      </c>
      <c r="AQ965" s="43">
        <f>N965*(F965+G965)/H965</f>
        <v/>
      </c>
      <c r="AR965" s="43">
        <f>O965*AQ965</f>
        <v/>
      </c>
      <c r="AS965" s="52">
        <f>IF(AG965=1,IF(AQ965&gt;0,AF965/AQ965,1),IFERROR(INDEX(Types!$K:$K,MATCH($A965&amp;"|"&amp;$D965,Types!$A:$A,0)),INDEX(Dashboard!$X$6:$X$22,MATCH($A965,Dashboard!$A$6:$A$22,0))))</f>
        <v/>
      </c>
      <c r="AT965" s="43">
        <f>AQ965*INDEX(Dashboard!$Y$6:$Y$22,MATCH($A965,Dashboard!$A$6:$A$22,0))</f>
        <v/>
      </c>
      <c r="AU965" s="53">
        <f>IF(AND(AG965=1,AT965&gt;0,AF965&gt;0),100*AF965/AT965,"")</f>
        <v/>
      </c>
      <c r="AV965" s="44">
        <f>IF(AU965="","",T965/(AU965/100))</f>
        <v/>
      </c>
      <c r="AW965" s="53">
        <f>IF(AU965="","",IF(AND(ABS(AH965)&gt;=0.1,ABS(T965)&gt;=0.05,SIGN(AH965)=SIGN(T965)),100*T965/AH965,""))</f>
        <v/>
      </c>
      <c r="AX965" s="45">
        <f>IF(AU965="","",T965-AV965)</f>
        <v/>
      </c>
      <c r="AY965" s="45">
        <f>IF(AU965="","",AH965-AV965)</f>
        <v/>
      </c>
      <c r="AZ965" s="54">
        <f>(AL965-AM965)-T965*AT965</f>
        <v/>
      </c>
      <c r="BA965" s="43">
        <f>IF(AU965="",0,(AH965-T965)*AF965)</f>
        <v/>
      </c>
      <c r="BB965" s="43">
        <f>IF(AU965="",0,T965*(AF965-AT965))</f>
        <v/>
      </c>
      <c r="BC965" s="51" t="n">
        <v>0.2457629989273415</v>
      </c>
      <c r="BD965" s="51" t="n">
        <v>0.07316095523062158</v>
      </c>
      <c r="BE965" s="51" t="n">
        <v>0.310528953183659</v>
      </c>
      <c r="BF965" s="43" t="n">
        <v>177130</v>
      </c>
    </row>
    <row r="966">
      <c r="A966" s="42" t="inlineStr">
        <is>
          <t>SC</t>
        </is>
      </c>
      <c r="B966" s="42" t="inlineStr">
        <is>
          <t>45005</t>
        </is>
      </c>
      <c r="C966" s="42" t="inlineStr">
        <is>
          <t>Allendale</t>
        </is>
      </c>
      <c r="D966" s="42" t="inlineStr">
        <is>
          <t>Black Belt</t>
        </is>
      </c>
      <c r="E966" s="42" t="inlineStr"/>
      <c r="F966" s="43" t="n">
        <v>2165</v>
      </c>
      <c r="G966" s="43" t="n">
        <v>813</v>
      </c>
      <c r="H966" s="43" t="n">
        <v>3023</v>
      </c>
      <c r="I966" s="43" t="n">
        <v>2718</v>
      </c>
      <c r="J966" s="43" t="n">
        <v>835</v>
      </c>
      <c r="K966" s="42" t="inlineStr">
        <is>
          <t>US Senate</t>
        </is>
      </c>
      <c r="L966" s="43" t="n">
        <v>1224</v>
      </c>
      <c r="M966" s="43" t="n">
        <v>585</v>
      </c>
      <c r="N966" s="43" t="n">
        <v>1809</v>
      </c>
      <c r="O966" s="44">
        <f>IFERROR((F966-G966)/(F966+G966),"")</f>
        <v/>
      </c>
      <c r="P966" s="44">
        <f>IFERROR((I966-J966)/(I966+J966),"")</f>
        <v/>
      </c>
      <c r="Q966" s="45">
        <f>IFERROR(O966-P966,"")</f>
        <v/>
      </c>
      <c r="R966" s="44">
        <f>IFERROR((L966-M966)/(L966+M966),"")</f>
        <v/>
      </c>
      <c r="S966" s="46">
        <f>H966/SUMIFS(Counties!$H$2:$H$1583,Counties!$A$2:$A$1583,$A966)</f>
        <v/>
      </c>
      <c r="T966" s="44">
        <f>O966+INDEX(Dashboard!$F$6:$F$22,MATCH($A966,Dashboard!$A$6:$A$22,0))</f>
        <v/>
      </c>
      <c r="U966" s="43">
        <f>AQ966*INDEX(Dashboard!$G$6:$G$22,MATCH($A966,Dashboard!$A$6:$A$22,0))</f>
        <v/>
      </c>
      <c r="V966" s="47" t="n"/>
      <c r="W966" s="47" t="n"/>
      <c r="X966" s="47" t="n"/>
      <c r="Y966" s="48" t="n"/>
      <c r="Z966" s="49" t="n"/>
      <c r="AA966" s="49" t="n"/>
      <c r="AB966" s="49" t="n"/>
      <c r="AC966" s="50" t="n"/>
      <c r="AD966" s="43">
        <f>IF(Z966&lt;&gt;"",Z966,N(V966))</f>
        <v/>
      </c>
      <c r="AE966" s="43">
        <f>IF(AA966&lt;&gt;"",AA966,N(W966))</f>
        <v/>
      </c>
      <c r="AF966" s="43">
        <f>AD966+AE966</f>
        <v/>
      </c>
      <c r="AG966" s="42">
        <f>IF(UPPER(AC966)="Y",1,IF(AF966=0,0,IF(AND(Z966="",Y966&lt;&gt;""),IF(Y966&gt;=0.999,1,0),IF(AF966&gt;=U966,1,0))))</f>
        <v/>
      </c>
      <c r="AH966" s="44">
        <f>IF(AF966&gt;0,(AD966-AE966)/AF966,"")</f>
        <v/>
      </c>
      <c r="AI966" s="45">
        <f>IF(AG966=1,AH966-O966,"")</f>
        <v/>
      </c>
      <c r="AJ966" s="44">
        <f>IF(AG966=1,AH966,MAX(-1,MIN(1,O966+INDEX(Types!$H:$H,MATCH($A966&amp;"|"&amp;$D966,Types!$A:$A,0)))))</f>
        <v/>
      </c>
      <c r="AK966" s="43">
        <f>IF(AG966=1,AF966,MAX(AQ966*AS966,AF966))</f>
        <v/>
      </c>
      <c r="AL966" s="43">
        <f>IF(AG966=1,AD966,AK966*(1+AJ966)/2)</f>
        <v/>
      </c>
      <c r="AM966" s="43">
        <f>IF(AG966=1,AE966,AK966*(1-AJ966)/2)</f>
        <v/>
      </c>
      <c r="AN966" s="45">
        <f>IF(AH966="","",AH966-T966)</f>
        <v/>
      </c>
      <c r="AO966" s="51">
        <f>IF(AG966=1,1,IF(U966&gt;0,MIN(AF966/U966,0.99),0))</f>
        <v/>
      </c>
      <c r="AP966" s="43">
        <f>IF(AG966=1,AI966*AF966,0)</f>
        <v/>
      </c>
      <c r="AQ966" s="43">
        <f>N966*(F966+G966)/H966</f>
        <v/>
      </c>
      <c r="AR966" s="43">
        <f>O966*AQ966</f>
        <v/>
      </c>
      <c r="AS966" s="52">
        <f>IF(AG966=1,IF(AQ966&gt;0,AF966/AQ966,1),IFERROR(INDEX(Types!$K:$K,MATCH($A966&amp;"|"&amp;$D966,Types!$A:$A,0)),INDEX(Dashboard!$X$6:$X$22,MATCH($A966,Dashboard!$A$6:$A$22,0))))</f>
        <v/>
      </c>
      <c r="AT966" s="43">
        <f>AQ966*INDEX(Dashboard!$Y$6:$Y$22,MATCH($A966,Dashboard!$A$6:$A$22,0))</f>
        <v/>
      </c>
      <c r="AU966" s="53">
        <f>IF(AND(AG966=1,AT966&gt;0,AF966&gt;0),100*AF966/AT966,"")</f>
        <v/>
      </c>
      <c r="AV966" s="44">
        <f>IF(AU966="","",T966/(AU966/100))</f>
        <v/>
      </c>
      <c r="AW966" s="53">
        <f>IF(AU966="","",IF(AND(ABS(AH966)&gt;=0.1,ABS(T966)&gt;=0.05,SIGN(AH966)=SIGN(T966)),100*T966/AH966,""))</f>
        <v/>
      </c>
      <c r="AX966" s="45">
        <f>IF(AU966="","",T966-AV966)</f>
        <v/>
      </c>
      <c r="AY966" s="45">
        <f>IF(AU966="","",AH966-AV966)</f>
        <v/>
      </c>
      <c r="AZ966" s="54">
        <f>(AL966-AM966)-T966*AT966</f>
        <v/>
      </c>
      <c r="BA966" s="43">
        <f>IF(AU966="",0,(AH966-T966)*AF966)</f>
        <v/>
      </c>
      <c r="BB966" s="43">
        <f>IF(AU966="",0,T966*(AF966-AT966))</f>
        <v/>
      </c>
      <c r="BC966" s="51" t="n">
        <v>0.7121726150088208</v>
      </c>
      <c r="BD966" s="51" t="n">
        <v>0.03026190799294341</v>
      </c>
      <c r="BE966" s="51" t="n">
        <v>0.1333214030064424</v>
      </c>
      <c r="BF966" s="43" t="n">
        <v>7369</v>
      </c>
    </row>
    <row r="967">
      <c r="A967" s="42" t="inlineStr">
        <is>
          <t>SC</t>
        </is>
      </c>
      <c r="B967" s="42" t="inlineStr">
        <is>
          <t>45007</t>
        </is>
      </c>
      <c r="C967" s="42" t="inlineStr">
        <is>
          <t>Anderson</t>
        </is>
      </c>
      <c r="D967" s="42" t="inlineStr">
        <is>
          <t>Mid-size/working metro</t>
        </is>
      </c>
      <c r="E967" s="42" t="inlineStr"/>
      <c r="F967" s="43" t="n">
        <v>25281</v>
      </c>
      <c r="G967" s="43" t="n">
        <v>71828</v>
      </c>
      <c r="H967" s="43" t="n">
        <v>98296</v>
      </c>
      <c r="I967" s="43" t="n">
        <v>27169</v>
      </c>
      <c r="J967" s="43" t="n">
        <v>67565</v>
      </c>
      <c r="K967" s="42" t="inlineStr">
        <is>
          <t>US Senate</t>
        </is>
      </c>
      <c r="L967" s="43" t="n">
        <v>14391</v>
      </c>
      <c r="M967" s="43" t="n">
        <v>48801</v>
      </c>
      <c r="N967" s="43" t="n">
        <v>63264</v>
      </c>
      <c r="O967" s="44">
        <f>IFERROR((F967-G967)/(F967+G967),"")</f>
        <v/>
      </c>
      <c r="P967" s="44">
        <f>IFERROR((I967-J967)/(I967+J967),"")</f>
        <v/>
      </c>
      <c r="Q967" s="45">
        <f>IFERROR(O967-P967,"")</f>
        <v/>
      </c>
      <c r="R967" s="44">
        <f>IFERROR((L967-M967)/(L967+M967),"")</f>
        <v/>
      </c>
      <c r="S967" s="46">
        <f>H967/SUMIFS(Counties!$H$2:$H$1583,Counties!$A$2:$A$1583,$A967)</f>
        <v/>
      </c>
      <c r="T967" s="44">
        <f>O967+INDEX(Dashboard!$F$6:$F$22,MATCH($A967,Dashboard!$A$6:$A$22,0))</f>
        <v/>
      </c>
      <c r="U967" s="43">
        <f>AQ967*INDEX(Dashboard!$G$6:$G$22,MATCH($A967,Dashboard!$A$6:$A$22,0))</f>
        <v/>
      </c>
      <c r="V967" s="47" t="n"/>
      <c r="W967" s="47" t="n"/>
      <c r="X967" s="47" t="n"/>
      <c r="Y967" s="48" t="n"/>
      <c r="Z967" s="49" t="n"/>
      <c r="AA967" s="49" t="n"/>
      <c r="AB967" s="49" t="n"/>
      <c r="AC967" s="50" t="n"/>
      <c r="AD967" s="43">
        <f>IF(Z967&lt;&gt;"",Z967,N(V967))</f>
        <v/>
      </c>
      <c r="AE967" s="43">
        <f>IF(AA967&lt;&gt;"",AA967,N(W967))</f>
        <v/>
      </c>
      <c r="AF967" s="43">
        <f>AD967+AE967</f>
        <v/>
      </c>
      <c r="AG967" s="42">
        <f>IF(UPPER(AC967)="Y",1,IF(AF967=0,0,IF(AND(Z967="",Y967&lt;&gt;""),IF(Y967&gt;=0.999,1,0),IF(AF967&gt;=U967,1,0))))</f>
        <v/>
      </c>
      <c r="AH967" s="44">
        <f>IF(AF967&gt;0,(AD967-AE967)/AF967,"")</f>
        <v/>
      </c>
      <c r="AI967" s="45">
        <f>IF(AG967=1,AH967-O967,"")</f>
        <v/>
      </c>
      <c r="AJ967" s="44">
        <f>IF(AG967=1,AH967,MAX(-1,MIN(1,O967+INDEX(Types!$H:$H,MATCH($A967&amp;"|"&amp;$D967,Types!$A:$A,0)))))</f>
        <v/>
      </c>
      <c r="AK967" s="43">
        <f>IF(AG967=1,AF967,MAX(AQ967*AS967,AF967))</f>
        <v/>
      </c>
      <c r="AL967" s="43">
        <f>IF(AG967=1,AD967,AK967*(1+AJ967)/2)</f>
        <v/>
      </c>
      <c r="AM967" s="43">
        <f>IF(AG967=1,AE967,AK967*(1-AJ967)/2)</f>
        <v/>
      </c>
      <c r="AN967" s="45">
        <f>IF(AH967="","",AH967-T967)</f>
        <v/>
      </c>
      <c r="AO967" s="51">
        <f>IF(AG967=1,1,IF(U967&gt;0,MIN(AF967/U967,0.99),0))</f>
        <v/>
      </c>
      <c r="AP967" s="43">
        <f>IF(AG967=1,AI967*AF967,0)</f>
        <v/>
      </c>
      <c r="AQ967" s="43">
        <f>N967*(F967+G967)/H967</f>
        <v/>
      </c>
      <c r="AR967" s="43">
        <f>O967*AQ967</f>
        <v/>
      </c>
      <c r="AS967" s="52">
        <f>IF(AG967=1,IF(AQ967&gt;0,AF967/AQ967,1),IFERROR(INDEX(Types!$K:$K,MATCH($A967&amp;"|"&amp;$D967,Types!$A:$A,0)),INDEX(Dashboard!$X$6:$X$22,MATCH($A967,Dashboard!$A$6:$A$22,0))))</f>
        <v/>
      </c>
      <c r="AT967" s="43">
        <f>AQ967*INDEX(Dashboard!$Y$6:$Y$22,MATCH($A967,Dashboard!$A$6:$A$22,0))</f>
        <v/>
      </c>
      <c r="AU967" s="53">
        <f>IF(AND(AG967=1,AT967&gt;0,AF967&gt;0),100*AF967/AT967,"")</f>
        <v/>
      </c>
      <c r="AV967" s="44">
        <f>IF(AU967="","",T967/(AU967/100))</f>
        <v/>
      </c>
      <c r="AW967" s="53">
        <f>IF(AU967="","",IF(AND(ABS(AH967)&gt;=0.1,ABS(T967)&gt;=0.05,SIGN(AH967)=SIGN(T967)),100*T967/AH967,""))</f>
        <v/>
      </c>
      <c r="AX967" s="45">
        <f>IF(AU967="","",T967-AV967)</f>
        <v/>
      </c>
      <c r="AY967" s="45">
        <f>IF(AU967="","",AH967-AV967)</f>
        <v/>
      </c>
      <c r="AZ967" s="54">
        <f>(AL967-AM967)-T967*AT967</f>
        <v/>
      </c>
      <c r="BA967" s="43">
        <f>IF(AU967="",0,(AH967-T967)*AF967)</f>
        <v/>
      </c>
      <c r="BB967" s="43">
        <f>IF(AU967="",0,T967*(AF967-AT967))</f>
        <v/>
      </c>
      <c r="BC967" s="51" t="n">
        <v>0.1545223300606356</v>
      </c>
      <c r="BD967" s="51" t="n">
        <v>0.0532486061311457</v>
      </c>
      <c r="BE967" s="51" t="n">
        <v>0.2641467154971395</v>
      </c>
      <c r="BF967" s="43" t="n">
        <v>213076</v>
      </c>
    </row>
    <row r="968">
      <c r="A968" s="42" t="inlineStr">
        <is>
          <t>SC</t>
        </is>
      </c>
      <c r="B968" s="42" t="inlineStr">
        <is>
          <t>45009</t>
        </is>
      </c>
      <c r="C968" s="42" t="inlineStr">
        <is>
          <t>Bamberg</t>
        </is>
      </c>
      <c r="D968" s="42" t="inlineStr">
        <is>
          <t>Black Belt</t>
        </is>
      </c>
      <c r="E968" s="42" t="inlineStr"/>
      <c r="F968" s="43" t="n">
        <v>3245</v>
      </c>
      <c r="G968" s="43" t="n">
        <v>2376</v>
      </c>
      <c r="H968" s="43" t="n">
        <v>5694</v>
      </c>
      <c r="I968" s="43" t="n">
        <v>4010</v>
      </c>
      <c r="J968" s="43" t="n">
        <v>2417</v>
      </c>
      <c r="K968" s="42" t="inlineStr">
        <is>
          <t>US Senate</t>
        </is>
      </c>
      <c r="L968" s="43" t="n">
        <v>2149</v>
      </c>
      <c r="M968" s="43" t="n">
        <v>1820</v>
      </c>
      <c r="N968" s="43" t="n">
        <v>3969</v>
      </c>
      <c r="O968" s="44">
        <f>IFERROR((F968-G968)/(F968+G968),"")</f>
        <v/>
      </c>
      <c r="P968" s="44">
        <f>IFERROR((I968-J968)/(I968+J968),"")</f>
        <v/>
      </c>
      <c r="Q968" s="45">
        <f>IFERROR(O968-P968,"")</f>
        <v/>
      </c>
      <c r="R968" s="44">
        <f>IFERROR((L968-M968)/(L968+M968),"")</f>
        <v/>
      </c>
      <c r="S968" s="46">
        <f>H968/SUMIFS(Counties!$H$2:$H$1583,Counties!$A$2:$A$1583,$A968)</f>
        <v/>
      </c>
      <c r="T968" s="44">
        <f>O968+INDEX(Dashboard!$F$6:$F$22,MATCH($A968,Dashboard!$A$6:$A$22,0))</f>
        <v/>
      </c>
      <c r="U968" s="43">
        <f>AQ968*INDEX(Dashboard!$G$6:$G$22,MATCH($A968,Dashboard!$A$6:$A$22,0))</f>
        <v/>
      </c>
      <c r="V968" s="47" t="n"/>
      <c r="W968" s="47" t="n"/>
      <c r="X968" s="47" t="n"/>
      <c r="Y968" s="48" t="n"/>
      <c r="Z968" s="49" t="n"/>
      <c r="AA968" s="49" t="n"/>
      <c r="AB968" s="49" t="n"/>
      <c r="AC968" s="50" t="n"/>
      <c r="AD968" s="43">
        <f>IF(Z968&lt;&gt;"",Z968,N(V968))</f>
        <v/>
      </c>
      <c r="AE968" s="43">
        <f>IF(AA968&lt;&gt;"",AA968,N(W968))</f>
        <v/>
      </c>
      <c r="AF968" s="43">
        <f>AD968+AE968</f>
        <v/>
      </c>
      <c r="AG968" s="42">
        <f>IF(UPPER(AC968)="Y",1,IF(AF968=0,0,IF(AND(Z968="",Y968&lt;&gt;""),IF(Y968&gt;=0.999,1,0),IF(AF968&gt;=U968,1,0))))</f>
        <v/>
      </c>
      <c r="AH968" s="44">
        <f>IF(AF968&gt;0,(AD968-AE968)/AF968,"")</f>
        <v/>
      </c>
      <c r="AI968" s="45">
        <f>IF(AG968=1,AH968-O968,"")</f>
        <v/>
      </c>
      <c r="AJ968" s="44">
        <f>IF(AG968=1,AH968,MAX(-1,MIN(1,O968+INDEX(Types!$H:$H,MATCH($A968&amp;"|"&amp;$D968,Types!$A:$A,0)))))</f>
        <v/>
      </c>
      <c r="AK968" s="43">
        <f>IF(AG968=1,AF968,MAX(AQ968*AS968,AF968))</f>
        <v/>
      </c>
      <c r="AL968" s="43">
        <f>IF(AG968=1,AD968,AK968*(1+AJ968)/2)</f>
        <v/>
      </c>
      <c r="AM968" s="43">
        <f>IF(AG968=1,AE968,AK968*(1-AJ968)/2)</f>
        <v/>
      </c>
      <c r="AN968" s="45">
        <f>IF(AH968="","",AH968-T968)</f>
        <v/>
      </c>
      <c r="AO968" s="51">
        <f>IF(AG968=1,1,IF(U968&gt;0,MIN(AF968/U968,0.99),0))</f>
        <v/>
      </c>
      <c r="AP968" s="43">
        <f>IF(AG968=1,AI968*AF968,0)</f>
        <v/>
      </c>
      <c r="AQ968" s="43">
        <f>N968*(F968+G968)/H968</f>
        <v/>
      </c>
      <c r="AR968" s="43">
        <f>O968*AQ968</f>
        <v/>
      </c>
      <c r="AS968" s="52">
        <f>IF(AG968=1,IF(AQ968&gt;0,AF968/AQ968,1),IFERROR(INDEX(Types!$K:$K,MATCH($A968&amp;"|"&amp;$D968,Types!$A:$A,0)),INDEX(Dashboard!$X$6:$X$22,MATCH($A968,Dashboard!$A$6:$A$22,0))))</f>
        <v/>
      </c>
      <c r="AT968" s="43">
        <f>AQ968*INDEX(Dashboard!$Y$6:$Y$22,MATCH($A968,Dashboard!$A$6:$A$22,0))</f>
        <v/>
      </c>
      <c r="AU968" s="53">
        <f>IF(AND(AG968=1,AT968&gt;0,AF968&gt;0),100*AF968/AT968,"")</f>
        <v/>
      </c>
      <c r="AV968" s="44">
        <f>IF(AU968="","",T968/(AU968/100))</f>
        <v/>
      </c>
      <c r="AW968" s="53">
        <f>IF(AU968="","",IF(AND(ABS(AH968)&gt;=0.1,ABS(T968)&gt;=0.05,SIGN(AH968)=SIGN(T968)),100*T968/AH968,""))</f>
        <v/>
      </c>
      <c r="AX968" s="45">
        <f>IF(AU968="","",T968-AV968)</f>
        <v/>
      </c>
      <c r="AY968" s="45">
        <f>IF(AU968="","",AH968-AV968)</f>
        <v/>
      </c>
      <c r="AZ968" s="54">
        <f>(AL968-AM968)-T968*AT968</f>
        <v/>
      </c>
      <c r="BA968" s="43">
        <f>IF(AU968="",0,(AH968-T968)*AF968)</f>
        <v/>
      </c>
      <c r="BB968" s="43">
        <f>IF(AU968="",0,T968*(AF968-AT968))</f>
        <v/>
      </c>
      <c r="BC968" s="51" t="n">
        <v>0.5818560197317713</v>
      </c>
      <c r="BD968" s="51" t="n">
        <v>0.01795899491290273</v>
      </c>
      <c r="BE968" s="51" t="n">
        <v>0.1883312842293506</v>
      </c>
      <c r="BF968" s="43" t="n">
        <v>12974</v>
      </c>
    </row>
    <row r="969">
      <c r="A969" s="42" t="inlineStr">
        <is>
          <t>SC</t>
        </is>
      </c>
      <c r="B969" s="42" t="inlineStr">
        <is>
          <t>45011</t>
        </is>
      </c>
      <c r="C969" s="42" t="inlineStr">
        <is>
          <t>Barnwell</t>
        </is>
      </c>
      <c r="D969" s="42" t="inlineStr">
        <is>
          <t>Black Belt</t>
        </is>
      </c>
      <c r="E969" s="42" t="inlineStr"/>
      <c r="F969" s="43" t="n">
        <v>4082</v>
      </c>
      <c r="G969" s="43" t="n">
        <v>5605</v>
      </c>
      <c r="H969" s="43" t="n">
        <v>9803</v>
      </c>
      <c r="I969" s="43" t="n">
        <v>4720</v>
      </c>
      <c r="J969" s="43" t="n">
        <v>5492</v>
      </c>
      <c r="K969" s="42" t="inlineStr">
        <is>
          <t>US Senate</t>
        </is>
      </c>
      <c r="L969" s="43" t="n">
        <v>2453</v>
      </c>
      <c r="M969" s="43" t="n">
        <v>3808</v>
      </c>
      <c r="N969" s="43" t="n">
        <v>6265</v>
      </c>
      <c r="O969" s="44">
        <f>IFERROR((F969-G969)/(F969+G969),"")</f>
        <v/>
      </c>
      <c r="P969" s="44">
        <f>IFERROR((I969-J969)/(I969+J969),"")</f>
        <v/>
      </c>
      <c r="Q969" s="45">
        <f>IFERROR(O969-P969,"")</f>
        <v/>
      </c>
      <c r="R969" s="44">
        <f>IFERROR((L969-M969)/(L969+M969),"")</f>
        <v/>
      </c>
      <c r="S969" s="46">
        <f>H969/SUMIFS(Counties!$H$2:$H$1583,Counties!$A$2:$A$1583,$A969)</f>
        <v/>
      </c>
      <c r="T969" s="44">
        <f>O969+INDEX(Dashboard!$F$6:$F$22,MATCH($A969,Dashboard!$A$6:$A$22,0))</f>
        <v/>
      </c>
      <c r="U969" s="43">
        <f>AQ969*INDEX(Dashboard!$G$6:$G$22,MATCH($A969,Dashboard!$A$6:$A$22,0))</f>
        <v/>
      </c>
      <c r="V969" s="47" t="n"/>
      <c r="W969" s="47" t="n"/>
      <c r="X969" s="47" t="n"/>
      <c r="Y969" s="48" t="n"/>
      <c r="Z969" s="49" t="n"/>
      <c r="AA969" s="49" t="n"/>
      <c r="AB969" s="49" t="n"/>
      <c r="AC969" s="50" t="n"/>
      <c r="AD969" s="43">
        <f>IF(Z969&lt;&gt;"",Z969,N(V969))</f>
        <v/>
      </c>
      <c r="AE969" s="43">
        <f>IF(AA969&lt;&gt;"",AA969,N(W969))</f>
        <v/>
      </c>
      <c r="AF969" s="43">
        <f>AD969+AE969</f>
        <v/>
      </c>
      <c r="AG969" s="42">
        <f>IF(UPPER(AC969)="Y",1,IF(AF969=0,0,IF(AND(Z969="",Y969&lt;&gt;""),IF(Y969&gt;=0.999,1,0),IF(AF969&gt;=U969,1,0))))</f>
        <v/>
      </c>
      <c r="AH969" s="44">
        <f>IF(AF969&gt;0,(AD969-AE969)/AF969,"")</f>
        <v/>
      </c>
      <c r="AI969" s="45">
        <f>IF(AG969=1,AH969-O969,"")</f>
        <v/>
      </c>
      <c r="AJ969" s="44">
        <f>IF(AG969=1,AH969,MAX(-1,MIN(1,O969+INDEX(Types!$H:$H,MATCH($A969&amp;"|"&amp;$D969,Types!$A:$A,0)))))</f>
        <v/>
      </c>
      <c r="AK969" s="43">
        <f>IF(AG969=1,AF969,MAX(AQ969*AS969,AF969))</f>
        <v/>
      </c>
      <c r="AL969" s="43">
        <f>IF(AG969=1,AD969,AK969*(1+AJ969)/2)</f>
        <v/>
      </c>
      <c r="AM969" s="43">
        <f>IF(AG969=1,AE969,AK969*(1-AJ969)/2)</f>
        <v/>
      </c>
      <c r="AN969" s="45">
        <f>IF(AH969="","",AH969-T969)</f>
        <v/>
      </c>
      <c r="AO969" s="51">
        <f>IF(AG969=1,1,IF(U969&gt;0,MIN(AF969/U969,0.99),0))</f>
        <v/>
      </c>
      <c r="AP969" s="43">
        <f>IF(AG969=1,AI969*AF969,0)</f>
        <v/>
      </c>
      <c r="AQ969" s="43">
        <f>N969*(F969+G969)/H969</f>
        <v/>
      </c>
      <c r="AR969" s="43">
        <f>O969*AQ969</f>
        <v/>
      </c>
      <c r="AS969" s="52">
        <f>IF(AG969=1,IF(AQ969&gt;0,AF969/AQ969,1),IFERROR(INDEX(Types!$K:$K,MATCH($A969&amp;"|"&amp;$D969,Types!$A:$A,0)),INDEX(Dashboard!$X$6:$X$22,MATCH($A969,Dashboard!$A$6:$A$22,0))))</f>
        <v/>
      </c>
      <c r="AT969" s="43">
        <f>AQ969*INDEX(Dashboard!$Y$6:$Y$22,MATCH($A969,Dashboard!$A$6:$A$22,0))</f>
        <v/>
      </c>
      <c r="AU969" s="53">
        <f>IF(AND(AG969=1,AT969&gt;0,AF969&gt;0),100*AF969/AT969,"")</f>
        <v/>
      </c>
      <c r="AV969" s="44">
        <f>IF(AU969="","",T969/(AU969/100))</f>
        <v/>
      </c>
      <c r="AW969" s="53">
        <f>IF(AU969="","",IF(AND(ABS(AH969)&gt;=0.1,ABS(T969)&gt;=0.05,SIGN(AH969)=SIGN(T969)),100*T969/AH969,""))</f>
        <v/>
      </c>
      <c r="AX969" s="45">
        <f>IF(AU969="","",T969-AV969)</f>
        <v/>
      </c>
      <c r="AY969" s="45">
        <f>IF(AU969="","",AH969-AV969)</f>
        <v/>
      </c>
      <c r="AZ969" s="54">
        <f>(AL969-AM969)-T969*AT969</f>
        <v/>
      </c>
      <c r="BA969" s="43">
        <f>IF(AU969="",0,(AH969-T969)*AF969)</f>
        <v/>
      </c>
      <c r="BB969" s="43">
        <f>IF(AU969="",0,T969*(AF969-AT969))</f>
        <v/>
      </c>
      <c r="BC969" s="51" t="n">
        <v>0.4249034088130288</v>
      </c>
      <c r="BD969" s="51" t="n">
        <v>0.03164278378246198</v>
      </c>
      <c r="BE969" s="51" t="n">
        <v>0.1284205990088343</v>
      </c>
      <c r="BF969" s="43" t="n">
        <v>20447</v>
      </c>
    </row>
    <row r="970">
      <c r="A970" s="42" t="inlineStr">
        <is>
          <t>SC</t>
        </is>
      </c>
      <c r="B970" s="42" t="inlineStr">
        <is>
          <t>45013</t>
        </is>
      </c>
      <c r="C970" s="42" t="inlineStr">
        <is>
          <t>Beaufort</t>
        </is>
      </c>
      <c r="D970" s="42" t="inlineStr">
        <is>
          <t>College suburb/metro</t>
        </is>
      </c>
      <c r="E970" s="42" t="inlineStr">
        <is>
          <t>★</t>
        </is>
      </c>
      <c r="F970" s="43" t="n">
        <v>44002</v>
      </c>
      <c r="G970" s="43" t="n">
        <v>59123</v>
      </c>
      <c r="H970" s="43" t="n">
        <v>104403</v>
      </c>
      <c r="I970" s="43" t="n">
        <v>43419</v>
      </c>
      <c r="J970" s="43" t="n">
        <v>53194</v>
      </c>
      <c r="K970" s="42" t="inlineStr">
        <is>
          <t>US Senate</t>
        </is>
      </c>
      <c r="L970" s="43" t="n">
        <v>26337</v>
      </c>
      <c r="M970" s="43" t="n">
        <v>45023</v>
      </c>
      <c r="N970" s="43" t="n">
        <v>71405</v>
      </c>
      <c r="O970" s="44">
        <f>IFERROR((F970-G970)/(F970+G970),"")</f>
        <v/>
      </c>
      <c r="P970" s="44">
        <f>IFERROR((I970-J970)/(I970+J970),"")</f>
        <v/>
      </c>
      <c r="Q970" s="45">
        <f>IFERROR(O970-P970,"")</f>
        <v/>
      </c>
      <c r="R970" s="44">
        <f>IFERROR((L970-M970)/(L970+M970),"")</f>
        <v/>
      </c>
      <c r="S970" s="46">
        <f>H970/SUMIFS(Counties!$H$2:$H$1583,Counties!$A$2:$A$1583,$A970)</f>
        <v/>
      </c>
      <c r="T970" s="44">
        <f>O970+INDEX(Dashboard!$F$6:$F$22,MATCH($A970,Dashboard!$A$6:$A$22,0))</f>
        <v/>
      </c>
      <c r="U970" s="43">
        <f>AQ970*INDEX(Dashboard!$G$6:$G$22,MATCH($A970,Dashboard!$A$6:$A$22,0))</f>
        <v/>
      </c>
      <c r="V970" s="47" t="n"/>
      <c r="W970" s="47" t="n"/>
      <c r="X970" s="47" t="n"/>
      <c r="Y970" s="48" t="n"/>
      <c r="Z970" s="49" t="n"/>
      <c r="AA970" s="49" t="n"/>
      <c r="AB970" s="49" t="n"/>
      <c r="AC970" s="50" t="n"/>
      <c r="AD970" s="43">
        <f>IF(Z970&lt;&gt;"",Z970,N(V970))</f>
        <v/>
      </c>
      <c r="AE970" s="43">
        <f>IF(AA970&lt;&gt;"",AA970,N(W970))</f>
        <v/>
      </c>
      <c r="AF970" s="43">
        <f>AD970+AE970</f>
        <v/>
      </c>
      <c r="AG970" s="42">
        <f>IF(UPPER(AC970)="Y",1,IF(AF970=0,0,IF(AND(Z970="",Y970&lt;&gt;""),IF(Y970&gt;=0.999,1,0),IF(AF970&gt;=U970,1,0))))</f>
        <v/>
      </c>
      <c r="AH970" s="44">
        <f>IF(AF970&gt;0,(AD970-AE970)/AF970,"")</f>
        <v/>
      </c>
      <c r="AI970" s="45">
        <f>IF(AG970=1,AH970-O970,"")</f>
        <v/>
      </c>
      <c r="AJ970" s="44">
        <f>IF(AG970=1,AH970,MAX(-1,MIN(1,O970+INDEX(Types!$H:$H,MATCH($A970&amp;"|"&amp;$D970,Types!$A:$A,0)))))</f>
        <v/>
      </c>
      <c r="AK970" s="43">
        <f>IF(AG970=1,AF970,MAX(AQ970*AS970,AF970))</f>
        <v/>
      </c>
      <c r="AL970" s="43">
        <f>IF(AG970=1,AD970,AK970*(1+AJ970)/2)</f>
        <v/>
      </c>
      <c r="AM970" s="43">
        <f>IF(AG970=1,AE970,AK970*(1-AJ970)/2)</f>
        <v/>
      </c>
      <c r="AN970" s="45">
        <f>IF(AH970="","",AH970-T970)</f>
        <v/>
      </c>
      <c r="AO970" s="51">
        <f>IF(AG970=1,1,IF(U970&gt;0,MIN(AF970/U970,0.99),0))</f>
        <v/>
      </c>
      <c r="AP970" s="43">
        <f>IF(AG970=1,AI970*AF970,0)</f>
        <v/>
      </c>
      <c r="AQ970" s="43">
        <f>N970*(F970+G970)/H970</f>
        <v/>
      </c>
      <c r="AR970" s="43">
        <f>O970*AQ970</f>
        <v/>
      </c>
      <c r="AS970" s="52">
        <f>IF(AG970=1,IF(AQ970&gt;0,AF970/AQ970,1),IFERROR(INDEX(Types!$K:$K,MATCH($A970&amp;"|"&amp;$D970,Types!$A:$A,0)),INDEX(Dashboard!$X$6:$X$22,MATCH($A970,Dashboard!$A$6:$A$22,0))))</f>
        <v/>
      </c>
      <c r="AT970" s="43">
        <f>AQ970*INDEX(Dashboard!$Y$6:$Y$22,MATCH($A970,Dashboard!$A$6:$A$22,0))</f>
        <v/>
      </c>
      <c r="AU970" s="53">
        <f>IF(AND(AG970=1,AT970&gt;0,AF970&gt;0),100*AF970/AT970,"")</f>
        <v/>
      </c>
      <c r="AV970" s="44">
        <f>IF(AU970="","",T970/(AU970/100))</f>
        <v/>
      </c>
      <c r="AW970" s="53">
        <f>IF(AU970="","",IF(AND(ABS(AH970)&gt;=0.1,ABS(T970)&gt;=0.05,SIGN(AH970)=SIGN(T970)),100*T970/AH970,""))</f>
        <v/>
      </c>
      <c r="AX970" s="45">
        <f>IF(AU970="","",T970-AV970)</f>
        <v/>
      </c>
      <c r="AY970" s="45">
        <f>IF(AU970="","",AH970-AV970)</f>
        <v/>
      </c>
      <c r="AZ970" s="54">
        <f>(AL970-AM970)-T970*AT970</f>
        <v/>
      </c>
      <c r="BA970" s="43">
        <f>IF(AU970="",0,(AH970-T970)*AF970)</f>
        <v/>
      </c>
      <c r="BB970" s="43">
        <f>IF(AU970="",0,T970*(AF970-AT970))</f>
        <v/>
      </c>
      <c r="BC970" s="51" t="n">
        <v>0.1542826127380276</v>
      </c>
      <c r="BD970" s="51" t="n">
        <v>0.1211936938068841</v>
      </c>
      <c r="BE970" s="51" t="n">
        <v>0.4477623785234512</v>
      </c>
      <c r="BF970" s="43" t="n">
        <v>198979</v>
      </c>
    </row>
    <row r="971">
      <c r="A971" s="42" t="inlineStr">
        <is>
          <t>SC</t>
        </is>
      </c>
      <c r="B971" s="42" t="inlineStr">
        <is>
          <t>45015</t>
        </is>
      </c>
      <c r="C971" s="42" t="inlineStr">
        <is>
          <t>Berkeley</t>
        </is>
      </c>
      <c r="D971" s="42" t="inlineStr">
        <is>
          <t>Mid-size/working metro</t>
        </is>
      </c>
      <c r="E971" s="42" t="inlineStr"/>
      <c r="F971" s="43" t="n">
        <v>46416</v>
      </c>
      <c r="G971" s="43" t="n">
        <v>64777</v>
      </c>
      <c r="H971" s="43" t="n">
        <v>112834</v>
      </c>
      <c r="I971" s="43" t="n">
        <v>45223</v>
      </c>
      <c r="J971" s="43" t="n">
        <v>57397</v>
      </c>
      <c r="K971" s="42" t="inlineStr">
        <is>
          <t>US Senate</t>
        </is>
      </c>
      <c r="L971" s="43" t="n">
        <v>26622</v>
      </c>
      <c r="M971" s="43" t="n">
        <v>44407</v>
      </c>
      <c r="N971" s="43" t="n">
        <v>71104</v>
      </c>
      <c r="O971" s="44">
        <f>IFERROR((F971-G971)/(F971+G971),"")</f>
        <v/>
      </c>
      <c r="P971" s="44">
        <f>IFERROR((I971-J971)/(I971+J971),"")</f>
        <v/>
      </c>
      <c r="Q971" s="45">
        <f>IFERROR(O971-P971,"")</f>
        <v/>
      </c>
      <c r="R971" s="44">
        <f>IFERROR((L971-M971)/(L971+M971),"")</f>
        <v/>
      </c>
      <c r="S971" s="46">
        <f>H971/SUMIFS(Counties!$H$2:$H$1583,Counties!$A$2:$A$1583,$A971)</f>
        <v/>
      </c>
      <c r="T971" s="44">
        <f>O971+INDEX(Dashboard!$F$6:$F$22,MATCH($A971,Dashboard!$A$6:$A$22,0))</f>
        <v/>
      </c>
      <c r="U971" s="43">
        <f>AQ971*INDEX(Dashboard!$G$6:$G$22,MATCH($A971,Dashboard!$A$6:$A$22,0))</f>
        <v/>
      </c>
      <c r="V971" s="47" t="n"/>
      <c r="W971" s="47" t="n"/>
      <c r="X971" s="47" t="n"/>
      <c r="Y971" s="48" t="n"/>
      <c r="Z971" s="49" t="n"/>
      <c r="AA971" s="49" t="n"/>
      <c r="AB971" s="49" t="n"/>
      <c r="AC971" s="50" t="n"/>
      <c r="AD971" s="43">
        <f>IF(Z971&lt;&gt;"",Z971,N(V971))</f>
        <v/>
      </c>
      <c r="AE971" s="43">
        <f>IF(AA971&lt;&gt;"",AA971,N(W971))</f>
        <v/>
      </c>
      <c r="AF971" s="43">
        <f>AD971+AE971</f>
        <v/>
      </c>
      <c r="AG971" s="42">
        <f>IF(UPPER(AC971)="Y",1,IF(AF971=0,0,IF(AND(Z971="",Y971&lt;&gt;""),IF(Y971&gt;=0.999,1,0),IF(AF971&gt;=U971,1,0))))</f>
        <v/>
      </c>
      <c r="AH971" s="44">
        <f>IF(AF971&gt;0,(AD971-AE971)/AF971,"")</f>
        <v/>
      </c>
      <c r="AI971" s="45">
        <f>IF(AG971=1,AH971-O971,"")</f>
        <v/>
      </c>
      <c r="AJ971" s="44">
        <f>IF(AG971=1,AH971,MAX(-1,MIN(1,O971+INDEX(Types!$H:$H,MATCH($A971&amp;"|"&amp;$D971,Types!$A:$A,0)))))</f>
        <v/>
      </c>
      <c r="AK971" s="43">
        <f>IF(AG971=1,AF971,MAX(AQ971*AS971,AF971))</f>
        <v/>
      </c>
      <c r="AL971" s="43">
        <f>IF(AG971=1,AD971,AK971*(1+AJ971)/2)</f>
        <v/>
      </c>
      <c r="AM971" s="43">
        <f>IF(AG971=1,AE971,AK971*(1-AJ971)/2)</f>
        <v/>
      </c>
      <c r="AN971" s="45">
        <f>IF(AH971="","",AH971-T971)</f>
        <v/>
      </c>
      <c r="AO971" s="51">
        <f>IF(AG971=1,1,IF(U971&gt;0,MIN(AF971/U971,0.99),0))</f>
        <v/>
      </c>
      <c r="AP971" s="43">
        <f>IF(AG971=1,AI971*AF971,0)</f>
        <v/>
      </c>
      <c r="AQ971" s="43">
        <f>N971*(F971+G971)/H971</f>
        <v/>
      </c>
      <c r="AR971" s="43">
        <f>O971*AQ971</f>
        <v/>
      </c>
      <c r="AS971" s="52">
        <f>IF(AG971=1,IF(AQ971&gt;0,AF971/AQ971,1),IFERROR(INDEX(Types!$K:$K,MATCH($A971&amp;"|"&amp;$D971,Types!$A:$A,0)),INDEX(Dashboard!$X$6:$X$22,MATCH($A971,Dashboard!$A$6:$A$22,0))))</f>
        <v/>
      </c>
      <c r="AT971" s="43">
        <f>AQ971*INDEX(Dashboard!$Y$6:$Y$22,MATCH($A971,Dashboard!$A$6:$A$22,0))</f>
        <v/>
      </c>
      <c r="AU971" s="53">
        <f>IF(AND(AG971=1,AT971&gt;0,AF971&gt;0),100*AF971/AT971,"")</f>
        <v/>
      </c>
      <c r="AV971" s="44">
        <f>IF(AU971="","",T971/(AU971/100))</f>
        <v/>
      </c>
      <c r="AW971" s="53">
        <f>IF(AU971="","",IF(AND(ABS(AH971)&gt;=0.1,ABS(T971)&gt;=0.05,SIGN(AH971)=SIGN(T971)),100*T971/AH971,""))</f>
        <v/>
      </c>
      <c r="AX971" s="45">
        <f>IF(AU971="","",T971-AV971)</f>
        <v/>
      </c>
      <c r="AY971" s="45">
        <f>IF(AU971="","",AH971-AV971)</f>
        <v/>
      </c>
      <c r="AZ971" s="54">
        <f>(AL971-AM971)-T971*AT971</f>
        <v/>
      </c>
      <c r="BA971" s="43">
        <f>IF(AU971="",0,(AH971-T971)*AF971)</f>
        <v/>
      </c>
      <c r="BB971" s="43">
        <f>IF(AU971="",0,T971*(AF971-AT971))</f>
        <v/>
      </c>
      <c r="BC971" s="51" t="n">
        <v>0.2363361374830047</v>
      </c>
      <c r="BD971" s="51" t="n">
        <v>0.09172586465635126</v>
      </c>
      <c r="BE971" s="51" t="n">
        <v>0.2994174417441744</v>
      </c>
      <c r="BF971" s="43" t="n">
        <v>255217</v>
      </c>
    </row>
    <row r="972">
      <c r="A972" s="42" t="inlineStr">
        <is>
          <t>SC</t>
        </is>
      </c>
      <c r="B972" s="42" t="inlineStr">
        <is>
          <t>45017</t>
        </is>
      </c>
      <c r="C972" s="42" t="inlineStr">
        <is>
          <t>Calhoun</t>
        </is>
      </c>
      <c r="D972" s="42" t="inlineStr">
        <is>
          <t>Small town &amp; rural</t>
        </is>
      </c>
      <c r="E972" s="42" t="inlineStr"/>
      <c r="F972" s="43" t="n">
        <v>3339</v>
      </c>
      <c r="G972" s="43" t="n">
        <v>4474</v>
      </c>
      <c r="H972" s="43" t="n">
        <v>7914</v>
      </c>
      <c r="I972" s="43" t="n">
        <v>3905</v>
      </c>
      <c r="J972" s="43" t="n">
        <v>4305</v>
      </c>
      <c r="K972" s="42" t="inlineStr">
        <is>
          <t>US Senate</t>
        </is>
      </c>
      <c r="L972" s="43" t="n">
        <v>2159</v>
      </c>
      <c r="M972" s="43" t="n">
        <v>3430</v>
      </c>
      <c r="N972" s="43" t="n">
        <v>5599</v>
      </c>
      <c r="O972" s="44">
        <f>IFERROR((F972-G972)/(F972+G972),"")</f>
        <v/>
      </c>
      <c r="P972" s="44">
        <f>IFERROR((I972-J972)/(I972+J972),"")</f>
        <v/>
      </c>
      <c r="Q972" s="45">
        <f>IFERROR(O972-P972,"")</f>
        <v/>
      </c>
      <c r="R972" s="44">
        <f>IFERROR((L972-M972)/(L972+M972),"")</f>
        <v/>
      </c>
      <c r="S972" s="46">
        <f>H972/SUMIFS(Counties!$H$2:$H$1583,Counties!$A$2:$A$1583,$A972)</f>
        <v/>
      </c>
      <c r="T972" s="44">
        <f>O972+INDEX(Dashboard!$F$6:$F$22,MATCH($A972,Dashboard!$A$6:$A$22,0))</f>
        <v/>
      </c>
      <c r="U972" s="43">
        <f>AQ972*INDEX(Dashboard!$G$6:$G$22,MATCH($A972,Dashboard!$A$6:$A$22,0))</f>
        <v/>
      </c>
      <c r="V972" s="47" t="n"/>
      <c r="W972" s="47" t="n"/>
      <c r="X972" s="47" t="n"/>
      <c r="Y972" s="48" t="n"/>
      <c r="Z972" s="49" t="n"/>
      <c r="AA972" s="49" t="n"/>
      <c r="AB972" s="49" t="n"/>
      <c r="AC972" s="50" t="n"/>
      <c r="AD972" s="43">
        <f>IF(Z972&lt;&gt;"",Z972,N(V972))</f>
        <v/>
      </c>
      <c r="AE972" s="43">
        <f>IF(AA972&lt;&gt;"",AA972,N(W972))</f>
        <v/>
      </c>
      <c r="AF972" s="43">
        <f>AD972+AE972</f>
        <v/>
      </c>
      <c r="AG972" s="42">
        <f>IF(UPPER(AC972)="Y",1,IF(AF972=0,0,IF(AND(Z972="",Y972&lt;&gt;""),IF(Y972&gt;=0.999,1,0),IF(AF972&gt;=U972,1,0))))</f>
        <v/>
      </c>
      <c r="AH972" s="44">
        <f>IF(AF972&gt;0,(AD972-AE972)/AF972,"")</f>
        <v/>
      </c>
      <c r="AI972" s="45">
        <f>IF(AG972=1,AH972-O972,"")</f>
        <v/>
      </c>
      <c r="AJ972" s="44">
        <f>IF(AG972=1,AH972,MAX(-1,MIN(1,O972+INDEX(Types!$H:$H,MATCH($A972&amp;"|"&amp;$D972,Types!$A:$A,0)))))</f>
        <v/>
      </c>
      <c r="AK972" s="43">
        <f>IF(AG972=1,AF972,MAX(AQ972*AS972,AF972))</f>
        <v/>
      </c>
      <c r="AL972" s="43">
        <f>IF(AG972=1,AD972,AK972*(1+AJ972)/2)</f>
        <v/>
      </c>
      <c r="AM972" s="43">
        <f>IF(AG972=1,AE972,AK972*(1-AJ972)/2)</f>
        <v/>
      </c>
      <c r="AN972" s="45">
        <f>IF(AH972="","",AH972-T972)</f>
        <v/>
      </c>
      <c r="AO972" s="51">
        <f>IF(AG972=1,1,IF(U972&gt;0,MIN(AF972/U972,0.99),0))</f>
        <v/>
      </c>
      <c r="AP972" s="43">
        <f>IF(AG972=1,AI972*AF972,0)</f>
        <v/>
      </c>
      <c r="AQ972" s="43">
        <f>N972*(F972+G972)/H972</f>
        <v/>
      </c>
      <c r="AR972" s="43">
        <f>O972*AQ972</f>
        <v/>
      </c>
      <c r="AS972" s="52">
        <f>IF(AG972=1,IF(AQ972&gt;0,AF972/AQ972,1),IFERROR(INDEX(Types!$K:$K,MATCH($A972&amp;"|"&amp;$D972,Types!$A:$A,0)),INDEX(Dashboard!$X$6:$X$22,MATCH($A972,Dashboard!$A$6:$A$22,0))))</f>
        <v/>
      </c>
      <c r="AT972" s="43">
        <f>AQ972*INDEX(Dashboard!$Y$6:$Y$22,MATCH($A972,Dashboard!$A$6:$A$22,0))</f>
        <v/>
      </c>
      <c r="AU972" s="53">
        <f>IF(AND(AG972=1,AT972&gt;0,AF972&gt;0),100*AF972/AT972,"")</f>
        <v/>
      </c>
      <c r="AV972" s="44">
        <f>IF(AU972="","",T972/(AU972/100))</f>
        <v/>
      </c>
      <c r="AW972" s="53">
        <f>IF(AU972="","",IF(AND(ABS(AH972)&gt;=0.1,ABS(T972)&gt;=0.05,SIGN(AH972)=SIGN(T972)),100*T972/AH972,""))</f>
        <v/>
      </c>
      <c r="AX972" s="45">
        <f>IF(AU972="","",T972-AV972)</f>
        <v/>
      </c>
      <c r="AY972" s="45">
        <f>IF(AU972="","",AH972-AV972)</f>
        <v/>
      </c>
      <c r="AZ972" s="54">
        <f>(AL972-AM972)-T972*AT972</f>
        <v/>
      </c>
      <c r="BA972" s="43">
        <f>IF(AU972="",0,(AH972-T972)*AF972)</f>
        <v/>
      </c>
      <c r="BB972" s="43">
        <f>IF(AU972="",0,T972*(AF972-AT972))</f>
        <v/>
      </c>
      <c r="BC972" s="51" t="n">
        <v>0.3779077964190046</v>
      </c>
      <c r="BD972" s="51" t="n">
        <v>0.04053291978006485</v>
      </c>
      <c r="BE972" s="51" t="n">
        <v>0.2176581680830973</v>
      </c>
      <c r="BF972" s="43" t="n">
        <v>14186</v>
      </c>
    </row>
    <row r="973">
      <c r="A973" s="42" t="inlineStr">
        <is>
          <t>SC</t>
        </is>
      </c>
      <c r="B973" s="42" t="inlineStr">
        <is>
          <t>45019</t>
        </is>
      </c>
      <c r="C973" s="42" t="inlineStr">
        <is>
          <t>Charleston</t>
        </is>
      </c>
      <c r="D973" s="42" t="inlineStr">
        <is>
          <t>College suburb/metro</t>
        </is>
      </c>
      <c r="E973" s="42" t="inlineStr">
        <is>
          <t>★</t>
        </is>
      </c>
      <c r="F973" s="43" t="n">
        <v>111427</v>
      </c>
      <c r="G973" s="43" t="n">
        <v>99265</v>
      </c>
      <c r="H973" s="43" t="n">
        <v>214521</v>
      </c>
      <c r="I973" s="43" t="n">
        <v>121485</v>
      </c>
      <c r="J973" s="43" t="n">
        <v>93297</v>
      </c>
      <c r="K973" s="42" t="inlineStr">
        <is>
          <t>US Senate</t>
        </is>
      </c>
      <c r="L973" s="43" t="n">
        <v>71983</v>
      </c>
      <c r="M973" s="43" t="n">
        <v>79586</v>
      </c>
      <c r="N973" s="43" t="n">
        <v>151799</v>
      </c>
      <c r="O973" s="44">
        <f>IFERROR((F973-G973)/(F973+G973),"")</f>
        <v/>
      </c>
      <c r="P973" s="44">
        <f>IFERROR((I973-J973)/(I973+J973),"")</f>
        <v/>
      </c>
      <c r="Q973" s="45">
        <f>IFERROR(O973-P973,"")</f>
        <v/>
      </c>
      <c r="R973" s="44">
        <f>IFERROR((L973-M973)/(L973+M973),"")</f>
        <v/>
      </c>
      <c r="S973" s="46">
        <f>H973/SUMIFS(Counties!$H$2:$H$1583,Counties!$A$2:$A$1583,$A973)</f>
        <v/>
      </c>
      <c r="T973" s="44">
        <f>O973+INDEX(Dashboard!$F$6:$F$22,MATCH($A973,Dashboard!$A$6:$A$22,0))</f>
        <v/>
      </c>
      <c r="U973" s="43">
        <f>AQ973*INDEX(Dashboard!$G$6:$G$22,MATCH($A973,Dashboard!$A$6:$A$22,0))</f>
        <v/>
      </c>
      <c r="V973" s="47" t="n"/>
      <c r="W973" s="47" t="n"/>
      <c r="X973" s="47" t="n"/>
      <c r="Y973" s="48" t="n"/>
      <c r="Z973" s="49" t="n"/>
      <c r="AA973" s="49" t="n"/>
      <c r="AB973" s="49" t="n"/>
      <c r="AC973" s="50" t="n"/>
      <c r="AD973" s="43">
        <f>IF(Z973&lt;&gt;"",Z973,N(V973))</f>
        <v/>
      </c>
      <c r="AE973" s="43">
        <f>IF(AA973&lt;&gt;"",AA973,N(W973))</f>
        <v/>
      </c>
      <c r="AF973" s="43">
        <f>AD973+AE973</f>
        <v/>
      </c>
      <c r="AG973" s="42">
        <f>IF(UPPER(AC973)="Y",1,IF(AF973=0,0,IF(AND(Z973="",Y973&lt;&gt;""),IF(Y973&gt;=0.999,1,0),IF(AF973&gt;=U973,1,0))))</f>
        <v/>
      </c>
      <c r="AH973" s="44">
        <f>IF(AF973&gt;0,(AD973-AE973)/AF973,"")</f>
        <v/>
      </c>
      <c r="AI973" s="45">
        <f>IF(AG973=1,AH973-O973,"")</f>
        <v/>
      </c>
      <c r="AJ973" s="44">
        <f>IF(AG973=1,AH973,MAX(-1,MIN(1,O973+INDEX(Types!$H:$H,MATCH($A973&amp;"|"&amp;$D973,Types!$A:$A,0)))))</f>
        <v/>
      </c>
      <c r="AK973" s="43">
        <f>IF(AG973=1,AF973,MAX(AQ973*AS973,AF973))</f>
        <v/>
      </c>
      <c r="AL973" s="43">
        <f>IF(AG973=1,AD973,AK973*(1+AJ973)/2)</f>
        <v/>
      </c>
      <c r="AM973" s="43">
        <f>IF(AG973=1,AE973,AK973*(1-AJ973)/2)</f>
        <v/>
      </c>
      <c r="AN973" s="45">
        <f>IF(AH973="","",AH973-T973)</f>
        <v/>
      </c>
      <c r="AO973" s="51">
        <f>IF(AG973=1,1,IF(U973&gt;0,MIN(AF973/U973,0.99),0))</f>
        <v/>
      </c>
      <c r="AP973" s="43">
        <f>IF(AG973=1,AI973*AF973,0)</f>
        <v/>
      </c>
      <c r="AQ973" s="43">
        <f>N973*(F973+G973)/H973</f>
        <v/>
      </c>
      <c r="AR973" s="43">
        <f>O973*AQ973</f>
        <v/>
      </c>
      <c r="AS973" s="52">
        <f>IF(AG973=1,IF(AQ973&gt;0,AF973/AQ973,1),IFERROR(INDEX(Types!$K:$K,MATCH($A973&amp;"|"&amp;$D973,Types!$A:$A,0)),INDEX(Dashboard!$X$6:$X$22,MATCH($A973,Dashboard!$A$6:$A$22,0))))</f>
        <v/>
      </c>
      <c r="AT973" s="43">
        <f>AQ973*INDEX(Dashboard!$Y$6:$Y$22,MATCH($A973,Dashboard!$A$6:$A$22,0))</f>
        <v/>
      </c>
      <c r="AU973" s="53">
        <f>IF(AND(AG973=1,AT973&gt;0,AF973&gt;0),100*AF973/AT973,"")</f>
        <v/>
      </c>
      <c r="AV973" s="44">
        <f>IF(AU973="","",T973/(AU973/100))</f>
        <v/>
      </c>
      <c r="AW973" s="53">
        <f>IF(AU973="","",IF(AND(ABS(AH973)&gt;=0.1,ABS(T973)&gt;=0.05,SIGN(AH973)=SIGN(T973)),100*T973/AH973,""))</f>
        <v/>
      </c>
      <c r="AX973" s="45">
        <f>IF(AU973="","",T973-AV973)</f>
        <v/>
      </c>
      <c r="AY973" s="45">
        <f>IF(AU973="","",AH973-AV973)</f>
        <v/>
      </c>
      <c r="AZ973" s="54">
        <f>(AL973-AM973)-T973*AT973</f>
        <v/>
      </c>
      <c r="BA973" s="43">
        <f>IF(AU973="",0,(AH973-T973)*AF973)</f>
        <v/>
      </c>
      <c r="BB973" s="43">
        <f>IF(AU973="",0,T973*(AF973-AT973))</f>
        <v/>
      </c>
      <c r="BC973" s="51" t="n">
        <v>0.228827877756753</v>
      </c>
      <c r="BD973" s="51" t="n">
        <v>0.07005492887052951</v>
      </c>
      <c r="BE973" s="51" t="n">
        <v>0.4903468575442352</v>
      </c>
      <c r="BF973" s="43" t="n">
        <v>424367</v>
      </c>
    </row>
    <row r="974">
      <c r="A974" s="42" t="inlineStr">
        <is>
          <t>SC</t>
        </is>
      </c>
      <c r="B974" s="42" t="inlineStr">
        <is>
          <t>45021</t>
        </is>
      </c>
      <c r="C974" s="42" t="inlineStr">
        <is>
          <t>Cherokee</t>
        </is>
      </c>
      <c r="D974" s="42" t="inlineStr">
        <is>
          <t>Small town &amp; rural</t>
        </is>
      </c>
      <c r="E974" s="42" t="inlineStr"/>
      <c r="F974" s="43" t="n">
        <v>5939</v>
      </c>
      <c r="G974" s="43" t="n">
        <v>18697</v>
      </c>
      <c r="H974" s="43" t="n">
        <v>24839</v>
      </c>
      <c r="I974" s="43" t="n">
        <v>6983</v>
      </c>
      <c r="J974" s="43" t="n">
        <v>18043</v>
      </c>
      <c r="K974" s="42" t="inlineStr">
        <is>
          <t>US Senate</t>
        </is>
      </c>
      <c r="L974" s="43" t="n">
        <v>3355</v>
      </c>
      <c r="M974" s="43" t="n">
        <v>12753</v>
      </c>
      <c r="N974" s="43" t="n">
        <v>16120</v>
      </c>
      <c r="O974" s="44">
        <f>IFERROR((F974-G974)/(F974+G974),"")</f>
        <v/>
      </c>
      <c r="P974" s="44">
        <f>IFERROR((I974-J974)/(I974+J974),"")</f>
        <v/>
      </c>
      <c r="Q974" s="45">
        <f>IFERROR(O974-P974,"")</f>
        <v/>
      </c>
      <c r="R974" s="44">
        <f>IFERROR((L974-M974)/(L974+M974),"")</f>
        <v/>
      </c>
      <c r="S974" s="46">
        <f>H974/SUMIFS(Counties!$H$2:$H$1583,Counties!$A$2:$A$1583,$A974)</f>
        <v/>
      </c>
      <c r="T974" s="44">
        <f>O974+INDEX(Dashboard!$F$6:$F$22,MATCH($A974,Dashboard!$A$6:$A$22,0))</f>
        <v/>
      </c>
      <c r="U974" s="43">
        <f>AQ974*INDEX(Dashboard!$G$6:$G$22,MATCH($A974,Dashboard!$A$6:$A$22,0))</f>
        <v/>
      </c>
      <c r="V974" s="47" t="n"/>
      <c r="W974" s="47" t="n"/>
      <c r="X974" s="47" t="n"/>
      <c r="Y974" s="48" t="n"/>
      <c r="Z974" s="49" t="n"/>
      <c r="AA974" s="49" t="n"/>
      <c r="AB974" s="49" t="n"/>
      <c r="AC974" s="50" t="n"/>
      <c r="AD974" s="43">
        <f>IF(Z974&lt;&gt;"",Z974,N(V974))</f>
        <v/>
      </c>
      <c r="AE974" s="43">
        <f>IF(AA974&lt;&gt;"",AA974,N(W974))</f>
        <v/>
      </c>
      <c r="AF974" s="43">
        <f>AD974+AE974</f>
        <v/>
      </c>
      <c r="AG974" s="42">
        <f>IF(UPPER(AC974)="Y",1,IF(AF974=0,0,IF(AND(Z974="",Y974&lt;&gt;""),IF(Y974&gt;=0.999,1,0),IF(AF974&gt;=U974,1,0))))</f>
        <v/>
      </c>
      <c r="AH974" s="44">
        <f>IF(AF974&gt;0,(AD974-AE974)/AF974,"")</f>
        <v/>
      </c>
      <c r="AI974" s="45">
        <f>IF(AG974=1,AH974-O974,"")</f>
        <v/>
      </c>
      <c r="AJ974" s="44">
        <f>IF(AG974=1,AH974,MAX(-1,MIN(1,O974+INDEX(Types!$H:$H,MATCH($A974&amp;"|"&amp;$D974,Types!$A:$A,0)))))</f>
        <v/>
      </c>
      <c r="AK974" s="43">
        <f>IF(AG974=1,AF974,MAX(AQ974*AS974,AF974))</f>
        <v/>
      </c>
      <c r="AL974" s="43">
        <f>IF(AG974=1,AD974,AK974*(1+AJ974)/2)</f>
        <v/>
      </c>
      <c r="AM974" s="43">
        <f>IF(AG974=1,AE974,AK974*(1-AJ974)/2)</f>
        <v/>
      </c>
      <c r="AN974" s="45">
        <f>IF(AH974="","",AH974-T974)</f>
        <v/>
      </c>
      <c r="AO974" s="51">
        <f>IF(AG974=1,1,IF(U974&gt;0,MIN(AF974/U974,0.99),0))</f>
        <v/>
      </c>
      <c r="AP974" s="43">
        <f>IF(AG974=1,AI974*AF974,0)</f>
        <v/>
      </c>
      <c r="AQ974" s="43">
        <f>N974*(F974+G974)/H974</f>
        <v/>
      </c>
      <c r="AR974" s="43">
        <f>O974*AQ974</f>
        <v/>
      </c>
      <c r="AS974" s="52">
        <f>IF(AG974=1,IF(AQ974&gt;0,AF974/AQ974,1),IFERROR(INDEX(Types!$K:$K,MATCH($A974&amp;"|"&amp;$D974,Types!$A:$A,0)),INDEX(Dashboard!$X$6:$X$22,MATCH($A974,Dashboard!$A$6:$A$22,0))))</f>
        <v/>
      </c>
      <c r="AT974" s="43">
        <f>AQ974*INDEX(Dashboard!$Y$6:$Y$22,MATCH($A974,Dashboard!$A$6:$A$22,0))</f>
        <v/>
      </c>
      <c r="AU974" s="53">
        <f>IF(AND(AG974=1,AT974&gt;0,AF974&gt;0),100*AF974/AT974,"")</f>
        <v/>
      </c>
      <c r="AV974" s="44">
        <f>IF(AU974="","",T974/(AU974/100))</f>
        <v/>
      </c>
      <c r="AW974" s="53">
        <f>IF(AU974="","",IF(AND(ABS(AH974)&gt;=0.1,ABS(T974)&gt;=0.05,SIGN(AH974)=SIGN(T974)),100*T974/AH974,""))</f>
        <v/>
      </c>
      <c r="AX974" s="45">
        <f>IF(AU974="","",T974-AV974)</f>
        <v/>
      </c>
      <c r="AY974" s="45">
        <f>IF(AU974="","",AH974-AV974)</f>
        <v/>
      </c>
      <c r="AZ974" s="54">
        <f>(AL974-AM974)-T974*AT974</f>
        <v/>
      </c>
      <c r="BA974" s="43">
        <f>IF(AU974="",0,(AH974-T974)*AF974)</f>
        <v/>
      </c>
      <c r="BB974" s="43">
        <f>IF(AU974="",0,T974*(AF974-AT974))</f>
        <v/>
      </c>
      <c r="BC974" s="51" t="n">
        <v>0.1969883979264379</v>
      </c>
      <c r="BD974" s="51" t="n">
        <v>0.05776351518143668</v>
      </c>
      <c r="BE974" s="51" t="n">
        <v>0.1840380714620065</v>
      </c>
      <c r="BF974" s="43" t="n">
        <v>56714</v>
      </c>
    </row>
    <row r="975">
      <c r="A975" s="42" t="inlineStr">
        <is>
          <t>SC</t>
        </is>
      </c>
      <c r="B975" s="42" t="inlineStr">
        <is>
          <t>45023</t>
        </is>
      </c>
      <c r="C975" s="42" t="inlineStr">
        <is>
          <t>Chester</t>
        </is>
      </c>
      <c r="D975" s="42" t="inlineStr">
        <is>
          <t>Small town &amp; rural</t>
        </is>
      </c>
      <c r="E975" s="42" t="inlineStr"/>
      <c r="F975" s="43" t="n">
        <v>6353</v>
      </c>
      <c r="G975" s="43" t="n">
        <v>9030</v>
      </c>
      <c r="H975" s="43" t="n">
        <v>15556</v>
      </c>
      <c r="I975" s="43" t="n">
        <v>6941</v>
      </c>
      <c r="J975" s="43" t="n">
        <v>8660</v>
      </c>
      <c r="K975" s="42" t="inlineStr">
        <is>
          <t>US Senate</t>
        </is>
      </c>
      <c r="L975" s="43" t="n">
        <v>3621</v>
      </c>
      <c r="M975" s="43" t="n">
        <v>5954</v>
      </c>
      <c r="N975" s="43" t="n">
        <v>9579</v>
      </c>
      <c r="O975" s="44">
        <f>IFERROR((F975-G975)/(F975+G975),"")</f>
        <v/>
      </c>
      <c r="P975" s="44">
        <f>IFERROR((I975-J975)/(I975+J975),"")</f>
        <v/>
      </c>
      <c r="Q975" s="45">
        <f>IFERROR(O975-P975,"")</f>
        <v/>
      </c>
      <c r="R975" s="44">
        <f>IFERROR((L975-M975)/(L975+M975),"")</f>
        <v/>
      </c>
      <c r="S975" s="46">
        <f>H975/SUMIFS(Counties!$H$2:$H$1583,Counties!$A$2:$A$1583,$A975)</f>
        <v/>
      </c>
      <c r="T975" s="44">
        <f>O975+INDEX(Dashboard!$F$6:$F$22,MATCH($A975,Dashboard!$A$6:$A$22,0))</f>
        <v/>
      </c>
      <c r="U975" s="43">
        <f>AQ975*INDEX(Dashboard!$G$6:$G$22,MATCH($A975,Dashboard!$A$6:$A$22,0))</f>
        <v/>
      </c>
      <c r="V975" s="47" t="n"/>
      <c r="W975" s="47" t="n"/>
      <c r="X975" s="47" t="n"/>
      <c r="Y975" s="48" t="n"/>
      <c r="Z975" s="49" t="n"/>
      <c r="AA975" s="49" t="n"/>
      <c r="AB975" s="49" t="n"/>
      <c r="AC975" s="50" t="n"/>
      <c r="AD975" s="43">
        <f>IF(Z975&lt;&gt;"",Z975,N(V975))</f>
        <v/>
      </c>
      <c r="AE975" s="43">
        <f>IF(AA975&lt;&gt;"",AA975,N(W975))</f>
        <v/>
      </c>
      <c r="AF975" s="43">
        <f>AD975+AE975</f>
        <v/>
      </c>
      <c r="AG975" s="42">
        <f>IF(UPPER(AC975)="Y",1,IF(AF975=0,0,IF(AND(Z975="",Y975&lt;&gt;""),IF(Y975&gt;=0.999,1,0),IF(AF975&gt;=U975,1,0))))</f>
        <v/>
      </c>
      <c r="AH975" s="44">
        <f>IF(AF975&gt;0,(AD975-AE975)/AF975,"")</f>
        <v/>
      </c>
      <c r="AI975" s="45">
        <f>IF(AG975=1,AH975-O975,"")</f>
        <v/>
      </c>
      <c r="AJ975" s="44">
        <f>IF(AG975=1,AH975,MAX(-1,MIN(1,O975+INDEX(Types!$H:$H,MATCH($A975&amp;"|"&amp;$D975,Types!$A:$A,0)))))</f>
        <v/>
      </c>
      <c r="AK975" s="43">
        <f>IF(AG975=1,AF975,MAX(AQ975*AS975,AF975))</f>
        <v/>
      </c>
      <c r="AL975" s="43">
        <f>IF(AG975=1,AD975,AK975*(1+AJ975)/2)</f>
        <v/>
      </c>
      <c r="AM975" s="43">
        <f>IF(AG975=1,AE975,AK975*(1-AJ975)/2)</f>
        <v/>
      </c>
      <c r="AN975" s="45">
        <f>IF(AH975="","",AH975-T975)</f>
        <v/>
      </c>
      <c r="AO975" s="51">
        <f>IF(AG975=1,1,IF(U975&gt;0,MIN(AF975/U975,0.99),0))</f>
        <v/>
      </c>
      <c r="AP975" s="43">
        <f>IF(AG975=1,AI975*AF975,0)</f>
        <v/>
      </c>
      <c r="AQ975" s="43">
        <f>N975*(F975+G975)/H975</f>
        <v/>
      </c>
      <c r="AR975" s="43">
        <f>O975*AQ975</f>
        <v/>
      </c>
      <c r="AS975" s="52">
        <f>IF(AG975=1,IF(AQ975&gt;0,AF975/AQ975,1),IFERROR(INDEX(Types!$K:$K,MATCH($A975&amp;"|"&amp;$D975,Types!$A:$A,0)),INDEX(Dashboard!$X$6:$X$22,MATCH($A975,Dashboard!$A$6:$A$22,0))))</f>
        <v/>
      </c>
      <c r="AT975" s="43">
        <f>AQ975*INDEX(Dashboard!$Y$6:$Y$22,MATCH($A975,Dashboard!$A$6:$A$22,0))</f>
        <v/>
      </c>
      <c r="AU975" s="53">
        <f>IF(AND(AG975=1,AT975&gt;0,AF975&gt;0),100*AF975/AT975,"")</f>
        <v/>
      </c>
      <c r="AV975" s="44">
        <f>IF(AU975="","",T975/(AU975/100))</f>
        <v/>
      </c>
      <c r="AW975" s="53">
        <f>IF(AU975="","",IF(AND(ABS(AH975)&gt;=0.1,ABS(T975)&gt;=0.05,SIGN(AH975)=SIGN(T975)),100*T975/AH975,""))</f>
        <v/>
      </c>
      <c r="AX975" s="45">
        <f>IF(AU975="","",T975-AV975)</f>
        <v/>
      </c>
      <c r="AY975" s="45">
        <f>IF(AU975="","",AH975-AV975)</f>
        <v/>
      </c>
      <c r="AZ975" s="54">
        <f>(AL975-AM975)-T975*AT975</f>
        <v/>
      </c>
      <c r="BA975" s="43">
        <f>IF(AU975="",0,(AH975-T975)*AF975)</f>
        <v/>
      </c>
      <c r="BB975" s="43">
        <f>IF(AU975="",0,T975*(AF975-AT975))</f>
        <v/>
      </c>
      <c r="BC975" s="51" t="n">
        <v>0.3486936014398312</v>
      </c>
      <c r="BD975" s="51" t="n">
        <v>0.03314094209644387</v>
      </c>
      <c r="BE975" s="51" t="n">
        <v>0.1374306634124695</v>
      </c>
      <c r="BF975" s="43" t="n">
        <v>32226</v>
      </c>
    </row>
    <row r="976">
      <c r="A976" s="42" t="inlineStr">
        <is>
          <t>SC</t>
        </is>
      </c>
      <c r="B976" s="42" t="inlineStr">
        <is>
          <t>45025</t>
        </is>
      </c>
      <c r="C976" s="42" t="inlineStr">
        <is>
          <t>Chesterfield</t>
        </is>
      </c>
      <c r="D976" s="42" t="inlineStr">
        <is>
          <t>Small town &amp; rural</t>
        </is>
      </c>
      <c r="E976" s="42" t="inlineStr"/>
      <c r="F976" s="43" t="n">
        <v>6520</v>
      </c>
      <c r="G976" s="43" t="n">
        <v>11682</v>
      </c>
      <c r="H976" s="43" t="n">
        <v>18391</v>
      </c>
      <c r="I976" s="43" t="n">
        <v>7431</v>
      </c>
      <c r="J976" s="43" t="n">
        <v>11297</v>
      </c>
      <c r="K976" s="42" t="inlineStr">
        <is>
          <t>US Senate</t>
        </is>
      </c>
      <c r="L976" s="43" t="n">
        <v>4234</v>
      </c>
      <c r="M976" s="43" t="n">
        <v>8298</v>
      </c>
      <c r="N976" s="43" t="n">
        <v>12538</v>
      </c>
      <c r="O976" s="44">
        <f>IFERROR((F976-G976)/(F976+G976),"")</f>
        <v/>
      </c>
      <c r="P976" s="44">
        <f>IFERROR((I976-J976)/(I976+J976),"")</f>
        <v/>
      </c>
      <c r="Q976" s="45">
        <f>IFERROR(O976-P976,"")</f>
        <v/>
      </c>
      <c r="R976" s="44">
        <f>IFERROR((L976-M976)/(L976+M976),"")</f>
        <v/>
      </c>
      <c r="S976" s="46">
        <f>H976/SUMIFS(Counties!$H$2:$H$1583,Counties!$A$2:$A$1583,$A976)</f>
        <v/>
      </c>
      <c r="T976" s="44">
        <f>O976+INDEX(Dashboard!$F$6:$F$22,MATCH($A976,Dashboard!$A$6:$A$22,0))</f>
        <v/>
      </c>
      <c r="U976" s="43">
        <f>AQ976*INDEX(Dashboard!$G$6:$G$22,MATCH($A976,Dashboard!$A$6:$A$22,0))</f>
        <v/>
      </c>
      <c r="V976" s="47" t="n"/>
      <c r="W976" s="47" t="n"/>
      <c r="X976" s="47" t="n"/>
      <c r="Y976" s="48" t="n"/>
      <c r="Z976" s="49" t="n"/>
      <c r="AA976" s="49" t="n"/>
      <c r="AB976" s="49" t="n"/>
      <c r="AC976" s="50" t="n"/>
      <c r="AD976" s="43">
        <f>IF(Z976&lt;&gt;"",Z976,N(V976))</f>
        <v/>
      </c>
      <c r="AE976" s="43">
        <f>IF(AA976&lt;&gt;"",AA976,N(W976))</f>
        <v/>
      </c>
      <c r="AF976" s="43">
        <f>AD976+AE976</f>
        <v/>
      </c>
      <c r="AG976" s="42">
        <f>IF(UPPER(AC976)="Y",1,IF(AF976=0,0,IF(AND(Z976="",Y976&lt;&gt;""),IF(Y976&gt;=0.999,1,0),IF(AF976&gt;=U976,1,0))))</f>
        <v/>
      </c>
      <c r="AH976" s="44">
        <f>IF(AF976&gt;0,(AD976-AE976)/AF976,"")</f>
        <v/>
      </c>
      <c r="AI976" s="45">
        <f>IF(AG976=1,AH976-O976,"")</f>
        <v/>
      </c>
      <c r="AJ976" s="44">
        <f>IF(AG976=1,AH976,MAX(-1,MIN(1,O976+INDEX(Types!$H:$H,MATCH($A976&amp;"|"&amp;$D976,Types!$A:$A,0)))))</f>
        <v/>
      </c>
      <c r="AK976" s="43">
        <f>IF(AG976=1,AF976,MAX(AQ976*AS976,AF976))</f>
        <v/>
      </c>
      <c r="AL976" s="43">
        <f>IF(AG976=1,AD976,AK976*(1+AJ976)/2)</f>
        <v/>
      </c>
      <c r="AM976" s="43">
        <f>IF(AG976=1,AE976,AK976*(1-AJ976)/2)</f>
        <v/>
      </c>
      <c r="AN976" s="45">
        <f>IF(AH976="","",AH976-T976)</f>
        <v/>
      </c>
      <c r="AO976" s="51">
        <f>IF(AG976=1,1,IF(U976&gt;0,MIN(AF976/U976,0.99),0))</f>
        <v/>
      </c>
      <c r="AP976" s="43">
        <f>IF(AG976=1,AI976*AF976,0)</f>
        <v/>
      </c>
      <c r="AQ976" s="43">
        <f>N976*(F976+G976)/H976</f>
        <v/>
      </c>
      <c r="AR976" s="43">
        <f>O976*AQ976</f>
        <v/>
      </c>
      <c r="AS976" s="52">
        <f>IF(AG976=1,IF(AQ976&gt;0,AF976/AQ976,1),IFERROR(INDEX(Types!$K:$K,MATCH($A976&amp;"|"&amp;$D976,Types!$A:$A,0)),INDEX(Dashboard!$X$6:$X$22,MATCH($A976,Dashboard!$A$6:$A$22,0))))</f>
        <v/>
      </c>
      <c r="AT976" s="43">
        <f>AQ976*INDEX(Dashboard!$Y$6:$Y$22,MATCH($A976,Dashboard!$A$6:$A$22,0))</f>
        <v/>
      </c>
      <c r="AU976" s="53">
        <f>IF(AND(AG976=1,AT976&gt;0,AF976&gt;0),100*AF976/AT976,"")</f>
        <v/>
      </c>
      <c r="AV976" s="44">
        <f>IF(AU976="","",T976/(AU976/100))</f>
        <v/>
      </c>
      <c r="AW976" s="53">
        <f>IF(AU976="","",IF(AND(ABS(AH976)&gt;=0.1,ABS(T976)&gt;=0.05,SIGN(AH976)=SIGN(T976)),100*T976/AH976,""))</f>
        <v/>
      </c>
      <c r="AX976" s="45">
        <f>IF(AU976="","",T976-AV976)</f>
        <v/>
      </c>
      <c r="AY976" s="45">
        <f>IF(AU976="","",AH976-AV976)</f>
        <v/>
      </c>
      <c r="AZ976" s="54">
        <f>(AL976-AM976)-T976*AT976</f>
        <v/>
      </c>
      <c r="BA976" s="43">
        <f>IF(AU976="",0,(AH976-T976)*AF976)</f>
        <v/>
      </c>
      <c r="BB976" s="43">
        <f>IF(AU976="",0,T976*(AF976-AT976))</f>
        <v/>
      </c>
      <c r="BC976" s="51" t="n">
        <v>0.3195930140128546</v>
      </c>
      <c r="BD976" s="51" t="n">
        <v>0.06141127841747859</v>
      </c>
      <c r="BE976" s="51" t="n">
        <v>0.1320087722169487</v>
      </c>
      <c r="BF976" s="43" t="n">
        <v>44031</v>
      </c>
    </row>
    <row r="977">
      <c r="A977" s="42" t="inlineStr">
        <is>
          <t>SC</t>
        </is>
      </c>
      <c r="B977" s="42" t="inlineStr">
        <is>
          <t>45027</t>
        </is>
      </c>
      <c r="C977" s="42" t="inlineStr">
        <is>
          <t>Clarendon</t>
        </is>
      </c>
      <c r="D977" s="42" t="inlineStr">
        <is>
          <t>Black Belt</t>
        </is>
      </c>
      <c r="E977" s="42" t="inlineStr"/>
      <c r="F977" s="43" t="n">
        <v>7064</v>
      </c>
      <c r="G977" s="43" t="n">
        <v>9065</v>
      </c>
      <c r="H977" s="43" t="n">
        <v>16320</v>
      </c>
      <c r="I977" s="43" t="n">
        <v>8250</v>
      </c>
      <c r="J977" s="43" t="n">
        <v>8361</v>
      </c>
      <c r="K977" s="42" t="inlineStr">
        <is>
          <t>US Senate</t>
        </is>
      </c>
      <c r="L977" s="43" t="n">
        <v>4792</v>
      </c>
      <c r="M977" s="43" t="n">
        <v>6612</v>
      </c>
      <c r="N977" s="43" t="n">
        <v>11410</v>
      </c>
      <c r="O977" s="44">
        <f>IFERROR((F977-G977)/(F977+G977),"")</f>
        <v/>
      </c>
      <c r="P977" s="44">
        <f>IFERROR((I977-J977)/(I977+J977),"")</f>
        <v/>
      </c>
      <c r="Q977" s="45">
        <f>IFERROR(O977-P977,"")</f>
        <v/>
      </c>
      <c r="R977" s="44">
        <f>IFERROR((L977-M977)/(L977+M977),"")</f>
        <v/>
      </c>
      <c r="S977" s="46">
        <f>H977/SUMIFS(Counties!$H$2:$H$1583,Counties!$A$2:$A$1583,$A977)</f>
        <v/>
      </c>
      <c r="T977" s="44">
        <f>O977+INDEX(Dashboard!$F$6:$F$22,MATCH($A977,Dashboard!$A$6:$A$22,0))</f>
        <v/>
      </c>
      <c r="U977" s="43">
        <f>AQ977*INDEX(Dashboard!$G$6:$G$22,MATCH($A977,Dashboard!$A$6:$A$22,0))</f>
        <v/>
      </c>
      <c r="V977" s="47" t="n"/>
      <c r="W977" s="47" t="n"/>
      <c r="X977" s="47" t="n"/>
      <c r="Y977" s="48" t="n"/>
      <c r="Z977" s="49" t="n"/>
      <c r="AA977" s="49" t="n"/>
      <c r="AB977" s="49" t="n"/>
      <c r="AC977" s="50" t="n"/>
      <c r="AD977" s="43">
        <f>IF(Z977&lt;&gt;"",Z977,N(V977))</f>
        <v/>
      </c>
      <c r="AE977" s="43">
        <f>IF(AA977&lt;&gt;"",AA977,N(W977))</f>
        <v/>
      </c>
      <c r="AF977" s="43">
        <f>AD977+AE977</f>
        <v/>
      </c>
      <c r="AG977" s="42">
        <f>IF(UPPER(AC977)="Y",1,IF(AF977=0,0,IF(AND(Z977="",Y977&lt;&gt;""),IF(Y977&gt;=0.999,1,0),IF(AF977&gt;=U977,1,0))))</f>
        <v/>
      </c>
      <c r="AH977" s="44">
        <f>IF(AF977&gt;0,(AD977-AE977)/AF977,"")</f>
        <v/>
      </c>
      <c r="AI977" s="45">
        <f>IF(AG977=1,AH977-O977,"")</f>
        <v/>
      </c>
      <c r="AJ977" s="44">
        <f>IF(AG977=1,AH977,MAX(-1,MIN(1,O977+INDEX(Types!$H:$H,MATCH($A977&amp;"|"&amp;$D977,Types!$A:$A,0)))))</f>
        <v/>
      </c>
      <c r="AK977" s="43">
        <f>IF(AG977=1,AF977,MAX(AQ977*AS977,AF977))</f>
        <v/>
      </c>
      <c r="AL977" s="43">
        <f>IF(AG977=1,AD977,AK977*(1+AJ977)/2)</f>
        <v/>
      </c>
      <c r="AM977" s="43">
        <f>IF(AG977=1,AE977,AK977*(1-AJ977)/2)</f>
        <v/>
      </c>
      <c r="AN977" s="45">
        <f>IF(AH977="","",AH977-T977)</f>
        <v/>
      </c>
      <c r="AO977" s="51">
        <f>IF(AG977=1,1,IF(U977&gt;0,MIN(AF977/U977,0.99),0))</f>
        <v/>
      </c>
      <c r="AP977" s="43">
        <f>IF(AG977=1,AI977*AF977,0)</f>
        <v/>
      </c>
      <c r="AQ977" s="43">
        <f>N977*(F977+G977)/H977</f>
        <v/>
      </c>
      <c r="AR977" s="43">
        <f>O977*AQ977</f>
        <v/>
      </c>
      <c r="AS977" s="52">
        <f>IF(AG977=1,IF(AQ977&gt;0,AF977/AQ977,1),IFERROR(INDEX(Types!$K:$K,MATCH($A977&amp;"|"&amp;$D977,Types!$A:$A,0)),INDEX(Dashboard!$X$6:$X$22,MATCH($A977,Dashboard!$A$6:$A$22,0))))</f>
        <v/>
      </c>
      <c r="AT977" s="43">
        <f>AQ977*INDEX(Dashboard!$Y$6:$Y$22,MATCH($A977,Dashboard!$A$6:$A$22,0))</f>
        <v/>
      </c>
      <c r="AU977" s="53">
        <f>IF(AND(AG977=1,AT977&gt;0,AF977&gt;0),100*AF977/AT977,"")</f>
        <v/>
      </c>
      <c r="AV977" s="44">
        <f>IF(AU977="","",T977/(AU977/100))</f>
        <v/>
      </c>
      <c r="AW977" s="53">
        <f>IF(AU977="","",IF(AND(ABS(AH977)&gt;=0.1,ABS(T977)&gt;=0.05,SIGN(AH977)=SIGN(T977)),100*T977/AH977,""))</f>
        <v/>
      </c>
      <c r="AX977" s="45">
        <f>IF(AU977="","",T977-AV977)</f>
        <v/>
      </c>
      <c r="AY977" s="45">
        <f>IF(AU977="","",AH977-AV977)</f>
        <v/>
      </c>
      <c r="AZ977" s="54">
        <f>(AL977-AM977)-T977*AT977</f>
        <v/>
      </c>
      <c r="BA977" s="43">
        <f>IF(AU977="",0,(AH977-T977)*AF977)</f>
        <v/>
      </c>
      <c r="BB977" s="43">
        <f>IF(AU977="",0,T977*(AF977-AT977))</f>
        <v/>
      </c>
      <c r="BC977" s="51" t="n">
        <v>0.4426203070571539</v>
      </c>
      <c r="BD977" s="51" t="n">
        <v>0.03173784027867372</v>
      </c>
      <c r="BE977" s="51" t="n">
        <v>0.1766786014233303</v>
      </c>
      <c r="BF977" s="43" t="n">
        <v>31004</v>
      </c>
    </row>
    <row r="978">
      <c r="A978" s="42" t="inlineStr">
        <is>
          <t>SC</t>
        </is>
      </c>
      <c r="B978" s="42" t="inlineStr">
        <is>
          <t>45029</t>
        </is>
      </c>
      <c r="C978" s="42" t="inlineStr">
        <is>
          <t>Colleton</t>
        </is>
      </c>
      <c r="D978" s="42" t="inlineStr">
        <is>
          <t>Small town &amp; rural</t>
        </is>
      </c>
      <c r="E978" s="42" t="inlineStr"/>
      <c r="F978" s="43" t="n">
        <v>7376</v>
      </c>
      <c r="G978" s="43" t="n">
        <v>10696</v>
      </c>
      <c r="H978" s="43" t="n">
        <v>18276</v>
      </c>
      <c r="I978" s="43" t="n">
        <v>8602</v>
      </c>
      <c r="J978" s="43" t="n">
        <v>10440</v>
      </c>
      <c r="K978" s="42" t="inlineStr">
        <is>
          <t>US Senate</t>
        </is>
      </c>
      <c r="L978" s="43" t="n">
        <v>4750</v>
      </c>
      <c r="M978" s="43" t="n">
        <v>7747</v>
      </c>
      <c r="N978" s="43" t="n">
        <v>12507</v>
      </c>
      <c r="O978" s="44">
        <f>IFERROR((F978-G978)/(F978+G978),"")</f>
        <v/>
      </c>
      <c r="P978" s="44">
        <f>IFERROR((I978-J978)/(I978+J978),"")</f>
        <v/>
      </c>
      <c r="Q978" s="45">
        <f>IFERROR(O978-P978,"")</f>
        <v/>
      </c>
      <c r="R978" s="44">
        <f>IFERROR((L978-M978)/(L978+M978),"")</f>
        <v/>
      </c>
      <c r="S978" s="46">
        <f>H978/SUMIFS(Counties!$H$2:$H$1583,Counties!$A$2:$A$1583,$A978)</f>
        <v/>
      </c>
      <c r="T978" s="44">
        <f>O978+INDEX(Dashboard!$F$6:$F$22,MATCH($A978,Dashboard!$A$6:$A$22,0))</f>
        <v/>
      </c>
      <c r="U978" s="43">
        <f>AQ978*INDEX(Dashboard!$G$6:$G$22,MATCH($A978,Dashboard!$A$6:$A$22,0))</f>
        <v/>
      </c>
      <c r="V978" s="47" t="n"/>
      <c r="W978" s="47" t="n"/>
      <c r="X978" s="47" t="n"/>
      <c r="Y978" s="48" t="n"/>
      <c r="Z978" s="49" t="n"/>
      <c r="AA978" s="49" t="n"/>
      <c r="AB978" s="49" t="n"/>
      <c r="AC978" s="50" t="n"/>
      <c r="AD978" s="43">
        <f>IF(Z978&lt;&gt;"",Z978,N(V978))</f>
        <v/>
      </c>
      <c r="AE978" s="43">
        <f>IF(AA978&lt;&gt;"",AA978,N(W978))</f>
        <v/>
      </c>
      <c r="AF978" s="43">
        <f>AD978+AE978</f>
        <v/>
      </c>
      <c r="AG978" s="42">
        <f>IF(UPPER(AC978)="Y",1,IF(AF978=0,0,IF(AND(Z978="",Y978&lt;&gt;""),IF(Y978&gt;=0.999,1,0),IF(AF978&gt;=U978,1,0))))</f>
        <v/>
      </c>
      <c r="AH978" s="44">
        <f>IF(AF978&gt;0,(AD978-AE978)/AF978,"")</f>
        <v/>
      </c>
      <c r="AI978" s="45">
        <f>IF(AG978=1,AH978-O978,"")</f>
        <v/>
      </c>
      <c r="AJ978" s="44">
        <f>IF(AG978=1,AH978,MAX(-1,MIN(1,O978+INDEX(Types!$H:$H,MATCH($A978&amp;"|"&amp;$D978,Types!$A:$A,0)))))</f>
        <v/>
      </c>
      <c r="AK978" s="43">
        <f>IF(AG978=1,AF978,MAX(AQ978*AS978,AF978))</f>
        <v/>
      </c>
      <c r="AL978" s="43">
        <f>IF(AG978=1,AD978,AK978*(1+AJ978)/2)</f>
        <v/>
      </c>
      <c r="AM978" s="43">
        <f>IF(AG978=1,AE978,AK978*(1-AJ978)/2)</f>
        <v/>
      </c>
      <c r="AN978" s="45">
        <f>IF(AH978="","",AH978-T978)</f>
        <v/>
      </c>
      <c r="AO978" s="51">
        <f>IF(AG978=1,1,IF(U978&gt;0,MIN(AF978/U978,0.99),0))</f>
        <v/>
      </c>
      <c r="AP978" s="43">
        <f>IF(AG978=1,AI978*AF978,0)</f>
        <v/>
      </c>
      <c r="AQ978" s="43">
        <f>N978*(F978+G978)/H978</f>
        <v/>
      </c>
      <c r="AR978" s="43">
        <f>O978*AQ978</f>
        <v/>
      </c>
      <c r="AS978" s="52">
        <f>IF(AG978=1,IF(AQ978&gt;0,AF978/AQ978,1),IFERROR(INDEX(Types!$K:$K,MATCH($A978&amp;"|"&amp;$D978,Types!$A:$A,0)),INDEX(Dashboard!$X$6:$X$22,MATCH($A978,Dashboard!$A$6:$A$22,0))))</f>
        <v/>
      </c>
      <c r="AT978" s="43">
        <f>AQ978*INDEX(Dashboard!$Y$6:$Y$22,MATCH($A978,Dashboard!$A$6:$A$22,0))</f>
        <v/>
      </c>
      <c r="AU978" s="53">
        <f>IF(AND(AG978=1,AT978&gt;0,AF978&gt;0),100*AF978/AT978,"")</f>
        <v/>
      </c>
      <c r="AV978" s="44">
        <f>IF(AU978="","",T978/(AU978/100))</f>
        <v/>
      </c>
      <c r="AW978" s="53">
        <f>IF(AU978="","",IF(AND(ABS(AH978)&gt;=0.1,ABS(T978)&gt;=0.05,SIGN(AH978)=SIGN(T978)),100*T978/AH978,""))</f>
        <v/>
      </c>
      <c r="AX978" s="45">
        <f>IF(AU978="","",T978-AV978)</f>
        <v/>
      </c>
      <c r="AY978" s="45">
        <f>IF(AU978="","",AH978-AV978)</f>
        <v/>
      </c>
      <c r="AZ978" s="54">
        <f>(AL978-AM978)-T978*AT978</f>
        <v/>
      </c>
      <c r="BA978" s="43">
        <f>IF(AU978="",0,(AH978-T978)*AF978)</f>
        <v/>
      </c>
      <c r="BB978" s="43">
        <f>IF(AU978="",0,T978*(AF978-AT978))</f>
        <v/>
      </c>
      <c r="BC978" s="51" t="n">
        <v>0.3464269177342182</v>
      </c>
      <c r="BD978" s="51" t="n">
        <v>0.04751247620517569</v>
      </c>
      <c r="BE978" s="51" t="n">
        <v>0.1666790132602415</v>
      </c>
      <c r="BF978" s="43" t="n">
        <v>38874</v>
      </c>
    </row>
    <row r="979">
      <c r="A979" s="42" t="inlineStr">
        <is>
          <t>SC</t>
        </is>
      </c>
      <c r="B979" s="42" t="inlineStr">
        <is>
          <t>45031</t>
        </is>
      </c>
      <c r="C979" s="42" t="inlineStr">
        <is>
          <t>Darlington</t>
        </is>
      </c>
      <c r="D979" s="42" t="inlineStr">
        <is>
          <t>Black Belt</t>
        </is>
      </c>
      <c r="E979" s="42" t="inlineStr"/>
      <c r="F979" s="43" t="n">
        <v>12977</v>
      </c>
      <c r="G979" s="43" t="n">
        <v>17017</v>
      </c>
      <c r="H979" s="43" t="n">
        <v>30331</v>
      </c>
      <c r="I979" s="43" t="n">
        <v>15220</v>
      </c>
      <c r="J979" s="43" t="n">
        <v>16832</v>
      </c>
      <c r="K979" s="42" t="inlineStr">
        <is>
          <t>US Senate</t>
        </is>
      </c>
      <c r="L979" s="43" t="n">
        <v>7898</v>
      </c>
      <c r="M979" s="43" t="n">
        <v>12116</v>
      </c>
      <c r="N979" s="43" t="n">
        <v>20026</v>
      </c>
      <c r="O979" s="44">
        <f>IFERROR((F979-G979)/(F979+G979),"")</f>
        <v/>
      </c>
      <c r="P979" s="44">
        <f>IFERROR((I979-J979)/(I979+J979),"")</f>
        <v/>
      </c>
      <c r="Q979" s="45">
        <f>IFERROR(O979-P979,"")</f>
        <v/>
      </c>
      <c r="R979" s="44">
        <f>IFERROR((L979-M979)/(L979+M979),"")</f>
        <v/>
      </c>
      <c r="S979" s="46">
        <f>H979/SUMIFS(Counties!$H$2:$H$1583,Counties!$A$2:$A$1583,$A979)</f>
        <v/>
      </c>
      <c r="T979" s="44">
        <f>O979+INDEX(Dashboard!$F$6:$F$22,MATCH($A979,Dashboard!$A$6:$A$22,0))</f>
        <v/>
      </c>
      <c r="U979" s="43">
        <f>AQ979*INDEX(Dashboard!$G$6:$G$22,MATCH($A979,Dashboard!$A$6:$A$22,0))</f>
        <v/>
      </c>
      <c r="V979" s="47" t="n"/>
      <c r="W979" s="47" t="n"/>
      <c r="X979" s="47" t="n"/>
      <c r="Y979" s="48" t="n"/>
      <c r="Z979" s="49" t="n"/>
      <c r="AA979" s="49" t="n"/>
      <c r="AB979" s="49" t="n"/>
      <c r="AC979" s="50" t="n"/>
      <c r="AD979" s="43">
        <f>IF(Z979&lt;&gt;"",Z979,N(V979))</f>
        <v/>
      </c>
      <c r="AE979" s="43">
        <f>IF(AA979&lt;&gt;"",AA979,N(W979))</f>
        <v/>
      </c>
      <c r="AF979" s="43">
        <f>AD979+AE979</f>
        <v/>
      </c>
      <c r="AG979" s="42">
        <f>IF(UPPER(AC979)="Y",1,IF(AF979=0,0,IF(AND(Z979="",Y979&lt;&gt;""),IF(Y979&gt;=0.999,1,0),IF(AF979&gt;=U979,1,0))))</f>
        <v/>
      </c>
      <c r="AH979" s="44">
        <f>IF(AF979&gt;0,(AD979-AE979)/AF979,"")</f>
        <v/>
      </c>
      <c r="AI979" s="45">
        <f>IF(AG979=1,AH979-O979,"")</f>
        <v/>
      </c>
      <c r="AJ979" s="44">
        <f>IF(AG979=1,AH979,MAX(-1,MIN(1,O979+INDEX(Types!$H:$H,MATCH($A979&amp;"|"&amp;$D979,Types!$A:$A,0)))))</f>
        <v/>
      </c>
      <c r="AK979" s="43">
        <f>IF(AG979=1,AF979,MAX(AQ979*AS979,AF979))</f>
        <v/>
      </c>
      <c r="AL979" s="43">
        <f>IF(AG979=1,AD979,AK979*(1+AJ979)/2)</f>
        <v/>
      </c>
      <c r="AM979" s="43">
        <f>IF(AG979=1,AE979,AK979*(1-AJ979)/2)</f>
        <v/>
      </c>
      <c r="AN979" s="45">
        <f>IF(AH979="","",AH979-T979)</f>
        <v/>
      </c>
      <c r="AO979" s="51">
        <f>IF(AG979=1,1,IF(U979&gt;0,MIN(AF979/U979,0.99),0))</f>
        <v/>
      </c>
      <c r="AP979" s="43">
        <f>IF(AG979=1,AI979*AF979,0)</f>
        <v/>
      </c>
      <c r="AQ979" s="43">
        <f>N979*(F979+G979)/H979</f>
        <v/>
      </c>
      <c r="AR979" s="43">
        <f>O979*AQ979</f>
        <v/>
      </c>
      <c r="AS979" s="52">
        <f>IF(AG979=1,IF(AQ979&gt;0,AF979/AQ979,1),IFERROR(INDEX(Types!$K:$K,MATCH($A979&amp;"|"&amp;$D979,Types!$A:$A,0)),INDEX(Dashboard!$X$6:$X$22,MATCH($A979,Dashboard!$A$6:$A$22,0))))</f>
        <v/>
      </c>
      <c r="AT979" s="43">
        <f>AQ979*INDEX(Dashboard!$Y$6:$Y$22,MATCH($A979,Dashboard!$A$6:$A$22,0))</f>
        <v/>
      </c>
      <c r="AU979" s="53">
        <f>IF(AND(AG979=1,AT979&gt;0,AF979&gt;0),100*AF979/AT979,"")</f>
        <v/>
      </c>
      <c r="AV979" s="44">
        <f>IF(AU979="","",T979/(AU979/100))</f>
        <v/>
      </c>
      <c r="AW979" s="53">
        <f>IF(AU979="","",IF(AND(ABS(AH979)&gt;=0.1,ABS(T979)&gt;=0.05,SIGN(AH979)=SIGN(T979)),100*T979/AH979,""))</f>
        <v/>
      </c>
      <c r="AX979" s="45">
        <f>IF(AU979="","",T979-AV979)</f>
        <v/>
      </c>
      <c r="AY979" s="45">
        <f>IF(AU979="","",AH979-AV979)</f>
        <v/>
      </c>
      <c r="AZ979" s="54">
        <f>(AL979-AM979)-T979*AT979</f>
        <v/>
      </c>
      <c r="BA979" s="43">
        <f>IF(AU979="",0,(AH979-T979)*AF979)</f>
        <v/>
      </c>
      <c r="BB979" s="43">
        <f>IF(AU979="",0,T979*(AF979-AT979))</f>
        <v/>
      </c>
      <c r="BC979" s="51" t="n">
        <v>0.4138842604460395</v>
      </c>
      <c r="BD979" s="51" t="n">
        <v>0.02534606511150987</v>
      </c>
      <c r="BE979" s="51" t="n">
        <v>0.1969942571322712</v>
      </c>
      <c r="BF979" s="43" t="n">
        <v>62416</v>
      </c>
    </row>
    <row r="980">
      <c r="A980" s="42" t="inlineStr">
        <is>
          <t>SC</t>
        </is>
      </c>
      <c r="B980" s="42" t="inlineStr">
        <is>
          <t>45033</t>
        </is>
      </c>
      <c r="C980" s="42" t="inlineStr">
        <is>
          <t>Dillon</t>
        </is>
      </c>
      <c r="D980" s="42" t="inlineStr">
        <is>
          <t>Black Belt</t>
        </is>
      </c>
      <c r="E980" s="42" t="inlineStr"/>
      <c r="F980" s="43" t="n">
        <v>5241</v>
      </c>
      <c r="G980" s="43" t="n">
        <v>6526</v>
      </c>
      <c r="H980" s="43" t="n">
        <v>11861</v>
      </c>
      <c r="I980" s="43" t="n">
        <v>6436</v>
      </c>
      <c r="J980" s="43" t="n">
        <v>6582</v>
      </c>
      <c r="K980" s="42" t="inlineStr">
        <is>
          <t>US Senate</t>
        </is>
      </c>
      <c r="L980" s="43" t="n">
        <v>3420</v>
      </c>
      <c r="M980" s="43" t="n">
        <v>4456</v>
      </c>
      <c r="N980" s="43" t="n">
        <v>7882</v>
      </c>
      <c r="O980" s="44">
        <f>IFERROR((F980-G980)/(F980+G980),"")</f>
        <v/>
      </c>
      <c r="P980" s="44">
        <f>IFERROR((I980-J980)/(I980+J980),"")</f>
        <v/>
      </c>
      <c r="Q980" s="45">
        <f>IFERROR(O980-P980,"")</f>
        <v/>
      </c>
      <c r="R980" s="44">
        <f>IFERROR((L980-M980)/(L980+M980),"")</f>
        <v/>
      </c>
      <c r="S980" s="46">
        <f>H980/SUMIFS(Counties!$H$2:$H$1583,Counties!$A$2:$A$1583,$A980)</f>
        <v/>
      </c>
      <c r="T980" s="44">
        <f>O980+INDEX(Dashboard!$F$6:$F$22,MATCH($A980,Dashboard!$A$6:$A$22,0))</f>
        <v/>
      </c>
      <c r="U980" s="43">
        <f>AQ980*INDEX(Dashboard!$G$6:$G$22,MATCH($A980,Dashboard!$A$6:$A$22,0))</f>
        <v/>
      </c>
      <c r="V980" s="47" t="n"/>
      <c r="W980" s="47" t="n"/>
      <c r="X980" s="47" t="n"/>
      <c r="Y980" s="48" t="n"/>
      <c r="Z980" s="49" t="n"/>
      <c r="AA980" s="49" t="n"/>
      <c r="AB980" s="49" t="n"/>
      <c r="AC980" s="50" t="n"/>
      <c r="AD980" s="43">
        <f>IF(Z980&lt;&gt;"",Z980,N(V980))</f>
        <v/>
      </c>
      <c r="AE980" s="43">
        <f>IF(AA980&lt;&gt;"",AA980,N(W980))</f>
        <v/>
      </c>
      <c r="AF980" s="43">
        <f>AD980+AE980</f>
        <v/>
      </c>
      <c r="AG980" s="42">
        <f>IF(UPPER(AC980)="Y",1,IF(AF980=0,0,IF(AND(Z980="",Y980&lt;&gt;""),IF(Y980&gt;=0.999,1,0),IF(AF980&gt;=U980,1,0))))</f>
        <v/>
      </c>
      <c r="AH980" s="44">
        <f>IF(AF980&gt;0,(AD980-AE980)/AF980,"")</f>
        <v/>
      </c>
      <c r="AI980" s="45">
        <f>IF(AG980=1,AH980-O980,"")</f>
        <v/>
      </c>
      <c r="AJ980" s="44">
        <f>IF(AG980=1,AH980,MAX(-1,MIN(1,O980+INDEX(Types!$H:$H,MATCH($A980&amp;"|"&amp;$D980,Types!$A:$A,0)))))</f>
        <v/>
      </c>
      <c r="AK980" s="43">
        <f>IF(AG980=1,AF980,MAX(AQ980*AS980,AF980))</f>
        <v/>
      </c>
      <c r="AL980" s="43">
        <f>IF(AG980=1,AD980,AK980*(1+AJ980)/2)</f>
        <v/>
      </c>
      <c r="AM980" s="43">
        <f>IF(AG980=1,AE980,AK980*(1-AJ980)/2)</f>
        <v/>
      </c>
      <c r="AN980" s="45">
        <f>IF(AH980="","",AH980-T980)</f>
        <v/>
      </c>
      <c r="AO980" s="51">
        <f>IF(AG980=1,1,IF(U980&gt;0,MIN(AF980/U980,0.99),0))</f>
        <v/>
      </c>
      <c r="AP980" s="43">
        <f>IF(AG980=1,AI980*AF980,0)</f>
        <v/>
      </c>
      <c r="AQ980" s="43">
        <f>N980*(F980+G980)/H980</f>
        <v/>
      </c>
      <c r="AR980" s="43">
        <f>O980*AQ980</f>
        <v/>
      </c>
      <c r="AS980" s="52">
        <f>IF(AG980=1,IF(AQ980&gt;0,AF980/AQ980,1),IFERROR(INDEX(Types!$K:$K,MATCH($A980&amp;"|"&amp;$D980,Types!$A:$A,0)),INDEX(Dashboard!$X$6:$X$22,MATCH($A980,Dashboard!$A$6:$A$22,0))))</f>
        <v/>
      </c>
      <c r="AT980" s="43">
        <f>AQ980*INDEX(Dashboard!$Y$6:$Y$22,MATCH($A980,Dashboard!$A$6:$A$22,0))</f>
        <v/>
      </c>
      <c r="AU980" s="53">
        <f>IF(AND(AG980=1,AT980&gt;0,AF980&gt;0),100*AF980/AT980,"")</f>
        <v/>
      </c>
      <c r="AV980" s="44">
        <f>IF(AU980="","",T980/(AU980/100))</f>
        <v/>
      </c>
      <c r="AW980" s="53">
        <f>IF(AU980="","",IF(AND(ABS(AH980)&gt;=0.1,ABS(T980)&gt;=0.05,SIGN(AH980)=SIGN(T980)),100*T980/AH980,""))</f>
        <v/>
      </c>
      <c r="AX980" s="45">
        <f>IF(AU980="","",T980-AV980)</f>
        <v/>
      </c>
      <c r="AY980" s="45">
        <f>IF(AU980="","",AH980-AV980)</f>
        <v/>
      </c>
      <c r="AZ980" s="54">
        <f>(AL980-AM980)-T980*AT980</f>
        <v/>
      </c>
      <c r="BA980" s="43">
        <f>IF(AU980="",0,(AH980-T980)*AF980)</f>
        <v/>
      </c>
      <c r="BB980" s="43">
        <f>IF(AU980="",0,T980*(AF980-AT980))</f>
        <v/>
      </c>
      <c r="BC980" s="51" t="n">
        <v>0.461044118708932</v>
      </c>
      <c r="BD980" s="51" t="n">
        <v>0.03610368979709726</v>
      </c>
      <c r="BE980" s="51" t="n">
        <v>0.1168824163969795</v>
      </c>
      <c r="BF980" s="43" t="n">
        <v>27698</v>
      </c>
    </row>
    <row r="981">
      <c r="A981" s="42" t="inlineStr">
        <is>
          <t>SC</t>
        </is>
      </c>
      <c r="B981" s="42" t="inlineStr">
        <is>
          <t>45035</t>
        </is>
      </c>
      <c r="C981" s="42" t="inlineStr">
        <is>
          <t>Dorchester</t>
        </is>
      </c>
      <c r="D981" s="42" t="inlineStr">
        <is>
          <t>Mid-size/working metro</t>
        </is>
      </c>
      <c r="E981" s="42" t="inlineStr"/>
      <c r="F981" s="43" t="n">
        <v>32489</v>
      </c>
      <c r="G981" s="43" t="n">
        <v>43839</v>
      </c>
      <c r="H981" s="43" t="n">
        <v>77764</v>
      </c>
      <c r="I981" s="43" t="n">
        <v>33824</v>
      </c>
      <c r="J981" s="43" t="n">
        <v>41913</v>
      </c>
      <c r="K981" s="42" t="inlineStr">
        <is>
          <t>US Senate</t>
        </is>
      </c>
      <c r="L981" s="43" t="n">
        <v>18643</v>
      </c>
      <c r="M981" s="43" t="n">
        <v>30814</v>
      </c>
      <c r="N981" s="43" t="n">
        <v>49512</v>
      </c>
      <c r="O981" s="44">
        <f>IFERROR((F981-G981)/(F981+G981),"")</f>
        <v/>
      </c>
      <c r="P981" s="44">
        <f>IFERROR((I981-J981)/(I981+J981),"")</f>
        <v/>
      </c>
      <c r="Q981" s="45">
        <f>IFERROR(O981-P981,"")</f>
        <v/>
      </c>
      <c r="R981" s="44">
        <f>IFERROR((L981-M981)/(L981+M981),"")</f>
        <v/>
      </c>
      <c r="S981" s="46">
        <f>H981/SUMIFS(Counties!$H$2:$H$1583,Counties!$A$2:$A$1583,$A981)</f>
        <v/>
      </c>
      <c r="T981" s="44">
        <f>O981+INDEX(Dashboard!$F$6:$F$22,MATCH($A981,Dashboard!$A$6:$A$22,0))</f>
        <v/>
      </c>
      <c r="U981" s="43">
        <f>AQ981*INDEX(Dashboard!$G$6:$G$22,MATCH($A981,Dashboard!$A$6:$A$22,0))</f>
        <v/>
      </c>
      <c r="V981" s="47" t="n"/>
      <c r="W981" s="47" t="n"/>
      <c r="X981" s="47" t="n"/>
      <c r="Y981" s="48" t="n"/>
      <c r="Z981" s="49" t="n"/>
      <c r="AA981" s="49" t="n"/>
      <c r="AB981" s="49" t="n"/>
      <c r="AC981" s="50" t="n"/>
      <c r="AD981" s="43">
        <f>IF(Z981&lt;&gt;"",Z981,N(V981))</f>
        <v/>
      </c>
      <c r="AE981" s="43">
        <f>IF(AA981&lt;&gt;"",AA981,N(W981))</f>
        <v/>
      </c>
      <c r="AF981" s="43">
        <f>AD981+AE981</f>
        <v/>
      </c>
      <c r="AG981" s="42">
        <f>IF(UPPER(AC981)="Y",1,IF(AF981=0,0,IF(AND(Z981="",Y981&lt;&gt;""),IF(Y981&gt;=0.999,1,0),IF(AF981&gt;=U981,1,0))))</f>
        <v/>
      </c>
      <c r="AH981" s="44">
        <f>IF(AF981&gt;0,(AD981-AE981)/AF981,"")</f>
        <v/>
      </c>
      <c r="AI981" s="45">
        <f>IF(AG981=1,AH981-O981,"")</f>
        <v/>
      </c>
      <c r="AJ981" s="44">
        <f>IF(AG981=1,AH981,MAX(-1,MIN(1,O981+INDEX(Types!$H:$H,MATCH($A981&amp;"|"&amp;$D981,Types!$A:$A,0)))))</f>
        <v/>
      </c>
      <c r="AK981" s="43">
        <f>IF(AG981=1,AF981,MAX(AQ981*AS981,AF981))</f>
        <v/>
      </c>
      <c r="AL981" s="43">
        <f>IF(AG981=1,AD981,AK981*(1+AJ981)/2)</f>
        <v/>
      </c>
      <c r="AM981" s="43">
        <f>IF(AG981=1,AE981,AK981*(1-AJ981)/2)</f>
        <v/>
      </c>
      <c r="AN981" s="45">
        <f>IF(AH981="","",AH981-T981)</f>
        <v/>
      </c>
      <c r="AO981" s="51">
        <f>IF(AG981=1,1,IF(U981&gt;0,MIN(AF981/U981,0.99),0))</f>
        <v/>
      </c>
      <c r="AP981" s="43">
        <f>IF(AG981=1,AI981*AF981,0)</f>
        <v/>
      </c>
      <c r="AQ981" s="43">
        <f>N981*(F981+G981)/H981</f>
        <v/>
      </c>
      <c r="AR981" s="43">
        <f>O981*AQ981</f>
        <v/>
      </c>
      <c r="AS981" s="52">
        <f>IF(AG981=1,IF(AQ981&gt;0,AF981/AQ981,1),IFERROR(INDEX(Types!$K:$K,MATCH($A981&amp;"|"&amp;$D981,Types!$A:$A,0)),INDEX(Dashboard!$X$6:$X$22,MATCH($A981,Dashboard!$A$6:$A$22,0))))</f>
        <v/>
      </c>
      <c r="AT981" s="43">
        <f>AQ981*INDEX(Dashboard!$Y$6:$Y$22,MATCH($A981,Dashboard!$A$6:$A$22,0))</f>
        <v/>
      </c>
      <c r="AU981" s="53">
        <f>IF(AND(AG981=1,AT981&gt;0,AF981&gt;0),100*AF981/AT981,"")</f>
        <v/>
      </c>
      <c r="AV981" s="44">
        <f>IF(AU981="","",T981/(AU981/100))</f>
        <v/>
      </c>
      <c r="AW981" s="53">
        <f>IF(AU981="","",IF(AND(ABS(AH981)&gt;=0.1,ABS(T981)&gt;=0.05,SIGN(AH981)=SIGN(T981)),100*T981/AH981,""))</f>
        <v/>
      </c>
      <c r="AX981" s="45">
        <f>IF(AU981="","",T981-AV981)</f>
        <v/>
      </c>
      <c r="AY981" s="45">
        <f>IF(AU981="","",AH981-AV981)</f>
        <v/>
      </c>
      <c r="AZ981" s="54">
        <f>(AL981-AM981)-T981*AT981</f>
        <v/>
      </c>
      <c r="BA981" s="43">
        <f>IF(AU981="",0,(AH981-T981)*AF981)</f>
        <v/>
      </c>
      <c r="BB981" s="43">
        <f>IF(AU981="",0,T981*(AF981-AT981))</f>
        <v/>
      </c>
      <c r="BC981" s="51" t="n">
        <v>0.2539612442811467</v>
      </c>
      <c r="BD981" s="51" t="n">
        <v>0.07282448051909818</v>
      </c>
      <c r="BE981" s="51" t="n">
        <v>0.299674967093776</v>
      </c>
      <c r="BF981" s="43" t="n">
        <v>169833</v>
      </c>
    </row>
    <row r="982">
      <c r="A982" s="42" t="inlineStr">
        <is>
          <t>SC</t>
        </is>
      </c>
      <c r="B982" s="42" t="inlineStr">
        <is>
          <t>45037</t>
        </is>
      </c>
      <c r="C982" s="42" t="inlineStr">
        <is>
          <t>Edgefield</t>
        </is>
      </c>
      <c r="D982" s="42" t="inlineStr">
        <is>
          <t>Small town &amp; rural</t>
        </is>
      </c>
      <c r="E982" s="42" t="inlineStr"/>
      <c r="F982" s="43" t="n">
        <v>4659</v>
      </c>
      <c r="G982" s="43" t="n">
        <v>9092</v>
      </c>
      <c r="H982" s="43" t="n">
        <v>13919</v>
      </c>
      <c r="I982" s="43" t="n">
        <v>4953</v>
      </c>
      <c r="J982" s="43" t="n">
        <v>8184</v>
      </c>
      <c r="K982" s="42" t="inlineStr">
        <is>
          <t>US Senate</t>
        </is>
      </c>
      <c r="L982" s="43" t="n">
        <v>2686</v>
      </c>
      <c r="M982" s="43" t="n">
        <v>6108</v>
      </c>
      <c r="N982" s="43" t="n">
        <v>8807</v>
      </c>
      <c r="O982" s="44">
        <f>IFERROR((F982-G982)/(F982+G982),"")</f>
        <v/>
      </c>
      <c r="P982" s="44">
        <f>IFERROR((I982-J982)/(I982+J982),"")</f>
        <v/>
      </c>
      <c r="Q982" s="45">
        <f>IFERROR(O982-P982,"")</f>
        <v/>
      </c>
      <c r="R982" s="44">
        <f>IFERROR((L982-M982)/(L982+M982),"")</f>
        <v/>
      </c>
      <c r="S982" s="46">
        <f>H982/SUMIFS(Counties!$H$2:$H$1583,Counties!$A$2:$A$1583,$A982)</f>
        <v/>
      </c>
      <c r="T982" s="44">
        <f>O982+INDEX(Dashboard!$F$6:$F$22,MATCH($A982,Dashboard!$A$6:$A$22,0))</f>
        <v/>
      </c>
      <c r="U982" s="43">
        <f>AQ982*INDEX(Dashboard!$G$6:$G$22,MATCH($A982,Dashboard!$A$6:$A$22,0))</f>
        <v/>
      </c>
      <c r="V982" s="47" t="n"/>
      <c r="W982" s="47" t="n"/>
      <c r="X982" s="47" t="n"/>
      <c r="Y982" s="48" t="n"/>
      <c r="Z982" s="49" t="n"/>
      <c r="AA982" s="49" t="n"/>
      <c r="AB982" s="49" t="n"/>
      <c r="AC982" s="50" t="n"/>
      <c r="AD982" s="43">
        <f>IF(Z982&lt;&gt;"",Z982,N(V982))</f>
        <v/>
      </c>
      <c r="AE982" s="43">
        <f>IF(AA982&lt;&gt;"",AA982,N(W982))</f>
        <v/>
      </c>
      <c r="AF982" s="43">
        <f>AD982+AE982</f>
        <v/>
      </c>
      <c r="AG982" s="42">
        <f>IF(UPPER(AC982)="Y",1,IF(AF982=0,0,IF(AND(Z982="",Y982&lt;&gt;""),IF(Y982&gt;=0.999,1,0),IF(AF982&gt;=U982,1,0))))</f>
        <v/>
      </c>
      <c r="AH982" s="44">
        <f>IF(AF982&gt;0,(AD982-AE982)/AF982,"")</f>
        <v/>
      </c>
      <c r="AI982" s="45">
        <f>IF(AG982=1,AH982-O982,"")</f>
        <v/>
      </c>
      <c r="AJ982" s="44">
        <f>IF(AG982=1,AH982,MAX(-1,MIN(1,O982+INDEX(Types!$H:$H,MATCH($A982&amp;"|"&amp;$D982,Types!$A:$A,0)))))</f>
        <v/>
      </c>
      <c r="AK982" s="43">
        <f>IF(AG982=1,AF982,MAX(AQ982*AS982,AF982))</f>
        <v/>
      </c>
      <c r="AL982" s="43">
        <f>IF(AG982=1,AD982,AK982*(1+AJ982)/2)</f>
        <v/>
      </c>
      <c r="AM982" s="43">
        <f>IF(AG982=1,AE982,AK982*(1-AJ982)/2)</f>
        <v/>
      </c>
      <c r="AN982" s="45">
        <f>IF(AH982="","",AH982-T982)</f>
        <v/>
      </c>
      <c r="AO982" s="51">
        <f>IF(AG982=1,1,IF(U982&gt;0,MIN(AF982/U982,0.99),0))</f>
        <v/>
      </c>
      <c r="AP982" s="43">
        <f>IF(AG982=1,AI982*AF982,0)</f>
        <v/>
      </c>
      <c r="AQ982" s="43">
        <f>N982*(F982+G982)/H982</f>
        <v/>
      </c>
      <c r="AR982" s="43">
        <f>O982*AQ982</f>
        <v/>
      </c>
      <c r="AS982" s="52">
        <f>IF(AG982=1,IF(AQ982&gt;0,AF982/AQ982,1),IFERROR(INDEX(Types!$K:$K,MATCH($A982&amp;"|"&amp;$D982,Types!$A:$A,0)),INDEX(Dashboard!$X$6:$X$22,MATCH($A982,Dashboard!$A$6:$A$22,0))))</f>
        <v/>
      </c>
      <c r="AT982" s="43">
        <f>AQ982*INDEX(Dashboard!$Y$6:$Y$22,MATCH($A982,Dashboard!$A$6:$A$22,0))</f>
        <v/>
      </c>
      <c r="AU982" s="53">
        <f>IF(AND(AG982=1,AT982&gt;0,AF982&gt;0),100*AF982/AT982,"")</f>
        <v/>
      </c>
      <c r="AV982" s="44">
        <f>IF(AU982="","",T982/(AU982/100))</f>
        <v/>
      </c>
      <c r="AW982" s="53">
        <f>IF(AU982="","",IF(AND(ABS(AH982)&gt;=0.1,ABS(T982)&gt;=0.05,SIGN(AH982)=SIGN(T982)),100*T982/AH982,""))</f>
        <v/>
      </c>
      <c r="AX982" s="45">
        <f>IF(AU982="","",T982-AV982)</f>
        <v/>
      </c>
      <c r="AY982" s="45">
        <f>IF(AU982="","",AH982-AV982)</f>
        <v/>
      </c>
      <c r="AZ982" s="54">
        <f>(AL982-AM982)-T982*AT982</f>
        <v/>
      </c>
      <c r="BA982" s="43">
        <f>IF(AU982="",0,(AH982-T982)*AF982)</f>
        <v/>
      </c>
      <c r="BB982" s="43">
        <f>IF(AU982="",0,T982*(AF982-AT982))</f>
        <v/>
      </c>
      <c r="BC982" s="51" t="n">
        <v>0.3170934907813236</v>
      </c>
      <c r="BD982" s="51" t="n">
        <v>0.07168471764407577</v>
      </c>
      <c r="BE982" s="51" t="n">
        <v>0.2144129472237773</v>
      </c>
      <c r="BF982" s="43" t="n">
        <v>27607</v>
      </c>
    </row>
    <row r="983">
      <c r="A983" s="42" t="inlineStr">
        <is>
          <t>SC</t>
        </is>
      </c>
      <c r="B983" s="42" t="inlineStr">
        <is>
          <t>45039</t>
        </is>
      </c>
      <c r="C983" s="42" t="inlineStr">
        <is>
          <t>Fairfield</t>
        </is>
      </c>
      <c r="D983" s="42" t="inlineStr">
        <is>
          <t>Black Belt</t>
        </is>
      </c>
      <c r="E983" s="42" t="inlineStr"/>
      <c r="F983" s="43" t="n">
        <v>6277</v>
      </c>
      <c r="G983" s="43" t="n">
        <v>4792</v>
      </c>
      <c r="H983" s="43" t="n">
        <v>11215</v>
      </c>
      <c r="I983" s="43" t="n">
        <v>7382</v>
      </c>
      <c r="J983" s="43" t="n">
        <v>4625</v>
      </c>
      <c r="K983" s="42" t="inlineStr">
        <is>
          <t>US Senate</t>
        </is>
      </c>
      <c r="L983" s="43" t="n">
        <v>4444</v>
      </c>
      <c r="M983" s="43" t="n">
        <v>3883</v>
      </c>
      <c r="N983" s="43" t="n">
        <v>8334</v>
      </c>
      <c r="O983" s="44">
        <f>IFERROR((F983-G983)/(F983+G983),"")</f>
        <v/>
      </c>
      <c r="P983" s="44">
        <f>IFERROR((I983-J983)/(I983+J983),"")</f>
        <v/>
      </c>
      <c r="Q983" s="45">
        <f>IFERROR(O983-P983,"")</f>
        <v/>
      </c>
      <c r="R983" s="44">
        <f>IFERROR((L983-M983)/(L983+M983),"")</f>
        <v/>
      </c>
      <c r="S983" s="46">
        <f>H983/SUMIFS(Counties!$H$2:$H$1583,Counties!$A$2:$A$1583,$A983)</f>
        <v/>
      </c>
      <c r="T983" s="44">
        <f>O983+INDEX(Dashboard!$F$6:$F$22,MATCH($A983,Dashboard!$A$6:$A$22,0))</f>
        <v/>
      </c>
      <c r="U983" s="43">
        <f>AQ983*INDEX(Dashboard!$G$6:$G$22,MATCH($A983,Dashboard!$A$6:$A$22,0))</f>
        <v/>
      </c>
      <c r="V983" s="47" t="n"/>
      <c r="W983" s="47" t="n"/>
      <c r="X983" s="47" t="n"/>
      <c r="Y983" s="48" t="n"/>
      <c r="Z983" s="49" t="n"/>
      <c r="AA983" s="49" t="n"/>
      <c r="AB983" s="49" t="n"/>
      <c r="AC983" s="50" t="n"/>
      <c r="AD983" s="43">
        <f>IF(Z983&lt;&gt;"",Z983,N(V983))</f>
        <v/>
      </c>
      <c r="AE983" s="43">
        <f>IF(AA983&lt;&gt;"",AA983,N(W983))</f>
        <v/>
      </c>
      <c r="AF983" s="43">
        <f>AD983+AE983</f>
        <v/>
      </c>
      <c r="AG983" s="42">
        <f>IF(UPPER(AC983)="Y",1,IF(AF983=0,0,IF(AND(Z983="",Y983&lt;&gt;""),IF(Y983&gt;=0.999,1,0),IF(AF983&gt;=U983,1,0))))</f>
        <v/>
      </c>
      <c r="AH983" s="44">
        <f>IF(AF983&gt;0,(AD983-AE983)/AF983,"")</f>
        <v/>
      </c>
      <c r="AI983" s="45">
        <f>IF(AG983=1,AH983-O983,"")</f>
        <v/>
      </c>
      <c r="AJ983" s="44">
        <f>IF(AG983=1,AH983,MAX(-1,MIN(1,O983+INDEX(Types!$H:$H,MATCH($A983&amp;"|"&amp;$D983,Types!$A:$A,0)))))</f>
        <v/>
      </c>
      <c r="AK983" s="43">
        <f>IF(AG983=1,AF983,MAX(AQ983*AS983,AF983))</f>
        <v/>
      </c>
      <c r="AL983" s="43">
        <f>IF(AG983=1,AD983,AK983*(1+AJ983)/2)</f>
        <v/>
      </c>
      <c r="AM983" s="43">
        <f>IF(AG983=1,AE983,AK983*(1-AJ983)/2)</f>
        <v/>
      </c>
      <c r="AN983" s="45">
        <f>IF(AH983="","",AH983-T983)</f>
        <v/>
      </c>
      <c r="AO983" s="51">
        <f>IF(AG983=1,1,IF(U983&gt;0,MIN(AF983/U983,0.99),0))</f>
        <v/>
      </c>
      <c r="AP983" s="43">
        <f>IF(AG983=1,AI983*AF983,0)</f>
        <v/>
      </c>
      <c r="AQ983" s="43">
        <f>N983*(F983+G983)/H983</f>
        <v/>
      </c>
      <c r="AR983" s="43">
        <f>O983*AQ983</f>
        <v/>
      </c>
      <c r="AS983" s="52">
        <f>IF(AG983=1,IF(AQ983&gt;0,AF983/AQ983,1),IFERROR(INDEX(Types!$K:$K,MATCH($A983&amp;"|"&amp;$D983,Types!$A:$A,0)),INDEX(Dashboard!$X$6:$X$22,MATCH($A983,Dashboard!$A$6:$A$22,0))))</f>
        <v/>
      </c>
      <c r="AT983" s="43">
        <f>AQ983*INDEX(Dashboard!$Y$6:$Y$22,MATCH($A983,Dashboard!$A$6:$A$22,0))</f>
        <v/>
      </c>
      <c r="AU983" s="53">
        <f>IF(AND(AG983=1,AT983&gt;0,AF983&gt;0),100*AF983/AT983,"")</f>
        <v/>
      </c>
      <c r="AV983" s="44">
        <f>IF(AU983="","",T983/(AU983/100))</f>
        <v/>
      </c>
      <c r="AW983" s="53">
        <f>IF(AU983="","",IF(AND(ABS(AH983)&gt;=0.1,ABS(T983)&gt;=0.05,SIGN(AH983)=SIGN(T983)),100*T983/AH983,""))</f>
        <v/>
      </c>
      <c r="AX983" s="45">
        <f>IF(AU983="","",T983-AV983)</f>
        <v/>
      </c>
      <c r="AY983" s="45">
        <f>IF(AU983="","",AH983-AV983)</f>
        <v/>
      </c>
      <c r="AZ983" s="54">
        <f>(AL983-AM983)-T983*AT983</f>
        <v/>
      </c>
      <c r="BA983" s="43">
        <f>IF(AU983="",0,(AH983-T983)*AF983)</f>
        <v/>
      </c>
      <c r="BB983" s="43">
        <f>IF(AU983="",0,T983*(AF983-AT983))</f>
        <v/>
      </c>
      <c r="BC983" s="51" t="n">
        <v>0.5412300460287924</v>
      </c>
      <c r="BD983" s="51" t="n">
        <v>0.02702967388110861</v>
      </c>
      <c r="BE983" s="51" t="n">
        <v>0.1534002084418968</v>
      </c>
      <c r="BF983" s="43" t="n">
        <v>20422</v>
      </c>
    </row>
    <row r="984">
      <c r="A984" s="42" t="inlineStr">
        <is>
          <t>SC</t>
        </is>
      </c>
      <c r="B984" s="42" t="inlineStr">
        <is>
          <t>45041</t>
        </is>
      </c>
      <c r="C984" s="42" t="inlineStr">
        <is>
          <t>Florence</t>
        </is>
      </c>
      <c r="D984" s="42" t="inlineStr">
        <is>
          <t>Black Belt</t>
        </is>
      </c>
      <c r="E984" s="42" t="inlineStr"/>
      <c r="F984" s="43" t="n">
        <v>27706</v>
      </c>
      <c r="G984" s="43" t="n">
        <v>32615</v>
      </c>
      <c r="H984" s="43" t="n">
        <v>61140</v>
      </c>
      <c r="I984" s="43" t="n">
        <v>31153</v>
      </c>
      <c r="J984" s="43" t="n">
        <v>32615</v>
      </c>
      <c r="K984" s="42" t="inlineStr">
        <is>
          <t>US Senate</t>
        </is>
      </c>
      <c r="L984" s="43" t="n">
        <v>17171</v>
      </c>
      <c r="M984" s="43" t="n">
        <v>24117</v>
      </c>
      <c r="N984" s="43" t="n">
        <v>41323</v>
      </c>
      <c r="O984" s="44">
        <f>IFERROR((F984-G984)/(F984+G984),"")</f>
        <v/>
      </c>
      <c r="P984" s="44">
        <f>IFERROR((I984-J984)/(I984+J984),"")</f>
        <v/>
      </c>
      <c r="Q984" s="45">
        <f>IFERROR(O984-P984,"")</f>
        <v/>
      </c>
      <c r="R984" s="44">
        <f>IFERROR((L984-M984)/(L984+M984),"")</f>
        <v/>
      </c>
      <c r="S984" s="46">
        <f>H984/SUMIFS(Counties!$H$2:$H$1583,Counties!$A$2:$A$1583,$A984)</f>
        <v/>
      </c>
      <c r="T984" s="44">
        <f>O984+INDEX(Dashboard!$F$6:$F$22,MATCH($A984,Dashboard!$A$6:$A$22,0))</f>
        <v/>
      </c>
      <c r="U984" s="43">
        <f>AQ984*INDEX(Dashboard!$G$6:$G$22,MATCH($A984,Dashboard!$A$6:$A$22,0))</f>
        <v/>
      </c>
      <c r="V984" s="47" t="n"/>
      <c r="W984" s="47" t="n"/>
      <c r="X984" s="47" t="n"/>
      <c r="Y984" s="48" t="n"/>
      <c r="Z984" s="49" t="n"/>
      <c r="AA984" s="49" t="n"/>
      <c r="AB984" s="49" t="n"/>
      <c r="AC984" s="50" t="n"/>
      <c r="AD984" s="43">
        <f>IF(Z984&lt;&gt;"",Z984,N(V984))</f>
        <v/>
      </c>
      <c r="AE984" s="43">
        <f>IF(AA984&lt;&gt;"",AA984,N(W984))</f>
        <v/>
      </c>
      <c r="AF984" s="43">
        <f>AD984+AE984</f>
        <v/>
      </c>
      <c r="AG984" s="42">
        <f>IF(UPPER(AC984)="Y",1,IF(AF984=0,0,IF(AND(Z984="",Y984&lt;&gt;""),IF(Y984&gt;=0.999,1,0),IF(AF984&gt;=U984,1,0))))</f>
        <v/>
      </c>
      <c r="AH984" s="44">
        <f>IF(AF984&gt;0,(AD984-AE984)/AF984,"")</f>
        <v/>
      </c>
      <c r="AI984" s="45">
        <f>IF(AG984=1,AH984-O984,"")</f>
        <v/>
      </c>
      <c r="AJ984" s="44">
        <f>IF(AG984=1,AH984,MAX(-1,MIN(1,O984+INDEX(Types!$H:$H,MATCH($A984&amp;"|"&amp;$D984,Types!$A:$A,0)))))</f>
        <v/>
      </c>
      <c r="AK984" s="43">
        <f>IF(AG984=1,AF984,MAX(AQ984*AS984,AF984))</f>
        <v/>
      </c>
      <c r="AL984" s="43">
        <f>IF(AG984=1,AD984,AK984*(1+AJ984)/2)</f>
        <v/>
      </c>
      <c r="AM984" s="43">
        <f>IF(AG984=1,AE984,AK984*(1-AJ984)/2)</f>
        <v/>
      </c>
      <c r="AN984" s="45">
        <f>IF(AH984="","",AH984-T984)</f>
        <v/>
      </c>
      <c r="AO984" s="51">
        <f>IF(AG984=1,1,IF(U984&gt;0,MIN(AF984/U984,0.99),0))</f>
        <v/>
      </c>
      <c r="AP984" s="43">
        <f>IF(AG984=1,AI984*AF984,0)</f>
        <v/>
      </c>
      <c r="AQ984" s="43">
        <f>N984*(F984+G984)/H984</f>
        <v/>
      </c>
      <c r="AR984" s="43">
        <f>O984*AQ984</f>
        <v/>
      </c>
      <c r="AS984" s="52">
        <f>IF(AG984=1,IF(AQ984&gt;0,AF984/AQ984,1),IFERROR(INDEX(Types!$K:$K,MATCH($A984&amp;"|"&amp;$D984,Types!$A:$A,0)),INDEX(Dashboard!$X$6:$X$22,MATCH($A984,Dashboard!$A$6:$A$22,0))))</f>
        <v/>
      </c>
      <c r="AT984" s="43">
        <f>AQ984*INDEX(Dashboard!$Y$6:$Y$22,MATCH($A984,Dashboard!$A$6:$A$22,0))</f>
        <v/>
      </c>
      <c r="AU984" s="53">
        <f>IF(AND(AG984=1,AT984&gt;0,AF984&gt;0),100*AF984/AT984,"")</f>
        <v/>
      </c>
      <c r="AV984" s="44">
        <f>IF(AU984="","",T984/(AU984/100))</f>
        <v/>
      </c>
      <c r="AW984" s="53">
        <f>IF(AU984="","",IF(AND(ABS(AH984)&gt;=0.1,ABS(T984)&gt;=0.05,SIGN(AH984)=SIGN(T984)),100*T984/AH984,""))</f>
        <v/>
      </c>
      <c r="AX984" s="45">
        <f>IF(AU984="","",T984-AV984)</f>
        <v/>
      </c>
      <c r="AY984" s="45">
        <f>IF(AU984="","",AH984-AV984)</f>
        <v/>
      </c>
      <c r="AZ984" s="54">
        <f>(AL984-AM984)-T984*AT984</f>
        <v/>
      </c>
      <c r="BA984" s="43">
        <f>IF(AU984="",0,(AH984-T984)*AF984)</f>
        <v/>
      </c>
      <c r="BB984" s="43">
        <f>IF(AU984="",0,T984*(AF984-AT984))</f>
        <v/>
      </c>
      <c r="BC984" s="51" t="n">
        <v>0.4339717521535703</v>
      </c>
      <c r="BD984" s="51" t="n">
        <v>0.03417289780926144</v>
      </c>
      <c r="BE984" s="51" t="n">
        <v>0.2364639452403831</v>
      </c>
      <c r="BF984" s="43" t="n">
        <v>137214</v>
      </c>
    </row>
    <row r="985">
      <c r="A985" s="42" t="inlineStr">
        <is>
          <t>SC</t>
        </is>
      </c>
      <c r="B985" s="42" t="inlineStr">
        <is>
          <t>45043</t>
        </is>
      </c>
      <c r="C985" s="42" t="inlineStr">
        <is>
          <t>Georgetown</t>
        </is>
      </c>
      <c r="D985" s="42" t="inlineStr">
        <is>
          <t>Small town &amp; rural</t>
        </is>
      </c>
      <c r="E985" s="42" t="inlineStr"/>
      <c r="F985" s="43" t="n">
        <v>14965</v>
      </c>
      <c r="G985" s="43" t="n">
        <v>22326</v>
      </c>
      <c r="H985" s="43" t="n">
        <v>37754</v>
      </c>
      <c r="I985" s="43" t="n">
        <v>15822</v>
      </c>
      <c r="J985" s="43" t="n">
        <v>20487</v>
      </c>
      <c r="K985" s="42" t="inlineStr">
        <is>
          <t>US Senate</t>
        </is>
      </c>
      <c r="L985" s="43" t="n">
        <v>9885</v>
      </c>
      <c r="M985" s="43" t="n">
        <v>17457</v>
      </c>
      <c r="N985" s="43" t="n">
        <v>27357</v>
      </c>
      <c r="O985" s="44">
        <f>IFERROR((F985-G985)/(F985+G985),"")</f>
        <v/>
      </c>
      <c r="P985" s="44">
        <f>IFERROR((I985-J985)/(I985+J985),"")</f>
        <v/>
      </c>
      <c r="Q985" s="45">
        <f>IFERROR(O985-P985,"")</f>
        <v/>
      </c>
      <c r="R985" s="44">
        <f>IFERROR((L985-M985)/(L985+M985),"")</f>
        <v/>
      </c>
      <c r="S985" s="46">
        <f>H985/SUMIFS(Counties!$H$2:$H$1583,Counties!$A$2:$A$1583,$A985)</f>
        <v/>
      </c>
      <c r="T985" s="44">
        <f>O985+INDEX(Dashboard!$F$6:$F$22,MATCH($A985,Dashboard!$A$6:$A$22,0))</f>
        <v/>
      </c>
      <c r="U985" s="43">
        <f>AQ985*INDEX(Dashboard!$G$6:$G$22,MATCH($A985,Dashboard!$A$6:$A$22,0))</f>
        <v/>
      </c>
      <c r="V985" s="47" t="n"/>
      <c r="W985" s="47" t="n"/>
      <c r="X985" s="47" t="n"/>
      <c r="Y985" s="48" t="n"/>
      <c r="Z985" s="49" t="n"/>
      <c r="AA985" s="49" t="n"/>
      <c r="AB985" s="49" t="n"/>
      <c r="AC985" s="50" t="n"/>
      <c r="AD985" s="43">
        <f>IF(Z985&lt;&gt;"",Z985,N(V985))</f>
        <v/>
      </c>
      <c r="AE985" s="43">
        <f>IF(AA985&lt;&gt;"",AA985,N(W985))</f>
        <v/>
      </c>
      <c r="AF985" s="43">
        <f>AD985+AE985</f>
        <v/>
      </c>
      <c r="AG985" s="42">
        <f>IF(UPPER(AC985)="Y",1,IF(AF985=0,0,IF(AND(Z985="",Y985&lt;&gt;""),IF(Y985&gt;=0.999,1,0),IF(AF985&gt;=U985,1,0))))</f>
        <v/>
      </c>
      <c r="AH985" s="44">
        <f>IF(AF985&gt;0,(AD985-AE985)/AF985,"")</f>
        <v/>
      </c>
      <c r="AI985" s="45">
        <f>IF(AG985=1,AH985-O985,"")</f>
        <v/>
      </c>
      <c r="AJ985" s="44">
        <f>IF(AG985=1,AH985,MAX(-1,MIN(1,O985+INDEX(Types!$H:$H,MATCH($A985&amp;"|"&amp;$D985,Types!$A:$A,0)))))</f>
        <v/>
      </c>
      <c r="AK985" s="43">
        <f>IF(AG985=1,AF985,MAX(AQ985*AS985,AF985))</f>
        <v/>
      </c>
      <c r="AL985" s="43">
        <f>IF(AG985=1,AD985,AK985*(1+AJ985)/2)</f>
        <v/>
      </c>
      <c r="AM985" s="43">
        <f>IF(AG985=1,AE985,AK985*(1-AJ985)/2)</f>
        <v/>
      </c>
      <c r="AN985" s="45">
        <f>IF(AH985="","",AH985-T985)</f>
        <v/>
      </c>
      <c r="AO985" s="51">
        <f>IF(AG985=1,1,IF(U985&gt;0,MIN(AF985/U985,0.99),0))</f>
        <v/>
      </c>
      <c r="AP985" s="43">
        <f>IF(AG985=1,AI985*AF985,0)</f>
        <v/>
      </c>
      <c r="AQ985" s="43">
        <f>N985*(F985+G985)/H985</f>
        <v/>
      </c>
      <c r="AR985" s="43">
        <f>O985*AQ985</f>
        <v/>
      </c>
      <c r="AS985" s="52">
        <f>IF(AG985=1,IF(AQ985&gt;0,AF985/AQ985,1),IFERROR(INDEX(Types!$K:$K,MATCH($A985&amp;"|"&amp;$D985,Types!$A:$A,0)),INDEX(Dashboard!$X$6:$X$22,MATCH($A985,Dashboard!$A$6:$A$22,0))))</f>
        <v/>
      </c>
      <c r="AT985" s="43">
        <f>AQ985*INDEX(Dashboard!$Y$6:$Y$22,MATCH($A985,Dashboard!$A$6:$A$22,0))</f>
        <v/>
      </c>
      <c r="AU985" s="53">
        <f>IF(AND(AG985=1,AT985&gt;0,AF985&gt;0),100*AF985/AT985,"")</f>
        <v/>
      </c>
      <c r="AV985" s="44">
        <f>IF(AU985="","",T985/(AU985/100))</f>
        <v/>
      </c>
      <c r="AW985" s="53">
        <f>IF(AU985="","",IF(AND(ABS(AH985)&gt;=0.1,ABS(T985)&gt;=0.05,SIGN(AH985)=SIGN(T985)),100*T985/AH985,""))</f>
        <v/>
      </c>
      <c r="AX985" s="45">
        <f>IF(AU985="","",T985-AV985)</f>
        <v/>
      </c>
      <c r="AY985" s="45">
        <f>IF(AU985="","",AH985-AV985)</f>
        <v/>
      </c>
      <c r="AZ985" s="54">
        <f>(AL985-AM985)-T985*AT985</f>
        <v/>
      </c>
      <c r="BA985" s="43">
        <f>IF(AU985="",0,(AH985-T985)*AF985)</f>
        <v/>
      </c>
      <c r="BB985" s="43">
        <f>IF(AU985="",0,T985*(AF985-AT985))</f>
        <v/>
      </c>
      <c r="BC985" s="51" t="n">
        <v>0.2759884985775357</v>
      </c>
      <c r="BD985" s="51" t="n">
        <v>0.03622339535379045</v>
      </c>
      <c r="BE985" s="51" t="n">
        <v>0.3249164119710365</v>
      </c>
      <c r="BF985" s="43" t="n">
        <v>65731</v>
      </c>
    </row>
    <row r="986">
      <c r="A986" s="42" t="inlineStr">
        <is>
          <t>SC</t>
        </is>
      </c>
      <c r="B986" s="42" t="inlineStr">
        <is>
          <t>45045</t>
        </is>
      </c>
      <c r="C986" s="42" t="inlineStr">
        <is>
          <t>Greenville</t>
        </is>
      </c>
      <c r="D986" s="42" t="inlineStr">
        <is>
          <t>College suburb/metro</t>
        </is>
      </c>
      <c r="E986" s="42" t="inlineStr">
        <is>
          <t>★</t>
        </is>
      </c>
      <c r="F986" s="43" t="n">
        <v>100074</v>
      </c>
      <c r="G986" s="43" t="n">
        <v>158541</v>
      </c>
      <c r="H986" s="43" t="n">
        <v>263316</v>
      </c>
      <c r="I986" s="43" t="n">
        <v>103030</v>
      </c>
      <c r="J986" s="43" t="n">
        <v>150021</v>
      </c>
      <c r="K986" s="42" t="inlineStr">
        <is>
          <t>US Senate</t>
        </is>
      </c>
      <c r="L986" s="43" t="n">
        <v>59109</v>
      </c>
      <c r="M986" s="43" t="n">
        <v>117974</v>
      </c>
      <c r="N986" s="43" t="n">
        <v>177399</v>
      </c>
      <c r="O986" s="44">
        <f>IFERROR((F986-G986)/(F986+G986),"")</f>
        <v/>
      </c>
      <c r="P986" s="44">
        <f>IFERROR((I986-J986)/(I986+J986),"")</f>
        <v/>
      </c>
      <c r="Q986" s="45">
        <f>IFERROR(O986-P986,"")</f>
        <v/>
      </c>
      <c r="R986" s="44">
        <f>IFERROR((L986-M986)/(L986+M986),"")</f>
        <v/>
      </c>
      <c r="S986" s="46">
        <f>H986/SUMIFS(Counties!$H$2:$H$1583,Counties!$A$2:$A$1583,$A986)</f>
        <v/>
      </c>
      <c r="T986" s="44">
        <f>O986+INDEX(Dashboard!$F$6:$F$22,MATCH($A986,Dashboard!$A$6:$A$22,0))</f>
        <v/>
      </c>
      <c r="U986" s="43">
        <f>AQ986*INDEX(Dashboard!$G$6:$G$22,MATCH($A986,Dashboard!$A$6:$A$22,0))</f>
        <v/>
      </c>
      <c r="V986" s="47" t="n"/>
      <c r="W986" s="47" t="n"/>
      <c r="X986" s="47" t="n"/>
      <c r="Y986" s="48" t="n"/>
      <c r="Z986" s="49" t="n"/>
      <c r="AA986" s="49" t="n"/>
      <c r="AB986" s="49" t="n"/>
      <c r="AC986" s="50" t="n"/>
      <c r="AD986" s="43">
        <f>IF(Z986&lt;&gt;"",Z986,N(V986))</f>
        <v/>
      </c>
      <c r="AE986" s="43">
        <f>IF(AA986&lt;&gt;"",AA986,N(W986))</f>
        <v/>
      </c>
      <c r="AF986" s="43">
        <f>AD986+AE986</f>
        <v/>
      </c>
      <c r="AG986" s="42">
        <f>IF(UPPER(AC986)="Y",1,IF(AF986=0,0,IF(AND(Z986="",Y986&lt;&gt;""),IF(Y986&gt;=0.999,1,0),IF(AF986&gt;=U986,1,0))))</f>
        <v/>
      </c>
      <c r="AH986" s="44">
        <f>IF(AF986&gt;0,(AD986-AE986)/AF986,"")</f>
        <v/>
      </c>
      <c r="AI986" s="45">
        <f>IF(AG986=1,AH986-O986,"")</f>
        <v/>
      </c>
      <c r="AJ986" s="44">
        <f>IF(AG986=1,AH986,MAX(-1,MIN(1,O986+INDEX(Types!$H:$H,MATCH($A986&amp;"|"&amp;$D986,Types!$A:$A,0)))))</f>
        <v/>
      </c>
      <c r="AK986" s="43">
        <f>IF(AG986=1,AF986,MAX(AQ986*AS986,AF986))</f>
        <v/>
      </c>
      <c r="AL986" s="43">
        <f>IF(AG986=1,AD986,AK986*(1+AJ986)/2)</f>
        <v/>
      </c>
      <c r="AM986" s="43">
        <f>IF(AG986=1,AE986,AK986*(1-AJ986)/2)</f>
        <v/>
      </c>
      <c r="AN986" s="45">
        <f>IF(AH986="","",AH986-T986)</f>
        <v/>
      </c>
      <c r="AO986" s="51">
        <f>IF(AG986=1,1,IF(U986&gt;0,MIN(AF986/U986,0.99),0))</f>
        <v/>
      </c>
      <c r="AP986" s="43">
        <f>IF(AG986=1,AI986*AF986,0)</f>
        <v/>
      </c>
      <c r="AQ986" s="43">
        <f>N986*(F986+G986)/H986</f>
        <v/>
      </c>
      <c r="AR986" s="43">
        <f>O986*AQ986</f>
        <v/>
      </c>
      <c r="AS986" s="52">
        <f>IF(AG986=1,IF(AQ986&gt;0,AF986/AQ986,1),IFERROR(INDEX(Types!$K:$K,MATCH($A986&amp;"|"&amp;$D986,Types!$A:$A,0)),INDEX(Dashboard!$X$6:$X$22,MATCH($A986,Dashboard!$A$6:$A$22,0))))</f>
        <v/>
      </c>
      <c r="AT986" s="43">
        <f>AQ986*INDEX(Dashboard!$Y$6:$Y$22,MATCH($A986,Dashboard!$A$6:$A$22,0))</f>
        <v/>
      </c>
      <c r="AU986" s="53">
        <f>IF(AND(AG986=1,AT986&gt;0,AF986&gt;0),100*AF986/AT986,"")</f>
        <v/>
      </c>
      <c r="AV986" s="44">
        <f>IF(AU986="","",T986/(AU986/100))</f>
        <v/>
      </c>
      <c r="AW986" s="53">
        <f>IF(AU986="","",IF(AND(ABS(AH986)&gt;=0.1,ABS(T986)&gt;=0.05,SIGN(AH986)=SIGN(T986)),100*T986/AH986,""))</f>
        <v/>
      </c>
      <c r="AX986" s="45">
        <f>IF(AU986="","",T986-AV986)</f>
        <v/>
      </c>
      <c r="AY986" s="45">
        <f>IF(AU986="","",AH986-AV986)</f>
        <v/>
      </c>
      <c r="AZ986" s="54">
        <f>(AL986-AM986)-T986*AT986</f>
        <v/>
      </c>
      <c r="BA986" s="43">
        <f>IF(AU986="",0,(AH986-T986)*AF986)</f>
        <v/>
      </c>
      <c r="BB986" s="43">
        <f>IF(AU986="",0,T986*(AF986-AT986))</f>
        <v/>
      </c>
      <c r="BC986" s="51" t="n">
        <v>0.1710319764316281</v>
      </c>
      <c r="BD986" s="51" t="n">
        <v>0.1165462443283229</v>
      </c>
      <c r="BE986" s="51" t="n">
        <v>0.4003225841547534</v>
      </c>
      <c r="BF986" s="43" t="n">
        <v>558036</v>
      </c>
    </row>
    <row r="987">
      <c r="A987" s="42" t="inlineStr">
        <is>
          <t>SC</t>
        </is>
      </c>
      <c r="B987" s="42" t="inlineStr">
        <is>
          <t>45047</t>
        </is>
      </c>
      <c r="C987" s="42" t="inlineStr">
        <is>
          <t>Greenwood</t>
        </is>
      </c>
      <c r="D987" s="42" t="inlineStr">
        <is>
          <t>Small town &amp; rural</t>
        </is>
      </c>
      <c r="E987" s="42" t="inlineStr"/>
      <c r="F987" s="43" t="n">
        <v>10766</v>
      </c>
      <c r="G987" s="43" t="n">
        <v>19715</v>
      </c>
      <c r="H987" s="43" t="n">
        <v>30888</v>
      </c>
      <c r="I987" s="43" t="n">
        <v>12145</v>
      </c>
      <c r="J987" s="43" t="n">
        <v>19431</v>
      </c>
      <c r="K987" s="42" t="inlineStr">
        <is>
          <t>US Senate</t>
        </is>
      </c>
      <c r="L987" s="43" t="n">
        <v>6720</v>
      </c>
      <c r="M987" s="43" t="n">
        <v>15033</v>
      </c>
      <c r="N987" s="43" t="n">
        <v>21765</v>
      </c>
      <c r="O987" s="44">
        <f>IFERROR((F987-G987)/(F987+G987),"")</f>
        <v/>
      </c>
      <c r="P987" s="44">
        <f>IFERROR((I987-J987)/(I987+J987),"")</f>
        <v/>
      </c>
      <c r="Q987" s="45">
        <f>IFERROR(O987-P987,"")</f>
        <v/>
      </c>
      <c r="R987" s="44">
        <f>IFERROR((L987-M987)/(L987+M987),"")</f>
        <v/>
      </c>
      <c r="S987" s="46">
        <f>H987/SUMIFS(Counties!$H$2:$H$1583,Counties!$A$2:$A$1583,$A987)</f>
        <v/>
      </c>
      <c r="T987" s="44">
        <f>O987+INDEX(Dashboard!$F$6:$F$22,MATCH($A987,Dashboard!$A$6:$A$22,0))</f>
        <v/>
      </c>
      <c r="U987" s="43">
        <f>AQ987*INDEX(Dashboard!$G$6:$G$22,MATCH($A987,Dashboard!$A$6:$A$22,0))</f>
        <v/>
      </c>
      <c r="V987" s="47" t="n"/>
      <c r="W987" s="47" t="n"/>
      <c r="X987" s="47" t="n"/>
      <c r="Y987" s="48" t="n"/>
      <c r="Z987" s="49" t="n"/>
      <c r="AA987" s="49" t="n"/>
      <c r="AB987" s="49" t="n"/>
      <c r="AC987" s="50" t="n"/>
      <c r="AD987" s="43">
        <f>IF(Z987&lt;&gt;"",Z987,N(V987))</f>
        <v/>
      </c>
      <c r="AE987" s="43">
        <f>IF(AA987&lt;&gt;"",AA987,N(W987))</f>
        <v/>
      </c>
      <c r="AF987" s="43">
        <f>AD987+AE987</f>
        <v/>
      </c>
      <c r="AG987" s="42">
        <f>IF(UPPER(AC987)="Y",1,IF(AF987=0,0,IF(AND(Z987="",Y987&lt;&gt;""),IF(Y987&gt;=0.999,1,0),IF(AF987&gt;=U987,1,0))))</f>
        <v/>
      </c>
      <c r="AH987" s="44">
        <f>IF(AF987&gt;0,(AD987-AE987)/AF987,"")</f>
        <v/>
      </c>
      <c r="AI987" s="45">
        <f>IF(AG987=1,AH987-O987,"")</f>
        <v/>
      </c>
      <c r="AJ987" s="44">
        <f>IF(AG987=1,AH987,MAX(-1,MIN(1,O987+INDEX(Types!$H:$H,MATCH($A987&amp;"|"&amp;$D987,Types!$A:$A,0)))))</f>
        <v/>
      </c>
      <c r="AK987" s="43">
        <f>IF(AG987=1,AF987,MAX(AQ987*AS987,AF987))</f>
        <v/>
      </c>
      <c r="AL987" s="43">
        <f>IF(AG987=1,AD987,AK987*(1+AJ987)/2)</f>
        <v/>
      </c>
      <c r="AM987" s="43">
        <f>IF(AG987=1,AE987,AK987*(1-AJ987)/2)</f>
        <v/>
      </c>
      <c r="AN987" s="45">
        <f>IF(AH987="","",AH987-T987)</f>
        <v/>
      </c>
      <c r="AO987" s="51">
        <f>IF(AG987=1,1,IF(U987&gt;0,MIN(AF987/U987,0.99),0))</f>
        <v/>
      </c>
      <c r="AP987" s="43">
        <f>IF(AG987=1,AI987*AF987,0)</f>
        <v/>
      </c>
      <c r="AQ987" s="43">
        <f>N987*(F987+G987)/H987</f>
        <v/>
      </c>
      <c r="AR987" s="43">
        <f>O987*AQ987</f>
        <v/>
      </c>
      <c r="AS987" s="52">
        <f>IF(AG987=1,IF(AQ987&gt;0,AF987/AQ987,1),IFERROR(INDEX(Types!$K:$K,MATCH($A987&amp;"|"&amp;$D987,Types!$A:$A,0)),INDEX(Dashboard!$X$6:$X$22,MATCH($A987,Dashboard!$A$6:$A$22,0))))</f>
        <v/>
      </c>
      <c r="AT987" s="43">
        <f>AQ987*INDEX(Dashboard!$Y$6:$Y$22,MATCH($A987,Dashboard!$A$6:$A$22,0))</f>
        <v/>
      </c>
      <c r="AU987" s="53">
        <f>IF(AND(AG987=1,AT987&gt;0,AF987&gt;0),100*AF987/AT987,"")</f>
        <v/>
      </c>
      <c r="AV987" s="44">
        <f>IF(AU987="","",T987/(AU987/100))</f>
        <v/>
      </c>
      <c r="AW987" s="53">
        <f>IF(AU987="","",IF(AND(ABS(AH987)&gt;=0.1,ABS(T987)&gt;=0.05,SIGN(AH987)=SIGN(T987)),100*T987/AH987,""))</f>
        <v/>
      </c>
      <c r="AX987" s="45">
        <f>IF(AU987="","",T987-AV987)</f>
        <v/>
      </c>
      <c r="AY987" s="45">
        <f>IF(AU987="","",AH987-AV987)</f>
        <v/>
      </c>
      <c r="AZ987" s="54">
        <f>(AL987-AM987)-T987*AT987</f>
        <v/>
      </c>
      <c r="BA987" s="43">
        <f>IF(AU987="",0,(AH987-T987)*AF987)</f>
        <v/>
      </c>
      <c r="BB987" s="43">
        <f>IF(AU987="",0,T987*(AF987-AT987))</f>
        <v/>
      </c>
      <c r="BC987" s="51" t="n">
        <v>0.3112294845954506</v>
      </c>
      <c r="BD987" s="51" t="n">
        <v>0.07385545637777138</v>
      </c>
      <c r="BE987" s="51" t="n">
        <v>0.255655866017627</v>
      </c>
      <c r="BF987" s="43" t="n">
        <v>69460</v>
      </c>
    </row>
    <row r="988">
      <c r="A988" s="42" t="inlineStr">
        <is>
          <t>SC</t>
        </is>
      </c>
      <c r="B988" s="42" t="inlineStr">
        <is>
          <t>45049</t>
        </is>
      </c>
      <c r="C988" s="42" t="inlineStr">
        <is>
          <t>Hampton</t>
        </is>
      </c>
      <c r="D988" s="42" t="inlineStr">
        <is>
          <t>Black Belt</t>
        </is>
      </c>
      <c r="E988" s="42" t="inlineStr"/>
      <c r="F988" s="43" t="n">
        <v>4328</v>
      </c>
      <c r="G988" s="43" t="n">
        <v>3801</v>
      </c>
      <c r="H988" s="43" t="n">
        <v>8233</v>
      </c>
      <c r="I988" s="43" t="n">
        <v>5323</v>
      </c>
      <c r="J988" s="43" t="n">
        <v>3906</v>
      </c>
      <c r="K988" s="42" t="inlineStr">
        <is>
          <t>US Senate</t>
        </is>
      </c>
      <c r="L988" s="43" t="n">
        <v>2799</v>
      </c>
      <c r="M988" s="43" t="n">
        <v>2825</v>
      </c>
      <c r="N988" s="43" t="n">
        <v>5626</v>
      </c>
      <c r="O988" s="44">
        <f>IFERROR((F988-G988)/(F988+G988),"")</f>
        <v/>
      </c>
      <c r="P988" s="44">
        <f>IFERROR((I988-J988)/(I988+J988),"")</f>
        <v/>
      </c>
      <c r="Q988" s="45">
        <f>IFERROR(O988-P988,"")</f>
        <v/>
      </c>
      <c r="R988" s="44">
        <f>IFERROR((L988-M988)/(L988+M988),"")</f>
        <v/>
      </c>
      <c r="S988" s="46">
        <f>H988/SUMIFS(Counties!$H$2:$H$1583,Counties!$A$2:$A$1583,$A988)</f>
        <v/>
      </c>
      <c r="T988" s="44">
        <f>O988+INDEX(Dashboard!$F$6:$F$22,MATCH($A988,Dashboard!$A$6:$A$22,0))</f>
        <v/>
      </c>
      <c r="U988" s="43">
        <f>AQ988*INDEX(Dashboard!$G$6:$G$22,MATCH($A988,Dashboard!$A$6:$A$22,0))</f>
        <v/>
      </c>
      <c r="V988" s="47" t="n"/>
      <c r="W988" s="47" t="n"/>
      <c r="X988" s="47" t="n"/>
      <c r="Y988" s="48" t="n"/>
      <c r="Z988" s="49" t="n"/>
      <c r="AA988" s="49" t="n"/>
      <c r="AB988" s="49" t="n"/>
      <c r="AC988" s="50" t="n"/>
      <c r="AD988" s="43">
        <f>IF(Z988&lt;&gt;"",Z988,N(V988))</f>
        <v/>
      </c>
      <c r="AE988" s="43">
        <f>IF(AA988&lt;&gt;"",AA988,N(W988))</f>
        <v/>
      </c>
      <c r="AF988" s="43">
        <f>AD988+AE988</f>
        <v/>
      </c>
      <c r="AG988" s="42">
        <f>IF(UPPER(AC988)="Y",1,IF(AF988=0,0,IF(AND(Z988="",Y988&lt;&gt;""),IF(Y988&gt;=0.999,1,0),IF(AF988&gt;=U988,1,0))))</f>
        <v/>
      </c>
      <c r="AH988" s="44">
        <f>IF(AF988&gt;0,(AD988-AE988)/AF988,"")</f>
        <v/>
      </c>
      <c r="AI988" s="45">
        <f>IF(AG988=1,AH988-O988,"")</f>
        <v/>
      </c>
      <c r="AJ988" s="44">
        <f>IF(AG988=1,AH988,MAX(-1,MIN(1,O988+INDEX(Types!$H:$H,MATCH($A988&amp;"|"&amp;$D988,Types!$A:$A,0)))))</f>
        <v/>
      </c>
      <c r="AK988" s="43">
        <f>IF(AG988=1,AF988,MAX(AQ988*AS988,AF988))</f>
        <v/>
      </c>
      <c r="AL988" s="43">
        <f>IF(AG988=1,AD988,AK988*(1+AJ988)/2)</f>
        <v/>
      </c>
      <c r="AM988" s="43">
        <f>IF(AG988=1,AE988,AK988*(1-AJ988)/2)</f>
        <v/>
      </c>
      <c r="AN988" s="45">
        <f>IF(AH988="","",AH988-T988)</f>
        <v/>
      </c>
      <c r="AO988" s="51">
        <f>IF(AG988=1,1,IF(U988&gt;0,MIN(AF988/U988,0.99),0))</f>
        <v/>
      </c>
      <c r="AP988" s="43">
        <f>IF(AG988=1,AI988*AF988,0)</f>
        <v/>
      </c>
      <c r="AQ988" s="43">
        <f>N988*(F988+G988)/H988</f>
        <v/>
      </c>
      <c r="AR988" s="43">
        <f>O988*AQ988</f>
        <v/>
      </c>
      <c r="AS988" s="52">
        <f>IF(AG988=1,IF(AQ988&gt;0,AF988/AQ988,1),IFERROR(INDEX(Types!$K:$K,MATCH($A988&amp;"|"&amp;$D988,Types!$A:$A,0)),INDEX(Dashboard!$X$6:$X$22,MATCH($A988,Dashboard!$A$6:$A$22,0))))</f>
        <v/>
      </c>
      <c r="AT988" s="43">
        <f>AQ988*INDEX(Dashboard!$Y$6:$Y$22,MATCH($A988,Dashboard!$A$6:$A$22,0))</f>
        <v/>
      </c>
      <c r="AU988" s="53">
        <f>IF(AND(AG988=1,AT988&gt;0,AF988&gt;0),100*AF988/AT988,"")</f>
        <v/>
      </c>
      <c r="AV988" s="44">
        <f>IF(AU988="","",T988/(AU988/100))</f>
        <v/>
      </c>
      <c r="AW988" s="53">
        <f>IF(AU988="","",IF(AND(ABS(AH988)&gt;=0.1,ABS(T988)&gt;=0.05,SIGN(AH988)=SIGN(T988)),100*T988/AH988,""))</f>
        <v/>
      </c>
      <c r="AX988" s="45">
        <f>IF(AU988="","",T988-AV988)</f>
        <v/>
      </c>
      <c r="AY988" s="45">
        <f>IF(AU988="","",AH988-AV988)</f>
        <v/>
      </c>
      <c r="AZ988" s="54">
        <f>(AL988-AM988)-T988*AT988</f>
        <v/>
      </c>
      <c r="BA988" s="43">
        <f>IF(AU988="",0,(AH988-T988)*AF988)</f>
        <v/>
      </c>
      <c r="BB988" s="43">
        <f>IF(AU988="",0,T988*(AF988-AT988))</f>
        <v/>
      </c>
      <c r="BC988" s="51" t="n">
        <v>0.5126365743295442</v>
      </c>
      <c r="BD988" s="51" t="n">
        <v>0.04486259794724644</v>
      </c>
      <c r="BE988" s="51" t="n">
        <v>0.1175979350136653</v>
      </c>
      <c r="BF988" s="43" t="n">
        <v>18122</v>
      </c>
    </row>
    <row r="989">
      <c r="A989" s="42" t="inlineStr">
        <is>
          <t>SC</t>
        </is>
      </c>
      <c r="B989" s="42" t="inlineStr">
        <is>
          <t>45051</t>
        </is>
      </c>
      <c r="C989" s="42" t="inlineStr">
        <is>
          <t>Horry</t>
        </is>
      </c>
      <c r="D989" s="42" t="inlineStr">
        <is>
          <t>Mid-size/working metro</t>
        </is>
      </c>
      <c r="E989" s="42" t="inlineStr">
        <is>
          <t>★</t>
        </is>
      </c>
      <c r="F989" s="43" t="n">
        <v>62325</v>
      </c>
      <c r="G989" s="43" t="n">
        <v>141719</v>
      </c>
      <c r="H989" s="43" t="n">
        <v>205954</v>
      </c>
      <c r="I989" s="43" t="n">
        <v>59180</v>
      </c>
      <c r="J989" s="43" t="n">
        <v>118821</v>
      </c>
      <c r="K989" s="42" t="inlineStr">
        <is>
          <t>US Senate</t>
        </is>
      </c>
      <c r="L989" s="43" t="n">
        <v>36198</v>
      </c>
      <c r="M989" s="43" t="n">
        <v>96941</v>
      </c>
      <c r="N989" s="43" t="n">
        <v>133205</v>
      </c>
      <c r="O989" s="44">
        <f>IFERROR((F989-G989)/(F989+G989),"")</f>
        <v/>
      </c>
      <c r="P989" s="44">
        <f>IFERROR((I989-J989)/(I989+J989),"")</f>
        <v/>
      </c>
      <c r="Q989" s="45">
        <f>IFERROR(O989-P989,"")</f>
        <v/>
      </c>
      <c r="R989" s="44">
        <f>IFERROR((L989-M989)/(L989+M989),"")</f>
        <v/>
      </c>
      <c r="S989" s="46">
        <f>H989/SUMIFS(Counties!$H$2:$H$1583,Counties!$A$2:$A$1583,$A989)</f>
        <v/>
      </c>
      <c r="T989" s="44">
        <f>O989+INDEX(Dashboard!$F$6:$F$22,MATCH($A989,Dashboard!$A$6:$A$22,0))</f>
        <v/>
      </c>
      <c r="U989" s="43">
        <f>AQ989*INDEX(Dashboard!$G$6:$G$22,MATCH($A989,Dashboard!$A$6:$A$22,0))</f>
        <v/>
      </c>
      <c r="V989" s="47" t="n"/>
      <c r="W989" s="47" t="n"/>
      <c r="X989" s="47" t="n"/>
      <c r="Y989" s="48" t="n"/>
      <c r="Z989" s="49" t="n"/>
      <c r="AA989" s="49" t="n"/>
      <c r="AB989" s="49" t="n"/>
      <c r="AC989" s="50" t="n"/>
      <c r="AD989" s="43">
        <f>IF(Z989&lt;&gt;"",Z989,N(V989))</f>
        <v/>
      </c>
      <c r="AE989" s="43">
        <f>IF(AA989&lt;&gt;"",AA989,N(W989))</f>
        <v/>
      </c>
      <c r="AF989" s="43">
        <f>AD989+AE989</f>
        <v/>
      </c>
      <c r="AG989" s="42">
        <f>IF(UPPER(AC989)="Y",1,IF(AF989=0,0,IF(AND(Z989="",Y989&lt;&gt;""),IF(Y989&gt;=0.999,1,0),IF(AF989&gt;=U989,1,0))))</f>
        <v/>
      </c>
      <c r="AH989" s="44">
        <f>IF(AF989&gt;0,(AD989-AE989)/AF989,"")</f>
        <v/>
      </c>
      <c r="AI989" s="45">
        <f>IF(AG989=1,AH989-O989,"")</f>
        <v/>
      </c>
      <c r="AJ989" s="44">
        <f>IF(AG989=1,AH989,MAX(-1,MIN(1,O989+INDEX(Types!$H:$H,MATCH($A989&amp;"|"&amp;$D989,Types!$A:$A,0)))))</f>
        <v/>
      </c>
      <c r="AK989" s="43">
        <f>IF(AG989=1,AF989,MAX(AQ989*AS989,AF989))</f>
        <v/>
      </c>
      <c r="AL989" s="43">
        <f>IF(AG989=1,AD989,AK989*(1+AJ989)/2)</f>
        <v/>
      </c>
      <c r="AM989" s="43">
        <f>IF(AG989=1,AE989,AK989*(1-AJ989)/2)</f>
        <v/>
      </c>
      <c r="AN989" s="45">
        <f>IF(AH989="","",AH989-T989)</f>
        <v/>
      </c>
      <c r="AO989" s="51">
        <f>IF(AG989=1,1,IF(U989&gt;0,MIN(AF989/U989,0.99),0))</f>
        <v/>
      </c>
      <c r="AP989" s="43">
        <f>IF(AG989=1,AI989*AF989,0)</f>
        <v/>
      </c>
      <c r="AQ989" s="43">
        <f>N989*(F989+G989)/H989</f>
        <v/>
      </c>
      <c r="AR989" s="43">
        <f>O989*AQ989</f>
        <v/>
      </c>
      <c r="AS989" s="52">
        <f>IF(AG989=1,IF(AQ989&gt;0,AF989/AQ989,1),IFERROR(INDEX(Types!$K:$K,MATCH($A989&amp;"|"&amp;$D989,Types!$A:$A,0)),INDEX(Dashboard!$X$6:$X$22,MATCH($A989,Dashboard!$A$6:$A$22,0))))</f>
        <v/>
      </c>
      <c r="AT989" s="43">
        <f>AQ989*INDEX(Dashboard!$Y$6:$Y$22,MATCH($A989,Dashboard!$A$6:$A$22,0))</f>
        <v/>
      </c>
      <c r="AU989" s="53">
        <f>IF(AND(AG989=1,AT989&gt;0,AF989&gt;0),100*AF989/AT989,"")</f>
        <v/>
      </c>
      <c r="AV989" s="44">
        <f>IF(AU989="","",T989/(AU989/100))</f>
        <v/>
      </c>
      <c r="AW989" s="53">
        <f>IF(AU989="","",IF(AND(ABS(AH989)&gt;=0.1,ABS(T989)&gt;=0.05,SIGN(AH989)=SIGN(T989)),100*T989/AH989,""))</f>
        <v/>
      </c>
      <c r="AX989" s="45">
        <f>IF(AU989="","",T989-AV989)</f>
        <v/>
      </c>
      <c r="AY989" s="45">
        <f>IF(AU989="","",AH989-AV989)</f>
        <v/>
      </c>
      <c r="AZ989" s="54">
        <f>(AL989-AM989)-T989*AT989</f>
        <v/>
      </c>
      <c r="BA989" s="43">
        <f>IF(AU989="",0,(AH989-T989)*AF989)</f>
        <v/>
      </c>
      <c r="BB989" s="43">
        <f>IF(AU989="",0,T989*(AF989-AT989))</f>
        <v/>
      </c>
      <c r="BC989" s="51" t="n">
        <v>0.1160793804940148</v>
      </c>
      <c r="BD989" s="51" t="n">
        <v>0.07301536185650527</v>
      </c>
      <c r="BE989" s="51" t="n">
        <v>0.2659600983993844</v>
      </c>
      <c r="BF989" s="43" t="n">
        <v>397478</v>
      </c>
    </row>
    <row r="990">
      <c r="A990" s="42" t="inlineStr">
        <is>
          <t>SC</t>
        </is>
      </c>
      <c r="B990" s="42" t="inlineStr">
        <is>
          <t>45053</t>
        </is>
      </c>
      <c r="C990" s="42" t="inlineStr">
        <is>
          <t>Jasper</t>
        </is>
      </c>
      <c r="D990" s="42" t="inlineStr">
        <is>
          <t>Small town &amp; rural</t>
        </is>
      </c>
      <c r="E990" s="42" t="inlineStr"/>
      <c r="F990" s="43" t="n">
        <v>8144</v>
      </c>
      <c r="G990" s="43" t="n">
        <v>9900</v>
      </c>
      <c r="H990" s="43" t="n">
        <v>18227</v>
      </c>
      <c r="I990" s="43" t="n">
        <v>7185</v>
      </c>
      <c r="J990" s="43" t="n">
        <v>7078</v>
      </c>
      <c r="K990" s="42" t="inlineStr">
        <is>
          <t>US Senate</t>
        </is>
      </c>
      <c r="L990" s="43" t="n">
        <v>4532</v>
      </c>
      <c r="M990" s="43" t="n">
        <v>6554</v>
      </c>
      <c r="N990" s="43" t="n">
        <v>11090</v>
      </c>
      <c r="O990" s="44">
        <f>IFERROR((F990-G990)/(F990+G990),"")</f>
        <v/>
      </c>
      <c r="P990" s="44">
        <f>IFERROR((I990-J990)/(I990+J990),"")</f>
        <v/>
      </c>
      <c r="Q990" s="45">
        <f>IFERROR(O990-P990,"")</f>
        <v/>
      </c>
      <c r="R990" s="44">
        <f>IFERROR((L990-M990)/(L990+M990),"")</f>
        <v/>
      </c>
      <c r="S990" s="46">
        <f>H990/SUMIFS(Counties!$H$2:$H$1583,Counties!$A$2:$A$1583,$A990)</f>
        <v/>
      </c>
      <c r="T990" s="44">
        <f>O990+INDEX(Dashboard!$F$6:$F$22,MATCH($A990,Dashboard!$A$6:$A$22,0))</f>
        <v/>
      </c>
      <c r="U990" s="43">
        <f>AQ990*INDEX(Dashboard!$G$6:$G$22,MATCH($A990,Dashboard!$A$6:$A$22,0))</f>
        <v/>
      </c>
      <c r="V990" s="47" t="n"/>
      <c r="W990" s="47" t="n"/>
      <c r="X990" s="47" t="n"/>
      <c r="Y990" s="48" t="n"/>
      <c r="Z990" s="49" t="n"/>
      <c r="AA990" s="49" t="n"/>
      <c r="AB990" s="49" t="n"/>
      <c r="AC990" s="50" t="n"/>
      <c r="AD990" s="43">
        <f>IF(Z990&lt;&gt;"",Z990,N(V990))</f>
        <v/>
      </c>
      <c r="AE990" s="43">
        <f>IF(AA990&lt;&gt;"",AA990,N(W990))</f>
        <v/>
      </c>
      <c r="AF990" s="43">
        <f>AD990+AE990</f>
        <v/>
      </c>
      <c r="AG990" s="42">
        <f>IF(UPPER(AC990)="Y",1,IF(AF990=0,0,IF(AND(Z990="",Y990&lt;&gt;""),IF(Y990&gt;=0.999,1,0),IF(AF990&gt;=U990,1,0))))</f>
        <v/>
      </c>
      <c r="AH990" s="44">
        <f>IF(AF990&gt;0,(AD990-AE990)/AF990,"")</f>
        <v/>
      </c>
      <c r="AI990" s="45">
        <f>IF(AG990=1,AH990-O990,"")</f>
        <v/>
      </c>
      <c r="AJ990" s="44">
        <f>IF(AG990=1,AH990,MAX(-1,MIN(1,O990+INDEX(Types!$H:$H,MATCH($A990&amp;"|"&amp;$D990,Types!$A:$A,0)))))</f>
        <v/>
      </c>
      <c r="AK990" s="43">
        <f>IF(AG990=1,AF990,MAX(AQ990*AS990,AF990))</f>
        <v/>
      </c>
      <c r="AL990" s="43">
        <f>IF(AG990=1,AD990,AK990*(1+AJ990)/2)</f>
        <v/>
      </c>
      <c r="AM990" s="43">
        <f>IF(AG990=1,AE990,AK990*(1-AJ990)/2)</f>
        <v/>
      </c>
      <c r="AN990" s="45">
        <f>IF(AH990="","",AH990-T990)</f>
        <v/>
      </c>
      <c r="AO990" s="51">
        <f>IF(AG990=1,1,IF(U990&gt;0,MIN(AF990/U990,0.99),0))</f>
        <v/>
      </c>
      <c r="AP990" s="43">
        <f>IF(AG990=1,AI990*AF990,0)</f>
        <v/>
      </c>
      <c r="AQ990" s="43">
        <f>N990*(F990+G990)/H990</f>
        <v/>
      </c>
      <c r="AR990" s="43">
        <f>O990*AQ990</f>
        <v/>
      </c>
      <c r="AS990" s="52">
        <f>IF(AG990=1,IF(AQ990&gt;0,AF990/AQ990,1),IFERROR(INDEX(Types!$K:$K,MATCH($A990&amp;"|"&amp;$D990,Types!$A:$A,0)),INDEX(Dashboard!$X$6:$X$22,MATCH($A990,Dashboard!$A$6:$A$22,0))))</f>
        <v/>
      </c>
      <c r="AT990" s="43">
        <f>AQ990*INDEX(Dashboard!$Y$6:$Y$22,MATCH($A990,Dashboard!$A$6:$A$22,0))</f>
        <v/>
      </c>
      <c r="AU990" s="53">
        <f>IF(AND(AG990=1,AT990&gt;0,AF990&gt;0),100*AF990/AT990,"")</f>
        <v/>
      </c>
      <c r="AV990" s="44">
        <f>IF(AU990="","",T990/(AU990/100))</f>
        <v/>
      </c>
      <c r="AW990" s="53">
        <f>IF(AU990="","",IF(AND(ABS(AH990)&gt;=0.1,ABS(T990)&gt;=0.05,SIGN(AH990)=SIGN(T990)),100*T990/AH990,""))</f>
        <v/>
      </c>
      <c r="AX990" s="45">
        <f>IF(AU990="","",T990-AV990)</f>
        <v/>
      </c>
      <c r="AY990" s="45">
        <f>IF(AU990="","",AH990-AV990)</f>
        <v/>
      </c>
      <c r="AZ990" s="54">
        <f>(AL990-AM990)-T990*AT990</f>
        <v/>
      </c>
      <c r="BA990" s="43">
        <f>IF(AU990="",0,(AH990-T990)*AF990)</f>
        <v/>
      </c>
      <c r="BB990" s="43">
        <f>IF(AU990="",0,T990*(AF990-AT990))</f>
        <v/>
      </c>
      <c r="BC990" s="51" t="n">
        <v>0.3209217743858812</v>
      </c>
      <c r="BD990" s="51" t="n">
        <v>0.172042690197949</v>
      </c>
      <c r="BE990" s="51" t="n">
        <v>0.2592791102773683</v>
      </c>
      <c r="BF990" s="43" t="n">
        <v>33544</v>
      </c>
    </row>
    <row r="991">
      <c r="A991" s="42" t="inlineStr">
        <is>
          <t>SC</t>
        </is>
      </c>
      <c r="B991" s="42" t="inlineStr">
        <is>
          <t>45055</t>
        </is>
      </c>
      <c r="C991" s="42" t="inlineStr">
        <is>
          <t>Kershaw</t>
        </is>
      </c>
      <c r="D991" s="42" t="inlineStr">
        <is>
          <t>Small town &amp; rural</t>
        </is>
      </c>
      <c r="E991" s="42" t="inlineStr"/>
      <c r="F991" s="43" t="n">
        <v>11826</v>
      </c>
      <c r="G991" s="43" t="n">
        <v>21289</v>
      </c>
      <c r="H991" s="43" t="n">
        <v>33533</v>
      </c>
      <c r="I991" s="43" t="n">
        <v>12699</v>
      </c>
      <c r="J991" s="43" t="n">
        <v>20471</v>
      </c>
      <c r="K991" s="42" t="inlineStr">
        <is>
          <t>US Senate</t>
        </is>
      </c>
      <c r="L991" s="43" t="n">
        <v>7359</v>
      </c>
      <c r="M991" s="43" t="n">
        <v>14935</v>
      </c>
      <c r="N991" s="43" t="n">
        <v>22308</v>
      </c>
      <c r="O991" s="44">
        <f>IFERROR((F991-G991)/(F991+G991),"")</f>
        <v/>
      </c>
      <c r="P991" s="44">
        <f>IFERROR((I991-J991)/(I991+J991),"")</f>
        <v/>
      </c>
      <c r="Q991" s="45">
        <f>IFERROR(O991-P991,"")</f>
        <v/>
      </c>
      <c r="R991" s="44">
        <f>IFERROR((L991-M991)/(L991+M991),"")</f>
        <v/>
      </c>
      <c r="S991" s="46">
        <f>H991/SUMIFS(Counties!$H$2:$H$1583,Counties!$A$2:$A$1583,$A991)</f>
        <v/>
      </c>
      <c r="T991" s="44">
        <f>O991+INDEX(Dashboard!$F$6:$F$22,MATCH($A991,Dashboard!$A$6:$A$22,0))</f>
        <v/>
      </c>
      <c r="U991" s="43">
        <f>AQ991*INDEX(Dashboard!$G$6:$G$22,MATCH($A991,Dashboard!$A$6:$A$22,0))</f>
        <v/>
      </c>
      <c r="V991" s="47" t="n"/>
      <c r="W991" s="47" t="n"/>
      <c r="X991" s="47" t="n"/>
      <c r="Y991" s="48" t="n"/>
      <c r="Z991" s="49" t="n"/>
      <c r="AA991" s="49" t="n"/>
      <c r="AB991" s="49" t="n"/>
      <c r="AC991" s="50" t="n"/>
      <c r="AD991" s="43">
        <f>IF(Z991&lt;&gt;"",Z991,N(V991))</f>
        <v/>
      </c>
      <c r="AE991" s="43">
        <f>IF(AA991&lt;&gt;"",AA991,N(W991))</f>
        <v/>
      </c>
      <c r="AF991" s="43">
        <f>AD991+AE991</f>
        <v/>
      </c>
      <c r="AG991" s="42">
        <f>IF(UPPER(AC991)="Y",1,IF(AF991=0,0,IF(AND(Z991="",Y991&lt;&gt;""),IF(Y991&gt;=0.999,1,0),IF(AF991&gt;=U991,1,0))))</f>
        <v/>
      </c>
      <c r="AH991" s="44">
        <f>IF(AF991&gt;0,(AD991-AE991)/AF991,"")</f>
        <v/>
      </c>
      <c r="AI991" s="45">
        <f>IF(AG991=1,AH991-O991,"")</f>
        <v/>
      </c>
      <c r="AJ991" s="44">
        <f>IF(AG991=1,AH991,MAX(-1,MIN(1,O991+INDEX(Types!$H:$H,MATCH($A991&amp;"|"&amp;$D991,Types!$A:$A,0)))))</f>
        <v/>
      </c>
      <c r="AK991" s="43">
        <f>IF(AG991=1,AF991,MAX(AQ991*AS991,AF991))</f>
        <v/>
      </c>
      <c r="AL991" s="43">
        <f>IF(AG991=1,AD991,AK991*(1+AJ991)/2)</f>
        <v/>
      </c>
      <c r="AM991" s="43">
        <f>IF(AG991=1,AE991,AK991*(1-AJ991)/2)</f>
        <v/>
      </c>
      <c r="AN991" s="45">
        <f>IF(AH991="","",AH991-T991)</f>
        <v/>
      </c>
      <c r="AO991" s="51">
        <f>IF(AG991=1,1,IF(U991&gt;0,MIN(AF991/U991,0.99),0))</f>
        <v/>
      </c>
      <c r="AP991" s="43">
        <f>IF(AG991=1,AI991*AF991,0)</f>
        <v/>
      </c>
      <c r="AQ991" s="43">
        <f>N991*(F991+G991)/H991</f>
        <v/>
      </c>
      <c r="AR991" s="43">
        <f>O991*AQ991</f>
        <v/>
      </c>
      <c r="AS991" s="52">
        <f>IF(AG991=1,IF(AQ991&gt;0,AF991/AQ991,1),IFERROR(INDEX(Types!$K:$K,MATCH($A991&amp;"|"&amp;$D991,Types!$A:$A,0)),INDEX(Dashboard!$X$6:$X$22,MATCH($A991,Dashboard!$A$6:$A$22,0))))</f>
        <v/>
      </c>
      <c r="AT991" s="43">
        <f>AQ991*INDEX(Dashboard!$Y$6:$Y$22,MATCH($A991,Dashboard!$A$6:$A$22,0))</f>
        <v/>
      </c>
      <c r="AU991" s="53">
        <f>IF(AND(AG991=1,AT991&gt;0,AF991&gt;0),100*AF991/AT991,"")</f>
        <v/>
      </c>
      <c r="AV991" s="44">
        <f>IF(AU991="","",T991/(AU991/100))</f>
        <v/>
      </c>
      <c r="AW991" s="53">
        <f>IF(AU991="","",IF(AND(ABS(AH991)&gt;=0.1,ABS(T991)&gt;=0.05,SIGN(AH991)=SIGN(T991)),100*T991/AH991,""))</f>
        <v/>
      </c>
      <c r="AX991" s="45">
        <f>IF(AU991="","",T991-AV991)</f>
        <v/>
      </c>
      <c r="AY991" s="45">
        <f>IF(AU991="","",AH991-AV991)</f>
        <v/>
      </c>
      <c r="AZ991" s="54">
        <f>(AL991-AM991)-T991*AT991</f>
        <v/>
      </c>
      <c r="BA991" s="43">
        <f>IF(AU991="",0,(AH991-T991)*AF991)</f>
        <v/>
      </c>
      <c r="BB991" s="43">
        <f>IF(AU991="",0,T991*(AF991-AT991))</f>
        <v/>
      </c>
      <c r="BC991" s="51" t="n">
        <v>0.2501108647450111</v>
      </c>
      <c r="BD991" s="51" t="n">
        <v>0.06135469565839353</v>
      </c>
      <c r="BE991" s="51" t="n">
        <v>0.228266724119358</v>
      </c>
      <c r="BF991" s="43" t="n">
        <v>69905</v>
      </c>
    </row>
    <row r="992">
      <c r="A992" s="42" t="inlineStr">
        <is>
          <t>SC</t>
        </is>
      </c>
      <c r="B992" s="42" t="inlineStr">
        <is>
          <t>45057</t>
        </is>
      </c>
      <c r="C992" s="42" t="inlineStr">
        <is>
          <t>Lancaster</t>
        </is>
      </c>
      <c r="D992" s="42" t="inlineStr">
        <is>
          <t>Mid-size/working metro</t>
        </is>
      </c>
      <c r="E992" s="42" t="inlineStr"/>
      <c r="F992" s="43" t="n">
        <v>20146</v>
      </c>
      <c r="G992" s="43" t="n">
        <v>33623</v>
      </c>
      <c r="H992" s="43" t="n">
        <v>54427</v>
      </c>
      <c r="I992" s="43" t="n">
        <v>18937</v>
      </c>
      <c r="J992" s="43" t="n">
        <v>30312</v>
      </c>
      <c r="K992" s="42" t="inlineStr">
        <is>
          <t>US Senate</t>
        </is>
      </c>
      <c r="L992" s="43" t="n">
        <v>11306</v>
      </c>
      <c r="M992" s="43" t="n">
        <v>23159</v>
      </c>
      <c r="N992" s="43" t="n">
        <v>34488</v>
      </c>
      <c r="O992" s="44">
        <f>IFERROR((F992-G992)/(F992+G992),"")</f>
        <v/>
      </c>
      <c r="P992" s="44">
        <f>IFERROR((I992-J992)/(I992+J992),"")</f>
        <v/>
      </c>
      <c r="Q992" s="45">
        <f>IFERROR(O992-P992,"")</f>
        <v/>
      </c>
      <c r="R992" s="44">
        <f>IFERROR((L992-M992)/(L992+M992),"")</f>
        <v/>
      </c>
      <c r="S992" s="46">
        <f>H992/SUMIFS(Counties!$H$2:$H$1583,Counties!$A$2:$A$1583,$A992)</f>
        <v/>
      </c>
      <c r="T992" s="44">
        <f>O992+INDEX(Dashboard!$F$6:$F$22,MATCH($A992,Dashboard!$A$6:$A$22,0))</f>
        <v/>
      </c>
      <c r="U992" s="43">
        <f>AQ992*INDEX(Dashboard!$G$6:$G$22,MATCH($A992,Dashboard!$A$6:$A$22,0))</f>
        <v/>
      </c>
      <c r="V992" s="47" t="n"/>
      <c r="W992" s="47" t="n"/>
      <c r="X992" s="47" t="n"/>
      <c r="Y992" s="48" t="n"/>
      <c r="Z992" s="49" t="n"/>
      <c r="AA992" s="49" t="n"/>
      <c r="AB992" s="49" t="n"/>
      <c r="AC992" s="50" t="n"/>
      <c r="AD992" s="43">
        <f>IF(Z992&lt;&gt;"",Z992,N(V992))</f>
        <v/>
      </c>
      <c r="AE992" s="43">
        <f>IF(AA992&lt;&gt;"",AA992,N(W992))</f>
        <v/>
      </c>
      <c r="AF992" s="43">
        <f>AD992+AE992</f>
        <v/>
      </c>
      <c r="AG992" s="42">
        <f>IF(UPPER(AC992)="Y",1,IF(AF992=0,0,IF(AND(Z992="",Y992&lt;&gt;""),IF(Y992&gt;=0.999,1,0),IF(AF992&gt;=U992,1,0))))</f>
        <v/>
      </c>
      <c r="AH992" s="44">
        <f>IF(AF992&gt;0,(AD992-AE992)/AF992,"")</f>
        <v/>
      </c>
      <c r="AI992" s="45">
        <f>IF(AG992=1,AH992-O992,"")</f>
        <v/>
      </c>
      <c r="AJ992" s="44">
        <f>IF(AG992=1,AH992,MAX(-1,MIN(1,O992+INDEX(Types!$H:$H,MATCH($A992&amp;"|"&amp;$D992,Types!$A:$A,0)))))</f>
        <v/>
      </c>
      <c r="AK992" s="43">
        <f>IF(AG992=1,AF992,MAX(AQ992*AS992,AF992))</f>
        <v/>
      </c>
      <c r="AL992" s="43">
        <f>IF(AG992=1,AD992,AK992*(1+AJ992)/2)</f>
        <v/>
      </c>
      <c r="AM992" s="43">
        <f>IF(AG992=1,AE992,AK992*(1-AJ992)/2)</f>
        <v/>
      </c>
      <c r="AN992" s="45">
        <f>IF(AH992="","",AH992-T992)</f>
        <v/>
      </c>
      <c r="AO992" s="51">
        <f>IF(AG992=1,1,IF(U992&gt;0,MIN(AF992/U992,0.99),0))</f>
        <v/>
      </c>
      <c r="AP992" s="43">
        <f>IF(AG992=1,AI992*AF992,0)</f>
        <v/>
      </c>
      <c r="AQ992" s="43">
        <f>N992*(F992+G992)/H992</f>
        <v/>
      </c>
      <c r="AR992" s="43">
        <f>O992*AQ992</f>
        <v/>
      </c>
      <c r="AS992" s="52">
        <f>IF(AG992=1,IF(AQ992&gt;0,AF992/AQ992,1),IFERROR(INDEX(Types!$K:$K,MATCH($A992&amp;"|"&amp;$D992,Types!$A:$A,0)),INDEX(Dashboard!$X$6:$X$22,MATCH($A992,Dashboard!$A$6:$A$22,0))))</f>
        <v/>
      </c>
      <c r="AT992" s="43">
        <f>AQ992*INDEX(Dashboard!$Y$6:$Y$22,MATCH($A992,Dashboard!$A$6:$A$22,0))</f>
        <v/>
      </c>
      <c r="AU992" s="53">
        <f>IF(AND(AG992=1,AT992&gt;0,AF992&gt;0),100*AF992/AT992,"")</f>
        <v/>
      </c>
      <c r="AV992" s="44">
        <f>IF(AU992="","",T992/(AU992/100))</f>
        <v/>
      </c>
      <c r="AW992" s="53">
        <f>IF(AU992="","",IF(AND(ABS(AH992)&gt;=0.1,ABS(T992)&gt;=0.05,SIGN(AH992)=SIGN(T992)),100*T992/AH992,""))</f>
        <v/>
      </c>
      <c r="AX992" s="45">
        <f>IF(AU992="","",T992-AV992)</f>
        <v/>
      </c>
      <c r="AY992" s="45">
        <f>IF(AU992="","",AH992-AV992)</f>
        <v/>
      </c>
      <c r="AZ992" s="54">
        <f>(AL992-AM992)-T992*AT992</f>
        <v/>
      </c>
      <c r="BA992" s="43">
        <f>IF(AU992="",0,(AH992-T992)*AF992)</f>
        <v/>
      </c>
      <c r="BB992" s="43">
        <f>IF(AU992="",0,T992*(AF992-AT992))</f>
        <v/>
      </c>
      <c r="BC992" s="51" t="n">
        <v>0.1944739638682253</v>
      </c>
      <c r="BD992" s="51" t="n">
        <v>0.07649586471376427</v>
      </c>
      <c r="BE992" s="51" t="n">
        <v>0.3119451114922813</v>
      </c>
      <c r="BF992" s="43" t="n">
        <v>108215</v>
      </c>
    </row>
    <row r="993">
      <c r="A993" s="42" t="inlineStr">
        <is>
          <t>SC</t>
        </is>
      </c>
      <c r="B993" s="42" t="inlineStr">
        <is>
          <t>45059</t>
        </is>
      </c>
      <c r="C993" s="42" t="inlineStr">
        <is>
          <t>Laurens</t>
        </is>
      </c>
      <c r="D993" s="42" t="inlineStr">
        <is>
          <t>Small town &amp; rural</t>
        </is>
      </c>
      <c r="E993" s="42" t="inlineStr"/>
      <c r="F993" s="43" t="n">
        <v>8769</v>
      </c>
      <c r="G993" s="43" t="n">
        <v>21110</v>
      </c>
      <c r="H993" s="43" t="n">
        <v>30213</v>
      </c>
      <c r="I993" s="43" t="n">
        <v>10159</v>
      </c>
      <c r="J993" s="43" t="n">
        <v>20004</v>
      </c>
      <c r="K993" s="42" t="inlineStr">
        <is>
          <t>US Senate</t>
        </is>
      </c>
      <c r="L993" s="43" t="n">
        <v>5214</v>
      </c>
      <c r="M993" s="43" t="n">
        <v>14504</v>
      </c>
      <c r="N993" s="43" t="n">
        <v>19756</v>
      </c>
      <c r="O993" s="44">
        <f>IFERROR((F993-G993)/(F993+G993),"")</f>
        <v/>
      </c>
      <c r="P993" s="44">
        <f>IFERROR((I993-J993)/(I993+J993),"")</f>
        <v/>
      </c>
      <c r="Q993" s="45">
        <f>IFERROR(O993-P993,"")</f>
        <v/>
      </c>
      <c r="R993" s="44">
        <f>IFERROR((L993-M993)/(L993+M993),"")</f>
        <v/>
      </c>
      <c r="S993" s="46">
        <f>H993/SUMIFS(Counties!$H$2:$H$1583,Counties!$A$2:$A$1583,$A993)</f>
        <v/>
      </c>
      <c r="T993" s="44">
        <f>O993+INDEX(Dashboard!$F$6:$F$22,MATCH($A993,Dashboard!$A$6:$A$22,0))</f>
        <v/>
      </c>
      <c r="U993" s="43">
        <f>AQ993*INDEX(Dashboard!$G$6:$G$22,MATCH($A993,Dashboard!$A$6:$A$22,0))</f>
        <v/>
      </c>
      <c r="V993" s="47" t="n"/>
      <c r="W993" s="47" t="n"/>
      <c r="X993" s="47" t="n"/>
      <c r="Y993" s="48" t="n"/>
      <c r="Z993" s="49" t="n"/>
      <c r="AA993" s="49" t="n"/>
      <c r="AB993" s="49" t="n"/>
      <c r="AC993" s="50" t="n"/>
      <c r="AD993" s="43">
        <f>IF(Z993&lt;&gt;"",Z993,N(V993))</f>
        <v/>
      </c>
      <c r="AE993" s="43">
        <f>IF(AA993&lt;&gt;"",AA993,N(W993))</f>
        <v/>
      </c>
      <c r="AF993" s="43">
        <f>AD993+AE993</f>
        <v/>
      </c>
      <c r="AG993" s="42">
        <f>IF(UPPER(AC993)="Y",1,IF(AF993=0,0,IF(AND(Z993="",Y993&lt;&gt;""),IF(Y993&gt;=0.999,1,0),IF(AF993&gt;=U993,1,0))))</f>
        <v/>
      </c>
      <c r="AH993" s="44">
        <f>IF(AF993&gt;0,(AD993-AE993)/AF993,"")</f>
        <v/>
      </c>
      <c r="AI993" s="45">
        <f>IF(AG993=1,AH993-O993,"")</f>
        <v/>
      </c>
      <c r="AJ993" s="44">
        <f>IF(AG993=1,AH993,MAX(-1,MIN(1,O993+INDEX(Types!$H:$H,MATCH($A993&amp;"|"&amp;$D993,Types!$A:$A,0)))))</f>
        <v/>
      </c>
      <c r="AK993" s="43">
        <f>IF(AG993=1,AF993,MAX(AQ993*AS993,AF993))</f>
        <v/>
      </c>
      <c r="AL993" s="43">
        <f>IF(AG993=1,AD993,AK993*(1+AJ993)/2)</f>
        <v/>
      </c>
      <c r="AM993" s="43">
        <f>IF(AG993=1,AE993,AK993*(1-AJ993)/2)</f>
        <v/>
      </c>
      <c r="AN993" s="45">
        <f>IF(AH993="","",AH993-T993)</f>
        <v/>
      </c>
      <c r="AO993" s="51">
        <f>IF(AG993=1,1,IF(U993&gt;0,MIN(AF993/U993,0.99),0))</f>
        <v/>
      </c>
      <c r="AP993" s="43">
        <f>IF(AG993=1,AI993*AF993,0)</f>
        <v/>
      </c>
      <c r="AQ993" s="43">
        <f>N993*(F993+G993)/H993</f>
        <v/>
      </c>
      <c r="AR993" s="43">
        <f>O993*AQ993</f>
        <v/>
      </c>
      <c r="AS993" s="52">
        <f>IF(AG993=1,IF(AQ993&gt;0,AF993/AQ993,1),IFERROR(INDEX(Types!$K:$K,MATCH($A993&amp;"|"&amp;$D993,Types!$A:$A,0)),INDEX(Dashboard!$X$6:$X$22,MATCH($A993,Dashboard!$A$6:$A$22,0))))</f>
        <v/>
      </c>
      <c r="AT993" s="43">
        <f>AQ993*INDEX(Dashboard!$Y$6:$Y$22,MATCH($A993,Dashboard!$A$6:$A$22,0))</f>
        <v/>
      </c>
      <c r="AU993" s="53">
        <f>IF(AND(AG993=1,AT993&gt;0,AF993&gt;0),100*AF993/AT993,"")</f>
        <v/>
      </c>
      <c r="AV993" s="44">
        <f>IF(AU993="","",T993/(AU993/100))</f>
        <v/>
      </c>
      <c r="AW993" s="53">
        <f>IF(AU993="","",IF(AND(ABS(AH993)&gt;=0.1,ABS(T993)&gt;=0.05,SIGN(AH993)=SIGN(T993)),100*T993/AH993,""))</f>
        <v/>
      </c>
      <c r="AX993" s="45">
        <f>IF(AU993="","",T993-AV993)</f>
        <v/>
      </c>
      <c r="AY993" s="45">
        <f>IF(AU993="","",AH993-AV993)</f>
        <v/>
      </c>
      <c r="AZ993" s="54">
        <f>(AL993-AM993)-T993*AT993</f>
        <v/>
      </c>
      <c r="BA993" s="43">
        <f>IF(AU993="",0,(AH993-T993)*AF993)</f>
        <v/>
      </c>
      <c r="BB993" s="43">
        <f>IF(AU993="",0,T993*(AF993-AT993))</f>
        <v/>
      </c>
      <c r="BC993" s="51" t="n">
        <v>0.2354188143394363</v>
      </c>
      <c r="BD993" s="51" t="n">
        <v>0.06906915627314042</v>
      </c>
      <c r="BE993" s="51" t="n">
        <v>0.1786779481755685</v>
      </c>
      <c r="BF993" s="43" t="n">
        <v>68873</v>
      </c>
    </row>
    <row r="994">
      <c r="A994" s="42" t="inlineStr">
        <is>
          <t>SC</t>
        </is>
      </c>
      <c r="B994" s="42" t="inlineStr">
        <is>
          <t>45061</t>
        </is>
      </c>
      <c r="C994" s="42" t="inlineStr">
        <is>
          <t>Lee</t>
        </is>
      </c>
      <c r="D994" s="42" t="inlineStr">
        <is>
          <t>Black Belt</t>
        </is>
      </c>
      <c r="E994" s="42" t="inlineStr"/>
      <c r="F994" s="43" t="n">
        <v>4505</v>
      </c>
      <c r="G994" s="43" t="n">
        <v>3078</v>
      </c>
      <c r="H994" s="43" t="n">
        <v>8076</v>
      </c>
      <c r="I994" s="43" t="n">
        <v>5329</v>
      </c>
      <c r="J994" s="43" t="n">
        <v>3008</v>
      </c>
      <c r="K994" s="42" t="inlineStr">
        <is>
          <t>US Senate</t>
        </is>
      </c>
      <c r="L994" s="43" t="n">
        <v>3028</v>
      </c>
      <c r="M994" s="43" t="n">
        <v>2209</v>
      </c>
      <c r="N994" s="43" t="n">
        <v>5240</v>
      </c>
      <c r="O994" s="44">
        <f>IFERROR((F994-G994)/(F994+G994),"")</f>
        <v/>
      </c>
      <c r="P994" s="44">
        <f>IFERROR((I994-J994)/(I994+J994),"")</f>
        <v/>
      </c>
      <c r="Q994" s="45">
        <f>IFERROR(O994-P994,"")</f>
        <v/>
      </c>
      <c r="R994" s="44">
        <f>IFERROR((L994-M994)/(L994+M994),"")</f>
        <v/>
      </c>
      <c r="S994" s="46">
        <f>H994/SUMIFS(Counties!$H$2:$H$1583,Counties!$A$2:$A$1583,$A994)</f>
        <v/>
      </c>
      <c r="T994" s="44">
        <f>O994+INDEX(Dashboard!$F$6:$F$22,MATCH($A994,Dashboard!$A$6:$A$22,0))</f>
        <v/>
      </c>
      <c r="U994" s="43">
        <f>AQ994*INDEX(Dashboard!$G$6:$G$22,MATCH($A994,Dashboard!$A$6:$A$22,0))</f>
        <v/>
      </c>
      <c r="V994" s="47" t="n"/>
      <c r="W994" s="47" t="n"/>
      <c r="X994" s="47" t="n"/>
      <c r="Y994" s="48" t="n"/>
      <c r="Z994" s="49" t="n"/>
      <c r="AA994" s="49" t="n"/>
      <c r="AB994" s="49" t="n"/>
      <c r="AC994" s="50" t="n"/>
      <c r="AD994" s="43">
        <f>IF(Z994&lt;&gt;"",Z994,N(V994))</f>
        <v/>
      </c>
      <c r="AE994" s="43">
        <f>IF(AA994&lt;&gt;"",AA994,N(W994))</f>
        <v/>
      </c>
      <c r="AF994" s="43">
        <f>AD994+AE994</f>
        <v/>
      </c>
      <c r="AG994" s="42">
        <f>IF(UPPER(AC994)="Y",1,IF(AF994=0,0,IF(AND(Z994="",Y994&lt;&gt;""),IF(Y994&gt;=0.999,1,0),IF(AF994&gt;=U994,1,0))))</f>
        <v/>
      </c>
      <c r="AH994" s="44">
        <f>IF(AF994&gt;0,(AD994-AE994)/AF994,"")</f>
        <v/>
      </c>
      <c r="AI994" s="45">
        <f>IF(AG994=1,AH994-O994,"")</f>
        <v/>
      </c>
      <c r="AJ994" s="44">
        <f>IF(AG994=1,AH994,MAX(-1,MIN(1,O994+INDEX(Types!$H:$H,MATCH($A994&amp;"|"&amp;$D994,Types!$A:$A,0)))))</f>
        <v/>
      </c>
      <c r="AK994" s="43">
        <f>IF(AG994=1,AF994,MAX(AQ994*AS994,AF994))</f>
        <v/>
      </c>
      <c r="AL994" s="43">
        <f>IF(AG994=1,AD994,AK994*(1+AJ994)/2)</f>
        <v/>
      </c>
      <c r="AM994" s="43">
        <f>IF(AG994=1,AE994,AK994*(1-AJ994)/2)</f>
        <v/>
      </c>
      <c r="AN994" s="45">
        <f>IF(AH994="","",AH994-T994)</f>
        <v/>
      </c>
      <c r="AO994" s="51">
        <f>IF(AG994=1,1,IF(U994&gt;0,MIN(AF994/U994,0.99),0))</f>
        <v/>
      </c>
      <c r="AP994" s="43">
        <f>IF(AG994=1,AI994*AF994,0)</f>
        <v/>
      </c>
      <c r="AQ994" s="43">
        <f>N994*(F994+G994)/H994</f>
        <v/>
      </c>
      <c r="AR994" s="43">
        <f>O994*AQ994</f>
        <v/>
      </c>
      <c r="AS994" s="52">
        <f>IF(AG994=1,IF(AQ994&gt;0,AF994/AQ994,1),IFERROR(INDEX(Types!$K:$K,MATCH($A994&amp;"|"&amp;$D994,Types!$A:$A,0)),INDEX(Dashboard!$X$6:$X$22,MATCH($A994,Dashboard!$A$6:$A$22,0))))</f>
        <v/>
      </c>
      <c r="AT994" s="43">
        <f>AQ994*INDEX(Dashboard!$Y$6:$Y$22,MATCH($A994,Dashboard!$A$6:$A$22,0))</f>
        <v/>
      </c>
      <c r="AU994" s="53">
        <f>IF(AND(AG994=1,AT994&gt;0,AF994&gt;0),100*AF994/AT994,"")</f>
        <v/>
      </c>
      <c r="AV994" s="44">
        <f>IF(AU994="","",T994/(AU994/100))</f>
        <v/>
      </c>
      <c r="AW994" s="53">
        <f>IF(AU994="","",IF(AND(ABS(AH994)&gt;=0.1,ABS(T994)&gt;=0.05,SIGN(AH994)=SIGN(T994)),100*T994/AH994,""))</f>
        <v/>
      </c>
      <c r="AX994" s="45">
        <f>IF(AU994="","",T994-AV994)</f>
        <v/>
      </c>
      <c r="AY994" s="45">
        <f>IF(AU994="","",AH994-AV994)</f>
        <v/>
      </c>
      <c r="AZ994" s="54">
        <f>(AL994-AM994)-T994*AT994</f>
        <v/>
      </c>
      <c r="BA994" s="43">
        <f>IF(AU994="",0,(AH994-T994)*AF994)</f>
        <v/>
      </c>
      <c r="BB994" s="43">
        <f>IF(AU994="",0,T994*(AF994-AT994))</f>
        <v/>
      </c>
      <c r="BC994" s="51" t="n">
        <v>0.6124506795265234</v>
      </c>
      <c r="BD994" s="51" t="n">
        <v>0.02642951086616146</v>
      </c>
      <c r="BE994" s="51" t="n">
        <v>0.1278496087104457</v>
      </c>
      <c r="BF994" s="43" t="n">
        <v>15967</v>
      </c>
    </row>
    <row r="995">
      <c r="A995" s="42" t="inlineStr">
        <is>
          <t>SC</t>
        </is>
      </c>
      <c r="B995" s="42" t="inlineStr">
        <is>
          <t>45063</t>
        </is>
      </c>
      <c r="C995" s="42" t="inlineStr">
        <is>
          <t>Lexington</t>
        </is>
      </c>
      <c r="D995" s="42" t="inlineStr">
        <is>
          <t>Mid-size/working metro</t>
        </is>
      </c>
      <c r="E995" s="42" t="inlineStr">
        <is>
          <t>★</t>
        </is>
      </c>
      <c r="F995" s="43" t="n">
        <v>47815</v>
      </c>
      <c r="G995" s="43" t="n">
        <v>96965</v>
      </c>
      <c r="H995" s="43" t="n">
        <v>146903</v>
      </c>
      <c r="I995" s="43" t="n">
        <v>49301</v>
      </c>
      <c r="J995" s="43" t="n">
        <v>92817</v>
      </c>
      <c r="K995" s="42" t="inlineStr">
        <is>
          <t>US Senate</t>
        </is>
      </c>
      <c r="L995" s="43" t="n">
        <v>28884</v>
      </c>
      <c r="M995" s="43" t="n">
        <v>70113</v>
      </c>
      <c r="N995" s="43" t="n">
        <v>99109</v>
      </c>
      <c r="O995" s="44">
        <f>IFERROR((F995-G995)/(F995+G995),"")</f>
        <v/>
      </c>
      <c r="P995" s="44">
        <f>IFERROR((I995-J995)/(I995+J995),"")</f>
        <v/>
      </c>
      <c r="Q995" s="45">
        <f>IFERROR(O995-P995,"")</f>
        <v/>
      </c>
      <c r="R995" s="44">
        <f>IFERROR((L995-M995)/(L995+M995),"")</f>
        <v/>
      </c>
      <c r="S995" s="46">
        <f>H995/SUMIFS(Counties!$H$2:$H$1583,Counties!$A$2:$A$1583,$A995)</f>
        <v/>
      </c>
      <c r="T995" s="44">
        <f>O995+INDEX(Dashboard!$F$6:$F$22,MATCH($A995,Dashboard!$A$6:$A$22,0))</f>
        <v/>
      </c>
      <c r="U995" s="43">
        <f>AQ995*INDEX(Dashboard!$G$6:$G$22,MATCH($A995,Dashboard!$A$6:$A$22,0))</f>
        <v/>
      </c>
      <c r="V995" s="47" t="n"/>
      <c r="W995" s="47" t="n"/>
      <c r="X995" s="47" t="n"/>
      <c r="Y995" s="48" t="n"/>
      <c r="Z995" s="49" t="n"/>
      <c r="AA995" s="49" t="n"/>
      <c r="AB995" s="49" t="n"/>
      <c r="AC995" s="50" t="n"/>
      <c r="AD995" s="43">
        <f>IF(Z995&lt;&gt;"",Z995,N(V995))</f>
        <v/>
      </c>
      <c r="AE995" s="43">
        <f>IF(AA995&lt;&gt;"",AA995,N(W995))</f>
        <v/>
      </c>
      <c r="AF995" s="43">
        <f>AD995+AE995</f>
        <v/>
      </c>
      <c r="AG995" s="42">
        <f>IF(UPPER(AC995)="Y",1,IF(AF995=0,0,IF(AND(Z995="",Y995&lt;&gt;""),IF(Y995&gt;=0.999,1,0),IF(AF995&gt;=U995,1,0))))</f>
        <v/>
      </c>
      <c r="AH995" s="44">
        <f>IF(AF995&gt;0,(AD995-AE995)/AF995,"")</f>
        <v/>
      </c>
      <c r="AI995" s="45">
        <f>IF(AG995=1,AH995-O995,"")</f>
        <v/>
      </c>
      <c r="AJ995" s="44">
        <f>IF(AG995=1,AH995,MAX(-1,MIN(1,O995+INDEX(Types!$H:$H,MATCH($A995&amp;"|"&amp;$D995,Types!$A:$A,0)))))</f>
        <v/>
      </c>
      <c r="AK995" s="43">
        <f>IF(AG995=1,AF995,MAX(AQ995*AS995,AF995))</f>
        <v/>
      </c>
      <c r="AL995" s="43">
        <f>IF(AG995=1,AD995,AK995*(1+AJ995)/2)</f>
        <v/>
      </c>
      <c r="AM995" s="43">
        <f>IF(AG995=1,AE995,AK995*(1-AJ995)/2)</f>
        <v/>
      </c>
      <c r="AN995" s="45">
        <f>IF(AH995="","",AH995-T995)</f>
        <v/>
      </c>
      <c r="AO995" s="51">
        <f>IF(AG995=1,1,IF(U995&gt;0,MIN(AF995/U995,0.99),0))</f>
        <v/>
      </c>
      <c r="AP995" s="43">
        <f>IF(AG995=1,AI995*AF995,0)</f>
        <v/>
      </c>
      <c r="AQ995" s="43">
        <f>N995*(F995+G995)/H995</f>
        <v/>
      </c>
      <c r="AR995" s="43">
        <f>O995*AQ995</f>
        <v/>
      </c>
      <c r="AS995" s="52">
        <f>IF(AG995=1,IF(AQ995&gt;0,AF995/AQ995,1),IFERROR(INDEX(Types!$K:$K,MATCH($A995&amp;"|"&amp;$D995,Types!$A:$A,0)),INDEX(Dashboard!$X$6:$X$22,MATCH($A995,Dashboard!$A$6:$A$22,0))))</f>
        <v/>
      </c>
      <c r="AT995" s="43">
        <f>AQ995*INDEX(Dashboard!$Y$6:$Y$22,MATCH($A995,Dashboard!$A$6:$A$22,0))</f>
        <v/>
      </c>
      <c r="AU995" s="53">
        <f>IF(AND(AG995=1,AT995&gt;0,AF995&gt;0),100*AF995/AT995,"")</f>
        <v/>
      </c>
      <c r="AV995" s="44">
        <f>IF(AU995="","",T995/(AU995/100))</f>
        <v/>
      </c>
      <c r="AW995" s="53">
        <f>IF(AU995="","",IF(AND(ABS(AH995)&gt;=0.1,ABS(T995)&gt;=0.05,SIGN(AH995)=SIGN(T995)),100*T995/AH995,""))</f>
        <v/>
      </c>
      <c r="AX995" s="45">
        <f>IF(AU995="","",T995-AV995)</f>
        <v/>
      </c>
      <c r="AY995" s="45">
        <f>IF(AU995="","",AH995-AV995)</f>
        <v/>
      </c>
      <c r="AZ995" s="54">
        <f>(AL995-AM995)-T995*AT995</f>
        <v/>
      </c>
      <c r="BA995" s="43">
        <f>IF(AU995="",0,(AH995-T995)*AF995)</f>
        <v/>
      </c>
      <c r="BB995" s="43">
        <f>IF(AU995="",0,T995*(AF995-AT995))</f>
        <v/>
      </c>
      <c r="BC995" s="51" t="n">
        <v>0.1608998216639529</v>
      </c>
      <c r="BD995" s="51" t="n">
        <v>0.08090059703807087</v>
      </c>
      <c r="BE995" s="51" t="n">
        <v>0.3310804972879566</v>
      </c>
      <c r="BF995" s="43" t="n">
        <v>309528</v>
      </c>
    </row>
    <row r="996">
      <c r="A996" s="42" t="inlineStr">
        <is>
          <t>SC</t>
        </is>
      </c>
      <c r="B996" s="42" t="inlineStr">
        <is>
          <t>45067</t>
        </is>
      </c>
      <c r="C996" s="42" t="inlineStr">
        <is>
          <t>Marion</t>
        </is>
      </c>
      <c r="D996" s="42" t="inlineStr">
        <is>
          <t>Black Belt</t>
        </is>
      </c>
      <c r="E996" s="42" t="inlineStr"/>
      <c r="F996" s="43" t="n">
        <v>7316</v>
      </c>
      <c r="G996" s="43" t="n">
        <v>5906</v>
      </c>
      <c r="H996" s="43" t="n">
        <v>13388</v>
      </c>
      <c r="I996" s="43" t="n">
        <v>8872</v>
      </c>
      <c r="J996" s="43" t="n">
        <v>5711</v>
      </c>
      <c r="K996" s="42" t="inlineStr">
        <is>
          <t>US Senate</t>
        </is>
      </c>
      <c r="L996" s="43" t="n">
        <v>4421</v>
      </c>
      <c r="M996" s="43" t="n">
        <v>3952</v>
      </c>
      <c r="N996" s="43" t="n">
        <v>8377</v>
      </c>
      <c r="O996" s="44">
        <f>IFERROR((F996-G996)/(F996+G996),"")</f>
        <v/>
      </c>
      <c r="P996" s="44">
        <f>IFERROR((I996-J996)/(I996+J996),"")</f>
        <v/>
      </c>
      <c r="Q996" s="45">
        <f>IFERROR(O996-P996,"")</f>
        <v/>
      </c>
      <c r="R996" s="44">
        <f>IFERROR((L996-M996)/(L996+M996),"")</f>
        <v/>
      </c>
      <c r="S996" s="46">
        <f>H996/SUMIFS(Counties!$H$2:$H$1583,Counties!$A$2:$A$1583,$A996)</f>
        <v/>
      </c>
      <c r="T996" s="44">
        <f>O996+INDEX(Dashboard!$F$6:$F$22,MATCH($A996,Dashboard!$A$6:$A$22,0))</f>
        <v/>
      </c>
      <c r="U996" s="43">
        <f>AQ996*INDEX(Dashboard!$G$6:$G$22,MATCH($A996,Dashboard!$A$6:$A$22,0))</f>
        <v/>
      </c>
      <c r="V996" s="47" t="n"/>
      <c r="W996" s="47" t="n"/>
      <c r="X996" s="47" t="n"/>
      <c r="Y996" s="48" t="n"/>
      <c r="Z996" s="49" t="n"/>
      <c r="AA996" s="49" t="n"/>
      <c r="AB996" s="49" t="n"/>
      <c r="AC996" s="50" t="n"/>
      <c r="AD996" s="43">
        <f>IF(Z996&lt;&gt;"",Z996,N(V996))</f>
        <v/>
      </c>
      <c r="AE996" s="43">
        <f>IF(AA996&lt;&gt;"",AA996,N(W996))</f>
        <v/>
      </c>
      <c r="AF996" s="43">
        <f>AD996+AE996</f>
        <v/>
      </c>
      <c r="AG996" s="42">
        <f>IF(UPPER(AC996)="Y",1,IF(AF996=0,0,IF(AND(Z996="",Y996&lt;&gt;""),IF(Y996&gt;=0.999,1,0),IF(AF996&gt;=U996,1,0))))</f>
        <v/>
      </c>
      <c r="AH996" s="44">
        <f>IF(AF996&gt;0,(AD996-AE996)/AF996,"")</f>
        <v/>
      </c>
      <c r="AI996" s="45">
        <f>IF(AG996=1,AH996-O996,"")</f>
        <v/>
      </c>
      <c r="AJ996" s="44">
        <f>IF(AG996=1,AH996,MAX(-1,MIN(1,O996+INDEX(Types!$H:$H,MATCH($A996&amp;"|"&amp;$D996,Types!$A:$A,0)))))</f>
        <v/>
      </c>
      <c r="AK996" s="43">
        <f>IF(AG996=1,AF996,MAX(AQ996*AS996,AF996))</f>
        <v/>
      </c>
      <c r="AL996" s="43">
        <f>IF(AG996=1,AD996,AK996*(1+AJ996)/2)</f>
        <v/>
      </c>
      <c r="AM996" s="43">
        <f>IF(AG996=1,AE996,AK996*(1-AJ996)/2)</f>
        <v/>
      </c>
      <c r="AN996" s="45">
        <f>IF(AH996="","",AH996-T996)</f>
        <v/>
      </c>
      <c r="AO996" s="51">
        <f>IF(AG996=1,1,IF(U996&gt;0,MIN(AF996/U996,0.99),0))</f>
        <v/>
      </c>
      <c r="AP996" s="43">
        <f>IF(AG996=1,AI996*AF996,0)</f>
        <v/>
      </c>
      <c r="AQ996" s="43">
        <f>N996*(F996+G996)/H996</f>
        <v/>
      </c>
      <c r="AR996" s="43">
        <f>O996*AQ996</f>
        <v/>
      </c>
      <c r="AS996" s="52">
        <f>IF(AG996=1,IF(AQ996&gt;0,AF996/AQ996,1),IFERROR(INDEX(Types!$K:$K,MATCH($A996&amp;"|"&amp;$D996,Types!$A:$A,0)),INDEX(Dashboard!$X$6:$X$22,MATCH($A996,Dashboard!$A$6:$A$22,0))))</f>
        <v/>
      </c>
      <c r="AT996" s="43">
        <f>AQ996*INDEX(Dashboard!$Y$6:$Y$22,MATCH($A996,Dashboard!$A$6:$A$22,0))</f>
        <v/>
      </c>
      <c r="AU996" s="53">
        <f>IF(AND(AG996=1,AT996&gt;0,AF996&gt;0),100*AF996/AT996,"")</f>
        <v/>
      </c>
      <c r="AV996" s="44">
        <f>IF(AU996="","",T996/(AU996/100))</f>
        <v/>
      </c>
      <c r="AW996" s="53">
        <f>IF(AU996="","",IF(AND(ABS(AH996)&gt;=0.1,ABS(T996)&gt;=0.05,SIGN(AH996)=SIGN(T996)),100*T996/AH996,""))</f>
        <v/>
      </c>
      <c r="AX996" s="45">
        <f>IF(AU996="","",T996-AV996)</f>
        <v/>
      </c>
      <c r="AY996" s="45">
        <f>IF(AU996="","",AH996-AV996)</f>
        <v/>
      </c>
      <c r="AZ996" s="54">
        <f>(AL996-AM996)-T996*AT996</f>
        <v/>
      </c>
      <c r="BA996" s="43">
        <f>IF(AU996="",0,(AH996-T996)*AF996)</f>
        <v/>
      </c>
      <c r="BB996" s="43">
        <f>IF(AU996="",0,T996*(AF996-AT996))</f>
        <v/>
      </c>
      <c r="BC996" s="51" t="n">
        <v>0.5559842851129507</v>
      </c>
      <c r="BD996" s="51" t="n">
        <v>0.02851831064964221</v>
      </c>
      <c r="BE996" s="51" t="n">
        <v>0.1377755759227149</v>
      </c>
      <c r="BF996" s="43" t="n">
        <v>28508</v>
      </c>
    </row>
    <row r="997">
      <c r="A997" s="42" t="inlineStr">
        <is>
          <t>SC</t>
        </is>
      </c>
      <c r="B997" s="42" t="inlineStr">
        <is>
          <t>45069</t>
        </is>
      </c>
      <c r="C997" s="42" t="inlineStr">
        <is>
          <t>Marlboro</t>
        </is>
      </c>
      <c r="D997" s="42" t="inlineStr">
        <is>
          <t>Black Belt</t>
        </is>
      </c>
      <c r="E997" s="42" t="inlineStr"/>
      <c r="F997" s="43" t="n">
        <v>5137</v>
      </c>
      <c r="G997" s="43" t="n">
        <v>4896</v>
      </c>
      <c r="H997" s="43" t="n">
        <v>10152</v>
      </c>
      <c r="I997" s="43" t="n">
        <v>6290</v>
      </c>
      <c r="J997" s="43" t="n">
        <v>5044</v>
      </c>
      <c r="K997" s="42" t="inlineStr">
        <is>
          <t>US Senate</t>
        </is>
      </c>
      <c r="L997" s="43" t="n">
        <v>3169</v>
      </c>
      <c r="M997" s="43" t="n">
        <v>3308</v>
      </c>
      <c r="N997" s="43" t="n">
        <v>6486</v>
      </c>
      <c r="O997" s="44">
        <f>IFERROR((F997-G997)/(F997+G997),"")</f>
        <v/>
      </c>
      <c r="P997" s="44">
        <f>IFERROR((I997-J997)/(I997+J997),"")</f>
        <v/>
      </c>
      <c r="Q997" s="45">
        <f>IFERROR(O997-P997,"")</f>
        <v/>
      </c>
      <c r="R997" s="44">
        <f>IFERROR((L997-M997)/(L997+M997),"")</f>
        <v/>
      </c>
      <c r="S997" s="46">
        <f>H997/SUMIFS(Counties!$H$2:$H$1583,Counties!$A$2:$A$1583,$A997)</f>
        <v/>
      </c>
      <c r="T997" s="44">
        <f>O997+INDEX(Dashboard!$F$6:$F$22,MATCH($A997,Dashboard!$A$6:$A$22,0))</f>
        <v/>
      </c>
      <c r="U997" s="43">
        <f>AQ997*INDEX(Dashboard!$G$6:$G$22,MATCH($A997,Dashboard!$A$6:$A$22,0))</f>
        <v/>
      </c>
      <c r="V997" s="47" t="n"/>
      <c r="W997" s="47" t="n"/>
      <c r="X997" s="47" t="n"/>
      <c r="Y997" s="48" t="n"/>
      <c r="Z997" s="49" t="n"/>
      <c r="AA997" s="49" t="n"/>
      <c r="AB997" s="49" t="n"/>
      <c r="AC997" s="50" t="n"/>
      <c r="AD997" s="43">
        <f>IF(Z997&lt;&gt;"",Z997,N(V997))</f>
        <v/>
      </c>
      <c r="AE997" s="43">
        <f>IF(AA997&lt;&gt;"",AA997,N(W997))</f>
        <v/>
      </c>
      <c r="AF997" s="43">
        <f>AD997+AE997</f>
        <v/>
      </c>
      <c r="AG997" s="42">
        <f>IF(UPPER(AC997)="Y",1,IF(AF997=0,0,IF(AND(Z997="",Y997&lt;&gt;""),IF(Y997&gt;=0.999,1,0),IF(AF997&gt;=U997,1,0))))</f>
        <v/>
      </c>
      <c r="AH997" s="44">
        <f>IF(AF997&gt;0,(AD997-AE997)/AF997,"")</f>
        <v/>
      </c>
      <c r="AI997" s="45">
        <f>IF(AG997=1,AH997-O997,"")</f>
        <v/>
      </c>
      <c r="AJ997" s="44">
        <f>IF(AG997=1,AH997,MAX(-1,MIN(1,O997+INDEX(Types!$H:$H,MATCH($A997&amp;"|"&amp;$D997,Types!$A:$A,0)))))</f>
        <v/>
      </c>
      <c r="AK997" s="43">
        <f>IF(AG997=1,AF997,MAX(AQ997*AS997,AF997))</f>
        <v/>
      </c>
      <c r="AL997" s="43">
        <f>IF(AG997=1,AD997,AK997*(1+AJ997)/2)</f>
        <v/>
      </c>
      <c r="AM997" s="43">
        <f>IF(AG997=1,AE997,AK997*(1-AJ997)/2)</f>
        <v/>
      </c>
      <c r="AN997" s="45">
        <f>IF(AH997="","",AH997-T997)</f>
        <v/>
      </c>
      <c r="AO997" s="51">
        <f>IF(AG997=1,1,IF(U997&gt;0,MIN(AF997/U997,0.99),0))</f>
        <v/>
      </c>
      <c r="AP997" s="43">
        <f>IF(AG997=1,AI997*AF997,0)</f>
        <v/>
      </c>
      <c r="AQ997" s="43">
        <f>N997*(F997+G997)/H997</f>
        <v/>
      </c>
      <c r="AR997" s="43">
        <f>O997*AQ997</f>
        <v/>
      </c>
      <c r="AS997" s="52">
        <f>IF(AG997=1,IF(AQ997&gt;0,AF997/AQ997,1),IFERROR(INDEX(Types!$K:$K,MATCH($A997&amp;"|"&amp;$D997,Types!$A:$A,0)),INDEX(Dashboard!$X$6:$X$22,MATCH($A997,Dashboard!$A$6:$A$22,0))))</f>
        <v/>
      </c>
      <c r="AT997" s="43">
        <f>AQ997*INDEX(Dashboard!$Y$6:$Y$22,MATCH($A997,Dashboard!$A$6:$A$22,0))</f>
        <v/>
      </c>
      <c r="AU997" s="53">
        <f>IF(AND(AG997=1,AT997&gt;0,AF997&gt;0),100*AF997/AT997,"")</f>
        <v/>
      </c>
      <c r="AV997" s="44">
        <f>IF(AU997="","",T997/(AU997/100))</f>
        <v/>
      </c>
      <c r="AW997" s="53">
        <f>IF(AU997="","",IF(AND(ABS(AH997)&gt;=0.1,ABS(T997)&gt;=0.05,SIGN(AH997)=SIGN(T997)),100*T997/AH997,""))</f>
        <v/>
      </c>
      <c r="AX997" s="45">
        <f>IF(AU997="","",T997-AV997)</f>
        <v/>
      </c>
      <c r="AY997" s="45">
        <f>IF(AU997="","",AH997-AV997)</f>
        <v/>
      </c>
      <c r="AZ997" s="54">
        <f>(AL997-AM997)-T997*AT997</f>
        <v/>
      </c>
      <c r="BA997" s="43">
        <f>IF(AU997="",0,(AH997-T997)*AF997)</f>
        <v/>
      </c>
      <c r="BB997" s="43">
        <f>IF(AU997="",0,T997*(AF997-AT997))</f>
        <v/>
      </c>
      <c r="BC997" s="51" t="n">
        <v>0.5041627762215998</v>
      </c>
      <c r="BD997" s="51" t="n">
        <v>0.02913943355119826</v>
      </c>
      <c r="BE997" s="51" t="n">
        <v>0.08729655463961107</v>
      </c>
      <c r="BF997" s="43" t="n">
        <v>25704</v>
      </c>
    </row>
    <row r="998">
      <c r="A998" s="42" t="inlineStr">
        <is>
          <t>SC</t>
        </is>
      </c>
      <c r="B998" s="42" t="inlineStr">
        <is>
          <t>45065</t>
        </is>
      </c>
      <c r="C998" s="42" t="inlineStr">
        <is>
          <t>McCormick</t>
        </is>
      </c>
      <c r="D998" s="42" t="inlineStr">
        <is>
          <t>Small town &amp; rural</t>
        </is>
      </c>
      <c r="E998" s="42" t="inlineStr"/>
      <c r="F998" s="43" t="n">
        <v>2513</v>
      </c>
      <c r="G998" s="43" t="n">
        <v>3565</v>
      </c>
      <c r="H998" s="43" t="n">
        <v>6153</v>
      </c>
      <c r="I998" s="43" t="n">
        <v>2687</v>
      </c>
      <c r="J998" s="43" t="n">
        <v>2958</v>
      </c>
      <c r="K998" s="42" t="inlineStr">
        <is>
          <t>US Senate</t>
        </is>
      </c>
      <c r="L998" s="43" t="n">
        <v>1748</v>
      </c>
      <c r="M998" s="43" t="n">
        <v>2818</v>
      </c>
      <c r="N998" s="43" t="n">
        <v>4566</v>
      </c>
      <c r="O998" s="44">
        <f>IFERROR((F998-G998)/(F998+G998),"")</f>
        <v/>
      </c>
      <c r="P998" s="44">
        <f>IFERROR((I998-J998)/(I998+J998),"")</f>
        <v/>
      </c>
      <c r="Q998" s="45">
        <f>IFERROR(O998-P998,"")</f>
        <v/>
      </c>
      <c r="R998" s="44">
        <f>IFERROR((L998-M998)/(L998+M998),"")</f>
        <v/>
      </c>
      <c r="S998" s="46">
        <f>H998/SUMIFS(Counties!$H$2:$H$1583,Counties!$A$2:$A$1583,$A998)</f>
        <v/>
      </c>
      <c r="T998" s="44">
        <f>O998+INDEX(Dashboard!$F$6:$F$22,MATCH($A998,Dashboard!$A$6:$A$22,0))</f>
        <v/>
      </c>
      <c r="U998" s="43">
        <f>AQ998*INDEX(Dashboard!$G$6:$G$22,MATCH($A998,Dashboard!$A$6:$A$22,0))</f>
        <v/>
      </c>
      <c r="V998" s="47" t="n"/>
      <c r="W998" s="47" t="n"/>
      <c r="X998" s="47" t="n"/>
      <c r="Y998" s="48" t="n"/>
      <c r="Z998" s="49" t="n"/>
      <c r="AA998" s="49" t="n"/>
      <c r="AB998" s="49" t="n"/>
      <c r="AC998" s="50" t="n"/>
      <c r="AD998" s="43">
        <f>IF(Z998&lt;&gt;"",Z998,N(V998))</f>
        <v/>
      </c>
      <c r="AE998" s="43">
        <f>IF(AA998&lt;&gt;"",AA998,N(W998))</f>
        <v/>
      </c>
      <c r="AF998" s="43">
        <f>AD998+AE998</f>
        <v/>
      </c>
      <c r="AG998" s="42">
        <f>IF(UPPER(AC998)="Y",1,IF(AF998=0,0,IF(AND(Z998="",Y998&lt;&gt;""),IF(Y998&gt;=0.999,1,0),IF(AF998&gt;=U998,1,0))))</f>
        <v/>
      </c>
      <c r="AH998" s="44">
        <f>IF(AF998&gt;0,(AD998-AE998)/AF998,"")</f>
        <v/>
      </c>
      <c r="AI998" s="45">
        <f>IF(AG998=1,AH998-O998,"")</f>
        <v/>
      </c>
      <c r="AJ998" s="44">
        <f>IF(AG998=1,AH998,MAX(-1,MIN(1,O998+INDEX(Types!$H:$H,MATCH($A998&amp;"|"&amp;$D998,Types!$A:$A,0)))))</f>
        <v/>
      </c>
      <c r="AK998" s="43">
        <f>IF(AG998=1,AF998,MAX(AQ998*AS998,AF998))</f>
        <v/>
      </c>
      <c r="AL998" s="43">
        <f>IF(AG998=1,AD998,AK998*(1+AJ998)/2)</f>
        <v/>
      </c>
      <c r="AM998" s="43">
        <f>IF(AG998=1,AE998,AK998*(1-AJ998)/2)</f>
        <v/>
      </c>
      <c r="AN998" s="45">
        <f>IF(AH998="","",AH998-T998)</f>
        <v/>
      </c>
      <c r="AO998" s="51">
        <f>IF(AG998=1,1,IF(U998&gt;0,MIN(AF998/U998,0.99),0))</f>
        <v/>
      </c>
      <c r="AP998" s="43">
        <f>IF(AG998=1,AI998*AF998,0)</f>
        <v/>
      </c>
      <c r="AQ998" s="43">
        <f>N998*(F998+G998)/H998</f>
        <v/>
      </c>
      <c r="AR998" s="43">
        <f>O998*AQ998</f>
        <v/>
      </c>
      <c r="AS998" s="52">
        <f>IF(AG998=1,IF(AQ998&gt;0,AF998/AQ998,1),IFERROR(INDEX(Types!$K:$K,MATCH($A998&amp;"|"&amp;$D998,Types!$A:$A,0)),INDEX(Dashboard!$X$6:$X$22,MATCH($A998,Dashboard!$A$6:$A$22,0))))</f>
        <v/>
      </c>
      <c r="AT998" s="43">
        <f>AQ998*INDEX(Dashboard!$Y$6:$Y$22,MATCH($A998,Dashboard!$A$6:$A$22,0))</f>
        <v/>
      </c>
      <c r="AU998" s="53">
        <f>IF(AND(AG998=1,AT998&gt;0,AF998&gt;0),100*AF998/AT998,"")</f>
        <v/>
      </c>
      <c r="AV998" s="44">
        <f>IF(AU998="","",T998/(AU998/100))</f>
        <v/>
      </c>
      <c r="AW998" s="53">
        <f>IF(AU998="","",IF(AND(ABS(AH998)&gt;=0.1,ABS(T998)&gt;=0.05,SIGN(AH998)=SIGN(T998)),100*T998/AH998,""))</f>
        <v/>
      </c>
      <c r="AX998" s="45">
        <f>IF(AU998="","",T998-AV998)</f>
        <v/>
      </c>
      <c r="AY998" s="45">
        <f>IF(AU998="","",AH998-AV998)</f>
        <v/>
      </c>
      <c r="AZ998" s="54">
        <f>(AL998-AM998)-T998*AT998</f>
        <v/>
      </c>
      <c r="BA998" s="43">
        <f>IF(AU998="",0,(AH998-T998)*AF998)</f>
        <v/>
      </c>
      <c r="BB998" s="43">
        <f>IF(AU998="",0,T998*(AF998-AT998))</f>
        <v/>
      </c>
      <c r="BC998" s="51" t="n">
        <v>0.3760185092043054</v>
      </c>
      <c r="BD998" s="51" t="n">
        <v>0.0195151393219998</v>
      </c>
      <c r="BE998" s="51" t="n">
        <v>0.2307692307692308</v>
      </c>
      <c r="BF998" s="43" t="n">
        <v>9941</v>
      </c>
    </row>
    <row r="999">
      <c r="A999" s="42" t="inlineStr">
        <is>
          <t>SC</t>
        </is>
      </c>
      <c r="B999" s="42" t="inlineStr">
        <is>
          <t>45071</t>
        </is>
      </c>
      <c r="C999" s="42" t="inlineStr">
        <is>
          <t>Newberry</t>
        </is>
      </c>
      <c r="D999" s="42" t="inlineStr">
        <is>
          <t>Small town &amp; rural</t>
        </is>
      </c>
      <c r="E999" s="42" t="inlineStr"/>
      <c r="F999" s="43" t="n">
        <v>5841</v>
      </c>
      <c r="G999" s="43" t="n">
        <v>12067</v>
      </c>
      <c r="H999" s="43" t="n">
        <v>18129</v>
      </c>
      <c r="I999" s="43" t="n">
        <v>6958</v>
      </c>
      <c r="J999" s="43" t="n">
        <v>11443</v>
      </c>
      <c r="K999" s="42" t="inlineStr">
        <is>
          <t>US Senate</t>
        </is>
      </c>
      <c r="L999" s="43" t="n">
        <v>3775</v>
      </c>
      <c r="M999" s="43" t="n">
        <v>8967</v>
      </c>
      <c r="N999" s="43" t="n">
        <v>12752</v>
      </c>
      <c r="O999" s="44">
        <f>IFERROR((F999-G999)/(F999+G999),"")</f>
        <v/>
      </c>
      <c r="P999" s="44">
        <f>IFERROR((I999-J999)/(I999+J999),"")</f>
        <v/>
      </c>
      <c r="Q999" s="45">
        <f>IFERROR(O999-P999,"")</f>
        <v/>
      </c>
      <c r="R999" s="44">
        <f>IFERROR((L999-M999)/(L999+M999),"")</f>
        <v/>
      </c>
      <c r="S999" s="46">
        <f>H999/SUMIFS(Counties!$H$2:$H$1583,Counties!$A$2:$A$1583,$A999)</f>
        <v/>
      </c>
      <c r="T999" s="44">
        <f>O999+INDEX(Dashboard!$F$6:$F$22,MATCH($A999,Dashboard!$A$6:$A$22,0))</f>
        <v/>
      </c>
      <c r="U999" s="43">
        <f>AQ999*INDEX(Dashboard!$G$6:$G$22,MATCH($A999,Dashboard!$A$6:$A$22,0))</f>
        <v/>
      </c>
      <c r="V999" s="47" t="n"/>
      <c r="W999" s="47" t="n"/>
      <c r="X999" s="47" t="n"/>
      <c r="Y999" s="48" t="n"/>
      <c r="Z999" s="49" t="n"/>
      <c r="AA999" s="49" t="n"/>
      <c r="AB999" s="49" t="n"/>
      <c r="AC999" s="50" t="n"/>
      <c r="AD999" s="43">
        <f>IF(Z999&lt;&gt;"",Z999,N(V999))</f>
        <v/>
      </c>
      <c r="AE999" s="43">
        <f>IF(AA999&lt;&gt;"",AA999,N(W999))</f>
        <v/>
      </c>
      <c r="AF999" s="43">
        <f>AD999+AE999</f>
        <v/>
      </c>
      <c r="AG999" s="42">
        <f>IF(UPPER(AC999)="Y",1,IF(AF999=0,0,IF(AND(Z999="",Y999&lt;&gt;""),IF(Y999&gt;=0.999,1,0),IF(AF999&gt;=U999,1,0))))</f>
        <v/>
      </c>
      <c r="AH999" s="44">
        <f>IF(AF999&gt;0,(AD999-AE999)/AF999,"")</f>
        <v/>
      </c>
      <c r="AI999" s="45">
        <f>IF(AG999=1,AH999-O999,"")</f>
        <v/>
      </c>
      <c r="AJ999" s="44">
        <f>IF(AG999=1,AH999,MAX(-1,MIN(1,O999+INDEX(Types!$H:$H,MATCH($A999&amp;"|"&amp;$D999,Types!$A:$A,0)))))</f>
        <v/>
      </c>
      <c r="AK999" s="43">
        <f>IF(AG999=1,AF999,MAX(AQ999*AS999,AF999))</f>
        <v/>
      </c>
      <c r="AL999" s="43">
        <f>IF(AG999=1,AD999,AK999*(1+AJ999)/2)</f>
        <v/>
      </c>
      <c r="AM999" s="43">
        <f>IF(AG999=1,AE999,AK999*(1-AJ999)/2)</f>
        <v/>
      </c>
      <c r="AN999" s="45">
        <f>IF(AH999="","",AH999-T999)</f>
        <v/>
      </c>
      <c r="AO999" s="51">
        <f>IF(AG999=1,1,IF(U999&gt;0,MIN(AF999/U999,0.99),0))</f>
        <v/>
      </c>
      <c r="AP999" s="43">
        <f>IF(AG999=1,AI999*AF999,0)</f>
        <v/>
      </c>
      <c r="AQ999" s="43">
        <f>N999*(F999+G999)/H999</f>
        <v/>
      </c>
      <c r="AR999" s="43">
        <f>O999*AQ999</f>
        <v/>
      </c>
      <c r="AS999" s="52">
        <f>IF(AG999=1,IF(AQ999&gt;0,AF999/AQ999,1),IFERROR(INDEX(Types!$K:$K,MATCH($A999&amp;"|"&amp;$D999,Types!$A:$A,0)),INDEX(Dashboard!$X$6:$X$22,MATCH($A999,Dashboard!$A$6:$A$22,0))))</f>
        <v/>
      </c>
      <c r="AT999" s="43">
        <f>AQ999*INDEX(Dashboard!$Y$6:$Y$22,MATCH($A999,Dashboard!$A$6:$A$22,0))</f>
        <v/>
      </c>
      <c r="AU999" s="53">
        <f>IF(AND(AG999=1,AT999&gt;0,AF999&gt;0),100*AF999/AT999,"")</f>
        <v/>
      </c>
      <c r="AV999" s="44">
        <f>IF(AU999="","",T999/(AU999/100))</f>
        <v/>
      </c>
      <c r="AW999" s="53">
        <f>IF(AU999="","",IF(AND(ABS(AH999)&gt;=0.1,ABS(T999)&gt;=0.05,SIGN(AH999)=SIGN(T999)),100*T999/AH999,""))</f>
        <v/>
      </c>
      <c r="AX999" s="45">
        <f>IF(AU999="","",T999-AV999)</f>
        <v/>
      </c>
      <c r="AY999" s="45">
        <f>IF(AU999="","",AH999-AV999)</f>
        <v/>
      </c>
      <c r="AZ999" s="54">
        <f>(AL999-AM999)-T999*AT999</f>
        <v/>
      </c>
      <c r="BA999" s="43">
        <f>IF(AU999="",0,(AH999-T999)*AF999)</f>
        <v/>
      </c>
      <c r="BB999" s="43">
        <f>IF(AU999="",0,T999*(AF999-AT999))</f>
        <v/>
      </c>
      <c r="BC999" s="51" t="n">
        <v>0.2795106245975531</v>
      </c>
      <c r="BD999" s="51" t="n">
        <v>0.09473277527366387</v>
      </c>
      <c r="BE999" s="51" t="n">
        <v>0.2348016436883137</v>
      </c>
      <c r="BF999" s="43" t="n">
        <v>38825</v>
      </c>
    </row>
    <row r="1000">
      <c r="A1000" s="42" t="inlineStr">
        <is>
          <t>SC</t>
        </is>
      </c>
      <c r="B1000" s="42" t="inlineStr">
        <is>
          <t>45073</t>
        </is>
      </c>
      <c r="C1000" s="42" t="inlineStr">
        <is>
          <t>Oconee</t>
        </is>
      </c>
      <c r="D1000" s="42" t="inlineStr">
        <is>
          <t>Small town &amp; rural</t>
        </is>
      </c>
      <c r="E1000" s="42" t="inlineStr"/>
      <c r="F1000" s="43" t="n">
        <v>9987</v>
      </c>
      <c r="G1000" s="43" t="n">
        <v>31772</v>
      </c>
      <c r="H1000" s="43" t="n">
        <v>42264</v>
      </c>
      <c r="I1000" s="43" t="n">
        <v>10414</v>
      </c>
      <c r="J1000" s="43" t="n">
        <v>29698</v>
      </c>
      <c r="K1000" s="42" t="inlineStr">
        <is>
          <t>US Senate</t>
        </is>
      </c>
      <c r="L1000" s="43" t="n">
        <v>5975</v>
      </c>
      <c r="M1000" s="43" t="n">
        <v>22923</v>
      </c>
      <c r="N1000" s="43" t="n">
        <v>28919</v>
      </c>
      <c r="O1000" s="44">
        <f>IFERROR((F1000-G1000)/(F1000+G1000),"")</f>
        <v/>
      </c>
      <c r="P1000" s="44">
        <f>IFERROR((I1000-J1000)/(I1000+J1000),"")</f>
        <v/>
      </c>
      <c r="Q1000" s="45">
        <f>IFERROR(O1000-P1000,"")</f>
        <v/>
      </c>
      <c r="R1000" s="44">
        <f>IFERROR((L1000-M1000)/(L1000+M1000),"")</f>
        <v/>
      </c>
      <c r="S1000" s="46">
        <f>H1000/SUMIFS(Counties!$H$2:$H$1583,Counties!$A$2:$A$1583,$A1000)</f>
        <v/>
      </c>
      <c r="T1000" s="44">
        <f>O1000+INDEX(Dashboard!$F$6:$F$22,MATCH($A1000,Dashboard!$A$6:$A$22,0))</f>
        <v/>
      </c>
      <c r="U1000" s="43">
        <f>AQ1000*INDEX(Dashboard!$G$6:$G$22,MATCH($A1000,Dashboard!$A$6:$A$22,0))</f>
        <v/>
      </c>
      <c r="V1000" s="47" t="n"/>
      <c r="W1000" s="47" t="n"/>
      <c r="X1000" s="47" t="n"/>
      <c r="Y1000" s="48" t="n"/>
      <c r="Z1000" s="49" t="n"/>
      <c r="AA1000" s="49" t="n"/>
      <c r="AB1000" s="49" t="n"/>
      <c r="AC1000" s="50" t="n"/>
      <c r="AD1000" s="43">
        <f>IF(Z1000&lt;&gt;"",Z1000,N(V1000))</f>
        <v/>
      </c>
      <c r="AE1000" s="43">
        <f>IF(AA1000&lt;&gt;"",AA1000,N(W1000))</f>
        <v/>
      </c>
      <c r="AF1000" s="43">
        <f>AD1000+AE1000</f>
        <v/>
      </c>
      <c r="AG1000" s="42">
        <f>IF(UPPER(AC1000)="Y",1,IF(AF1000=0,0,IF(AND(Z1000="",Y1000&lt;&gt;""),IF(Y1000&gt;=0.999,1,0),IF(AF1000&gt;=U1000,1,0))))</f>
        <v/>
      </c>
      <c r="AH1000" s="44">
        <f>IF(AF1000&gt;0,(AD1000-AE1000)/AF1000,"")</f>
        <v/>
      </c>
      <c r="AI1000" s="45">
        <f>IF(AG1000=1,AH1000-O1000,"")</f>
        <v/>
      </c>
      <c r="AJ1000" s="44">
        <f>IF(AG1000=1,AH1000,MAX(-1,MIN(1,O1000+INDEX(Types!$H:$H,MATCH($A1000&amp;"|"&amp;$D1000,Types!$A:$A,0)))))</f>
        <v/>
      </c>
      <c r="AK1000" s="43">
        <f>IF(AG1000=1,AF1000,MAX(AQ1000*AS1000,AF1000))</f>
        <v/>
      </c>
      <c r="AL1000" s="43">
        <f>IF(AG1000=1,AD1000,AK1000*(1+AJ1000)/2)</f>
        <v/>
      </c>
      <c r="AM1000" s="43">
        <f>IF(AG1000=1,AE1000,AK1000*(1-AJ1000)/2)</f>
        <v/>
      </c>
      <c r="AN1000" s="45">
        <f>IF(AH1000="","",AH1000-T1000)</f>
        <v/>
      </c>
      <c r="AO1000" s="51">
        <f>IF(AG1000=1,1,IF(U1000&gt;0,MIN(AF1000/U1000,0.99),0))</f>
        <v/>
      </c>
      <c r="AP1000" s="43">
        <f>IF(AG1000=1,AI1000*AF1000,0)</f>
        <v/>
      </c>
      <c r="AQ1000" s="43">
        <f>N1000*(F1000+G1000)/H1000</f>
        <v/>
      </c>
      <c r="AR1000" s="43">
        <f>O1000*AQ1000</f>
        <v/>
      </c>
      <c r="AS1000" s="52">
        <f>IF(AG1000=1,IF(AQ1000&gt;0,AF1000/AQ1000,1),IFERROR(INDEX(Types!$K:$K,MATCH($A1000&amp;"|"&amp;$D1000,Types!$A:$A,0)),INDEX(Dashboard!$X$6:$X$22,MATCH($A1000,Dashboard!$A$6:$A$22,0))))</f>
        <v/>
      </c>
      <c r="AT1000" s="43">
        <f>AQ1000*INDEX(Dashboard!$Y$6:$Y$22,MATCH($A1000,Dashboard!$A$6:$A$22,0))</f>
        <v/>
      </c>
      <c r="AU1000" s="53">
        <f>IF(AND(AG1000=1,AT1000&gt;0,AF1000&gt;0),100*AF1000/AT1000,"")</f>
        <v/>
      </c>
      <c r="AV1000" s="44">
        <f>IF(AU1000="","",T1000/(AU1000/100))</f>
        <v/>
      </c>
      <c r="AW1000" s="53">
        <f>IF(AU1000="","",IF(AND(ABS(AH1000)&gt;=0.1,ABS(T1000)&gt;=0.05,SIGN(AH1000)=SIGN(T1000)),100*T1000/AH1000,""))</f>
        <v/>
      </c>
      <c r="AX1000" s="45">
        <f>IF(AU1000="","",T1000-AV1000)</f>
        <v/>
      </c>
      <c r="AY1000" s="45">
        <f>IF(AU1000="","",AH1000-AV1000)</f>
        <v/>
      </c>
      <c r="AZ1000" s="54">
        <f>(AL1000-AM1000)-T1000*AT1000</f>
        <v/>
      </c>
      <c r="BA1000" s="43">
        <f>IF(AU1000="",0,(AH1000-T1000)*AF1000)</f>
        <v/>
      </c>
      <c r="BB1000" s="43">
        <f>IF(AU1000="",0,T1000*(AF1000-AT1000))</f>
        <v/>
      </c>
      <c r="BC1000" s="51" t="n">
        <v>0.07030201548860517</v>
      </c>
      <c r="BD1000" s="51" t="n">
        <v>0.06270545794806762</v>
      </c>
      <c r="BE1000" s="51" t="n">
        <v>0.2851701935065157</v>
      </c>
      <c r="BF1000" s="43" t="n">
        <v>81221</v>
      </c>
    </row>
    <row r="1001">
      <c r="A1001" s="42" t="inlineStr">
        <is>
          <t>SC</t>
        </is>
      </c>
      <c r="B1001" s="42" t="inlineStr">
        <is>
          <t>45075</t>
        </is>
      </c>
      <c r="C1001" s="42" t="inlineStr">
        <is>
          <t>Orangeburg</t>
        </is>
      </c>
      <c r="D1001" s="42" t="inlineStr">
        <is>
          <t>Black Belt</t>
        </is>
      </c>
      <c r="E1001" s="42" t="inlineStr"/>
      <c r="F1001" s="43" t="n">
        <v>22832</v>
      </c>
      <c r="G1001" s="43" t="n">
        <v>13750</v>
      </c>
      <c r="H1001" s="43" t="n">
        <v>36970</v>
      </c>
      <c r="I1001" s="43" t="n">
        <v>27295</v>
      </c>
      <c r="J1001" s="43" t="n">
        <v>13603</v>
      </c>
      <c r="K1001" s="42" t="inlineStr">
        <is>
          <t>US Senate</t>
        </is>
      </c>
      <c r="L1001" s="43" t="n">
        <v>16096</v>
      </c>
      <c r="M1001" s="43" t="n">
        <v>10024</v>
      </c>
      <c r="N1001" s="43" t="n">
        <v>26136</v>
      </c>
      <c r="O1001" s="44">
        <f>IFERROR((F1001-G1001)/(F1001+G1001),"")</f>
        <v/>
      </c>
      <c r="P1001" s="44">
        <f>IFERROR((I1001-J1001)/(I1001+J1001),"")</f>
        <v/>
      </c>
      <c r="Q1001" s="45">
        <f>IFERROR(O1001-P1001,"")</f>
        <v/>
      </c>
      <c r="R1001" s="44">
        <f>IFERROR((L1001-M1001)/(L1001+M1001),"")</f>
        <v/>
      </c>
      <c r="S1001" s="46">
        <f>H1001/SUMIFS(Counties!$H$2:$H$1583,Counties!$A$2:$A$1583,$A1001)</f>
        <v/>
      </c>
      <c r="T1001" s="44">
        <f>O1001+INDEX(Dashboard!$F$6:$F$22,MATCH($A1001,Dashboard!$A$6:$A$22,0))</f>
        <v/>
      </c>
      <c r="U1001" s="43">
        <f>AQ1001*INDEX(Dashboard!$G$6:$G$22,MATCH($A1001,Dashboard!$A$6:$A$22,0))</f>
        <v/>
      </c>
      <c r="V1001" s="47" t="n"/>
      <c r="W1001" s="47" t="n"/>
      <c r="X1001" s="47" t="n"/>
      <c r="Y1001" s="48" t="n"/>
      <c r="Z1001" s="49" t="n"/>
      <c r="AA1001" s="49" t="n"/>
      <c r="AB1001" s="49" t="n"/>
      <c r="AC1001" s="50" t="n"/>
      <c r="AD1001" s="43">
        <f>IF(Z1001&lt;&gt;"",Z1001,N(V1001))</f>
        <v/>
      </c>
      <c r="AE1001" s="43">
        <f>IF(AA1001&lt;&gt;"",AA1001,N(W1001))</f>
        <v/>
      </c>
      <c r="AF1001" s="43">
        <f>AD1001+AE1001</f>
        <v/>
      </c>
      <c r="AG1001" s="42">
        <f>IF(UPPER(AC1001)="Y",1,IF(AF1001=0,0,IF(AND(Z1001="",Y1001&lt;&gt;""),IF(Y1001&gt;=0.999,1,0),IF(AF1001&gt;=U1001,1,0))))</f>
        <v/>
      </c>
      <c r="AH1001" s="44">
        <f>IF(AF1001&gt;0,(AD1001-AE1001)/AF1001,"")</f>
        <v/>
      </c>
      <c r="AI1001" s="45">
        <f>IF(AG1001=1,AH1001-O1001,"")</f>
        <v/>
      </c>
      <c r="AJ1001" s="44">
        <f>IF(AG1001=1,AH1001,MAX(-1,MIN(1,O1001+INDEX(Types!$H:$H,MATCH($A1001&amp;"|"&amp;$D1001,Types!$A:$A,0)))))</f>
        <v/>
      </c>
      <c r="AK1001" s="43">
        <f>IF(AG1001=1,AF1001,MAX(AQ1001*AS1001,AF1001))</f>
        <v/>
      </c>
      <c r="AL1001" s="43">
        <f>IF(AG1001=1,AD1001,AK1001*(1+AJ1001)/2)</f>
        <v/>
      </c>
      <c r="AM1001" s="43">
        <f>IF(AG1001=1,AE1001,AK1001*(1-AJ1001)/2)</f>
        <v/>
      </c>
      <c r="AN1001" s="45">
        <f>IF(AH1001="","",AH1001-T1001)</f>
        <v/>
      </c>
      <c r="AO1001" s="51">
        <f>IF(AG1001=1,1,IF(U1001&gt;0,MIN(AF1001/U1001,0.99),0))</f>
        <v/>
      </c>
      <c r="AP1001" s="43">
        <f>IF(AG1001=1,AI1001*AF1001,0)</f>
        <v/>
      </c>
      <c r="AQ1001" s="43">
        <f>N1001*(F1001+G1001)/H1001</f>
        <v/>
      </c>
      <c r="AR1001" s="43">
        <f>O1001*AQ1001</f>
        <v/>
      </c>
      <c r="AS1001" s="52">
        <f>IF(AG1001=1,IF(AQ1001&gt;0,AF1001/AQ1001,1),IFERROR(INDEX(Types!$K:$K,MATCH($A1001&amp;"|"&amp;$D1001,Types!$A:$A,0)),INDEX(Dashboard!$X$6:$X$22,MATCH($A1001,Dashboard!$A$6:$A$22,0))))</f>
        <v/>
      </c>
      <c r="AT1001" s="43">
        <f>AQ1001*INDEX(Dashboard!$Y$6:$Y$22,MATCH($A1001,Dashboard!$A$6:$A$22,0))</f>
        <v/>
      </c>
      <c r="AU1001" s="53">
        <f>IF(AND(AG1001=1,AT1001&gt;0,AF1001&gt;0),100*AF1001/AT1001,"")</f>
        <v/>
      </c>
      <c r="AV1001" s="44">
        <f>IF(AU1001="","",T1001/(AU1001/100))</f>
        <v/>
      </c>
      <c r="AW1001" s="53">
        <f>IF(AU1001="","",IF(AND(ABS(AH1001)&gt;=0.1,ABS(T1001)&gt;=0.05,SIGN(AH1001)=SIGN(T1001)),100*T1001/AH1001,""))</f>
        <v/>
      </c>
      <c r="AX1001" s="45">
        <f>IF(AU1001="","",T1001-AV1001)</f>
        <v/>
      </c>
      <c r="AY1001" s="45">
        <f>IF(AU1001="","",AH1001-AV1001)</f>
        <v/>
      </c>
      <c r="AZ1001" s="54">
        <f>(AL1001-AM1001)-T1001*AT1001</f>
        <v/>
      </c>
      <c r="BA1001" s="43">
        <f>IF(AU1001="",0,(AH1001-T1001)*AF1001)</f>
        <v/>
      </c>
      <c r="BB1001" s="43">
        <f>IF(AU1001="",0,T1001*(AF1001-AT1001))</f>
        <v/>
      </c>
      <c r="BC1001" s="51" t="n">
        <v>0.6058439990340497</v>
      </c>
      <c r="BD1001" s="51" t="n">
        <v>0.02794011108427916</v>
      </c>
      <c r="BE1001" s="51" t="n">
        <v>0.1936203356227431</v>
      </c>
      <c r="BF1001" s="43" t="n">
        <v>82820</v>
      </c>
    </row>
    <row r="1002">
      <c r="A1002" s="42" t="inlineStr">
        <is>
          <t>SC</t>
        </is>
      </c>
      <c r="B1002" s="42" t="inlineStr">
        <is>
          <t>45077</t>
        </is>
      </c>
      <c r="C1002" s="42" t="inlineStr">
        <is>
          <t>Pickens</t>
        </is>
      </c>
      <c r="D1002" s="42" t="inlineStr">
        <is>
          <t>Mid-size/working metro</t>
        </is>
      </c>
      <c r="E1002" s="42" t="inlineStr"/>
      <c r="F1002" s="43" t="n">
        <v>13891</v>
      </c>
      <c r="G1002" s="43" t="n">
        <v>45728</v>
      </c>
      <c r="H1002" s="43" t="n">
        <v>60451</v>
      </c>
      <c r="I1002" s="43" t="n">
        <v>13645</v>
      </c>
      <c r="J1002" s="43" t="n">
        <v>42907</v>
      </c>
      <c r="K1002" s="42" t="inlineStr">
        <is>
          <t>US Senate</t>
        </is>
      </c>
      <c r="L1002" s="43" t="n">
        <v>8012</v>
      </c>
      <c r="M1002" s="43" t="n">
        <v>32028</v>
      </c>
      <c r="N1002" s="43" t="n">
        <v>40083</v>
      </c>
      <c r="O1002" s="44">
        <f>IFERROR((F1002-G1002)/(F1002+G1002),"")</f>
        <v/>
      </c>
      <c r="P1002" s="44">
        <f>IFERROR((I1002-J1002)/(I1002+J1002),"")</f>
        <v/>
      </c>
      <c r="Q1002" s="45">
        <f>IFERROR(O1002-P1002,"")</f>
        <v/>
      </c>
      <c r="R1002" s="44">
        <f>IFERROR((L1002-M1002)/(L1002+M1002),"")</f>
        <v/>
      </c>
      <c r="S1002" s="46">
        <f>H1002/SUMIFS(Counties!$H$2:$H$1583,Counties!$A$2:$A$1583,$A1002)</f>
        <v/>
      </c>
      <c r="T1002" s="44">
        <f>O1002+INDEX(Dashboard!$F$6:$F$22,MATCH($A1002,Dashboard!$A$6:$A$22,0))</f>
        <v/>
      </c>
      <c r="U1002" s="43">
        <f>AQ1002*INDEX(Dashboard!$G$6:$G$22,MATCH($A1002,Dashboard!$A$6:$A$22,0))</f>
        <v/>
      </c>
      <c r="V1002" s="47" t="n"/>
      <c r="W1002" s="47" t="n"/>
      <c r="X1002" s="47" t="n"/>
      <c r="Y1002" s="48" t="n"/>
      <c r="Z1002" s="49" t="n"/>
      <c r="AA1002" s="49" t="n"/>
      <c r="AB1002" s="49" t="n"/>
      <c r="AC1002" s="50" t="n"/>
      <c r="AD1002" s="43">
        <f>IF(Z1002&lt;&gt;"",Z1002,N(V1002))</f>
        <v/>
      </c>
      <c r="AE1002" s="43">
        <f>IF(AA1002&lt;&gt;"",AA1002,N(W1002))</f>
        <v/>
      </c>
      <c r="AF1002" s="43">
        <f>AD1002+AE1002</f>
        <v/>
      </c>
      <c r="AG1002" s="42">
        <f>IF(UPPER(AC1002)="Y",1,IF(AF1002=0,0,IF(AND(Z1002="",Y1002&lt;&gt;""),IF(Y1002&gt;=0.999,1,0),IF(AF1002&gt;=U1002,1,0))))</f>
        <v/>
      </c>
      <c r="AH1002" s="44">
        <f>IF(AF1002&gt;0,(AD1002-AE1002)/AF1002,"")</f>
        <v/>
      </c>
      <c r="AI1002" s="45">
        <f>IF(AG1002=1,AH1002-O1002,"")</f>
        <v/>
      </c>
      <c r="AJ1002" s="44">
        <f>IF(AG1002=1,AH1002,MAX(-1,MIN(1,O1002+INDEX(Types!$H:$H,MATCH($A1002&amp;"|"&amp;$D1002,Types!$A:$A,0)))))</f>
        <v/>
      </c>
      <c r="AK1002" s="43">
        <f>IF(AG1002=1,AF1002,MAX(AQ1002*AS1002,AF1002))</f>
        <v/>
      </c>
      <c r="AL1002" s="43">
        <f>IF(AG1002=1,AD1002,AK1002*(1+AJ1002)/2)</f>
        <v/>
      </c>
      <c r="AM1002" s="43">
        <f>IF(AG1002=1,AE1002,AK1002*(1-AJ1002)/2)</f>
        <v/>
      </c>
      <c r="AN1002" s="45">
        <f>IF(AH1002="","",AH1002-T1002)</f>
        <v/>
      </c>
      <c r="AO1002" s="51">
        <f>IF(AG1002=1,1,IF(U1002&gt;0,MIN(AF1002/U1002,0.99),0))</f>
        <v/>
      </c>
      <c r="AP1002" s="43">
        <f>IF(AG1002=1,AI1002*AF1002,0)</f>
        <v/>
      </c>
      <c r="AQ1002" s="43">
        <f>N1002*(F1002+G1002)/H1002</f>
        <v/>
      </c>
      <c r="AR1002" s="43">
        <f>O1002*AQ1002</f>
        <v/>
      </c>
      <c r="AS1002" s="52">
        <f>IF(AG1002=1,IF(AQ1002&gt;0,AF1002/AQ1002,1),IFERROR(INDEX(Types!$K:$K,MATCH($A1002&amp;"|"&amp;$D1002,Types!$A:$A,0)),INDEX(Dashboard!$X$6:$X$22,MATCH($A1002,Dashboard!$A$6:$A$22,0))))</f>
        <v/>
      </c>
      <c r="AT1002" s="43">
        <f>AQ1002*INDEX(Dashboard!$Y$6:$Y$22,MATCH($A1002,Dashboard!$A$6:$A$22,0))</f>
        <v/>
      </c>
      <c r="AU1002" s="53">
        <f>IF(AND(AG1002=1,AT1002&gt;0,AF1002&gt;0),100*AF1002/AT1002,"")</f>
        <v/>
      </c>
      <c r="AV1002" s="44">
        <f>IF(AU1002="","",T1002/(AU1002/100))</f>
        <v/>
      </c>
      <c r="AW1002" s="53">
        <f>IF(AU1002="","",IF(AND(ABS(AH1002)&gt;=0.1,ABS(T1002)&gt;=0.05,SIGN(AH1002)=SIGN(T1002)),100*T1002/AH1002,""))</f>
        <v/>
      </c>
      <c r="AX1002" s="45">
        <f>IF(AU1002="","",T1002-AV1002)</f>
        <v/>
      </c>
      <c r="AY1002" s="45">
        <f>IF(AU1002="","",AH1002-AV1002)</f>
        <v/>
      </c>
      <c r="AZ1002" s="54">
        <f>(AL1002-AM1002)-T1002*AT1002</f>
        <v/>
      </c>
      <c r="BA1002" s="43">
        <f>IF(AU1002="",0,(AH1002-T1002)*AF1002)</f>
        <v/>
      </c>
      <c r="BB1002" s="43">
        <f>IF(AU1002="",0,T1002*(AF1002-AT1002))</f>
        <v/>
      </c>
      <c r="BC1002" s="51" t="n">
        <v>0.06817225727886637</v>
      </c>
      <c r="BD1002" s="51" t="n">
        <v>0.05493191630687479</v>
      </c>
      <c r="BE1002" s="51" t="n">
        <v>0.2731395514926439</v>
      </c>
      <c r="BF1002" s="43" t="n">
        <v>135495</v>
      </c>
    </row>
    <row r="1003">
      <c r="A1003" s="42" t="inlineStr">
        <is>
          <t>SC</t>
        </is>
      </c>
      <c r="B1003" s="42" t="inlineStr">
        <is>
          <t>45079</t>
        </is>
      </c>
      <c r="C1003" s="42" t="inlineStr">
        <is>
          <t>Richland</t>
        </is>
      </c>
      <c r="D1003" s="42" t="inlineStr">
        <is>
          <t>Black Belt</t>
        </is>
      </c>
      <c r="E1003" s="42" t="inlineStr">
        <is>
          <t>★</t>
        </is>
      </c>
      <c r="F1003" s="43" t="n">
        <v>121110</v>
      </c>
      <c r="G1003" s="43" t="n">
        <v>58019</v>
      </c>
      <c r="H1003" s="43" t="n">
        <v>182411</v>
      </c>
      <c r="I1003" s="43" t="n">
        <v>132570</v>
      </c>
      <c r="J1003" s="43" t="n">
        <v>58313</v>
      </c>
      <c r="K1003" s="42" t="inlineStr">
        <is>
          <t>US Senate</t>
        </is>
      </c>
      <c r="L1003" s="43" t="n">
        <v>79130</v>
      </c>
      <c r="M1003" s="43" t="n">
        <v>46989</v>
      </c>
      <c r="N1003" s="43" t="n">
        <v>126355</v>
      </c>
      <c r="O1003" s="44">
        <f>IFERROR((F1003-G1003)/(F1003+G1003),"")</f>
        <v/>
      </c>
      <c r="P1003" s="44">
        <f>IFERROR((I1003-J1003)/(I1003+J1003),"")</f>
        <v/>
      </c>
      <c r="Q1003" s="45">
        <f>IFERROR(O1003-P1003,"")</f>
        <v/>
      </c>
      <c r="R1003" s="44">
        <f>IFERROR((L1003-M1003)/(L1003+M1003),"")</f>
        <v/>
      </c>
      <c r="S1003" s="46">
        <f>H1003/SUMIFS(Counties!$H$2:$H$1583,Counties!$A$2:$A$1583,$A1003)</f>
        <v/>
      </c>
      <c r="T1003" s="44">
        <f>O1003+INDEX(Dashboard!$F$6:$F$22,MATCH($A1003,Dashboard!$A$6:$A$22,0))</f>
        <v/>
      </c>
      <c r="U1003" s="43">
        <f>AQ1003*INDEX(Dashboard!$G$6:$G$22,MATCH($A1003,Dashboard!$A$6:$A$22,0))</f>
        <v/>
      </c>
      <c r="V1003" s="47" t="n"/>
      <c r="W1003" s="47" t="n"/>
      <c r="X1003" s="47" t="n"/>
      <c r="Y1003" s="48" t="n"/>
      <c r="Z1003" s="49" t="n"/>
      <c r="AA1003" s="49" t="n"/>
      <c r="AB1003" s="49" t="n"/>
      <c r="AC1003" s="50" t="n"/>
      <c r="AD1003" s="43">
        <f>IF(Z1003&lt;&gt;"",Z1003,N(V1003))</f>
        <v/>
      </c>
      <c r="AE1003" s="43">
        <f>IF(AA1003&lt;&gt;"",AA1003,N(W1003))</f>
        <v/>
      </c>
      <c r="AF1003" s="43">
        <f>AD1003+AE1003</f>
        <v/>
      </c>
      <c r="AG1003" s="42">
        <f>IF(UPPER(AC1003)="Y",1,IF(AF1003=0,0,IF(AND(Z1003="",Y1003&lt;&gt;""),IF(Y1003&gt;=0.999,1,0),IF(AF1003&gt;=U1003,1,0))))</f>
        <v/>
      </c>
      <c r="AH1003" s="44">
        <f>IF(AF1003&gt;0,(AD1003-AE1003)/AF1003,"")</f>
        <v/>
      </c>
      <c r="AI1003" s="45">
        <f>IF(AG1003=1,AH1003-O1003,"")</f>
        <v/>
      </c>
      <c r="AJ1003" s="44">
        <f>IF(AG1003=1,AH1003,MAX(-1,MIN(1,O1003+INDEX(Types!$H:$H,MATCH($A1003&amp;"|"&amp;$D1003,Types!$A:$A,0)))))</f>
        <v/>
      </c>
      <c r="AK1003" s="43">
        <f>IF(AG1003=1,AF1003,MAX(AQ1003*AS1003,AF1003))</f>
        <v/>
      </c>
      <c r="AL1003" s="43">
        <f>IF(AG1003=1,AD1003,AK1003*(1+AJ1003)/2)</f>
        <v/>
      </c>
      <c r="AM1003" s="43">
        <f>IF(AG1003=1,AE1003,AK1003*(1-AJ1003)/2)</f>
        <v/>
      </c>
      <c r="AN1003" s="45">
        <f>IF(AH1003="","",AH1003-T1003)</f>
        <v/>
      </c>
      <c r="AO1003" s="51">
        <f>IF(AG1003=1,1,IF(U1003&gt;0,MIN(AF1003/U1003,0.99),0))</f>
        <v/>
      </c>
      <c r="AP1003" s="43">
        <f>IF(AG1003=1,AI1003*AF1003,0)</f>
        <v/>
      </c>
      <c r="AQ1003" s="43">
        <f>N1003*(F1003+G1003)/H1003</f>
        <v/>
      </c>
      <c r="AR1003" s="43">
        <f>O1003*AQ1003</f>
        <v/>
      </c>
      <c r="AS1003" s="52">
        <f>IF(AG1003=1,IF(AQ1003&gt;0,AF1003/AQ1003,1),IFERROR(INDEX(Types!$K:$K,MATCH($A1003&amp;"|"&amp;$D1003,Types!$A:$A,0)),INDEX(Dashboard!$X$6:$X$22,MATCH($A1003,Dashboard!$A$6:$A$22,0))))</f>
        <v/>
      </c>
      <c r="AT1003" s="43">
        <f>AQ1003*INDEX(Dashboard!$Y$6:$Y$22,MATCH($A1003,Dashboard!$A$6:$A$22,0))</f>
        <v/>
      </c>
      <c r="AU1003" s="53">
        <f>IF(AND(AG1003=1,AT1003&gt;0,AF1003&gt;0),100*AF1003/AT1003,"")</f>
        <v/>
      </c>
      <c r="AV1003" s="44">
        <f>IF(AU1003="","",T1003/(AU1003/100))</f>
        <v/>
      </c>
      <c r="AW1003" s="53">
        <f>IF(AU1003="","",IF(AND(ABS(AH1003)&gt;=0.1,ABS(T1003)&gt;=0.05,SIGN(AH1003)=SIGN(T1003)),100*T1003/AH1003,""))</f>
        <v/>
      </c>
      <c r="AX1003" s="45">
        <f>IF(AU1003="","",T1003-AV1003)</f>
        <v/>
      </c>
      <c r="AY1003" s="45">
        <f>IF(AU1003="","",AH1003-AV1003)</f>
        <v/>
      </c>
      <c r="AZ1003" s="54">
        <f>(AL1003-AM1003)-T1003*AT1003</f>
        <v/>
      </c>
      <c r="BA1003" s="43">
        <f>IF(AU1003="",0,(AH1003-T1003)*AF1003)</f>
        <v/>
      </c>
      <c r="BB1003" s="43">
        <f>IF(AU1003="",0,T1003*(AF1003-AT1003))</f>
        <v/>
      </c>
      <c r="BC1003" s="51" t="n">
        <v>0.482024660227973</v>
      </c>
      <c r="BD1003" s="51" t="n">
        <v>0.06461901782480042</v>
      </c>
      <c r="BE1003" s="51" t="n">
        <v>0.4111678563101246</v>
      </c>
      <c r="BF1003" s="43" t="n">
        <v>425138</v>
      </c>
    </row>
    <row r="1004">
      <c r="A1004" s="42" t="inlineStr">
        <is>
          <t>SC</t>
        </is>
      </c>
      <c r="B1004" s="42" t="inlineStr">
        <is>
          <t>45081</t>
        </is>
      </c>
      <c r="C1004" s="42" t="inlineStr">
        <is>
          <t>Saluda</t>
        </is>
      </c>
      <c r="D1004" s="42" t="inlineStr">
        <is>
          <t>Small town &amp; rural</t>
        </is>
      </c>
      <c r="E1004" s="42" t="inlineStr"/>
      <c r="F1004" s="43" t="n">
        <v>2454</v>
      </c>
      <c r="G1004" s="43" t="n">
        <v>6452</v>
      </c>
      <c r="H1004" s="43" t="n">
        <v>9014</v>
      </c>
      <c r="I1004" s="43" t="n">
        <v>2963</v>
      </c>
      <c r="J1004" s="43" t="n">
        <v>6210</v>
      </c>
      <c r="K1004" s="42" t="inlineStr">
        <is>
          <t>US Senate</t>
        </is>
      </c>
      <c r="L1004" s="43" t="n">
        <v>1605</v>
      </c>
      <c r="M1004" s="43" t="n">
        <v>4938</v>
      </c>
      <c r="N1004" s="43" t="n">
        <v>6545</v>
      </c>
      <c r="O1004" s="44">
        <f>IFERROR((F1004-G1004)/(F1004+G1004),"")</f>
        <v/>
      </c>
      <c r="P1004" s="44">
        <f>IFERROR((I1004-J1004)/(I1004+J1004),"")</f>
        <v/>
      </c>
      <c r="Q1004" s="45">
        <f>IFERROR(O1004-P1004,"")</f>
        <v/>
      </c>
      <c r="R1004" s="44">
        <f>IFERROR((L1004-M1004)/(L1004+M1004),"")</f>
        <v/>
      </c>
      <c r="S1004" s="46">
        <f>H1004/SUMIFS(Counties!$H$2:$H$1583,Counties!$A$2:$A$1583,$A1004)</f>
        <v/>
      </c>
      <c r="T1004" s="44">
        <f>O1004+INDEX(Dashboard!$F$6:$F$22,MATCH($A1004,Dashboard!$A$6:$A$22,0))</f>
        <v/>
      </c>
      <c r="U1004" s="43">
        <f>AQ1004*INDEX(Dashboard!$G$6:$G$22,MATCH($A1004,Dashboard!$A$6:$A$22,0))</f>
        <v/>
      </c>
      <c r="V1004" s="47" t="n"/>
      <c r="W1004" s="47" t="n"/>
      <c r="X1004" s="47" t="n"/>
      <c r="Y1004" s="48" t="n"/>
      <c r="Z1004" s="49" t="n"/>
      <c r="AA1004" s="49" t="n"/>
      <c r="AB1004" s="49" t="n"/>
      <c r="AC1004" s="50" t="n"/>
      <c r="AD1004" s="43">
        <f>IF(Z1004&lt;&gt;"",Z1004,N(V1004))</f>
        <v/>
      </c>
      <c r="AE1004" s="43">
        <f>IF(AA1004&lt;&gt;"",AA1004,N(W1004))</f>
        <v/>
      </c>
      <c r="AF1004" s="43">
        <f>AD1004+AE1004</f>
        <v/>
      </c>
      <c r="AG1004" s="42">
        <f>IF(UPPER(AC1004)="Y",1,IF(AF1004=0,0,IF(AND(Z1004="",Y1004&lt;&gt;""),IF(Y1004&gt;=0.999,1,0),IF(AF1004&gt;=U1004,1,0))))</f>
        <v/>
      </c>
      <c r="AH1004" s="44">
        <f>IF(AF1004&gt;0,(AD1004-AE1004)/AF1004,"")</f>
        <v/>
      </c>
      <c r="AI1004" s="45">
        <f>IF(AG1004=1,AH1004-O1004,"")</f>
        <v/>
      </c>
      <c r="AJ1004" s="44">
        <f>IF(AG1004=1,AH1004,MAX(-1,MIN(1,O1004+INDEX(Types!$H:$H,MATCH($A1004&amp;"|"&amp;$D1004,Types!$A:$A,0)))))</f>
        <v/>
      </c>
      <c r="AK1004" s="43">
        <f>IF(AG1004=1,AF1004,MAX(AQ1004*AS1004,AF1004))</f>
        <v/>
      </c>
      <c r="AL1004" s="43">
        <f>IF(AG1004=1,AD1004,AK1004*(1+AJ1004)/2)</f>
        <v/>
      </c>
      <c r="AM1004" s="43">
        <f>IF(AG1004=1,AE1004,AK1004*(1-AJ1004)/2)</f>
        <v/>
      </c>
      <c r="AN1004" s="45">
        <f>IF(AH1004="","",AH1004-T1004)</f>
        <v/>
      </c>
      <c r="AO1004" s="51">
        <f>IF(AG1004=1,1,IF(U1004&gt;0,MIN(AF1004/U1004,0.99),0))</f>
        <v/>
      </c>
      <c r="AP1004" s="43">
        <f>IF(AG1004=1,AI1004*AF1004,0)</f>
        <v/>
      </c>
      <c r="AQ1004" s="43">
        <f>N1004*(F1004+G1004)/H1004</f>
        <v/>
      </c>
      <c r="AR1004" s="43">
        <f>O1004*AQ1004</f>
        <v/>
      </c>
      <c r="AS1004" s="52">
        <f>IF(AG1004=1,IF(AQ1004&gt;0,AF1004/AQ1004,1),IFERROR(INDEX(Types!$K:$K,MATCH($A1004&amp;"|"&amp;$D1004,Types!$A:$A,0)),INDEX(Dashboard!$X$6:$X$22,MATCH($A1004,Dashboard!$A$6:$A$22,0))))</f>
        <v/>
      </c>
      <c r="AT1004" s="43">
        <f>AQ1004*INDEX(Dashboard!$Y$6:$Y$22,MATCH($A1004,Dashboard!$A$6:$A$22,0))</f>
        <v/>
      </c>
      <c r="AU1004" s="53">
        <f>IF(AND(AG1004=1,AT1004&gt;0,AF1004&gt;0),100*AF1004/AT1004,"")</f>
        <v/>
      </c>
      <c r="AV1004" s="44">
        <f>IF(AU1004="","",T1004/(AU1004/100))</f>
        <v/>
      </c>
      <c r="AW1004" s="53">
        <f>IF(AU1004="","",IF(AND(ABS(AH1004)&gt;=0.1,ABS(T1004)&gt;=0.05,SIGN(AH1004)=SIGN(T1004)),100*T1004/AH1004,""))</f>
        <v/>
      </c>
      <c r="AX1004" s="45">
        <f>IF(AU1004="","",T1004-AV1004)</f>
        <v/>
      </c>
      <c r="AY1004" s="45">
        <f>IF(AU1004="","",AH1004-AV1004)</f>
        <v/>
      </c>
      <c r="AZ1004" s="54">
        <f>(AL1004-AM1004)-T1004*AT1004</f>
        <v/>
      </c>
      <c r="BA1004" s="43">
        <f>IF(AU1004="",0,(AH1004-T1004)*AF1004)</f>
        <v/>
      </c>
      <c r="BB1004" s="43">
        <f>IF(AU1004="",0,T1004*(AF1004-AT1004))</f>
        <v/>
      </c>
      <c r="BC1004" s="51" t="n">
        <v>0.2195785180149558</v>
      </c>
      <c r="BD1004" s="51" t="n">
        <v>0.1740835642943053</v>
      </c>
      <c r="BE1004" s="51" t="n">
        <v>0.1984996249062266</v>
      </c>
      <c r="BF1004" s="43" t="n">
        <v>19123</v>
      </c>
    </row>
    <row r="1005">
      <c r="A1005" s="42" t="inlineStr">
        <is>
          <t>SC</t>
        </is>
      </c>
      <c r="B1005" s="42" t="inlineStr">
        <is>
          <t>45083</t>
        </is>
      </c>
      <c r="C1005" s="42" t="inlineStr">
        <is>
          <t>Spartanburg</t>
        </is>
      </c>
      <c r="D1005" s="42" t="inlineStr">
        <is>
          <t>Mid-size/working metro</t>
        </is>
      </c>
      <c r="E1005" s="42" t="inlineStr">
        <is>
          <t>★</t>
        </is>
      </c>
      <c r="F1005" s="43" t="n">
        <v>50710</v>
      </c>
      <c r="G1005" s="43" t="n">
        <v>103032</v>
      </c>
      <c r="H1005" s="43" t="n">
        <v>155597</v>
      </c>
      <c r="I1005" s="43" t="n">
        <v>52926</v>
      </c>
      <c r="J1005" s="43" t="n">
        <v>93560</v>
      </c>
      <c r="K1005" s="42" t="inlineStr">
        <is>
          <t>US Senate</t>
        </is>
      </c>
      <c r="L1005" s="43" t="n">
        <v>28681</v>
      </c>
      <c r="M1005" s="43" t="n">
        <v>68030</v>
      </c>
      <c r="N1005" s="43" t="n">
        <v>96822</v>
      </c>
      <c r="O1005" s="44">
        <f>IFERROR((F1005-G1005)/(F1005+G1005),"")</f>
        <v/>
      </c>
      <c r="P1005" s="44">
        <f>IFERROR((I1005-J1005)/(I1005+J1005),"")</f>
        <v/>
      </c>
      <c r="Q1005" s="45">
        <f>IFERROR(O1005-P1005,"")</f>
        <v/>
      </c>
      <c r="R1005" s="44">
        <f>IFERROR((L1005-M1005)/(L1005+M1005),"")</f>
        <v/>
      </c>
      <c r="S1005" s="46">
        <f>H1005/SUMIFS(Counties!$H$2:$H$1583,Counties!$A$2:$A$1583,$A1005)</f>
        <v/>
      </c>
      <c r="T1005" s="44">
        <f>O1005+INDEX(Dashboard!$F$6:$F$22,MATCH($A1005,Dashboard!$A$6:$A$22,0))</f>
        <v/>
      </c>
      <c r="U1005" s="43">
        <f>AQ1005*INDEX(Dashboard!$G$6:$G$22,MATCH($A1005,Dashboard!$A$6:$A$22,0))</f>
        <v/>
      </c>
      <c r="V1005" s="47" t="n"/>
      <c r="W1005" s="47" t="n"/>
      <c r="X1005" s="47" t="n"/>
      <c r="Y1005" s="48" t="n"/>
      <c r="Z1005" s="49" t="n"/>
      <c r="AA1005" s="49" t="n"/>
      <c r="AB1005" s="49" t="n"/>
      <c r="AC1005" s="50" t="n"/>
      <c r="AD1005" s="43">
        <f>IF(Z1005&lt;&gt;"",Z1005,N(V1005))</f>
        <v/>
      </c>
      <c r="AE1005" s="43">
        <f>IF(AA1005&lt;&gt;"",AA1005,N(W1005))</f>
        <v/>
      </c>
      <c r="AF1005" s="43">
        <f>AD1005+AE1005</f>
        <v/>
      </c>
      <c r="AG1005" s="42">
        <f>IF(UPPER(AC1005)="Y",1,IF(AF1005=0,0,IF(AND(Z1005="",Y1005&lt;&gt;""),IF(Y1005&gt;=0.999,1,0),IF(AF1005&gt;=U1005,1,0))))</f>
        <v/>
      </c>
      <c r="AH1005" s="44">
        <f>IF(AF1005&gt;0,(AD1005-AE1005)/AF1005,"")</f>
        <v/>
      </c>
      <c r="AI1005" s="45">
        <f>IF(AG1005=1,AH1005-O1005,"")</f>
        <v/>
      </c>
      <c r="AJ1005" s="44">
        <f>IF(AG1005=1,AH1005,MAX(-1,MIN(1,O1005+INDEX(Types!$H:$H,MATCH($A1005&amp;"|"&amp;$D1005,Types!$A:$A,0)))))</f>
        <v/>
      </c>
      <c r="AK1005" s="43">
        <f>IF(AG1005=1,AF1005,MAX(AQ1005*AS1005,AF1005))</f>
        <v/>
      </c>
      <c r="AL1005" s="43">
        <f>IF(AG1005=1,AD1005,AK1005*(1+AJ1005)/2)</f>
        <v/>
      </c>
      <c r="AM1005" s="43">
        <f>IF(AG1005=1,AE1005,AK1005*(1-AJ1005)/2)</f>
        <v/>
      </c>
      <c r="AN1005" s="45">
        <f>IF(AH1005="","",AH1005-T1005)</f>
        <v/>
      </c>
      <c r="AO1005" s="51">
        <f>IF(AG1005=1,1,IF(U1005&gt;0,MIN(AF1005/U1005,0.99),0))</f>
        <v/>
      </c>
      <c r="AP1005" s="43">
        <f>IF(AG1005=1,AI1005*AF1005,0)</f>
        <v/>
      </c>
      <c r="AQ1005" s="43">
        <f>N1005*(F1005+G1005)/H1005</f>
        <v/>
      </c>
      <c r="AR1005" s="43">
        <f>O1005*AQ1005</f>
        <v/>
      </c>
      <c r="AS1005" s="52">
        <f>IF(AG1005=1,IF(AQ1005&gt;0,AF1005/AQ1005,1),IFERROR(INDEX(Types!$K:$K,MATCH($A1005&amp;"|"&amp;$D1005,Types!$A:$A,0)),INDEX(Dashboard!$X$6:$X$22,MATCH($A1005,Dashboard!$A$6:$A$22,0))))</f>
        <v/>
      </c>
      <c r="AT1005" s="43">
        <f>AQ1005*INDEX(Dashboard!$Y$6:$Y$22,MATCH($A1005,Dashboard!$A$6:$A$22,0))</f>
        <v/>
      </c>
      <c r="AU1005" s="53">
        <f>IF(AND(AG1005=1,AT1005&gt;0,AF1005&gt;0),100*AF1005/AT1005,"")</f>
        <v/>
      </c>
      <c r="AV1005" s="44">
        <f>IF(AU1005="","",T1005/(AU1005/100))</f>
        <v/>
      </c>
      <c r="AW1005" s="53">
        <f>IF(AU1005="","",IF(AND(ABS(AH1005)&gt;=0.1,ABS(T1005)&gt;=0.05,SIGN(AH1005)=SIGN(T1005)),100*T1005/AH1005,""))</f>
        <v/>
      </c>
      <c r="AX1005" s="45">
        <f>IF(AU1005="","",T1005-AV1005)</f>
        <v/>
      </c>
      <c r="AY1005" s="45">
        <f>IF(AU1005="","",AH1005-AV1005)</f>
        <v/>
      </c>
      <c r="AZ1005" s="54">
        <f>(AL1005-AM1005)-T1005*AT1005</f>
        <v/>
      </c>
      <c r="BA1005" s="43">
        <f>IF(AU1005="",0,(AH1005-T1005)*AF1005)</f>
        <v/>
      </c>
      <c r="BB1005" s="43">
        <f>IF(AU1005="",0,T1005*(AF1005-AT1005))</f>
        <v/>
      </c>
      <c r="BC1005" s="51" t="n">
        <v>0.1969312976243209</v>
      </c>
      <c r="BD1005" s="51" t="n">
        <v>0.09499072044138178</v>
      </c>
      <c r="BE1005" s="51" t="n">
        <v>0.2573732749092402</v>
      </c>
      <c r="BF1005" s="43" t="n">
        <v>356698</v>
      </c>
    </row>
    <row r="1006">
      <c r="A1006" s="42" t="inlineStr">
        <is>
          <t>SC</t>
        </is>
      </c>
      <c r="B1006" s="42" t="inlineStr">
        <is>
          <t>45085</t>
        </is>
      </c>
      <c r="C1006" s="42" t="inlineStr">
        <is>
          <t>Sumter</t>
        </is>
      </c>
      <c r="D1006" s="42" t="inlineStr">
        <is>
          <t>Black Belt</t>
        </is>
      </c>
      <c r="E1006" s="42" t="inlineStr"/>
      <c r="F1006" s="43" t="n">
        <v>23425</v>
      </c>
      <c r="G1006" s="43" t="n">
        <v>21215</v>
      </c>
      <c r="H1006" s="43" t="n">
        <v>45170</v>
      </c>
      <c r="I1006" s="43" t="n">
        <v>27379</v>
      </c>
      <c r="J1006" s="43" t="n">
        <v>21000</v>
      </c>
      <c r="K1006" s="42" t="inlineStr">
        <is>
          <t>US Senate</t>
        </is>
      </c>
      <c r="L1006" s="43" t="n">
        <v>15442</v>
      </c>
      <c r="M1006" s="43" t="n">
        <v>15100</v>
      </c>
      <c r="N1006" s="43" t="n">
        <v>30566</v>
      </c>
      <c r="O1006" s="44">
        <f>IFERROR((F1006-G1006)/(F1006+G1006),"")</f>
        <v/>
      </c>
      <c r="P1006" s="44">
        <f>IFERROR((I1006-J1006)/(I1006+J1006),"")</f>
        <v/>
      </c>
      <c r="Q1006" s="45">
        <f>IFERROR(O1006-P1006,"")</f>
        <v/>
      </c>
      <c r="R1006" s="44">
        <f>IFERROR((L1006-M1006)/(L1006+M1006),"")</f>
        <v/>
      </c>
      <c r="S1006" s="46">
        <f>H1006/SUMIFS(Counties!$H$2:$H$1583,Counties!$A$2:$A$1583,$A1006)</f>
        <v/>
      </c>
      <c r="T1006" s="44">
        <f>O1006+INDEX(Dashboard!$F$6:$F$22,MATCH($A1006,Dashboard!$A$6:$A$22,0))</f>
        <v/>
      </c>
      <c r="U1006" s="43">
        <f>AQ1006*INDEX(Dashboard!$G$6:$G$22,MATCH($A1006,Dashboard!$A$6:$A$22,0))</f>
        <v/>
      </c>
      <c r="V1006" s="47" t="n"/>
      <c r="W1006" s="47" t="n"/>
      <c r="X1006" s="47" t="n"/>
      <c r="Y1006" s="48" t="n"/>
      <c r="Z1006" s="49" t="n"/>
      <c r="AA1006" s="49" t="n"/>
      <c r="AB1006" s="49" t="n"/>
      <c r="AC1006" s="50" t="n"/>
      <c r="AD1006" s="43">
        <f>IF(Z1006&lt;&gt;"",Z1006,N(V1006))</f>
        <v/>
      </c>
      <c r="AE1006" s="43">
        <f>IF(AA1006&lt;&gt;"",AA1006,N(W1006))</f>
        <v/>
      </c>
      <c r="AF1006" s="43">
        <f>AD1006+AE1006</f>
        <v/>
      </c>
      <c r="AG1006" s="42">
        <f>IF(UPPER(AC1006)="Y",1,IF(AF1006=0,0,IF(AND(Z1006="",Y1006&lt;&gt;""),IF(Y1006&gt;=0.999,1,0),IF(AF1006&gt;=U1006,1,0))))</f>
        <v/>
      </c>
      <c r="AH1006" s="44">
        <f>IF(AF1006&gt;0,(AD1006-AE1006)/AF1006,"")</f>
        <v/>
      </c>
      <c r="AI1006" s="45">
        <f>IF(AG1006=1,AH1006-O1006,"")</f>
        <v/>
      </c>
      <c r="AJ1006" s="44">
        <f>IF(AG1006=1,AH1006,MAX(-1,MIN(1,O1006+INDEX(Types!$H:$H,MATCH($A1006&amp;"|"&amp;$D1006,Types!$A:$A,0)))))</f>
        <v/>
      </c>
      <c r="AK1006" s="43">
        <f>IF(AG1006=1,AF1006,MAX(AQ1006*AS1006,AF1006))</f>
        <v/>
      </c>
      <c r="AL1006" s="43">
        <f>IF(AG1006=1,AD1006,AK1006*(1+AJ1006)/2)</f>
        <v/>
      </c>
      <c r="AM1006" s="43">
        <f>IF(AG1006=1,AE1006,AK1006*(1-AJ1006)/2)</f>
        <v/>
      </c>
      <c r="AN1006" s="45">
        <f>IF(AH1006="","",AH1006-T1006)</f>
        <v/>
      </c>
      <c r="AO1006" s="51">
        <f>IF(AG1006=1,1,IF(U1006&gt;0,MIN(AF1006/U1006,0.99),0))</f>
        <v/>
      </c>
      <c r="AP1006" s="43">
        <f>IF(AG1006=1,AI1006*AF1006,0)</f>
        <v/>
      </c>
      <c r="AQ1006" s="43">
        <f>N1006*(F1006+G1006)/H1006</f>
        <v/>
      </c>
      <c r="AR1006" s="43">
        <f>O1006*AQ1006</f>
        <v/>
      </c>
      <c r="AS1006" s="52">
        <f>IF(AG1006=1,IF(AQ1006&gt;0,AF1006/AQ1006,1),IFERROR(INDEX(Types!$K:$K,MATCH($A1006&amp;"|"&amp;$D1006,Types!$A:$A,0)),INDEX(Dashboard!$X$6:$X$22,MATCH($A1006,Dashboard!$A$6:$A$22,0))))</f>
        <v/>
      </c>
      <c r="AT1006" s="43">
        <f>AQ1006*INDEX(Dashboard!$Y$6:$Y$22,MATCH($A1006,Dashboard!$A$6:$A$22,0))</f>
        <v/>
      </c>
      <c r="AU1006" s="53">
        <f>IF(AND(AG1006=1,AT1006&gt;0,AF1006&gt;0),100*AF1006/AT1006,"")</f>
        <v/>
      </c>
      <c r="AV1006" s="44">
        <f>IF(AU1006="","",T1006/(AU1006/100))</f>
        <v/>
      </c>
      <c r="AW1006" s="53">
        <f>IF(AU1006="","",IF(AND(ABS(AH1006)&gt;=0.1,ABS(T1006)&gt;=0.05,SIGN(AH1006)=SIGN(T1006)),100*T1006/AH1006,""))</f>
        <v/>
      </c>
      <c r="AX1006" s="45">
        <f>IF(AU1006="","",T1006-AV1006)</f>
        <v/>
      </c>
      <c r="AY1006" s="45">
        <f>IF(AU1006="","",AH1006-AV1006)</f>
        <v/>
      </c>
      <c r="AZ1006" s="54">
        <f>(AL1006-AM1006)-T1006*AT1006</f>
        <v/>
      </c>
      <c r="BA1006" s="43">
        <f>IF(AU1006="",0,(AH1006-T1006)*AF1006)</f>
        <v/>
      </c>
      <c r="BB1006" s="43">
        <f>IF(AU1006="",0,T1006*(AF1006-AT1006))</f>
        <v/>
      </c>
      <c r="BC1006" s="51" t="n">
        <v>0.4733259732155715</v>
      </c>
      <c r="BD1006" s="51" t="n">
        <v>0.04533192531080497</v>
      </c>
      <c r="BE1006" s="51" t="n">
        <v>0.2315845485661691</v>
      </c>
      <c r="BF1006" s="43" t="n">
        <v>104165</v>
      </c>
    </row>
    <row r="1007">
      <c r="A1007" s="42" t="inlineStr">
        <is>
          <t>SC</t>
        </is>
      </c>
      <c r="B1007" s="42" t="inlineStr">
        <is>
          <t>45087</t>
        </is>
      </c>
      <c r="C1007" s="42" t="inlineStr">
        <is>
          <t>Union</t>
        </is>
      </c>
      <c r="D1007" s="42" t="inlineStr">
        <is>
          <t>Small town &amp; rural</t>
        </is>
      </c>
      <c r="E1007" s="42" t="inlineStr"/>
      <c r="F1007" s="43" t="n">
        <v>4084</v>
      </c>
      <c r="G1007" s="43" t="n">
        <v>8102</v>
      </c>
      <c r="H1007" s="43" t="n">
        <v>12289</v>
      </c>
      <c r="I1007" s="43" t="n">
        <v>4935</v>
      </c>
      <c r="J1007" s="43" t="n">
        <v>8183</v>
      </c>
      <c r="K1007" s="42" t="inlineStr">
        <is>
          <t>US Senate</t>
        </is>
      </c>
      <c r="L1007" s="43" t="n">
        <v>2646</v>
      </c>
      <c r="M1007" s="43" t="n">
        <v>5991</v>
      </c>
      <c r="N1007" s="43" t="n">
        <v>8639</v>
      </c>
      <c r="O1007" s="44">
        <f>IFERROR((F1007-G1007)/(F1007+G1007),"")</f>
        <v/>
      </c>
      <c r="P1007" s="44">
        <f>IFERROR((I1007-J1007)/(I1007+J1007),"")</f>
        <v/>
      </c>
      <c r="Q1007" s="45">
        <f>IFERROR(O1007-P1007,"")</f>
        <v/>
      </c>
      <c r="R1007" s="44">
        <f>IFERROR((L1007-M1007)/(L1007+M1007),"")</f>
        <v/>
      </c>
      <c r="S1007" s="46">
        <f>H1007/SUMIFS(Counties!$H$2:$H$1583,Counties!$A$2:$A$1583,$A1007)</f>
        <v/>
      </c>
      <c r="T1007" s="44">
        <f>O1007+INDEX(Dashboard!$F$6:$F$22,MATCH($A1007,Dashboard!$A$6:$A$22,0))</f>
        <v/>
      </c>
      <c r="U1007" s="43">
        <f>AQ1007*INDEX(Dashboard!$G$6:$G$22,MATCH($A1007,Dashboard!$A$6:$A$22,0))</f>
        <v/>
      </c>
      <c r="V1007" s="47" t="n"/>
      <c r="W1007" s="47" t="n"/>
      <c r="X1007" s="47" t="n"/>
      <c r="Y1007" s="48" t="n"/>
      <c r="Z1007" s="49" t="n"/>
      <c r="AA1007" s="49" t="n"/>
      <c r="AB1007" s="49" t="n"/>
      <c r="AC1007" s="50" t="n"/>
      <c r="AD1007" s="43">
        <f>IF(Z1007&lt;&gt;"",Z1007,N(V1007))</f>
        <v/>
      </c>
      <c r="AE1007" s="43">
        <f>IF(AA1007&lt;&gt;"",AA1007,N(W1007))</f>
        <v/>
      </c>
      <c r="AF1007" s="43">
        <f>AD1007+AE1007</f>
        <v/>
      </c>
      <c r="AG1007" s="42">
        <f>IF(UPPER(AC1007)="Y",1,IF(AF1007=0,0,IF(AND(Z1007="",Y1007&lt;&gt;""),IF(Y1007&gt;=0.999,1,0),IF(AF1007&gt;=U1007,1,0))))</f>
        <v/>
      </c>
      <c r="AH1007" s="44">
        <f>IF(AF1007&gt;0,(AD1007-AE1007)/AF1007,"")</f>
        <v/>
      </c>
      <c r="AI1007" s="45">
        <f>IF(AG1007=1,AH1007-O1007,"")</f>
        <v/>
      </c>
      <c r="AJ1007" s="44">
        <f>IF(AG1007=1,AH1007,MAX(-1,MIN(1,O1007+INDEX(Types!$H:$H,MATCH($A1007&amp;"|"&amp;$D1007,Types!$A:$A,0)))))</f>
        <v/>
      </c>
      <c r="AK1007" s="43">
        <f>IF(AG1007=1,AF1007,MAX(AQ1007*AS1007,AF1007))</f>
        <v/>
      </c>
      <c r="AL1007" s="43">
        <f>IF(AG1007=1,AD1007,AK1007*(1+AJ1007)/2)</f>
        <v/>
      </c>
      <c r="AM1007" s="43">
        <f>IF(AG1007=1,AE1007,AK1007*(1-AJ1007)/2)</f>
        <v/>
      </c>
      <c r="AN1007" s="45">
        <f>IF(AH1007="","",AH1007-T1007)</f>
        <v/>
      </c>
      <c r="AO1007" s="51">
        <f>IF(AG1007=1,1,IF(U1007&gt;0,MIN(AF1007/U1007,0.99),0))</f>
        <v/>
      </c>
      <c r="AP1007" s="43">
        <f>IF(AG1007=1,AI1007*AF1007,0)</f>
        <v/>
      </c>
      <c r="AQ1007" s="43">
        <f>N1007*(F1007+G1007)/H1007</f>
        <v/>
      </c>
      <c r="AR1007" s="43">
        <f>O1007*AQ1007</f>
        <v/>
      </c>
      <c r="AS1007" s="52">
        <f>IF(AG1007=1,IF(AQ1007&gt;0,AF1007/AQ1007,1),IFERROR(INDEX(Types!$K:$K,MATCH($A1007&amp;"|"&amp;$D1007,Types!$A:$A,0)),INDEX(Dashboard!$X$6:$X$22,MATCH($A1007,Dashboard!$A$6:$A$22,0))))</f>
        <v/>
      </c>
      <c r="AT1007" s="43">
        <f>AQ1007*INDEX(Dashboard!$Y$6:$Y$22,MATCH($A1007,Dashboard!$A$6:$A$22,0))</f>
        <v/>
      </c>
      <c r="AU1007" s="53">
        <f>IF(AND(AG1007=1,AT1007&gt;0,AF1007&gt;0),100*AF1007/AT1007,"")</f>
        <v/>
      </c>
      <c r="AV1007" s="44">
        <f>IF(AU1007="","",T1007/(AU1007/100))</f>
        <v/>
      </c>
      <c r="AW1007" s="53">
        <f>IF(AU1007="","",IF(AND(ABS(AH1007)&gt;=0.1,ABS(T1007)&gt;=0.05,SIGN(AH1007)=SIGN(T1007)),100*T1007/AH1007,""))</f>
        <v/>
      </c>
      <c r="AX1007" s="45">
        <f>IF(AU1007="","",T1007-AV1007)</f>
        <v/>
      </c>
      <c r="AY1007" s="45">
        <f>IF(AU1007="","",AH1007-AV1007)</f>
        <v/>
      </c>
      <c r="AZ1007" s="54">
        <f>(AL1007-AM1007)-T1007*AT1007</f>
        <v/>
      </c>
      <c r="BA1007" s="43">
        <f>IF(AU1007="",0,(AH1007-T1007)*AF1007)</f>
        <v/>
      </c>
      <c r="BB1007" s="43">
        <f>IF(AU1007="",0,T1007*(AF1007-AT1007))</f>
        <v/>
      </c>
      <c r="BC1007" s="51" t="n">
        <v>0.3001239250441248</v>
      </c>
      <c r="BD1007" s="51" t="n">
        <v>0.02219384881144617</v>
      </c>
      <c r="BE1007" s="51" t="n">
        <v>0.1345717234262126</v>
      </c>
      <c r="BF1007" s="43" t="n">
        <v>26629</v>
      </c>
    </row>
    <row r="1008">
      <c r="A1008" s="42" t="inlineStr">
        <is>
          <t>SC</t>
        </is>
      </c>
      <c r="B1008" s="42" t="inlineStr">
        <is>
          <t>45089</t>
        </is>
      </c>
      <c r="C1008" s="42" t="inlineStr">
        <is>
          <t>Williamsburg</t>
        </is>
      </c>
      <c r="D1008" s="42" t="inlineStr">
        <is>
          <t>Black Belt</t>
        </is>
      </c>
      <c r="E1008" s="42" t="inlineStr"/>
      <c r="F1008" s="43" t="n">
        <v>8634</v>
      </c>
      <c r="G1008" s="43" t="n">
        <v>5524</v>
      </c>
      <c r="H1008" s="43" t="n">
        <v>14330</v>
      </c>
      <c r="I1008" s="43" t="n">
        <v>10289</v>
      </c>
      <c r="J1008" s="43" t="n">
        <v>5532</v>
      </c>
      <c r="K1008" s="42" t="inlineStr">
        <is>
          <t>US Senate</t>
        </is>
      </c>
      <c r="L1008" s="43" t="n">
        <v>5695</v>
      </c>
      <c r="M1008" s="43" t="n">
        <v>4047</v>
      </c>
      <c r="N1008" s="43" t="n">
        <v>9744</v>
      </c>
      <c r="O1008" s="44">
        <f>IFERROR((F1008-G1008)/(F1008+G1008),"")</f>
        <v/>
      </c>
      <c r="P1008" s="44">
        <f>IFERROR((I1008-J1008)/(I1008+J1008),"")</f>
        <v/>
      </c>
      <c r="Q1008" s="45">
        <f>IFERROR(O1008-P1008,"")</f>
        <v/>
      </c>
      <c r="R1008" s="44">
        <f>IFERROR((L1008-M1008)/(L1008+M1008),"")</f>
        <v/>
      </c>
      <c r="S1008" s="46">
        <f>H1008/SUMIFS(Counties!$H$2:$H$1583,Counties!$A$2:$A$1583,$A1008)</f>
        <v/>
      </c>
      <c r="T1008" s="44">
        <f>O1008+INDEX(Dashboard!$F$6:$F$22,MATCH($A1008,Dashboard!$A$6:$A$22,0))</f>
        <v/>
      </c>
      <c r="U1008" s="43">
        <f>AQ1008*INDEX(Dashboard!$G$6:$G$22,MATCH($A1008,Dashboard!$A$6:$A$22,0))</f>
        <v/>
      </c>
      <c r="V1008" s="47" t="n"/>
      <c r="W1008" s="47" t="n"/>
      <c r="X1008" s="47" t="n"/>
      <c r="Y1008" s="48" t="n"/>
      <c r="Z1008" s="49" t="n"/>
      <c r="AA1008" s="49" t="n"/>
      <c r="AB1008" s="49" t="n"/>
      <c r="AC1008" s="50" t="n"/>
      <c r="AD1008" s="43">
        <f>IF(Z1008&lt;&gt;"",Z1008,N(V1008))</f>
        <v/>
      </c>
      <c r="AE1008" s="43">
        <f>IF(AA1008&lt;&gt;"",AA1008,N(W1008))</f>
        <v/>
      </c>
      <c r="AF1008" s="43">
        <f>AD1008+AE1008</f>
        <v/>
      </c>
      <c r="AG1008" s="42">
        <f>IF(UPPER(AC1008)="Y",1,IF(AF1008=0,0,IF(AND(Z1008="",Y1008&lt;&gt;""),IF(Y1008&gt;=0.999,1,0),IF(AF1008&gt;=U1008,1,0))))</f>
        <v/>
      </c>
      <c r="AH1008" s="44">
        <f>IF(AF1008&gt;0,(AD1008-AE1008)/AF1008,"")</f>
        <v/>
      </c>
      <c r="AI1008" s="45">
        <f>IF(AG1008=1,AH1008-O1008,"")</f>
        <v/>
      </c>
      <c r="AJ1008" s="44">
        <f>IF(AG1008=1,AH1008,MAX(-1,MIN(1,O1008+INDEX(Types!$H:$H,MATCH($A1008&amp;"|"&amp;$D1008,Types!$A:$A,0)))))</f>
        <v/>
      </c>
      <c r="AK1008" s="43">
        <f>IF(AG1008=1,AF1008,MAX(AQ1008*AS1008,AF1008))</f>
        <v/>
      </c>
      <c r="AL1008" s="43">
        <f>IF(AG1008=1,AD1008,AK1008*(1+AJ1008)/2)</f>
        <v/>
      </c>
      <c r="AM1008" s="43">
        <f>IF(AG1008=1,AE1008,AK1008*(1-AJ1008)/2)</f>
        <v/>
      </c>
      <c r="AN1008" s="45">
        <f>IF(AH1008="","",AH1008-T1008)</f>
        <v/>
      </c>
      <c r="AO1008" s="51">
        <f>IF(AG1008=1,1,IF(U1008&gt;0,MIN(AF1008/U1008,0.99),0))</f>
        <v/>
      </c>
      <c r="AP1008" s="43">
        <f>IF(AG1008=1,AI1008*AF1008,0)</f>
        <v/>
      </c>
      <c r="AQ1008" s="43">
        <f>N1008*(F1008+G1008)/H1008</f>
        <v/>
      </c>
      <c r="AR1008" s="43">
        <f>O1008*AQ1008</f>
        <v/>
      </c>
      <c r="AS1008" s="52">
        <f>IF(AG1008=1,IF(AQ1008&gt;0,AF1008/AQ1008,1),IFERROR(INDEX(Types!$K:$K,MATCH($A1008&amp;"|"&amp;$D1008,Types!$A:$A,0)),INDEX(Dashboard!$X$6:$X$22,MATCH($A1008,Dashboard!$A$6:$A$22,0))))</f>
        <v/>
      </c>
      <c r="AT1008" s="43">
        <f>AQ1008*INDEX(Dashboard!$Y$6:$Y$22,MATCH($A1008,Dashboard!$A$6:$A$22,0))</f>
        <v/>
      </c>
      <c r="AU1008" s="53">
        <f>IF(AND(AG1008=1,AT1008&gt;0,AF1008&gt;0),100*AF1008/AT1008,"")</f>
        <v/>
      </c>
      <c r="AV1008" s="44">
        <f>IF(AU1008="","",T1008/(AU1008/100))</f>
        <v/>
      </c>
      <c r="AW1008" s="53">
        <f>IF(AU1008="","",IF(AND(ABS(AH1008)&gt;=0.1,ABS(T1008)&gt;=0.05,SIGN(AH1008)=SIGN(T1008)),100*T1008/AH1008,""))</f>
        <v/>
      </c>
      <c r="AX1008" s="45">
        <f>IF(AU1008="","",T1008-AV1008)</f>
        <v/>
      </c>
      <c r="AY1008" s="45">
        <f>IF(AU1008="","",AH1008-AV1008)</f>
        <v/>
      </c>
      <c r="AZ1008" s="54">
        <f>(AL1008-AM1008)-T1008*AT1008</f>
        <v/>
      </c>
      <c r="BA1008" s="43">
        <f>IF(AU1008="",0,(AH1008-T1008)*AF1008)</f>
        <v/>
      </c>
      <c r="BB1008" s="43">
        <f>IF(AU1008="",0,T1008*(AF1008-AT1008))</f>
        <v/>
      </c>
      <c r="BC1008" s="51" t="n">
        <v>0.6231641631260245</v>
      </c>
      <c r="BD1008" s="51" t="n">
        <v>0.02626208557759861</v>
      </c>
      <c r="BE1008" s="51" t="n">
        <v>0.1536869573041796</v>
      </c>
      <c r="BF1008" s="43" t="n">
        <v>29891</v>
      </c>
    </row>
    <row r="1009">
      <c r="A1009" s="42" t="inlineStr">
        <is>
          <t>SC</t>
        </is>
      </c>
      <c r="B1009" s="42" t="inlineStr">
        <is>
          <t>45091</t>
        </is>
      </c>
      <c r="C1009" s="42" t="inlineStr">
        <is>
          <t>York</t>
        </is>
      </c>
      <c r="D1009" s="42" t="inlineStr">
        <is>
          <t>Mid-size/working metro</t>
        </is>
      </c>
      <c r="E1009" s="42" t="inlineStr">
        <is>
          <t>★</t>
        </is>
      </c>
      <c r="F1009" s="43" t="n">
        <v>59600</v>
      </c>
      <c r="G1009" s="43" t="n">
        <v>88239</v>
      </c>
      <c r="H1009" s="43" t="n">
        <v>150059</v>
      </c>
      <c r="I1009" s="43" t="n">
        <v>59008</v>
      </c>
      <c r="J1009" s="43" t="n">
        <v>82727</v>
      </c>
      <c r="K1009" s="42" t="inlineStr">
        <is>
          <t>US Senate</t>
        </is>
      </c>
      <c r="L1009" s="43" t="n">
        <v>34365</v>
      </c>
      <c r="M1009" s="43" t="n">
        <v>61329</v>
      </c>
      <c r="N1009" s="43" t="n">
        <v>95765</v>
      </c>
      <c r="O1009" s="44">
        <f>IFERROR((F1009-G1009)/(F1009+G1009),"")</f>
        <v/>
      </c>
      <c r="P1009" s="44">
        <f>IFERROR((I1009-J1009)/(I1009+J1009),"")</f>
        <v/>
      </c>
      <c r="Q1009" s="45">
        <f>IFERROR(O1009-P1009,"")</f>
        <v/>
      </c>
      <c r="R1009" s="44">
        <f>IFERROR((L1009-M1009)/(L1009+M1009),"")</f>
        <v/>
      </c>
      <c r="S1009" s="46">
        <f>H1009/SUMIFS(Counties!$H$2:$H$1583,Counties!$A$2:$A$1583,$A1009)</f>
        <v/>
      </c>
      <c r="T1009" s="44">
        <f>O1009+INDEX(Dashboard!$F$6:$F$22,MATCH($A1009,Dashboard!$A$6:$A$22,0))</f>
        <v/>
      </c>
      <c r="U1009" s="43">
        <f>AQ1009*INDEX(Dashboard!$G$6:$G$22,MATCH($A1009,Dashboard!$A$6:$A$22,0))</f>
        <v/>
      </c>
      <c r="V1009" s="47" t="n"/>
      <c r="W1009" s="47" t="n"/>
      <c r="X1009" s="47" t="n"/>
      <c r="Y1009" s="48" t="n"/>
      <c r="Z1009" s="49" t="n"/>
      <c r="AA1009" s="49" t="n"/>
      <c r="AB1009" s="49" t="n"/>
      <c r="AC1009" s="50" t="n"/>
      <c r="AD1009" s="43">
        <f>IF(Z1009&lt;&gt;"",Z1009,N(V1009))</f>
        <v/>
      </c>
      <c r="AE1009" s="43">
        <f>IF(AA1009&lt;&gt;"",AA1009,N(W1009))</f>
        <v/>
      </c>
      <c r="AF1009" s="43">
        <f>AD1009+AE1009</f>
        <v/>
      </c>
      <c r="AG1009" s="42">
        <f>IF(UPPER(AC1009)="Y",1,IF(AF1009=0,0,IF(AND(Z1009="",Y1009&lt;&gt;""),IF(Y1009&gt;=0.999,1,0),IF(AF1009&gt;=U1009,1,0))))</f>
        <v/>
      </c>
      <c r="AH1009" s="44">
        <f>IF(AF1009&gt;0,(AD1009-AE1009)/AF1009,"")</f>
        <v/>
      </c>
      <c r="AI1009" s="45">
        <f>IF(AG1009=1,AH1009-O1009,"")</f>
        <v/>
      </c>
      <c r="AJ1009" s="44">
        <f>IF(AG1009=1,AH1009,MAX(-1,MIN(1,O1009+INDEX(Types!$H:$H,MATCH($A1009&amp;"|"&amp;$D1009,Types!$A:$A,0)))))</f>
        <v/>
      </c>
      <c r="AK1009" s="43">
        <f>IF(AG1009=1,AF1009,MAX(AQ1009*AS1009,AF1009))</f>
        <v/>
      </c>
      <c r="AL1009" s="43">
        <f>IF(AG1009=1,AD1009,AK1009*(1+AJ1009)/2)</f>
        <v/>
      </c>
      <c r="AM1009" s="43">
        <f>IF(AG1009=1,AE1009,AK1009*(1-AJ1009)/2)</f>
        <v/>
      </c>
      <c r="AN1009" s="45">
        <f>IF(AH1009="","",AH1009-T1009)</f>
        <v/>
      </c>
      <c r="AO1009" s="51">
        <f>IF(AG1009=1,1,IF(U1009&gt;0,MIN(AF1009/U1009,0.99),0))</f>
        <v/>
      </c>
      <c r="AP1009" s="43">
        <f>IF(AG1009=1,AI1009*AF1009,0)</f>
        <v/>
      </c>
      <c r="AQ1009" s="43">
        <f>N1009*(F1009+G1009)/H1009</f>
        <v/>
      </c>
      <c r="AR1009" s="43">
        <f>O1009*AQ1009</f>
        <v/>
      </c>
      <c r="AS1009" s="52">
        <f>IF(AG1009=1,IF(AQ1009&gt;0,AF1009/AQ1009,1),IFERROR(INDEX(Types!$K:$K,MATCH($A1009&amp;"|"&amp;$D1009,Types!$A:$A,0)),INDEX(Dashboard!$X$6:$X$22,MATCH($A1009,Dashboard!$A$6:$A$22,0))))</f>
        <v/>
      </c>
      <c r="AT1009" s="43">
        <f>AQ1009*INDEX(Dashboard!$Y$6:$Y$22,MATCH($A1009,Dashboard!$A$6:$A$22,0))</f>
        <v/>
      </c>
      <c r="AU1009" s="53">
        <f>IF(AND(AG1009=1,AT1009&gt;0,AF1009&gt;0),100*AF1009/AT1009,"")</f>
        <v/>
      </c>
      <c r="AV1009" s="44">
        <f>IF(AU1009="","",T1009/(AU1009/100))</f>
        <v/>
      </c>
      <c r="AW1009" s="53">
        <f>IF(AU1009="","",IF(AND(ABS(AH1009)&gt;=0.1,ABS(T1009)&gt;=0.05,SIGN(AH1009)=SIGN(T1009)),100*T1009/AH1009,""))</f>
        <v/>
      </c>
      <c r="AX1009" s="45">
        <f>IF(AU1009="","",T1009-AV1009)</f>
        <v/>
      </c>
      <c r="AY1009" s="45">
        <f>IF(AU1009="","",AH1009-AV1009)</f>
        <v/>
      </c>
      <c r="AZ1009" s="54">
        <f>(AL1009-AM1009)-T1009*AT1009</f>
        <v/>
      </c>
      <c r="BA1009" s="43">
        <f>IF(AU1009="",0,(AH1009-T1009)*AF1009)</f>
        <v/>
      </c>
      <c r="BB1009" s="43">
        <f>IF(AU1009="",0,T1009*(AF1009-AT1009))</f>
        <v/>
      </c>
      <c r="BC1009" s="51" t="n">
        <v>0.187510056315366</v>
      </c>
      <c r="BD1009" s="51" t="n">
        <v>0.0760894341646554</v>
      </c>
      <c r="BE1009" s="51" t="n">
        <v>0.3811230159134699</v>
      </c>
      <c r="BF1009" s="43" t="n">
        <v>298320</v>
      </c>
    </row>
    <row r="1010">
      <c r="A1010" s="42" t="inlineStr">
        <is>
          <t>TX</t>
        </is>
      </c>
      <c r="B1010" s="42" t="inlineStr">
        <is>
          <t>48001</t>
        </is>
      </c>
      <c r="C1010" s="42" t="inlineStr">
        <is>
          <t>Anderson</t>
        </is>
      </c>
      <c r="D1010" s="42" t="inlineStr">
        <is>
          <t>Small town &amp; rural</t>
        </is>
      </c>
      <c r="E1010" s="42" t="inlineStr"/>
      <c r="F1010" s="43" t="n">
        <v>3635</v>
      </c>
      <c r="G1010" s="43" t="n">
        <v>15597</v>
      </c>
      <c r="H1010" s="43" t="n">
        <v>19353</v>
      </c>
      <c r="I1010" s="43" t="n">
        <v>3955</v>
      </c>
      <c r="J1010" s="43" t="n">
        <v>15110</v>
      </c>
      <c r="K1010" s="42" t="inlineStr">
        <is>
          <t>Governor</t>
        </is>
      </c>
      <c r="L1010" s="43" t="n">
        <v>2545</v>
      </c>
      <c r="M1010" s="43" t="n">
        <v>11762</v>
      </c>
      <c r="N1010" s="43" t="n">
        <v>14448</v>
      </c>
      <c r="O1010" s="44">
        <f>IFERROR((F1010-G1010)/(F1010+G1010),"")</f>
        <v/>
      </c>
      <c r="P1010" s="44">
        <f>IFERROR((I1010-J1010)/(I1010+J1010),"")</f>
        <v/>
      </c>
      <c r="Q1010" s="45">
        <f>IFERROR(O1010-P1010,"")</f>
        <v/>
      </c>
      <c r="R1010" s="44">
        <f>IFERROR((L1010-M1010)/(L1010+M1010),"")</f>
        <v/>
      </c>
      <c r="S1010" s="46">
        <f>H1010/SUMIFS(Counties!$H$2:$H$1583,Counties!$A$2:$A$1583,$A1010)</f>
        <v/>
      </c>
      <c r="T1010" s="44">
        <f>O1010+INDEX(Dashboard!$F$6:$F$22,MATCH($A1010,Dashboard!$A$6:$A$22,0))</f>
        <v/>
      </c>
      <c r="U1010" s="43">
        <f>AQ1010*INDEX(Dashboard!$G$6:$G$22,MATCH($A1010,Dashboard!$A$6:$A$22,0))</f>
        <v/>
      </c>
      <c r="V1010" s="47" t="n"/>
      <c r="W1010" s="47" t="n"/>
      <c r="X1010" s="47" t="n"/>
      <c r="Y1010" s="48" t="n"/>
      <c r="Z1010" s="49" t="n"/>
      <c r="AA1010" s="49" t="n"/>
      <c r="AB1010" s="49" t="n"/>
      <c r="AC1010" s="50" t="n"/>
      <c r="AD1010" s="43">
        <f>IF(Z1010&lt;&gt;"",Z1010,N(V1010))</f>
        <v/>
      </c>
      <c r="AE1010" s="43">
        <f>IF(AA1010&lt;&gt;"",AA1010,N(W1010))</f>
        <v/>
      </c>
      <c r="AF1010" s="43">
        <f>AD1010+AE1010</f>
        <v/>
      </c>
      <c r="AG1010" s="42">
        <f>IF(UPPER(AC1010)="Y",1,IF(AF1010=0,0,IF(AND(Z1010="",Y1010&lt;&gt;""),IF(Y1010&gt;=0.999,1,0),IF(AF1010&gt;=U1010,1,0))))</f>
        <v/>
      </c>
      <c r="AH1010" s="44">
        <f>IF(AF1010&gt;0,(AD1010-AE1010)/AF1010,"")</f>
        <v/>
      </c>
      <c r="AI1010" s="45">
        <f>IF(AG1010=1,AH1010-O1010,"")</f>
        <v/>
      </c>
      <c r="AJ1010" s="44">
        <f>IF(AG1010=1,AH1010,MAX(-1,MIN(1,O1010+INDEX(Types!$H:$H,MATCH($A1010&amp;"|"&amp;$D1010,Types!$A:$A,0)))))</f>
        <v/>
      </c>
      <c r="AK1010" s="43">
        <f>IF(AG1010=1,AF1010,MAX(AQ1010*AS1010,AF1010))</f>
        <v/>
      </c>
      <c r="AL1010" s="43">
        <f>IF(AG1010=1,AD1010,AK1010*(1+AJ1010)/2)</f>
        <v/>
      </c>
      <c r="AM1010" s="43">
        <f>IF(AG1010=1,AE1010,AK1010*(1-AJ1010)/2)</f>
        <v/>
      </c>
      <c r="AN1010" s="45">
        <f>IF(AH1010="","",AH1010-T1010)</f>
        <v/>
      </c>
      <c r="AO1010" s="51">
        <f>IF(AG1010=1,1,IF(U1010&gt;0,MIN(AF1010/U1010,0.99),0))</f>
        <v/>
      </c>
      <c r="AP1010" s="43">
        <f>IF(AG1010=1,AI1010*AF1010,0)</f>
        <v/>
      </c>
      <c r="AQ1010" s="43">
        <f>N1010*(F1010+G1010)/H1010</f>
        <v/>
      </c>
      <c r="AR1010" s="43">
        <f>O1010*AQ1010</f>
        <v/>
      </c>
      <c r="AS1010" s="52">
        <f>IF(AG1010=1,IF(AQ1010&gt;0,AF1010/AQ1010,1),IFERROR(INDEX(Types!$K:$K,MATCH($A1010&amp;"|"&amp;$D1010,Types!$A:$A,0)),INDEX(Dashboard!$X$6:$X$22,MATCH($A1010,Dashboard!$A$6:$A$22,0))))</f>
        <v/>
      </c>
      <c r="AT1010" s="43">
        <f>AQ1010*INDEX(Dashboard!$Y$6:$Y$22,MATCH($A1010,Dashboard!$A$6:$A$22,0))</f>
        <v/>
      </c>
      <c r="AU1010" s="53">
        <f>IF(AND(AG1010=1,AT1010&gt;0,AF1010&gt;0),100*AF1010/AT1010,"")</f>
        <v/>
      </c>
      <c r="AV1010" s="44">
        <f>IF(AU1010="","",T1010/(AU1010/100))</f>
        <v/>
      </c>
      <c r="AW1010" s="53">
        <f>IF(AU1010="","",IF(AND(ABS(AH1010)&gt;=0.1,ABS(T1010)&gt;=0.05,SIGN(AH1010)=SIGN(T1010)),100*T1010/AH1010,""))</f>
        <v/>
      </c>
      <c r="AX1010" s="45">
        <f>IF(AU1010="","",T1010-AV1010)</f>
        <v/>
      </c>
      <c r="AY1010" s="45">
        <f>IF(AU1010="","",AH1010-AV1010)</f>
        <v/>
      </c>
      <c r="AZ1010" s="54">
        <f>(AL1010-AM1010)-T1010*AT1010</f>
        <v/>
      </c>
      <c r="BA1010" s="43">
        <f>IF(AU1010="",0,(AH1010-T1010)*AF1010)</f>
        <v/>
      </c>
      <c r="BB1010" s="43">
        <f>IF(AU1010="",0,T1010*(AF1010-AT1010))</f>
        <v/>
      </c>
      <c r="BC1010" s="51" t="n">
        <v>0.2040494665373424</v>
      </c>
      <c r="BD1010" s="51" t="n">
        <v>0.1964978522931966</v>
      </c>
      <c r="BE1010" s="51" t="n">
        <v>0.1453687513473376</v>
      </c>
      <c r="BF1010" s="43" t="n">
        <v>57736</v>
      </c>
    </row>
    <row r="1011">
      <c r="A1011" s="42" t="inlineStr">
        <is>
          <t>TX</t>
        </is>
      </c>
      <c r="B1011" s="42" t="inlineStr">
        <is>
          <t>48003</t>
        </is>
      </c>
      <c r="C1011" s="42" t="inlineStr">
        <is>
          <t>Andrews</t>
        </is>
      </c>
      <c r="D1011" s="42" t="inlineStr">
        <is>
          <t>Hispanic</t>
        </is>
      </c>
      <c r="E1011" s="42" t="inlineStr"/>
      <c r="F1011" s="43" t="n">
        <v>806</v>
      </c>
      <c r="G1011" s="43" t="n">
        <v>5205</v>
      </c>
      <c r="H1011" s="43" t="n">
        <v>6059</v>
      </c>
      <c r="I1011" s="43" t="n">
        <v>850</v>
      </c>
      <c r="J1011" s="43" t="n">
        <v>4943</v>
      </c>
      <c r="K1011" s="42" t="inlineStr">
        <is>
          <t>Governor</t>
        </is>
      </c>
      <c r="L1011" s="43" t="n">
        <v>479</v>
      </c>
      <c r="M1011" s="43" t="n">
        <v>3302</v>
      </c>
      <c r="N1011" s="43" t="n">
        <v>3826</v>
      </c>
      <c r="O1011" s="44">
        <f>IFERROR((F1011-G1011)/(F1011+G1011),"")</f>
        <v/>
      </c>
      <c r="P1011" s="44">
        <f>IFERROR((I1011-J1011)/(I1011+J1011),"")</f>
        <v/>
      </c>
      <c r="Q1011" s="45">
        <f>IFERROR(O1011-P1011,"")</f>
        <v/>
      </c>
      <c r="R1011" s="44">
        <f>IFERROR((L1011-M1011)/(L1011+M1011),"")</f>
        <v/>
      </c>
      <c r="S1011" s="46">
        <f>H1011/SUMIFS(Counties!$H$2:$H$1583,Counties!$A$2:$A$1583,$A1011)</f>
        <v/>
      </c>
      <c r="T1011" s="44">
        <f>O1011+INDEX(Dashboard!$F$6:$F$22,MATCH($A1011,Dashboard!$A$6:$A$22,0))</f>
        <v/>
      </c>
      <c r="U1011" s="43">
        <f>AQ1011*INDEX(Dashboard!$G$6:$G$22,MATCH($A1011,Dashboard!$A$6:$A$22,0))</f>
        <v/>
      </c>
      <c r="V1011" s="47" t="n"/>
      <c r="W1011" s="47" t="n"/>
      <c r="X1011" s="47" t="n"/>
      <c r="Y1011" s="48" t="n"/>
      <c r="Z1011" s="49" t="n"/>
      <c r="AA1011" s="49" t="n"/>
      <c r="AB1011" s="49" t="n"/>
      <c r="AC1011" s="50" t="n"/>
      <c r="AD1011" s="43">
        <f>IF(Z1011&lt;&gt;"",Z1011,N(V1011))</f>
        <v/>
      </c>
      <c r="AE1011" s="43">
        <f>IF(AA1011&lt;&gt;"",AA1011,N(W1011))</f>
        <v/>
      </c>
      <c r="AF1011" s="43">
        <f>AD1011+AE1011</f>
        <v/>
      </c>
      <c r="AG1011" s="42">
        <f>IF(UPPER(AC1011)="Y",1,IF(AF1011=0,0,IF(AND(Z1011="",Y1011&lt;&gt;""),IF(Y1011&gt;=0.999,1,0),IF(AF1011&gt;=U1011,1,0))))</f>
        <v/>
      </c>
      <c r="AH1011" s="44">
        <f>IF(AF1011&gt;0,(AD1011-AE1011)/AF1011,"")</f>
        <v/>
      </c>
      <c r="AI1011" s="45">
        <f>IF(AG1011=1,AH1011-O1011,"")</f>
        <v/>
      </c>
      <c r="AJ1011" s="44">
        <f>IF(AG1011=1,AH1011,MAX(-1,MIN(1,O1011+INDEX(Types!$H:$H,MATCH($A1011&amp;"|"&amp;$D1011,Types!$A:$A,0)))))</f>
        <v/>
      </c>
      <c r="AK1011" s="43">
        <f>IF(AG1011=1,AF1011,MAX(AQ1011*AS1011,AF1011))</f>
        <v/>
      </c>
      <c r="AL1011" s="43">
        <f>IF(AG1011=1,AD1011,AK1011*(1+AJ1011)/2)</f>
        <v/>
      </c>
      <c r="AM1011" s="43">
        <f>IF(AG1011=1,AE1011,AK1011*(1-AJ1011)/2)</f>
        <v/>
      </c>
      <c r="AN1011" s="45">
        <f>IF(AH1011="","",AH1011-T1011)</f>
        <v/>
      </c>
      <c r="AO1011" s="51">
        <f>IF(AG1011=1,1,IF(U1011&gt;0,MIN(AF1011/U1011,0.99),0))</f>
        <v/>
      </c>
      <c r="AP1011" s="43">
        <f>IF(AG1011=1,AI1011*AF1011,0)</f>
        <v/>
      </c>
      <c r="AQ1011" s="43">
        <f>N1011*(F1011+G1011)/H1011</f>
        <v/>
      </c>
      <c r="AR1011" s="43">
        <f>O1011*AQ1011</f>
        <v/>
      </c>
      <c r="AS1011" s="52">
        <f>IF(AG1011=1,IF(AQ1011&gt;0,AF1011/AQ1011,1),IFERROR(INDEX(Types!$K:$K,MATCH($A1011&amp;"|"&amp;$D1011,Types!$A:$A,0)),INDEX(Dashboard!$X$6:$X$22,MATCH($A1011,Dashboard!$A$6:$A$22,0))))</f>
        <v/>
      </c>
      <c r="AT1011" s="43">
        <f>AQ1011*INDEX(Dashboard!$Y$6:$Y$22,MATCH($A1011,Dashboard!$A$6:$A$22,0))</f>
        <v/>
      </c>
      <c r="AU1011" s="53">
        <f>IF(AND(AG1011=1,AT1011&gt;0,AF1011&gt;0),100*AF1011/AT1011,"")</f>
        <v/>
      </c>
      <c r="AV1011" s="44">
        <f>IF(AU1011="","",T1011/(AU1011/100))</f>
        <v/>
      </c>
      <c r="AW1011" s="53">
        <f>IF(AU1011="","",IF(AND(ABS(AH1011)&gt;=0.1,ABS(T1011)&gt;=0.05,SIGN(AH1011)=SIGN(T1011)),100*T1011/AH1011,""))</f>
        <v/>
      </c>
      <c r="AX1011" s="45">
        <f>IF(AU1011="","",T1011-AV1011)</f>
        <v/>
      </c>
      <c r="AY1011" s="45">
        <f>IF(AU1011="","",AH1011-AV1011)</f>
        <v/>
      </c>
      <c r="AZ1011" s="54">
        <f>(AL1011-AM1011)-T1011*AT1011</f>
        <v/>
      </c>
      <c r="BA1011" s="43">
        <f>IF(AU1011="",0,(AH1011-T1011)*AF1011)</f>
        <v/>
      </c>
      <c r="BB1011" s="43">
        <f>IF(AU1011="",0,T1011*(AF1011-AT1011))</f>
        <v/>
      </c>
      <c r="BC1011" s="51" t="n">
        <v>0.01468066866695242</v>
      </c>
      <c r="BD1011" s="51" t="n">
        <v>0.5816009429918559</v>
      </c>
      <c r="BE1011" s="51" t="n">
        <v>0.1994774303991351</v>
      </c>
      <c r="BF1011" s="43" t="n">
        <v>18664</v>
      </c>
    </row>
    <row r="1012">
      <c r="A1012" s="42" t="inlineStr">
        <is>
          <t>TX</t>
        </is>
      </c>
      <c r="B1012" s="42" t="inlineStr">
        <is>
          <t>48005</t>
        </is>
      </c>
      <c r="C1012" s="42" t="inlineStr">
        <is>
          <t>Angelina</t>
        </is>
      </c>
      <c r="D1012" s="42" t="inlineStr">
        <is>
          <t>Small town &amp; rural</t>
        </is>
      </c>
      <c r="E1012" s="42" t="inlineStr"/>
      <c r="F1012" s="43" t="n">
        <v>8146</v>
      </c>
      <c r="G1012" s="43" t="n">
        <v>26049</v>
      </c>
      <c r="H1012" s="43" t="n">
        <v>34419</v>
      </c>
      <c r="I1012" s="43" t="n">
        <v>9143</v>
      </c>
      <c r="J1012" s="43" t="n">
        <v>25076</v>
      </c>
      <c r="K1012" s="42" t="inlineStr">
        <is>
          <t>Governor</t>
        </is>
      </c>
      <c r="L1012" s="43" t="n">
        <v>5174</v>
      </c>
      <c r="M1012" s="43" t="n">
        <v>19142</v>
      </c>
      <c r="N1012" s="43" t="n">
        <v>24602</v>
      </c>
      <c r="O1012" s="44">
        <f>IFERROR((F1012-G1012)/(F1012+G1012),"")</f>
        <v/>
      </c>
      <c r="P1012" s="44">
        <f>IFERROR((I1012-J1012)/(I1012+J1012),"")</f>
        <v/>
      </c>
      <c r="Q1012" s="45">
        <f>IFERROR(O1012-P1012,"")</f>
        <v/>
      </c>
      <c r="R1012" s="44">
        <f>IFERROR((L1012-M1012)/(L1012+M1012),"")</f>
        <v/>
      </c>
      <c r="S1012" s="46">
        <f>H1012/SUMIFS(Counties!$H$2:$H$1583,Counties!$A$2:$A$1583,$A1012)</f>
        <v/>
      </c>
      <c r="T1012" s="44">
        <f>O1012+INDEX(Dashboard!$F$6:$F$22,MATCH($A1012,Dashboard!$A$6:$A$22,0))</f>
        <v/>
      </c>
      <c r="U1012" s="43">
        <f>AQ1012*INDEX(Dashboard!$G$6:$G$22,MATCH($A1012,Dashboard!$A$6:$A$22,0))</f>
        <v/>
      </c>
      <c r="V1012" s="47" t="n"/>
      <c r="W1012" s="47" t="n"/>
      <c r="X1012" s="47" t="n"/>
      <c r="Y1012" s="48" t="n"/>
      <c r="Z1012" s="49" t="n"/>
      <c r="AA1012" s="49" t="n"/>
      <c r="AB1012" s="49" t="n"/>
      <c r="AC1012" s="50" t="n"/>
      <c r="AD1012" s="43">
        <f>IF(Z1012&lt;&gt;"",Z1012,N(V1012))</f>
        <v/>
      </c>
      <c r="AE1012" s="43">
        <f>IF(AA1012&lt;&gt;"",AA1012,N(W1012))</f>
        <v/>
      </c>
      <c r="AF1012" s="43">
        <f>AD1012+AE1012</f>
        <v/>
      </c>
      <c r="AG1012" s="42">
        <f>IF(UPPER(AC1012)="Y",1,IF(AF1012=0,0,IF(AND(Z1012="",Y1012&lt;&gt;""),IF(Y1012&gt;=0.999,1,0),IF(AF1012&gt;=U1012,1,0))))</f>
        <v/>
      </c>
      <c r="AH1012" s="44">
        <f>IF(AF1012&gt;0,(AD1012-AE1012)/AF1012,"")</f>
        <v/>
      </c>
      <c r="AI1012" s="45">
        <f>IF(AG1012=1,AH1012-O1012,"")</f>
        <v/>
      </c>
      <c r="AJ1012" s="44">
        <f>IF(AG1012=1,AH1012,MAX(-1,MIN(1,O1012+INDEX(Types!$H:$H,MATCH($A1012&amp;"|"&amp;$D1012,Types!$A:$A,0)))))</f>
        <v/>
      </c>
      <c r="AK1012" s="43">
        <f>IF(AG1012=1,AF1012,MAX(AQ1012*AS1012,AF1012))</f>
        <v/>
      </c>
      <c r="AL1012" s="43">
        <f>IF(AG1012=1,AD1012,AK1012*(1+AJ1012)/2)</f>
        <v/>
      </c>
      <c r="AM1012" s="43">
        <f>IF(AG1012=1,AE1012,AK1012*(1-AJ1012)/2)</f>
        <v/>
      </c>
      <c r="AN1012" s="45">
        <f>IF(AH1012="","",AH1012-T1012)</f>
        <v/>
      </c>
      <c r="AO1012" s="51">
        <f>IF(AG1012=1,1,IF(U1012&gt;0,MIN(AF1012/U1012,0.99),0))</f>
        <v/>
      </c>
      <c r="AP1012" s="43">
        <f>IF(AG1012=1,AI1012*AF1012,0)</f>
        <v/>
      </c>
      <c r="AQ1012" s="43">
        <f>N1012*(F1012+G1012)/H1012</f>
        <v/>
      </c>
      <c r="AR1012" s="43">
        <f>O1012*AQ1012</f>
        <v/>
      </c>
      <c r="AS1012" s="52">
        <f>IF(AG1012=1,IF(AQ1012&gt;0,AF1012/AQ1012,1),IFERROR(INDEX(Types!$K:$K,MATCH($A1012&amp;"|"&amp;$D1012,Types!$A:$A,0)),INDEX(Dashboard!$X$6:$X$22,MATCH($A1012,Dashboard!$A$6:$A$22,0))))</f>
        <v/>
      </c>
      <c r="AT1012" s="43">
        <f>AQ1012*INDEX(Dashboard!$Y$6:$Y$22,MATCH($A1012,Dashboard!$A$6:$A$22,0))</f>
        <v/>
      </c>
      <c r="AU1012" s="53">
        <f>IF(AND(AG1012=1,AT1012&gt;0,AF1012&gt;0),100*AF1012/AT1012,"")</f>
        <v/>
      </c>
      <c r="AV1012" s="44">
        <f>IF(AU1012="","",T1012/(AU1012/100))</f>
        <v/>
      </c>
      <c r="AW1012" s="53">
        <f>IF(AU1012="","",IF(AND(ABS(AH1012)&gt;=0.1,ABS(T1012)&gt;=0.05,SIGN(AH1012)=SIGN(T1012)),100*T1012/AH1012,""))</f>
        <v/>
      </c>
      <c r="AX1012" s="45">
        <f>IF(AU1012="","",T1012-AV1012)</f>
        <v/>
      </c>
      <c r="AY1012" s="45">
        <f>IF(AU1012="","",AH1012-AV1012)</f>
        <v/>
      </c>
      <c r="AZ1012" s="54">
        <f>(AL1012-AM1012)-T1012*AT1012</f>
        <v/>
      </c>
      <c r="BA1012" s="43">
        <f>IF(AU1012="",0,(AH1012-T1012)*AF1012)</f>
        <v/>
      </c>
      <c r="BB1012" s="43">
        <f>IF(AU1012="",0,T1012*(AF1012-AT1012))</f>
        <v/>
      </c>
      <c r="BC1012" s="51" t="n">
        <v>0.1477112655893906</v>
      </c>
      <c r="BD1012" s="51" t="n">
        <v>0.238287199807602</v>
      </c>
      <c r="BE1012" s="51" t="n">
        <v>0.1801276079658306</v>
      </c>
      <c r="BF1012" s="43" t="n">
        <v>87319</v>
      </c>
    </row>
    <row r="1013">
      <c r="A1013" s="42" t="inlineStr">
        <is>
          <t>TX</t>
        </is>
      </c>
      <c r="B1013" s="42" t="inlineStr">
        <is>
          <t>48007</t>
        </is>
      </c>
      <c r="C1013" s="42" t="inlineStr">
        <is>
          <t>Aransas</t>
        </is>
      </c>
      <c r="D1013" s="42" t="inlineStr">
        <is>
          <t>Small town &amp; rural</t>
        </is>
      </c>
      <c r="E1013" s="42" t="inlineStr"/>
      <c r="F1013" s="43" t="n">
        <v>2831</v>
      </c>
      <c r="G1013" s="43" t="n">
        <v>10090</v>
      </c>
      <c r="H1013" s="43" t="n">
        <v>13028</v>
      </c>
      <c r="I1013" s="43" t="n">
        <v>2916</v>
      </c>
      <c r="J1013" s="43" t="n">
        <v>9239</v>
      </c>
      <c r="K1013" s="42" t="inlineStr">
        <is>
          <t>Governor</t>
        </is>
      </c>
      <c r="L1013" s="43" t="n">
        <v>1924</v>
      </c>
      <c r="M1013" s="43" t="n">
        <v>7581</v>
      </c>
      <c r="N1013" s="43" t="n">
        <v>9641</v>
      </c>
      <c r="O1013" s="44">
        <f>IFERROR((F1013-G1013)/(F1013+G1013),"")</f>
        <v/>
      </c>
      <c r="P1013" s="44">
        <f>IFERROR((I1013-J1013)/(I1013+J1013),"")</f>
        <v/>
      </c>
      <c r="Q1013" s="45">
        <f>IFERROR(O1013-P1013,"")</f>
        <v/>
      </c>
      <c r="R1013" s="44">
        <f>IFERROR((L1013-M1013)/(L1013+M1013),"")</f>
        <v/>
      </c>
      <c r="S1013" s="46">
        <f>H1013/SUMIFS(Counties!$H$2:$H$1583,Counties!$A$2:$A$1583,$A1013)</f>
        <v/>
      </c>
      <c r="T1013" s="44">
        <f>O1013+INDEX(Dashboard!$F$6:$F$22,MATCH($A1013,Dashboard!$A$6:$A$22,0))</f>
        <v/>
      </c>
      <c r="U1013" s="43">
        <f>AQ1013*INDEX(Dashboard!$G$6:$G$22,MATCH($A1013,Dashboard!$A$6:$A$22,0))</f>
        <v/>
      </c>
      <c r="V1013" s="47" t="n"/>
      <c r="W1013" s="47" t="n"/>
      <c r="X1013" s="47" t="n"/>
      <c r="Y1013" s="48" t="n"/>
      <c r="Z1013" s="49" t="n"/>
      <c r="AA1013" s="49" t="n"/>
      <c r="AB1013" s="49" t="n"/>
      <c r="AC1013" s="50" t="n"/>
      <c r="AD1013" s="43">
        <f>IF(Z1013&lt;&gt;"",Z1013,N(V1013))</f>
        <v/>
      </c>
      <c r="AE1013" s="43">
        <f>IF(AA1013&lt;&gt;"",AA1013,N(W1013))</f>
        <v/>
      </c>
      <c r="AF1013" s="43">
        <f>AD1013+AE1013</f>
        <v/>
      </c>
      <c r="AG1013" s="42">
        <f>IF(UPPER(AC1013)="Y",1,IF(AF1013=0,0,IF(AND(Z1013="",Y1013&lt;&gt;""),IF(Y1013&gt;=0.999,1,0),IF(AF1013&gt;=U1013,1,0))))</f>
        <v/>
      </c>
      <c r="AH1013" s="44">
        <f>IF(AF1013&gt;0,(AD1013-AE1013)/AF1013,"")</f>
        <v/>
      </c>
      <c r="AI1013" s="45">
        <f>IF(AG1013=1,AH1013-O1013,"")</f>
        <v/>
      </c>
      <c r="AJ1013" s="44">
        <f>IF(AG1013=1,AH1013,MAX(-1,MIN(1,O1013+INDEX(Types!$H:$H,MATCH($A1013&amp;"|"&amp;$D1013,Types!$A:$A,0)))))</f>
        <v/>
      </c>
      <c r="AK1013" s="43">
        <f>IF(AG1013=1,AF1013,MAX(AQ1013*AS1013,AF1013))</f>
        <v/>
      </c>
      <c r="AL1013" s="43">
        <f>IF(AG1013=1,AD1013,AK1013*(1+AJ1013)/2)</f>
        <v/>
      </c>
      <c r="AM1013" s="43">
        <f>IF(AG1013=1,AE1013,AK1013*(1-AJ1013)/2)</f>
        <v/>
      </c>
      <c r="AN1013" s="45">
        <f>IF(AH1013="","",AH1013-T1013)</f>
        <v/>
      </c>
      <c r="AO1013" s="51">
        <f>IF(AG1013=1,1,IF(U1013&gt;0,MIN(AF1013/U1013,0.99),0))</f>
        <v/>
      </c>
      <c r="AP1013" s="43">
        <f>IF(AG1013=1,AI1013*AF1013,0)</f>
        <v/>
      </c>
      <c r="AQ1013" s="43">
        <f>N1013*(F1013+G1013)/H1013</f>
        <v/>
      </c>
      <c r="AR1013" s="43">
        <f>O1013*AQ1013</f>
        <v/>
      </c>
      <c r="AS1013" s="52">
        <f>IF(AG1013=1,IF(AQ1013&gt;0,AF1013/AQ1013,1),IFERROR(INDEX(Types!$K:$K,MATCH($A1013&amp;"|"&amp;$D1013,Types!$A:$A,0)),INDEX(Dashboard!$X$6:$X$22,MATCH($A1013,Dashboard!$A$6:$A$22,0))))</f>
        <v/>
      </c>
      <c r="AT1013" s="43">
        <f>AQ1013*INDEX(Dashboard!$Y$6:$Y$22,MATCH($A1013,Dashboard!$A$6:$A$22,0))</f>
        <v/>
      </c>
      <c r="AU1013" s="53">
        <f>IF(AND(AG1013=1,AT1013&gt;0,AF1013&gt;0),100*AF1013/AT1013,"")</f>
        <v/>
      </c>
      <c r="AV1013" s="44">
        <f>IF(AU1013="","",T1013/(AU1013/100))</f>
        <v/>
      </c>
      <c r="AW1013" s="53">
        <f>IF(AU1013="","",IF(AND(ABS(AH1013)&gt;=0.1,ABS(T1013)&gt;=0.05,SIGN(AH1013)=SIGN(T1013)),100*T1013/AH1013,""))</f>
        <v/>
      </c>
      <c r="AX1013" s="45">
        <f>IF(AU1013="","",T1013-AV1013)</f>
        <v/>
      </c>
      <c r="AY1013" s="45">
        <f>IF(AU1013="","",AH1013-AV1013)</f>
        <v/>
      </c>
      <c r="AZ1013" s="54">
        <f>(AL1013-AM1013)-T1013*AT1013</f>
        <v/>
      </c>
      <c r="BA1013" s="43">
        <f>IF(AU1013="",0,(AH1013-T1013)*AF1013)</f>
        <v/>
      </c>
      <c r="BB1013" s="43">
        <f>IF(AU1013="",0,T1013*(AF1013-AT1013))</f>
        <v/>
      </c>
      <c r="BC1013" s="51" t="n">
        <v>0.01588239930637661</v>
      </c>
      <c r="BD1013" s="51" t="n">
        <v>0.2729565697170332</v>
      </c>
      <c r="BE1013" s="51" t="n">
        <v>0.276276745275652</v>
      </c>
      <c r="BF1013" s="43" t="n">
        <v>25374</v>
      </c>
    </row>
    <row r="1014">
      <c r="A1014" s="42" t="inlineStr">
        <is>
          <t>TX</t>
        </is>
      </c>
      <c r="B1014" s="42" t="inlineStr">
        <is>
          <t>48009</t>
        </is>
      </c>
      <c r="C1014" s="42" t="inlineStr">
        <is>
          <t>Archer</t>
        </is>
      </c>
      <c r="D1014" s="42" t="inlineStr">
        <is>
          <t>Small town &amp; rural</t>
        </is>
      </c>
      <c r="E1014" s="42" t="inlineStr"/>
      <c r="F1014" s="43" t="n">
        <v>520</v>
      </c>
      <c r="G1014" s="43" t="n">
        <v>4592</v>
      </c>
      <c r="H1014" s="43" t="n">
        <v>5132</v>
      </c>
      <c r="I1014" s="43" t="n">
        <v>446</v>
      </c>
      <c r="J1014" s="43" t="n">
        <v>4300</v>
      </c>
      <c r="K1014" s="42" t="inlineStr">
        <is>
          <t>Governor</t>
        </is>
      </c>
      <c r="L1014" s="43" t="n">
        <v>315</v>
      </c>
      <c r="M1014" s="43" t="n">
        <v>3498</v>
      </c>
      <c r="N1014" s="43" t="n">
        <v>3848</v>
      </c>
      <c r="O1014" s="44">
        <f>IFERROR((F1014-G1014)/(F1014+G1014),"")</f>
        <v/>
      </c>
      <c r="P1014" s="44">
        <f>IFERROR((I1014-J1014)/(I1014+J1014),"")</f>
        <v/>
      </c>
      <c r="Q1014" s="45">
        <f>IFERROR(O1014-P1014,"")</f>
        <v/>
      </c>
      <c r="R1014" s="44">
        <f>IFERROR((L1014-M1014)/(L1014+M1014),"")</f>
        <v/>
      </c>
      <c r="S1014" s="46">
        <f>H1014/SUMIFS(Counties!$H$2:$H$1583,Counties!$A$2:$A$1583,$A1014)</f>
        <v/>
      </c>
      <c r="T1014" s="44">
        <f>O1014+INDEX(Dashboard!$F$6:$F$22,MATCH($A1014,Dashboard!$A$6:$A$22,0))</f>
        <v/>
      </c>
      <c r="U1014" s="43">
        <f>AQ1014*INDEX(Dashboard!$G$6:$G$22,MATCH($A1014,Dashboard!$A$6:$A$22,0))</f>
        <v/>
      </c>
      <c r="V1014" s="47" t="n"/>
      <c r="W1014" s="47" t="n"/>
      <c r="X1014" s="47" t="n"/>
      <c r="Y1014" s="48" t="n"/>
      <c r="Z1014" s="49" t="n"/>
      <c r="AA1014" s="49" t="n"/>
      <c r="AB1014" s="49" t="n"/>
      <c r="AC1014" s="50" t="n"/>
      <c r="AD1014" s="43">
        <f>IF(Z1014&lt;&gt;"",Z1014,N(V1014))</f>
        <v/>
      </c>
      <c r="AE1014" s="43">
        <f>IF(AA1014&lt;&gt;"",AA1014,N(W1014))</f>
        <v/>
      </c>
      <c r="AF1014" s="43">
        <f>AD1014+AE1014</f>
        <v/>
      </c>
      <c r="AG1014" s="42">
        <f>IF(UPPER(AC1014)="Y",1,IF(AF1014=0,0,IF(AND(Z1014="",Y1014&lt;&gt;""),IF(Y1014&gt;=0.999,1,0),IF(AF1014&gt;=U1014,1,0))))</f>
        <v/>
      </c>
      <c r="AH1014" s="44">
        <f>IF(AF1014&gt;0,(AD1014-AE1014)/AF1014,"")</f>
        <v/>
      </c>
      <c r="AI1014" s="45">
        <f>IF(AG1014=1,AH1014-O1014,"")</f>
        <v/>
      </c>
      <c r="AJ1014" s="44">
        <f>IF(AG1014=1,AH1014,MAX(-1,MIN(1,O1014+INDEX(Types!$H:$H,MATCH($A1014&amp;"|"&amp;$D1014,Types!$A:$A,0)))))</f>
        <v/>
      </c>
      <c r="AK1014" s="43">
        <f>IF(AG1014=1,AF1014,MAX(AQ1014*AS1014,AF1014))</f>
        <v/>
      </c>
      <c r="AL1014" s="43">
        <f>IF(AG1014=1,AD1014,AK1014*(1+AJ1014)/2)</f>
        <v/>
      </c>
      <c r="AM1014" s="43">
        <f>IF(AG1014=1,AE1014,AK1014*(1-AJ1014)/2)</f>
        <v/>
      </c>
      <c r="AN1014" s="45">
        <f>IF(AH1014="","",AH1014-T1014)</f>
        <v/>
      </c>
      <c r="AO1014" s="51">
        <f>IF(AG1014=1,1,IF(U1014&gt;0,MIN(AF1014/U1014,0.99),0))</f>
        <v/>
      </c>
      <c r="AP1014" s="43">
        <f>IF(AG1014=1,AI1014*AF1014,0)</f>
        <v/>
      </c>
      <c r="AQ1014" s="43">
        <f>N1014*(F1014+G1014)/H1014</f>
        <v/>
      </c>
      <c r="AR1014" s="43">
        <f>O1014*AQ1014</f>
        <v/>
      </c>
      <c r="AS1014" s="52">
        <f>IF(AG1014=1,IF(AQ1014&gt;0,AF1014/AQ1014,1),IFERROR(INDEX(Types!$K:$K,MATCH($A1014&amp;"|"&amp;$D1014,Types!$A:$A,0)),INDEX(Dashboard!$X$6:$X$22,MATCH($A1014,Dashboard!$A$6:$A$22,0))))</f>
        <v/>
      </c>
      <c r="AT1014" s="43">
        <f>AQ1014*INDEX(Dashboard!$Y$6:$Y$22,MATCH($A1014,Dashboard!$A$6:$A$22,0))</f>
        <v/>
      </c>
      <c r="AU1014" s="53">
        <f>IF(AND(AG1014=1,AT1014&gt;0,AF1014&gt;0),100*AF1014/AT1014,"")</f>
        <v/>
      </c>
      <c r="AV1014" s="44">
        <f>IF(AU1014="","",T1014/(AU1014/100))</f>
        <v/>
      </c>
      <c r="AW1014" s="53">
        <f>IF(AU1014="","",IF(AND(ABS(AH1014)&gt;=0.1,ABS(T1014)&gt;=0.05,SIGN(AH1014)=SIGN(T1014)),100*T1014/AH1014,""))</f>
        <v/>
      </c>
      <c r="AX1014" s="45">
        <f>IF(AU1014="","",T1014-AV1014)</f>
        <v/>
      </c>
      <c r="AY1014" s="45">
        <f>IF(AU1014="","",AH1014-AV1014)</f>
        <v/>
      </c>
      <c r="AZ1014" s="54">
        <f>(AL1014-AM1014)-T1014*AT1014</f>
        <v/>
      </c>
      <c r="BA1014" s="43">
        <f>IF(AU1014="",0,(AH1014-T1014)*AF1014)</f>
        <v/>
      </c>
      <c r="BB1014" s="43">
        <f>IF(AU1014="",0,T1014*(AF1014-AT1014))</f>
        <v/>
      </c>
      <c r="BC1014" s="51" t="n">
        <v>0.01273673718019714</v>
      </c>
      <c r="BD1014" s="51" t="n">
        <v>0.0960239229150515</v>
      </c>
      <c r="BE1014" s="51" t="n">
        <v>0.251756248978925</v>
      </c>
      <c r="BF1014" s="43" t="n">
        <v>9029</v>
      </c>
    </row>
    <row r="1015">
      <c r="A1015" s="42" t="inlineStr">
        <is>
          <t>TX</t>
        </is>
      </c>
      <c r="B1015" s="42" t="inlineStr">
        <is>
          <t>48011</t>
        </is>
      </c>
      <c r="C1015" s="42" t="inlineStr">
        <is>
          <t>Armstrong</t>
        </is>
      </c>
      <c r="D1015" s="42" t="inlineStr">
        <is>
          <t>Small town &amp; rural</t>
        </is>
      </c>
      <c r="E1015" s="42" t="inlineStr"/>
      <c r="F1015" s="43" t="n">
        <v>77</v>
      </c>
      <c r="G1015" s="43" t="n">
        <v>1029</v>
      </c>
      <c r="H1015" s="43" t="n">
        <v>1109</v>
      </c>
      <c r="I1015" s="43" t="n">
        <v>75</v>
      </c>
      <c r="J1015" s="43" t="n">
        <v>1035</v>
      </c>
      <c r="K1015" s="42" t="inlineStr">
        <is>
          <t>Governor</t>
        </is>
      </c>
      <c r="L1015" s="43" t="n">
        <v>60</v>
      </c>
      <c r="M1015" s="43" t="n">
        <v>831</v>
      </c>
      <c r="N1015" s="43" t="n">
        <v>901</v>
      </c>
      <c r="O1015" s="44">
        <f>IFERROR((F1015-G1015)/(F1015+G1015),"")</f>
        <v/>
      </c>
      <c r="P1015" s="44">
        <f>IFERROR((I1015-J1015)/(I1015+J1015),"")</f>
        <v/>
      </c>
      <c r="Q1015" s="45">
        <f>IFERROR(O1015-P1015,"")</f>
        <v/>
      </c>
      <c r="R1015" s="44">
        <f>IFERROR((L1015-M1015)/(L1015+M1015),"")</f>
        <v/>
      </c>
      <c r="S1015" s="46">
        <f>H1015/SUMIFS(Counties!$H$2:$H$1583,Counties!$A$2:$A$1583,$A1015)</f>
        <v/>
      </c>
      <c r="T1015" s="44">
        <f>O1015+INDEX(Dashboard!$F$6:$F$22,MATCH($A1015,Dashboard!$A$6:$A$22,0))</f>
        <v/>
      </c>
      <c r="U1015" s="43">
        <f>AQ1015*INDEX(Dashboard!$G$6:$G$22,MATCH($A1015,Dashboard!$A$6:$A$22,0))</f>
        <v/>
      </c>
      <c r="V1015" s="47" t="n"/>
      <c r="W1015" s="47" t="n"/>
      <c r="X1015" s="47" t="n"/>
      <c r="Y1015" s="48" t="n"/>
      <c r="Z1015" s="49" t="n"/>
      <c r="AA1015" s="49" t="n"/>
      <c r="AB1015" s="49" t="n"/>
      <c r="AC1015" s="50" t="n"/>
      <c r="AD1015" s="43">
        <f>IF(Z1015&lt;&gt;"",Z1015,N(V1015))</f>
        <v/>
      </c>
      <c r="AE1015" s="43">
        <f>IF(AA1015&lt;&gt;"",AA1015,N(W1015))</f>
        <v/>
      </c>
      <c r="AF1015" s="43">
        <f>AD1015+AE1015</f>
        <v/>
      </c>
      <c r="AG1015" s="42">
        <f>IF(UPPER(AC1015)="Y",1,IF(AF1015=0,0,IF(AND(Z1015="",Y1015&lt;&gt;""),IF(Y1015&gt;=0.999,1,0),IF(AF1015&gt;=U1015,1,0))))</f>
        <v/>
      </c>
      <c r="AH1015" s="44">
        <f>IF(AF1015&gt;0,(AD1015-AE1015)/AF1015,"")</f>
        <v/>
      </c>
      <c r="AI1015" s="45">
        <f>IF(AG1015=1,AH1015-O1015,"")</f>
        <v/>
      </c>
      <c r="AJ1015" s="44">
        <f>IF(AG1015=1,AH1015,MAX(-1,MIN(1,O1015+INDEX(Types!$H:$H,MATCH($A1015&amp;"|"&amp;$D1015,Types!$A:$A,0)))))</f>
        <v/>
      </c>
      <c r="AK1015" s="43">
        <f>IF(AG1015=1,AF1015,MAX(AQ1015*AS1015,AF1015))</f>
        <v/>
      </c>
      <c r="AL1015" s="43">
        <f>IF(AG1015=1,AD1015,AK1015*(1+AJ1015)/2)</f>
        <v/>
      </c>
      <c r="AM1015" s="43">
        <f>IF(AG1015=1,AE1015,AK1015*(1-AJ1015)/2)</f>
        <v/>
      </c>
      <c r="AN1015" s="45">
        <f>IF(AH1015="","",AH1015-T1015)</f>
        <v/>
      </c>
      <c r="AO1015" s="51">
        <f>IF(AG1015=1,1,IF(U1015&gt;0,MIN(AF1015/U1015,0.99),0))</f>
        <v/>
      </c>
      <c r="AP1015" s="43">
        <f>IF(AG1015=1,AI1015*AF1015,0)</f>
        <v/>
      </c>
      <c r="AQ1015" s="43">
        <f>N1015*(F1015+G1015)/H1015</f>
        <v/>
      </c>
      <c r="AR1015" s="43">
        <f>O1015*AQ1015</f>
        <v/>
      </c>
      <c r="AS1015" s="52">
        <f>IF(AG1015=1,IF(AQ1015&gt;0,AF1015/AQ1015,1),IFERROR(INDEX(Types!$K:$K,MATCH($A1015&amp;"|"&amp;$D1015,Types!$A:$A,0)),INDEX(Dashboard!$X$6:$X$22,MATCH($A1015,Dashboard!$A$6:$A$22,0))))</f>
        <v/>
      </c>
      <c r="AT1015" s="43">
        <f>AQ1015*INDEX(Dashboard!$Y$6:$Y$22,MATCH($A1015,Dashboard!$A$6:$A$22,0))</f>
        <v/>
      </c>
      <c r="AU1015" s="53">
        <f>IF(AND(AG1015=1,AT1015&gt;0,AF1015&gt;0),100*AF1015/AT1015,"")</f>
        <v/>
      </c>
      <c r="AV1015" s="44">
        <f>IF(AU1015="","",T1015/(AU1015/100))</f>
        <v/>
      </c>
      <c r="AW1015" s="53">
        <f>IF(AU1015="","",IF(AND(ABS(AH1015)&gt;=0.1,ABS(T1015)&gt;=0.05,SIGN(AH1015)=SIGN(T1015)),100*T1015/AH1015,""))</f>
        <v/>
      </c>
      <c r="AX1015" s="45">
        <f>IF(AU1015="","",T1015-AV1015)</f>
        <v/>
      </c>
      <c r="AY1015" s="45">
        <f>IF(AU1015="","",AH1015-AV1015)</f>
        <v/>
      </c>
      <c r="AZ1015" s="54">
        <f>(AL1015-AM1015)-T1015*AT1015</f>
        <v/>
      </c>
      <c r="BA1015" s="43">
        <f>IF(AU1015="",0,(AH1015-T1015)*AF1015)</f>
        <v/>
      </c>
      <c r="BB1015" s="43">
        <f>IF(AU1015="",0,T1015*(AF1015-AT1015))</f>
        <v/>
      </c>
      <c r="BC1015" s="51" t="n">
        <v>0.01692139737991267</v>
      </c>
      <c r="BD1015" s="51" t="n">
        <v>0.1097161572052402</v>
      </c>
      <c r="BE1015" s="51" t="n">
        <v>0.2141194724592708</v>
      </c>
      <c r="BF1015" s="43" t="n">
        <v>1832</v>
      </c>
    </row>
    <row r="1016">
      <c r="A1016" s="42" t="inlineStr">
        <is>
          <t>TX</t>
        </is>
      </c>
      <c r="B1016" s="42" t="inlineStr">
        <is>
          <t>48013</t>
        </is>
      </c>
      <c r="C1016" s="42" t="inlineStr">
        <is>
          <t>Atascosa</t>
        </is>
      </c>
      <c r="D1016" s="42" t="inlineStr">
        <is>
          <t>Hispanic</t>
        </is>
      </c>
      <c r="E1016" s="42" t="inlineStr"/>
      <c r="F1016" s="43" t="n">
        <v>5153</v>
      </c>
      <c r="G1016" s="43" t="n">
        <v>13142</v>
      </c>
      <c r="H1016" s="43" t="n">
        <v>18442</v>
      </c>
      <c r="I1016" s="43" t="n">
        <v>5876</v>
      </c>
      <c r="J1016" s="43" t="n">
        <v>12039</v>
      </c>
      <c r="K1016" s="42" t="inlineStr">
        <is>
          <t>Governor</t>
        </is>
      </c>
      <c r="L1016" s="43" t="n">
        <v>3708</v>
      </c>
      <c r="M1016" s="43" t="n">
        <v>8801</v>
      </c>
      <c r="N1016" s="43" t="n">
        <v>12706</v>
      </c>
      <c r="O1016" s="44">
        <f>IFERROR((F1016-G1016)/(F1016+G1016),"")</f>
        <v/>
      </c>
      <c r="P1016" s="44">
        <f>IFERROR((I1016-J1016)/(I1016+J1016),"")</f>
        <v/>
      </c>
      <c r="Q1016" s="45">
        <f>IFERROR(O1016-P1016,"")</f>
        <v/>
      </c>
      <c r="R1016" s="44">
        <f>IFERROR((L1016-M1016)/(L1016+M1016),"")</f>
        <v/>
      </c>
      <c r="S1016" s="46">
        <f>H1016/SUMIFS(Counties!$H$2:$H$1583,Counties!$A$2:$A$1583,$A1016)</f>
        <v/>
      </c>
      <c r="T1016" s="44">
        <f>O1016+INDEX(Dashboard!$F$6:$F$22,MATCH($A1016,Dashboard!$A$6:$A$22,0))</f>
        <v/>
      </c>
      <c r="U1016" s="43">
        <f>AQ1016*INDEX(Dashboard!$G$6:$G$22,MATCH($A1016,Dashboard!$A$6:$A$22,0))</f>
        <v/>
      </c>
      <c r="V1016" s="47" t="n"/>
      <c r="W1016" s="47" t="n"/>
      <c r="X1016" s="47" t="n"/>
      <c r="Y1016" s="48" t="n"/>
      <c r="Z1016" s="49" t="n"/>
      <c r="AA1016" s="49" t="n"/>
      <c r="AB1016" s="49" t="n"/>
      <c r="AC1016" s="50" t="n"/>
      <c r="AD1016" s="43">
        <f>IF(Z1016&lt;&gt;"",Z1016,N(V1016))</f>
        <v/>
      </c>
      <c r="AE1016" s="43">
        <f>IF(AA1016&lt;&gt;"",AA1016,N(W1016))</f>
        <v/>
      </c>
      <c r="AF1016" s="43">
        <f>AD1016+AE1016</f>
        <v/>
      </c>
      <c r="AG1016" s="42">
        <f>IF(UPPER(AC1016)="Y",1,IF(AF1016=0,0,IF(AND(Z1016="",Y1016&lt;&gt;""),IF(Y1016&gt;=0.999,1,0),IF(AF1016&gt;=U1016,1,0))))</f>
        <v/>
      </c>
      <c r="AH1016" s="44">
        <f>IF(AF1016&gt;0,(AD1016-AE1016)/AF1016,"")</f>
        <v/>
      </c>
      <c r="AI1016" s="45">
        <f>IF(AG1016=1,AH1016-O1016,"")</f>
        <v/>
      </c>
      <c r="AJ1016" s="44">
        <f>IF(AG1016=1,AH1016,MAX(-1,MIN(1,O1016+INDEX(Types!$H:$H,MATCH($A1016&amp;"|"&amp;$D1016,Types!$A:$A,0)))))</f>
        <v/>
      </c>
      <c r="AK1016" s="43">
        <f>IF(AG1016=1,AF1016,MAX(AQ1016*AS1016,AF1016))</f>
        <v/>
      </c>
      <c r="AL1016" s="43">
        <f>IF(AG1016=1,AD1016,AK1016*(1+AJ1016)/2)</f>
        <v/>
      </c>
      <c r="AM1016" s="43">
        <f>IF(AG1016=1,AE1016,AK1016*(1-AJ1016)/2)</f>
        <v/>
      </c>
      <c r="AN1016" s="45">
        <f>IF(AH1016="","",AH1016-T1016)</f>
        <v/>
      </c>
      <c r="AO1016" s="51">
        <f>IF(AG1016=1,1,IF(U1016&gt;0,MIN(AF1016/U1016,0.99),0))</f>
        <v/>
      </c>
      <c r="AP1016" s="43">
        <f>IF(AG1016=1,AI1016*AF1016,0)</f>
        <v/>
      </c>
      <c r="AQ1016" s="43">
        <f>N1016*(F1016+G1016)/H1016</f>
        <v/>
      </c>
      <c r="AR1016" s="43">
        <f>O1016*AQ1016</f>
        <v/>
      </c>
      <c r="AS1016" s="52">
        <f>IF(AG1016=1,IF(AQ1016&gt;0,AF1016/AQ1016,1),IFERROR(INDEX(Types!$K:$K,MATCH($A1016&amp;"|"&amp;$D1016,Types!$A:$A,0)),INDEX(Dashboard!$X$6:$X$22,MATCH($A1016,Dashboard!$A$6:$A$22,0))))</f>
        <v/>
      </c>
      <c r="AT1016" s="43">
        <f>AQ1016*INDEX(Dashboard!$Y$6:$Y$22,MATCH($A1016,Dashboard!$A$6:$A$22,0))</f>
        <v/>
      </c>
      <c r="AU1016" s="53">
        <f>IF(AND(AG1016=1,AT1016&gt;0,AF1016&gt;0),100*AF1016/AT1016,"")</f>
        <v/>
      </c>
      <c r="AV1016" s="44">
        <f>IF(AU1016="","",T1016/(AU1016/100))</f>
        <v/>
      </c>
      <c r="AW1016" s="53">
        <f>IF(AU1016="","",IF(AND(ABS(AH1016)&gt;=0.1,ABS(T1016)&gt;=0.05,SIGN(AH1016)=SIGN(T1016)),100*T1016/AH1016,""))</f>
        <v/>
      </c>
      <c r="AX1016" s="45">
        <f>IF(AU1016="","",T1016-AV1016)</f>
        <v/>
      </c>
      <c r="AY1016" s="45">
        <f>IF(AU1016="","",AH1016-AV1016)</f>
        <v/>
      </c>
      <c r="AZ1016" s="54">
        <f>(AL1016-AM1016)-T1016*AT1016</f>
        <v/>
      </c>
      <c r="BA1016" s="43">
        <f>IF(AU1016="",0,(AH1016-T1016)*AF1016)</f>
        <v/>
      </c>
      <c r="BB1016" s="43">
        <f>IF(AU1016="",0,T1016*(AF1016-AT1016))</f>
        <v/>
      </c>
      <c r="BC1016" s="51" t="n">
        <v>0.01162521242082496</v>
      </c>
      <c r="BD1016" s="51" t="n">
        <v>0.6601073690715279</v>
      </c>
      <c r="BE1016" s="51" t="n">
        <v>0.1526655896607431</v>
      </c>
      <c r="BF1016" s="43" t="n">
        <v>51784</v>
      </c>
    </row>
    <row r="1017">
      <c r="A1017" s="42" t="inlineStr">
        <is>
          <t>TX</t>
        </is>
      </c>
      <c r="B1017" s="42" t="inlineStr">
        <is>
          <t>48015</t>
        </is>
      </c>
      <c r="C1017" s="42" t="inlineStr">
        <is>
          <t>Austin</t>
        </is>
      </c>
      <c r="D1017" s="42" t="inlineStr">
        <is>
          <t>Small town &amp; rural</t>
        </is>
      </c>
      <c r="E1017" s="42" t="inlineStr"/>
      <c r="F1017" s="43" t="n">
        <v>2816</v>
      </c>
      <c r="G1017" s="43" t="n">
        <v>12457</v>
      </c>
      <c r="H1017" s="43" t="n">
        <v>15379</v>
      </c>
      <c r="I1017" s="43" t="n">
        <v>2951</v>
      </c>
      <c r="J1017" s="43" t="n">
        <v>11447</v>
      </c>
      <c r="K1017" s="42" t="inlineStr">
        <is>
          <t>Governor</t>
        </is>
      </c>
      <c r="L1017" s="43" t="n">
        <v>1873</v>
      </c>
      <c r="M1017" s="43" t="n">
        <v>9209</v>
      </c>
      <c r="N1017" s="43" t="n">
        <v>11216</v>
      </c>
      <c r="O1017" s="44">
        <f>IFERROR((F1017-G1017)/(F1017+G1017),"")</f>
        <v/>
      </c>
      <c r="P1017" s="44">
        <f>IFERROR((I1017-J1017)/(I1017+J1017),"")</f>
        <v/>
      </c>
      <c r="Q1017" s="45">
        <f>IFERROR(O1017-P1017,"")</f>
        <v/>
      </c>
      <c r="R1017" s="44">
        <f>IFERROR((L1017-M1017)/(L1017+M1017),"")</f>
        <v/>
      </c>
      <c r="S1017" s="46">
        <f>H1017/SUMIFS(Counties!$H$2:$H$1583,Counties!$A$2:$A$1583,$A1017)</f>
        <v/>
      </c>
      <c r="T1017" s="44">
        <f>O1017+INDEX(Dashboard!$F$6:$F$22,MATCH($A1017,Dashboard!$A$6:$A$22,0))</f>
        <v/>
      </c>
      <c r="U1017" s="43">
        <f>AQ1017*INDEX(Dashboard!$G$6:$G$22,MATCH($A1017,Dashboard!$A$6:$A$22,0))</f>
        <v/>
      </c>
      <c r="V1017" s="47" t="n"/>
      <c r="W1017" s="47" t="n"/>
      <c r="X1017" s="47" t="n"/>
      <c r="Y1017" s="48" t="n"/>
      <c r="Z1017" s="49" t="n"/>
      <c r="AA1017" s="49" t="n"/>
      <c r="AB1017" s="49" t="n"/>
      <c r="AC1017" s="50" t="n"/>
      <c r="AD1017" s="43">
        <f>IF(Z1017&lt;&gt;"",Z1017,N(V1017))</f>
        <v/>
      </c>
      <c r="AE1017" s="43">
        <f>IF(AA1017&lt;&gt;"",AA1017,N(W1017))</f>
        <v/>
      </c>
      <c r="AF1017" s="43">
        <f>AD1017+AE1017</f>
        <v/>
      </c>
      <c r="AG1017" s="42">
        <f>IF(UPPER(AC1017)="Y",1,IF(AF1017=0,0,IF(AND(Z1017="",Y1017&lt;&gt;""),IF(Y1017&gt;=0.999,1,0),IF(AF1017&gt;=U1017,1,0))))</f>
        <v/>
      </c>
      <c r="AH1017" s="44">
        <f>IF(AF1017&gt;0,(AD1017-AE1017)/AF1017,"")</f>
        <v/>
      </c>
      <c r="AI1017" s="45">
        <f>IF(AG1017=1,AH1017-O1017,"")</f>
        <v/>
      </c>
      <c r="AJ1017" s="44">
        <f>IF(AG1017=1,AH1017,MAX(-1,MIN(1,O1017+INDEX(Types!$H:$H,MATCH($A1017&amp;"|"&amp;$D1017,Types!$A:$A,0)))))</f>
        <v/>
      </c>
      <c r="AK1017" s="43">
        <f>IF(AG1017=1,AF1017,MAX(AQ1017*AS1017,AF1017))</f>
        <v/>
      </c>
      <c r="AL1017" s="43">
        <f>IF(AG1017=1,AD1017,AK1017*(1+AJ1017)/2)</f>
        <v/>
      </c>
      <c r="AM1017" s="43">
        <f>IF(AG1017=1,AE1017,AK1017*(1-AJ1017)/2)</f>
        <v/>
      </c>
      <c r="AN1017" s="45">
        <f>IF(AH1017="","",AH1017-T1017)</f>
        <v/>
      </c>
      <c r="AO1017" s="51">
        <f>IF(AG1017=1,1,IF(U1017&gt;0,MIN(AF1017/U1017,0.99),0))</f>
        <v/>
      </c>
      <c r="AP1017" s="43">
        <f>IF(AG1017=1,AI1017*AF1017,0)</f>
        <v/>
      </c>
      <c r="AQ1017" s="43">
        <f>N1017*(F1017+G1017)/H1017</f>
        <v/>
      </c>
      <c r="AR1017" s="43">
        <f>O1017*AQ1017</f>
        <v/>
      </c>
      <c r="AS1017" s="52">
        <f>IF(AG1017=1,IF(AQ1017&gt;0,AF1017/AQ1017,1),IFERROR(INDEX(Types!$K:$K,MATCH($A1017&amp;"|"&amp;$D1017,Types!$A:$A,0)),INDEX(Dashboard!$X$6:$X$22,MATCH($A1017,Dashboard!$A$6:$A$22,0))))</f>
        <v/>
      </c>
      <c r="AT1017" s="43">
        <f>AQ1017*INDEX(Dashboard!$Y$6:$Y$22,MATCH($A1017,Dashboard!$A$6:$A$22,0))</f>
        <v/>
      </c>
      <c r="AU1017" s="53">
        <f>IF(AND(AG1017=1,AT1017&gt;0,AF1017&gt;0),100*AF1017/AT1017,"")</f>
        <v/>
      </c>
      <c r="AV1017" s="44">
        <f>IF(AU1017="","",T1017/(AU1017/100))</f>
        <v/>
      </c>
      <c r="AW1017" s="53">
        <f>IF(AU1017="","",IF(AND(ABS(AH1017)&gt;=0.1,ABS(T1017)&gt;=0.05,SIGN(AH1017)=SIGN(T1017)),100*T1017/AH1017,""))</f>
        <v/>
      </c>
      <c r="AX1017" s="45">
        <f>IF(AU1017="","",T1017-AV1017)</f>
        <v/>
      </c>
      <c r="AY1017" s="45">
        <f>IF(AU1017="","",AH1017-AV1017)</f>
        <v/>
      </c>
      <c r="AZ1017" s="54">
        <f>(AL1017-AM1017)-T1017*AT1017</f>
        <v/>
      </c>
      <c r="BA1017" s="43">
        <f>IF(AU1017="",0,(AH1017-T1017)*AF1017)</f>
        <v/>
      </c>
      <c r="BB1017" s="43">
        <f>IF(AU1017="",0,T1017*(AF1017-AT1017))</f>
        <v/>
      </c>
      <c r="BC1017" s="51" t="n">
        <v>0.08574044259241721</v>
      </c>
      <c r="BD1017" s="51" t="n">
        <v>0.2824446759478486</v>
      </c>
      <c r="BE1017" s="51" t="n">
        <v>0.2342024900164435</v>
      </c>
      <c r="BF1017" s="43" t="n">
        <v>31677</v>
      </c>
    </row>
    <row r="1018">
      <c r="A1018" s="42" t="inlineStr">
        <is>
          <t>TX</t>
        </is>
      </c>
      <c r="B1018" s="42" t="inlineStr">
        <is>
          <t>48017</t>
        </is>
      </c>
      <c r="C1018" s="42" t="inlineStr">
        <is>
          <t>Bailey</t>
        </is>
      </c>
      <c r="D1018" s="42" t="inlineStr">
        <is>
          <t>Hispanic</t>
        </is>
      </c>
      <c r="E1018" s="42" t="inlineStr"/>
      <c r="F1018" s="43" t="n">
        <v>332</v>
      </c>
      <c r="G1018" s="43" t="n">
        <v>1395</v>
      </c>
      <c r="H1018" s="43" t="n">
        <v>1740</v>
      </c>
      <c r="I1018" s="43" t="n">
        <v>409</v>
      </c>
      <c r="J1018" s="43" t="n">
        <v>1434</v>
      </c>
      <c r="K1018" s="42" t="inlineStr">
        <is>
          <t>Governor</t>
        </is>
      </c>
      <c r="L1018" s="43" t="n">
        <v>213</v>
      </c>
      <c r="M1018" s="43" t="n">
        <v>1105</v>
      </c>
      <c r="N1018" s="43" t="n">
        <v>1333</v>
      </c>
      <c r="O1018" s="44">
        <f>IFERROR((F1018-G1018)/(F1018+G1018),"")</f>
        <v/>
      </c>
      <c r="P1018" s="44">
        <f>IFERROR((I1018-J1018)/(I1018+J1018),"")</f>
        <v/>
      </c>
      <c r="Q1018" s="45">
        <f>IFERROR(O1018-P1018,"")</f>
        <v/>
      </c>
      <c r="R1018" s="44">
        <f>IFERROR((L1018-M1018)/(L1018+M1018),"")</f>
        <v/>
      </c>
      <c r="S1018" s="46">
        <f>H1018/SUMIFS(Counties!$H$2:$H$1583,Counties!$A$2:$A$1583,$A1018)</f>
        <v/>
      </c>
      <c r="T1018" s="44">
        <f>O1018+INDEX(Dashboard!$F$6:$F$22,MATCH($A1018,Dashboard!$A$6:$A$22,0))</f>
        <v/>
      </c>
      <c r="U1018" s="43">
        <f>AQ1018*INDEX(Dashboard!$G$6:$G$22,MATCH($A1018,Dashboard!$A$6:$A$22,0))</f>
        <v/>
      </c>
      <c r="V1018" s="47" t="n"/>
      <c r="W1018" s="47" t="n"/>
      <c r="X1018" s="47" t="n"/>
      <c r="Y1018" s="48" t="n"/>
      <c r="Z1018" s="49" t="n"/>
      <c r="AA1018" s="49" t="n"/>
      <c r="AB1018" s="49" t="n"/>
      <c r="AC1018" s="50" t="n"/>
      <c r="AD1018" s="43">
        <f>IF(Z1018&lt;&gt;"",Z1018,N(V1018))</f>
        <v/>
      </c>
      <c r="AE1018" s="43">
        <f>IF(AA1018&lt;&gt;"",AA1018,N(W1018))</f>
        <v/>
      </c>
      <c r="AF1018" s="43">
        <f>AD1018+AE1018</f>
        <v/>
      </c>
      <c r="AG1018" s="42">
        <f>IF(UPPER(AC1018)="Y",1,IF(AF1018=0,0,IF(AND(Z1018="",Y1018&lt;&gt;""),IF(Y1018&gt;=0.999,1,0),IF(AF1018&gt;=U1018,1,0))))</f>
        <v/>
      </c>
      <c r="AH1018" s="44">
        <f>IF(AF1018&gt;0,(AD1018-AE1018)/AF1018,"")</f>
        <v/>
      </c>
      <c r="AI1018" s="45">
        <f>IF(AG1018=1,AH1018-O1018,"")</f>
        <v/>
      </c>
      <c r="AJ1018" s="44">
        <f>IF(AG1018=1,AH1018,MAX(-1,MIN(1,O1018+INDEX(Types!$H:$H,MATCH($A1018&amp;"|"&amp;$D1018,Types!$A:$A,0)))))</f>
        <v/>
      </c>
      <c r="AK1018" s="43">
        <f>IF(AG1018=1,AF1018,MAX(AQ1018*AS1018,AF1018))</f>
        <v/>
      </c>
      <c r="AL1018" s="43">
        <f>IF(AG1018=1,AD1018,AK1018*(1+AJ1018)/2)</f>
        <v/>
      </c>
      <c r="AM1018" s="43">
        <f>IF(AG1018=1,AE1018,AK1018*(1-AJ1018)/2)</f>
        <v/>
      </c>
      <c r="AN1018" s="45">
        <f>IF(AH1018="","",AH1018-T1018)</f>
        <v/>
      </c>
      <c r="AO1018" s="51">
        <f>IF(AG1018=1,1,IF(U1018&gt;0,MIN(AF1018/U1018,0.99),0))</f>
        <v/>
      </c>
      <c r="AP1018" s="43">
        <f>IF(AG1018=1,AI1018*AF1018,0)</f>
        <v/>
      </c>
      <c r="AQ1018" s="43">
        <f>N1018*(F1018+G1018)/H1018</f>
        <v/>
      </c>
      <c r="AR1018" s="43">
        <f>O1018*AQ1018</f>
        <v/>
      </c>
      <c r="AS1018" s="52">
        <f>IF(AG1018=1,IF(AQ1018&gt;0,AF1018/AQ1018,1),IFERROR(INDEX(Types!$K:$K,MATCH($A1018&amp;"|"&amp;$D1018,Types!$A:$A,0)),INDEX(Dashboard!$X$6:$X$22,MATCH($A1018,Dashboard!$A$6:$A$22,0))))</f>
        <v/>
      </c>
      <c r="AT1018" s="43">
        <f>AQ1018*INDEX(Dashboard!$Y$6:$Y$22,MATCH($A1018,Dashboard!$A$6:$A$22,0))</f>
        <v/>
      </c>
      <c r="AU1018" s="53">
        <f>IF(AND(AG1018=1,AT1018&gt;0,AF1018&gt;0),100*AF1018/AT1018,"")</f>
        <v/>
      </c>
      <c r="AV1018" s="44">
        <f>IF(AU1018="","",T1018/(AU1018/100))</f>
        <v/>
      </c>
      <c r="AW1018" s="53">
        <f>IF(AU1018="","",IF(AND(ABS(AH1018)&gt;=0.1,ABS(T1018)&gt;=0.05,SIGN(AH1018)=SIGN(T1018)),100*T1018/AH1018,""))</f>
        <v/>
      </c>
      <c r="AX1018" s="45">
        <f>IF(AU1018="","",T1018-AV1018)</f>
        <v/>
      </c>
      <c r="AY1018" s="45">
        <f>IF(AU1018="","",AH1018-AV1018)</f>
        <v/>
      </c>
      <c r="AZ1018" s="54">
        <f>(AL1018-AM1018)-T1018*AT1018</f>
        <v/>
      </c>
      <c r="BA1018" s="43">
        <f>IF(AU1018="",0,(AH1018-T1018)*AF1018)</f>
        <v/>
      </c>
      <c r="BB1018" s="43">
        <f>IF(AU1018="",0,T1018*(AF1018-AT1018))</f>
        <v/>
      </c>
      <c r="BC1018" s="51" t="n">
        <v>0.01483812949640288</v>
      </c>
      <c r="BD1018" s="51" t="n">
        <v>0.6629196642685852</v>
      </c>
      <c r="BE1018" s="51" t="n">
        <v>0.1673965936739659</v>
      </c>
      <c r="BF1018" s="43" t="n">
        <v>6672</v>
      </c>
    </row>
    <row r="1019">
      <c r="A1019" s="42" t="inlineStr">
        <is>
          <t>TX</t>
        </is>
      </c>
      <c r="B1019" s="42" t="inlineStr">
        <is>
          <t>48019</t>
        </is>
      </c>
      <c r="C1019" s="42" t="inlineStr">
        <is>
          <t>Bandera</t>
        </is>
      </c>
      <c r="D1019" s="42" t="inlineStr">
        <is>
          <t>Small town &amp; rural</t>
        </is>
      </c>
      <c r="E1019" s="42" t="inlineStr"/>
      <c r="F1019" s="43" t="n">
        <v>2532</v>
      </c>
      <c r="G1019" s="43" t="n">
        <v>10939</v>
      </c>
      <c r="H1019" s="43" t="n">
        <v>13592</v>
      </c>
      <c r="I1019" s="43" t="n">
        <v>2505</v>
      </c>
      <c r="J1019" s="43" t="n">
        <v>10057</v>
      </c>
      <c r="K1019" s="42" t="inlineStr">
        <is>
          <t>Governor</t>
        </is>
      </c>
      <c r="L1019" s="43" t="n">
        <v>1816</v>
      </c>
      <c r="M1019" s="43" t="n">
        <v>8527</v>
      </c>
      <c r="N1019" s="43" t="n">
        <v>10484</v>
      </c>
      <c r="O1019" s="44">
        <f>IFERROR((F1019-G1019)/(F1019+G1019),"")</f>
        <v/>
      </c>
      <c r="P1019" s="44">
        <f>IFERROR((I1019-J1019)/(I1019+J1019),"")</f>
        <v/>
      </c>
      <c r="Q1019" s="45">
        <f>IFERROR(O1019-P1019,"")</f>
        <v/>
      </c>
      <c r="R1019" s="44">
        <f>IFERROR((L1019-M1019)/(L1019+M1019),"")</f>
        <v/>
      </c>
      <c r="S1019" s="46">
        <f>H1019/SUMIFS(Counties!$H$2:$H$1583,Counties!$A$2:$A$1583,$A1019)</f>
        <v/>
      </c>
      <c r="T1019" s="44">
        <f>O1019+INDEX(Dashboard!$F$6:$F$22,MATCH($A1019,Dashboard!$A$6:$A$22,0))</f>
        <v/>
      </c>
      <c r="U1019" s="43">
        <f>AQ1019*INDEX(Dashboard!$G$6:$G$22,MATCH($A1019,Dashboard!$A$6:$A$22,0))</f>
        <v/>
      </c>
      <c r="V1019" s="47" t="n"/>
      <c r="W1019" s="47" t="n"/>
      <c r="X1019" s="47" t="n"/>
      <c r="Y1019" s="48" t="n"/>
      <c r="Z1019" s="49" t="n"/>
      <c r="AA1019" s="49" t="n"/>
      <c r="AB1019" s="49" t="n"/>
      <c r="AC1019" s="50" t="n"/>
      <c r="AD1019" s="43">
        <f>IF(Z1019&lt;&gt;"",Z1019,N(V1019))</f>
        <v/>
      </c>
      <c r="AE1019" s="43">
        <f>IF(AA1019&lt;&gt;"",AA1019,N(W1019))</f>
        <v/>
      </c>
      <c r="AF1019" s="43">
        <f>AD1019+AE1019</f>
        <v/>
      </c>
      <c r="AG1019" s="42">
        <f>IF(UPPER(AC1019)="Y",1,IF(AF1019=0,0,IF(AND(Z1019="",Y1019&lt;&gt;""),IF(Y1019&gt;=0.999,1,0),IF(AF1019&gt;=U1019,1,0))))</f>
        <v/>
      </c>
      <c r="AH1019" s="44">
        <f>IF(AF1019&gt;0,(AD1019-AE1019)/AF1019,"")</f>
        <v/>
      </c>
      <c r="AI1019" s="45">
        <f>IF(AG1019=1,AH1019-O1019,"")</f>
        <v/>
      </c>
      <c r="AJ1019" s="44">
        <f>IF(AG1019=1,AH1019,MAX(-1,MIN(1,O1019+INDEX(Types!$H:$H,MATCH($A1019&amp;"|"&amp;$D1019,Types!$A:$A,0)))))</f>
        <v/>
      </c>
      <c r="AK1019" s="43">
        <f>IF(AG1019=1,AF1019,MAX(AQ1019*AS1019,AF1019))</f>
        <v/>
      </c>
      <c r="AL1019" s="43">
        <f>IF(AG1019=1,AD1019,AK1019*(1+AJ1019)/2)</f>
        <v/>
      </c>
      <c r="AM1019" s="43">
        <f>IF(AG1019=1,AE1019,AK1019*(1-AJ1019)/2)</f>
        <v/>
      </c>
      <c r="AN1019" s="45">
        <f>IF(AH1019="","",AH1019-T1019)</f>
        <v/>
      </c>
      <c r="AO1019" s="51">
        <f>IF(AG1019=1,1,IF(U1019&gt;0,MIN(AF1019/U1019,0.99),0))</f>
        <v/>
      </c>
      <c r="AP1019" s="43">
        <f>IF(AG1019=1,AI1019*AF1019,0)</f>
        <v/>
      </c>
      <c r="AQ1019" s="43">
        <f>N1019*(F1019+G1019)/H1019</f>
        <v/>
      </c>
      <c r="AR1019" s="43">
        <f>O1019*AQ1019</f>
        <v/>
      </c>
      <c r="AS1019" s="52">
        <f>IF(AG1019=1,IF(AQ1019&gt;0,AF1019/AQ1019,1),IFERROR(INDEX(Types!$K:$K,MATCH($A1019&amp;"|"&amp;$D1019,Types!$A:$A,0)),INDEX(Dashboard!$X$6:$X$22,MATCH($A1019,Dashboard!$A$6:$A$22,0))))</f>
        <v/>
      </c>
      <c r="AT1019" s="43">
        <f>AQ1019*INDEX(Dashboard!$Y$6:$Y$22,MATCH($A1019,Dashboard!$A$6:$A$22,0))</f>
        <v/>
      </c>
      <c r="AU1019" s="53">
        <f>IF(AND(AG1019=1,AT1019&gt;0,AF1019&gt;0),100*AF1019/AT1019,"")</f>
        <v/>
      </c>
      <c r="AV1019" s="44">
        <f>IF(AU1019="","",T1019/(AU1019/100))</f>
        <v/>
      </c>
      <c r="AW1019" s="53">
        <f>IF(AU1019="","",IF(AND(ABS(AH1019)&gt;=0.1,ABS(T1019)&gt;=0.05,SIGN(AH1019)=SIGN(T1019)),100*T1019/AH1019,""))</f>
        <v/>
      </c>
      <c r="AX1019" s="45">
        <f>IF(AU1019="","",T1019-AV1019)</f>
        <v/>
      </c>
      <c r="AY1019" s="45">
        <f>IF(AU1019="","",AH1019-AV1019)</f>
        <v/>
      </c>
      <c r="AZ1019" s="54">
        <f>(AL1019-AM1019)-T1019*AT1019</f>
        <v/>
      </c>
      <c r="BA1019" s="43">
        <f>IF(AU1019="",0,(AH1019-T1019)*AF1019)</f>
        <v/>
      </c>
      <c r="BB1019" s="43">
        <f>IF(AU1019="",0,T1019*(AF1019-AT1019))</f>
        <v/>
      </c>
      <c r="BC1019" s="51" t="n">
        <v>0.01400362238812563</v>
      </c>
      <c r="BD1019" s="51" t="n">
        <v>0.2159738481247515</v>
      </c>
      <c r="BE1019" s="51" t="n">
        <v>0.254835039817975</v>
      </c>
      <c r="BF1019" s="43" t="n">
        <v>22637</v>
      </c>
    </row>
    <row r="1020">
      <c r="A1020" s="42" t="inlineStr">
        <is>
          <t>TX</t>
        </is>
      </c>
      <c r="B1020" s="42" t="inlineStr">
        <is>
          <t>48021</t>
        </is>
      </c>
      <c r="C1020" s="42" t="inlineStr">
        <is>
          <t>Bastrop</t>
        </is>
      </c>
      <c r="D1020" s="42" t="inlineStr">
        <is>
          <t>Hispanic</t>
        </is>
      </c>
      <c r="E1020" s="42" t="inlineStr"/>
      <c r="F1020" s="43" t="n">
        <v>15989</v>
      </c>
      <c r="G1020" s="43" t="n">
        <v>23301</v>
      </c>
      <c r="H1020" s="43" t="n">
        <v>39788</v>
      </c>
      <c r="I1020" s="43" t="n">
        <v>15474</v>
      </c>
      <c r="J1020" s="43" t="n">
        <v>20516</v>
      </c>
      <c r="K1020" s="42" t="inlineStr">
        <is>
          <t>Governor</t>
        </is>
      </c>
      <c r="L1020" s="43" t="n">
        <v>12007</v>
      </c>
      <c r="M1020" s="43" t="n">
        <v>16707</v>
      </c>
      <c r="N1020" s="43" t="n">
        <v>29256</v>
      </c>
      <c r="O1020" s="44">
        <f>IFERROR((F1020-G1020)/(F1020+G1020),"")</f>
        <v/>
      </c>
      <c r="P1020" s="44">
        <f>IFERROR((I1020-J1020)/(I1020+J1020),"")</f>
        <v/>
      </c>
      <c r="Q1020" s="45">
        <f>IFERROR(O1020-P1020,"")</f>
        <v/>
      </c>
      <c r="R1020" s="44">
        <f>IFERROR((L1020-M1020)/(L1020+M1020),"")</f>
        <v/>
      </c>
      <c r="S1020" s="46">
        <f>H1020/SUMIFS(Counties!$H$2:$H$1583,Counties!$A$2:$A$1583,$A1020)</f>
        <v/>
      </c>
      <c r="T1020" s="44">
        <f>O1020+INDEX(Dashboard!$F$6:$F$22,MATCH($A1020,Dashboard!$A$6:$A$22,0))</f>
        <v/>
      </c>
      <c r="U1020" s="43">
        <f>AQ1020*INDEX(Dashboard!$G$6:$G$22,MATCH($A1020,Dashboard!$A$6:$A$22,0))</f>
        <v/>
      </c>
      <c r="V1020" s="47" t="n"/>
      <c r="W1020" s="47" t="n"/>
      <c r="X1020" s="47" t="n"/>
      <c r="Y1020" s="48" t="n"/>
      <c r="Z1020" s="49" t="n"/>
      <c r="AA1020" s="49" t="n"/>
      <c r="AB1020" s="49" t="n"/>
      <c r="AC1020" s="50" t="n"/>
      <c r="AD1020" s="43">
        <f>IF(Z1020&lt;&gt;"",Z1020,N(V1020))</f>
        <v/>
      </c>
      <c r="AE1020" s="43">
        <f>IF(AA1020&lt;&gt;"",AA1020,N(W1020))</f>
        <v/>
      </c>
      <c r="AF1020" s="43">
        <f>AD1020+AE1020</f>
        <v/>
      </c>
      <c r="AG1020" s="42">
        <f>IF(UPPER(AC1020)="Y",1,IF(AF1020=0,0,IF(AND(Z1020="",Y1020&lt;&gt;""),IF(Y1020&gt;=0.999,1,0),IF(AF1020&gt;=U1020,1,0))))</f>
        <v/>
      </c>
      <c r="AH1020" s="44">
        <f>IF(AF1020&gt;0,(AD1020-AE1020)/AF1020,"")</f>
        <v/>
      </c>
      <c r="AI1020" s="45">
        <f>IF(AG1020=1,AH1020-O1020,"")</f>
        <v/>
      </c>
      <c r="AJ1020" s="44">
        <f>IF(AG1020=1,AH1020,MAX(-1,MIN(1,O1020+INDEX(Types!$H:$H,MATCH($A1020&amp;"|"&amp;$D1020,Types!$A:$A,0)))))</f>
        <v/>
      </c>
      <c r="AK1020" s="43">
        <f>IF(AG1020=1,AF1020,MAX(AQ1020*AS1020,AF1020))</f>
        <v/>
      </c>
      <c r="AL1020" s="43">
        <f>IF(AG1020=1,AD1020,AK1020*(1+AJ1020)/2)</f>
        <v/>
      </c>
      <c r="AM1020" s="43">
        <f>IF(AG1020=1,AE1020,AK1020*(1-AJ1020)/2)</f>
        <v/>
      </c>
      <c r="AN1020" s="45">
        <f>IF(AH1020="","",AH1020-T1020)</f>
        <v/>
      </c>
      <c r="AO1020" s="51">
        <f>IF(AG1020=1,1,IF(U1020&gt;0,MIN(AF1020/U1020,0.99),0))</f>
        <v/>
      </c>
      <c r="AP1020" s="43">
        <f>IF(AG1020=1,AI1020*AF1020,0)</f>
        <v/>
      </c>
      <c r="AQ1020" s="43">
        <f>N1020*(F1020+G1020)/H1020</f>
        <v/>
      </c>
      <c r="AR1020" s="43">
        <f>O1020*AQ1020</f>
        <v/>
      </c>
      <c r="AS1020" s="52">
        <f>IF(AG1020=1,IF(AQ1020&gt;0,AF1020/AQ1020,1),IFERROR(INDEX(Types!$K:$K,MATCH($A1020&amp;"|"&amp;$D1020,Types!$A:$A,0)),INDEX(Dashboard!$X$6:$X$22,MATCH($A1020,Dashboard!$A$6:$A$22,0))))</f>
        <v/>
      </c>
      <c r="AT1020" s="43">
        <f>AQ1020*INDEX(Dashboard!$Y$6:$Y$22,MATCH($A1020,Dashboard!$A$6:$A$22,0))</f>
        <v/>
      </c>
      <c r="AU1020" s="53">
        <f>IF(AND(AG1020=1,AT1020&gt;0,AF1020&gt;0),100*AF1020/AT1020,"")</f>
        <v/>
      </c>
      <c r="AV1020" s="44">
        <f>IF(AU1020="","",T1020/(AU1020/100))</f>
        <v/>
      </c>
      <c r="AW1020" s="53">
        <f>IF(AU1020="","",IF(AND(ABS(AH1020)&gt;=0.1,ABS(T1020)&gt;=0.05,SIGN(AH1020)=SIGN(T1020)),100*T1020/AH1020,""))</f>
        <v/>
      </c>
      <c r="AX1020" s="45">
        <f>IF(AU1020="","",T1020-AV1020)</f>
        <v/>
      </c>
      <c r="AY1020" s="45">
        <f>IF(AU1020="","",AH1020-AV1020)</f>
        <v/>
      </c>
      <c r="AZ1020" s="54">
        <f>(AL1020-AM1020)-T1020*AT1020</f>
        <v/>
      </c>
      <c r="BA1020" s="43">
        <f>IF(AU1020="",0,(AH1020-T1020)*AF1020)</f>
        <v/>
      </c>
      <c r="BB1020" s="43">
        <f>IF(AU1020="",0,T1020*(AF1020-AT1020))</f>
        <v/>
      </c>
      <c r="BC1020" s="51" t="n">
        <v>0.05990359096571522</v>
      </c>
      <c r="BD1020" s="51" t="n">
        <v>0.4590442145552366</v>
      </c>
      <c r="BE1020" s="51" t="n">
        <v>0.2334559373224485</v>
      </c>
      <c r="BF1020" s="43" t="n">
        <v>110778</v>
      </c>
    </row>
    <row r="1021">
      <c r="A1021" s="42" t="inlineStr">
        <is>
          <t>TX</t>
        </is>
      </c>
      <c r="B1021" s="42" t="inlineStr">
        <is>
          <t>48023</t>
        </is>
      </c>
      <c r="C1021" s="42" t="inlineStr">
        <is>
          <t>Baylor</t>
        </is>
      </c>
      <c r="D1021" s="42" t="inlineStr">
        <is>
          <t>Small town &amp; rural</t>
        </is>
      </c>
      <c r="E1021" s="42" t="inlineStr"/>
      <c r="F1021" s="43" t="n">
        <v>184</v>
      </c>
      <c r="G1021" s="43" t="n">
        <v>1471</v>
      </c>
      <c r="H1021" s="43" t="n">
        <v>1670</v>
      </c>
      <c r="I1021" s="43" t="n">
        <v>183</v>
      </c>
      <c r="J1021" s="43" t="n">
        <v>1494</v>
      </c>
      <c r="K1021" s="42" t="inlineStr">
        <is>
          <t>Governor</t>
        </is>
      </c>
      <c r="L1021" s="43" t="n">
        <v>105</v>
      </c>
      <c r="M1021" s="43" t="n">
        <v>1183</v>
      </c>
      <c r="N1021" s="43" t="n">
        <v>1307</v>
      </c>
      <c r="O1021" s="44">
        <f>IFERROR((F1021-G1021)/(F1021+G1021),"")</f>
        <v/>
      </c>
      <c r="P1021" s="44">
        <f>IFERROR((I1021-J1021)/(I1021+J1021),"")</f>
        <v/>
      </c>
      <c r="Q1021" s="45">
        <f>IFERROR(O1021-P1021,"")</f>
        <v/>
      </c>
      <c r="R1021" s="44">
        <f>IFERROR((L1021-M1021)/(L1021+M1021),"")</f>
        <v/>
      </c>
      <c r="S1021" s="46">
        <f>H1021/SUMIFS(Counties!$H$2:$H$1583,Counties!$A$2:$A$1583,$A1021)</f>
        <v/>
      </c>
      <c r="T1021" s="44">
        <f>O1021+INDEX(Dashboard!$F$6:$F$22,MATCH($A1021,Dashboard!$A$6:$A$22,0))</f>
        <v/>
      </c>
      <c r="U1021" s="43">
        <f>AQ1021*INDEX(Dashboard!$G$6:$G$22,MATCH($A1021,Dashboard!$A$6:$A$22,0))</f>
        <v/>
      </c>
      <c r="V1021" s="47" t="n"/>
      <c r="W1021" s="47" t="n"/>
      <c r="X1021" s="47" t="n"/>
      <c r="Y1021" s="48" t="n"/>
      <c r="Z1021" s="49" t="n"/>
      <c r="AA1021" s="49" t="n"/>
      <c r="AB1021" s="49" t="n"/>
      <c r="AC1021" s="50" t="n"/>
      <c r="AD1021" s="43">
        <f>IF(Z1021&lt;&gt;"",Z1021,N(V1021))</f>
        <v/>
      </c>
      <c r="AE1021" s="43">
        <f>IF(AA1021&lt;&gt;"",AA1021,N(W1021))</f>
        <v/>
      </c>
      <c r="AF1021" s="43">
        <f>AD1021+AE1021</f>
        <v/>
      </c>
      <c r="AG1021" s="42">
        <f>IF(UPPER(AC1021)="Y",1,IF(AF1021=0,0,IF(AND(Z1021="",Y1021&lt;&gt;""),IF(Y1021&gt;=0.999,1,0),IF(AF1021&gt;=U1021,1,0))))</f>
        <v/>
      </c>
      <c r="AH1021" s="44">
        <f>IF(AF1021&gt;0,(AD1021-AE1021)/AF1021,"")</f>
        <v/>
      </c>
      <c r="AI1021" s="45">
        <f>IF(AG1021=1,AH1021-O1021,"")</f>
        <v/>
      </c>
      <c r="AJ1021" s="44">
        <f>IF(AG1021=1,AH1021,MAX(-1,MIN(1,O1021+INDEX(Types!$H:$H,MATCH($A1021&amp;"|"&amp;$D1021,Types!$A:$A,0)))))</f>
        <v/>
      </c>
      <c r="AK1021" s="43">
        <f>IF(AG1021=1,AF1021,MAX(AQ1021*AS1021,AF1021))</f>
        <v/>
      </c>
      <c r="AL1021" s="43">
        <f>IF(AG1021=1,AD1021,AK1021*(1+AJ1021)/2)</f>
        <v/>
      </c>
      <c r="AM1021" s="43">
        <f>IF(AG1021=1,AE1021,AK1021*(1-AJ1021)/2)</f>
        <v/>
      </c>
      <c r="AN1021" s="45">
        <f>IF(AH1021="","",AH1021-T1021)</f>
        <v/>
      </c>
      <c r="AO1021" s="51">
        <f>IF(AG1021=1,1,IF(U1021&gt;0,MIN(AF1021/U1021,0.99),0))</f>
        <v/>
      </c>
      <c r="AP1021" s="43">
        <f>IF(AG1021=1,AI1021*AF1021,0)</f>
        <v/>
      </c>
      <c r="AQ1021" s="43">
        <f>N1021*(F1021+G1021)/H1021</f>
        <v/>
      </c>
      <c r="AR1021" s="43">
        <f>O1021*AQ1021</f>
        <v/>
      </c>
      <c r="AS1021" s="52">
        <f>IF(AG1021=1,IF(AQ1021&gt;0,AF1021/AQ1021,1),IFERROR(INDEX(Types!$K:$K,MATCH($A1021&amp;"|"&amp;$D1021,Types!$A:$A,0)),INDEX(Dashboard!$X$6:$X$22,MATCH($A1021,Dashboard!$A$6:$A$22,0))))</f>
        <v/>
      </c>
      <c r="AT1021" s="43">
        <f>AQ1021*INDEX(Dashboard!$Y$6:$Y$22,MATCH($A1021,Dashboard!$A$6:$A$22,0))</f>
        <v/>
      </c>
      <c r="AU1021" s="53">
        <f>IF(AND(AG1021=1,AT1021&gt;0,AF1021&gt;0),100*AF1021/AT1021,"")</f>
        <v/>
      </c>
      <c r="AV1021" s="44">
        <f>IF(AU1021="","",T1021/(AU1021/100))</f>
        <v/>
      </c>
      <c r="AW1021" s="53">
        <f>IF(AU1021="","",IF(AND(ABS(AH1021)&gt;=0.1,ABS(T1021)&gt;=0.05,SIGN(AH1021)=SIGN(T1021)),100*T1021/AH1021,""))</f>
        <v/>
      </c>
      <c r="AX1021" s="45">
        <f>IF(AU1021="","",T1021-AV1021)</f>
        <v/>
      </c>
      <c r="AY1021" s="45">
        <f>IF(AU1021="","",AH1021-AV1021)</f>
        <v/>
      </c>
      <c r="AZ1021" s="54">
        <f>(AL1021-AM1021)-T1021*AT1021</f>
        <v/>
      </c>
      <c r="BA1021" s="43">
        <f>IF(AU1021="",0,(AH1021-T1021)*AF1021)</f>
        <v/>
      </c>
      <c r="BB1021" s="43">
        <f>IF(AU1021="",0,T1021*(AF1021-AT1021))</f>
        <v/>
      </c>
      <c r="BC1021" s="51" t="n">
        <v>0.03032053133121571</v>
      </c>
      <c r="BD1021" s="51" t="n">
        <v>0.1412070459139474</v>
      </c>
      <c r="BE1021" s="51" t="n">
        <v>0.2837022132796781</v>
      </c>
      <c r="BF1021" s="43" t="n">
        <v>3463</v>
      </c>
    </row>
    <row r="1022">
      <c r="A1022" s="42" t="inlineStr">
        <is>
          <t>TX</t>
        </is>
      </c>
      <c r="B1022" s="42" t="inlineStr">
        <is>
          <t>48025</t>
        </is>
      </c>
      <c r="C1022" s="42" t="inlineStr">
        <is>
          <t>Bee</t>
        </is>
      </c>
      <c r="D1022" s="42" t="inlineStr">
        <is>
          <t>Hispanic</t>
        </is>
      </c>
      <c r="E1022" s="42" t="inlineStr"/>
      <c r="F1022" s="43" t="n">
        <v>2606</v>
      </c>
      <c r="G1022" s="43" t="n">
        <v>6111</v>
      </c>
      <c r="H1022" s="43" t="n">
        <v>8789</v>
      </c>
      <c r="I1022" s="43" t="n">
        <v>3288</v>
      </c>
      <c r="J1022" s="43" t="n">
        <v>6006</v>
      </c>
      <c r="K1022" s="42" t="inlineStr">
        <is>
          <t>Governor</t>
        </is>
      </c>
      <c r="L1022" s="43" t="n">
        <v>1976</v>
      </c>
      <c r="M1022" s="43" t="n">
        <v>4347</v>
      </c>
      <c r="N1022" s="43" t="n">
        <v>6410</v>
      </c>
      <c r="O1022" s="44">
        <f>IFERROR((F1022-G1022)/(F1022+G1022),"")</f>
        <v/>
      </c>
      <c r="P1022" s="44">
        <f>IFERROR((I1022-J1022)/(I1022+J1022),"")</f>
        <v/>
      </c>
      <c r="Q1022" s="45">
        <f>IFERROR(O1022-P1022,"")</f>
        <v/>
      </c>
      <c r="R1022" s="44">
        <f>IFERROR((L1022-M1022)/(L1022+M1022),"")</f>
        <v/>
      </c>
      <c r="S1022" s="46">
        <f>H1022/SUMIFS(Counties!$H$2:$H$1583,Counties!$A$2:$A$1583,$A1022)</f>
        <v/>
      </c>
      <c r="T1022" s="44">
        <f>O1022+INDEX(Dashboard!$F$6:$F$22,MATCH($A1022,Dashboard!$A$6:$A$22,0))</f>
        <v/>
      </c>
      <c r="U1022" s="43">
        <f>AQ1022*INDEX(Dashboard!$G$6:$G$22,MATCH($A1022,Dashboard!$A$6:$A$22,0))</f>
        <v/>
      </c>
      <c r="V1022" s="47" t="n"/>
      <c r="W1022" s="47" t="n"/>
      <c r="X1022" s="47" t="n"/>
      <c r="Y1022" s="48" t="n"/>
      <c r="Z1022" s="49" t="n"/>
      <c r="AA1022" s="49" t="n"/>
      <c r="AB1022" s="49" t="n"/>
      <c r="AC1022" s="50" t="n"/>
      <c r="AD1022" s="43">
        <f>IF(Z1022&lt;&gt;"",Z1022,N(V1022))</f>
        <v/>
      </c>
      <c r="AE1022" s="43">
        <f>IF(AA1022&lt;&gt;"",AA1022,N(W1022))</f>
        <v/>
      </c>
      <c r="AF1022" s="43">
        <f>AD1022+AE1022</f>
        <v/>
      </c>
      <c r="AG1022" s="42">
        <f>IF(UPPER(AC1022)="Y",1,IF(AF1022=0,0,IF(AND(Z1022="",Y1022&lt;&gt;""),IF(Y1022&gt;=0.999,1,0),IF(AF1022&gt;=U1022,1,0))))</f>
        <v/>
      </c>
      <c r="AH1022" s="44">
        <f>IF(AF1022&gt;0,(AD1022-AE1022)/AF1022,"")</f>
        <v/>
      </c>
      <c r="AI1022" s="45">
        <f>IF(AG1022=1,AH1022-O1022,"")</f>
        <v/>
      </c>
      <c r="AJ1022" s="44">
        <f>IF(AG1022=1,AH1022,MAX(-1,MIN(1,O1022+INDEX(Types!$H:$H,MATCH($A1022&amp;"|"&amp;$D1022,Types!$A:$A,0)))))</f>
        <v/>
      </c>
      <c r="AK1022" s="43">
        <f>IF(AG1022=1,AF1022,MAX(AQ1022*AS1022,AF1022))</f>
        <v/>
      </c>
      <c r="AL1022" s="43">
        <f>IF(AG1022=1,AD1022,AK1022*(1+AJ1022)/2)</f>
        <v/>
      </c>
      <c r="AM1022" s="43">
        <f>IF(AG1022=1,AE1022,AK1022*(1-AJ1022)/2)</f>
        <v/>
      </c>
      <c r="AN1022" s="45">
        <f>IF(AH1022="","",AH1022-T1022)</f>
        <v/>
      </c>
      <c r="AO1022" s="51">
        <f>IF(AG1022=1,1,IF(U1022&gt;0,MIN(AF1022/U1022,0.99),0))</f>
        <v/>
      </c>
      <c r="AP1022" s="43">
        <f>IF(AG1022=1,AI1022*AF1022,0)</f>
        <v/>
      </c>
      <c r="AQ1022" s="43">
        <f>N1022*(F1022+G1022)/H1022</f>
        <v/>
      </c>
      <c r="AR1022" s="43">
        <f>O1022*AQ1022</f>
        <v/>
      </c>
      <c r="AS1022" s="52">
        <f>IF(AG1022=1,IF(AQ1022&gt;0,AF1022/AQ1022,1),IFERROR(INDEX(Types!$K:$K,MATCH($A1022&amp;"|"&amp;$D1022,Types!$A:$A,0)),INDEX(Dashboard!$X$6:$X$22,MATCH($A1022,Dashboard!$A$6:$A$22,0))))</f>
        <v/>
      </c>
      <c r="AT1022" s="43">
        <f>AQ1022*INDEX(Dashboard!$Y$6:$Y$22,MATCH($A1022,Dashboard!$A$6:$A$22,0))</f>
        <v/>
      </c>
      <c r="AU1022" s="53">
        <f>IF(AND(AG1022=1,AT1022&gt;0,AF1022&gt;0),100*AF1022/AT1022,"")</f>
        <v/>
      </c>
      <c r="AV1022" s="44">
        <f>IF(AU1022="","",T1022/(AU1022/100))</f>
        <v/>
      </c>
      <c r="AW1022" s="53">
        <f>IF(AU1022="","",IF(AND(ABS(AH1022)&gt;=0.1,ABS(T1022)&gt;=0.05,SIGN(AH1022)=SIGN(T1022)),100*T1022/AH1022,""))</f>
        <v/>
      </c>
      <c r="AX1022" s="45">
        <f>IF(AU1022="","",T1022-AV1022)</f>
        <v/>
      </c>
      <c r="AY1022" s="45">
        <f>IF(AU1022="","",AH1022-AV1022)</f>
        <v/>
      </c>
      <c r="AZ1022" s="54">
        <f>(AL1022-AM1022)-T1022*AT1022</f>
        <v/>
      </c>
      <c r="BA1022" s="43">
        <f>IF(AU1022="",0,(AH1022-T1022)*AF1022)</f>
        <v/>
      </c>
      <c r="BB1022" s="43">
        <f>IF(AU1022="",0,T1022*(AF1022-AT1022))</f>
        <v/>
      </c>
      <c r="BC1022" s="51" t="n">
        <v>0.08418152350081037</v>
      </c>
      <c r="BD1022" s="51" t="n">
        <v>0.6166936790923825</v>
      </c>
      <c r="BE1022" s="51" t="n">
        <v>0.1144917422656432</v>
      </c>
      <c r="BF1022" s="43" t="n">
        <v>30850</v>
      </c>
    </row>
    <row r="1023">
      <c r="A1023" s="42" t="inlineStr">
        <is>
          <t>TX</t>
        </is>
      </c>
      <c r="B1023" s="42" t="inlineStr">
        <is>
          <t>48027</t>
        </is>
      </c>
      <c r="C1023" s="42" t="inlineStr">
        <is>
          <t>Bell</t>
        </is>
      </c>
      <c r="D1023" s="42" t="inlineStr">
        <is>
          <t>Mid-size/working metro</t>
        </is>
      </c>
      <c r="E1023" s="42" t="inlineStr"/>
      <c r="F1023" s="43" t="n">
        <v>53973</v>
      </c>
      <c r="G1023" s="43" t="n">
        <v>75161</v>
      </c>
      <c r="H1023" s="43" t="n">
        <v>130557</v>
      </c>
      <c r="I1023" s="43" t="n">
        <v>57014</v>
      </c>
      <c r="J1023" s="43" t="n">
        <v>67893</v>
      </c>
      <c r="K1023" s="42" t="inlineStr">
        <is>
          <t>Governor</t>
        </is>
      </c>
      <c r="L1023" s="43" t="n">
        <v>34785</v>
      </c>
      <c r="M1023" s="43" t="n">
        <v>51888</v>
      </c>
      <c r="N1023" s="43" t="n">
        <v>87994</v>
      </c>
      <c r="O1023" s="44">
        <f>IFERROR((F1023-G1023)/(F1023+G1023),"")</f>
        <v/>
      </c>
      <c r="P1023" s="44">
        <f>IFERROR((I1023-J1023)/(I1023+J1023),"")</f>
        <v/>
      </c>
      <c r="Q1023" s="45">
        <f>IFERROR(O1023-P1023,"")</f>
        <v/>
      </c>
      <c r="R1023" s="44">
        <f>IFERROR((L1023-M1023)/(L1023+M1023),"")</f>
        <v/>
      </c>
      <c r="S1023" s="46">
        <f>H1023/SUMIFS(Counties!$H$2:$H$1583,Counties!$A$2:$A$1583,$A1023)</f>
        <v/>
      </c>
      <c r="T1023" s="44">
        <f>O1023+INDEX(Dashboard!$F$6:$F$22,MATCH($A1023,Dashboard!$A$6:$A$22,0))</f>
        <v/>
      </c>
      <c r="U1023" s="43">
        <f>AQ1023*INDEX(Dashboard!$G$6:$G$22,MATCH($A1023,Dashboard!$A$6:$A$22,0))</f>
        <v/>
      </c>
      <c r="V1023" s="47" t="n"/>
      <c r="W1023" s="47" t="n"/>
      <c r="X1023" s="47" t="n"/>
      <c r="Y1023" s="48" t="n"/>
      <c r="Z1023" s="49" t="n"/>
      <c r="AA1023" s="49" t="n"/>
      <c r="AB1023" s="49" t="n"/>
      <c r="AC1023" s="50" t="n"/>
      <c r="AD1023" s="43">
        <f>IF(Z1023&lt;&gt;"",Z1023,N(V1023))</f>
        <v/>
      </c>
      <c r="AE1023" s="43">
        <f>IF(AA1023&lt;&gt;"",AA1023,N(W1023))</f>
        <v/>
      </c>
      <c r="AF1023" s="43">
        <f>AD1023+AE1023</f>
        <v/>
      </c>
      <c r="AG1023" s="42">
        <f>IF(UPPER(AC1023)="Y",1,IF(AF1023=0,0,IF(AND(Z1023="",Y1023&lt;&gt;""),IF(Y1023&gt;=0.999,1,0),IF(AF1023&gt;=U1023,1,0))))</f>
        <v/>
      </c>
      <c r="AH1023" s="44">
        <f>IF(AF1023&gt;0,(AD1023-AE1023)/AF1023,"")</f>
        <v/>
      </c>
      <c r="AI1023" s="45">
        <f>IF(AG1023=1,AH1023-O1023,"")</f>
        <v/>
      </c>
      <c r="AJ1023" s="44">
        <f>IF(AG1023=1,AH1023,MAX(-1,MIN(1,O1023+INDEX(Types!$H:$H,MATCH($A1023&amp;"|"&amp;$D1023,Types!$A:$A,0)))))</f>
        <v/>
      </c>
      <c r="AK1023" s="43">
        <f>IF(AG1023=1,AF1023,MAX(AQ1023*AS1023,AF1023))</f>
        <v/>
      </c>
      <c r="AL1023" s="43">
        <f>IF(AG1023=1,AD1023,AK1023*(1+AJ1023)/2)</f>
        <v/>
      </c>
      <c r="AM1023" s="43">
        <f>IF(AG1023=1,AE1023,AK1023*(1-AJ1023)/2)</f>
        <v/>
      </c>
      <c r="AN1023" s="45">
        <f>IF(AH1023="","",AH1023-T1023)</f>
        <v/>
      </c>
      <c r="AO1023" s="51">
        <f>IF(AG1023=1,1,IF(U1023&gt;0,MIN(AF1023/U1023,0.99),0))</f>
        <v/>
      </c>
      <c r="AP1023" s="43">
        <f>IF(AG1023=1,AI1023*AF1023,0)</f>
        <v/>
      </c>
      <c r="AQ1023" s="43">
        <f>N1023*(F1023+G1023)/H1023</f>
        <v/>
      </c>
      <c r="AR1023" s="43">
        <f>O1023*AQ1023</f>
        <v/>
      </c>
      <c r="AS1023" s="52">
        <f>IF(AG1023=1,IF(AQ1023&gt;0,AF1023/AQ1023,1),IFERROR(INDEX(Types!$K:$K,MATCH($A1023&amp;"|"&amp;$D1023,Types!$A:$A,0)),INDEX(Dashboard!$X$6:$X$22,MATCH($A1023,Dashboard!$A$6:$A$22,0))))</f>
        <v/>
      </c>
      <c r="AT1023" s="43">
        <f>AQ1023*INDEX(Dashboard!$Y$6:$Y$22,MATCH($A1023,Dashboard!$A$6:$A$22,0))</f>
        <v/>
      </c>
      <c r="AU1023" s="53">
        <f>IF(AND(AG1023=1,AT1023&gt;0,AF1023&gt;0),100*AF1023/AT1023,"")</f>
        <v/>
      </c>
      <c r="AV1023" s="44">
        <f>IF(AU1023="","",T1023/(AU1023/100))</f>
        <v/>
      </c>
      <c r="AW1023" s="53">
        <f>IF(AU1023="","",IF(AND(ABS(AH1023)&gt;=0.1,ABS(T1023)&gt;=0.05,SIGN(AH1023)=SIGN(T1023)),100*T1023/AH1023,""))</f>
        <v/>
      </c>
      <c r="AX1023" s="45">
        <f>IF(AU1023="","",T1023-AV1023)</f>
        <v/>
      </c>
      <c r="AY1023" s="45">
        <f>IF(AU1023="","",AH1023-AV1023)</f>
        <v/>
      </c>
      <c r="AZ1023" s="54">
        <f>(AL1023-AM1023)-T1023*AT1023</f>
        <v/>
      </c>
      <c r="BA1023" s="43">
        <f>IF(AU1023="",0,(AH1023-T1023)*AF1023)</f>
        <v/>
      </c>
      <c r="BB1023" s="43">
        <f>IF(AU1023="",0,T1023*(AF1023-AT1023))</f>
        <v/>
      </c>
      <c r="BC1023" s="51" t="n">
        <v>0.2249073610160913</v>
      </c>
      <c r="BD1023" s="51" t="n">
        <v>0.2664238681766969</v>
      </c>
      <c r="BE1023" s="51" t="n">
        <v>0.2717803111289757</v>
      </c>
      <c r="BF1023" s="43" t="n">
        <v>393193</v>
      </c>
    </row>
    <row r="1024">
      <c r="A1024" s="42" t="inlineStr">
        <is>
          <t>TX</t>
        </is>
      </c>
      <c r="B1024" s="42" t="inlineStr">
        <is>
          <t>48029</t>
        </is>
      </c>
      <c r="C1024" s="42" t="inlineStr">
        <is>
          <t>Bexar</t>
        </is>
      </c>
      <c r="D1024" s="42" t="inlineStr">
        <is>
          <t>Big metro core</t>
        </is>
      </c>
      <c r="E1024" s="42" t="inlineStr">
        <is>
          <t>★</t>
        </is>
      </c>
      <c r="F1024" s="43" t="n">
        <v>411389</v>
      </c>
      <c r="G1024" s="43" t="n">
        <v>337545</v>
      </c>
      <c r="H1024" s="43" t="n">
        <v>757547</v>
      </c>
      <c r="I1024" s="43" t="n">
        <v>448452</v>
      </c>
      <c r="J1024" s="43" t="n">
        <v>308618</v>
      </c>
      <c r="K1024" s="42" t="inlineStr">
        <is>
          <t>Governor</t>
        </is>
      </c>
      <c r="L1024" s="43" t="n">
        <v>311023</v>
      </c>
      <c r="M1024" s="43" t="n">
        <v>221993</v>
      </c>
      <c r="N1024" s="43" t="n">
        <v>541071</v>
      </c>
      <c r="O1024" s="44">
        <f>IFERROR((F1024-G1024)/(F1024+G1024),"")</f>
        <v/>
      </c>
      <c r="P1024" s="44">
        <f>IFERROR((I1024-J1024)/(I1024+J1024),"")</f>
        <v/>
      </c>
      <c r="Q1024" s="45">
        <f>IFERROR(O1024-P1024,"")</f>
        <v/>
      </c>
      <c r="R1024" s="44">
        <f>IFERROR((L1024-M1024)/(L1024+M1024),"")</f>
        <v/>
      </c>
      <c r="S1024" s="46">
        <f>H1024/SUMIFS(Counties!$H$2:$H$1583,Counties!$A$2:$A$1583,$A1024)</f>
        <v/>
      </c>
      <c r="T1024" s="44">
        <f>O1024+INDEX(Dashboard!$F$6:$F$22,MATCH($A1024,Dashboard!$A$6:$A$22,0))</f>
        <v/>
      </c>
      <c r="U1024" s="43">
        <f>AQ1024*INDEX(Dashboard!$G$6:$G$22,MATCH($A1024,Dashboard!$A$6:$A$22,0))</f>
        <v/>
      </c>
      <c r="V1024" s="47" t="n"/>
      <c r="W1024" s="47" t="n"/>
      <c r="X1024" s="47" t="n"/>
      <c r="Y1024" s="48" t="n"/>
      <c r="Z1024" s="49" t="n"/>
      <c r="AA1024" s="49" t="n"/>
      <c r="AB1024" s="49" t="n"/>
      <c r="AC1024" s="50" t="n"/>
      <c r="AD1024" s="43">
        <f>IF(Z1024&lt;&gt;"",Z1024,N(V1024))</f>
        <v/>
      </c>
      <c r="AE1024" s="43">
        <f>IF(AA1024&lt;&gt;"",AA1024,N(W1024))</f>
        <v/>
      </c>
      <c r="AF1024" s="43">
        <f>AD1024+AE1024</f>
        <v/>
      </c>
      <c r="AG1024" s="42">
        <f>IF(UPPER(AC1024)="Y",1,IF(AF1024=0,0,IF(AND(Z1024="",Y1024&lt;&gt;""),IF(Y1024&gt;=0.999,1,0),IF(AF1024&gt;=U1024,1,0))))</f>
        <v/>
      </c>
      <c r="AH1024" s="44">
        <f>IF(AF1024&gt;0,(AD1024-AE1024)/AF1024,"")</f>
        <v/>
      </c>
      <c r="AI1024" s="45">
        <f>IF(AG1024=1,AH1024-O1024,"")</f>
        <v/>
      </c>
      <c r="AJ1024" s="44">
        <f>IF(AG1024=1,AH1024,MAX(-1,MIN(1,O1024+INDEX(Types!$H:$H,MATCH($A1024&amp;"|"&amp;$D1024,Types!$A:$A,0)))))</f>
        <v/>
      </c>
      <c r="AK1024" s="43">
        <f>IF(AG1024=1,AF1024,MAX(AQ1024*AS1024,AF1024))</f>
        <v/>
      </c>
      <c r="AL1024" s="43">
        <f>IF(AG1024=1,AD1024,AK1024*(1+AJ1024)/2)</f>
        <v/>
      </c>
      <c r="AM1024" s="43">
        <f>IF(AG1024=1,AE1024,AK1024*(1-AJ1024)/2)</f>
        <v/>
      </c>
      <c r="AN1024" s="45">
        <f>IF(AH1024="","",AH1024-T1024)</f>
        <v/>
      </c>
      <c r="AO1024" s="51">
        <f>IF(AG1024=1,1,IF(U1024&gt;0,MIN(AF1024/U1024,0.99),0))</f>
        <v/>
      </c>
      <c r="AP1024" s="43">
        <f>IF(AG1024=1,AI1024*AF1024,0)</f>
        <v/>
      </c>
      <c r="AQ1024" s="43">
        <f>N1024*(F1024+G1024)/H1024</f>
        <v/>
      </c>
      <c r="AR1024" s="43">
        <f>O1024*AQ1024</f>
        <v/>
      </c>
      <c r="AS1024" s="52">
        <f>IF(AG1024=1,IF(AQ1024&gt;0,AF1024/AQ1024,1),IFERROR(INDEX(Types!$K:$K,MATCH($A1024&amp;"|"&amp;$D1024,Types!$A:$A,0)),INDEX(Dashboard!$X$6:$X$22,MATCH($A1024,Dashboard!$A$6:$A$22,0))))</f>
        <v/>
      </c>
      <c r="AT1024" s="43">
        <f>AQ1024*INDEX(Dashboard!$Y$6:$Y$22,MATCH($A1024,Dashboard!$A$6:$A$22,0))</f>
        <v/>
      </c>
      <c r="AU1024" s="53">
        <f>IF(AND(AG1024=1,AT1024&gt;0,AF1024&gt;0),100*AF1024/AT1024,"")</f>
        <v/>
      </c>
      <c r="AV1024" s="44">
        <f>IF(AU1024="","",T1024/(AU1024/100))</f>
        <v/>
      </c>
      <c r="AW1024" s="53">
        <f>IF(AU1024="","",IF(AND(ABS(AH1024)&gt;=0.1,ABS(T1024)&gt;=0.05,SIGN(AH1024)=SIGN(T1024)),100*T1024/AH1024,""))</f>
        <v/>
      </c>
      <c r="AX1024" s="45">
        <f>IF(AU1024="","",T1024-AV1024)</f>
        <v/>
      </c>
      <c r="AY1024" s="45">
        <f>IF(AU1024="","",AH1024-AV1024)</f>
        <v/>
      </c>
      <c r="AZ1024" s="54">
        <f>(AL1024-AM1024)-T1024*AT1024</f>
        <v/>
      </c>
      <c r="BA1024" s="43">
        <f>IF(AU1024="",0,(AH1024-T1024)*AF1024)</f>
        <v/>
      </c>
      <c r="BB1024" s="43">
        <f>IF(AU1024="",0,T1024*(AF1024-AT1024))</f>
        <v/>
      </c>
      <c r="BC1024" s="51" t="n">
        <v>0.08077726508720928</v>
      </c>
      <c r="BD1024" s="51" t="n">
        <v>0.5980972170530048</v>
      </c>
      <c r="BE1024" s="51" t="n">
        <v>0.315396455502034</v>
      </c>
      <c r="BF1024" s="43" t="n">
        <v>2087679</v>
      </c>
    </row>
    <row r="1025">
      <c r="A1025" s="42" t="inlineStr">
        <is>
          <t>TX</t>
        </is>
      </c>
      <c r="B1025" s="42" t="inlineStr">
        <is>
          <t>48031</t>
        </is>
      </c>
      <c r="C1025" s="42" t="inlineStr">
        <is>
          <t>Blanco</t>
        </is>
      </c>
      <c r="D1025" s="42" t="inlineStr">
        <is>
          <t>Small town &amp; rural</t>
        </is>
      </c>
      <c r="E1025" s="42" t="inlineStr"/>
      <c r="F1025" s="43" t="n">
        <v>1973</v>
      </c>
      <c r="G1025" s="43" t="n">
        <v>6447</v>
      </c>
      <c r="H1025" s="43" t="n">
        <v>8518</v>
      </c>
      <c r="I1025" s="43" t="n">
        <v>1911</v>
      </c>
      <c r="J1025" s="43" t="n">
        <v>5443</v>
      </c>
      <c r="K1025" s="42" t="inlineStr">
        <is>
          <t>Governor</t>
        </is>
      </c>
      <c r="L1025" s="43" t="n">
        <v>1522</v>
      </c>
      <c r="M1025" s="43" t="n">
        <v>5142</v>
      </c>
      <c r="N1025" s="43" t="n">
        <v>6777</v>
      </c>
      <c r="O1025" s="44">
        <f>IFERROR((F1025-G1025)/(F1025+G1025),"")</f>
        <v/>
      </c>
      <c r="P1025" s="44">
        <f>IFERROR((I1025-J1025)/(I1025+J1025),"")</f>
        <v/>
      </c>
      <c r="Q1025" s="45">
        <f>IFERROR(O1025-P1025,"")</f>
        <v/>
      </c>
      <c r="R1025" s="44">
        <f>IFERROR((L1025-M1025)/(L1025+M1025),"")</f>
        <v/>
      </c>
      <c r="S1025" s="46">
        <f>H1025/SUMIFS(Counties!$H$2:$H$1583,Counties!$A$2:$A$1583,$A1025)</f>
        <v/>
      </c>
      <c r="T1025" s="44">
        <f>O1025+INDEX(Dashboard!$F$6:$F$22,MATCH($A1025,Dashboard!$A$6:$A$22,0))</f>
        <v/>
      </c>
      <c r="U1025" s="43">
        <f>AQ1025*INDEX(Dashboard!$G$6:$G$22,MATCH($A1025,Dashboard!$A$6:$A$22,0))</f>
        <v/>
      </c>
      <c r="V1025" s="47" t="n"/>
      <c r="W1025" s="47" t="n"/>
      <c r="X1025" s="47" t="n"/>
      <c r="Y1025" s="48" t="n"/>
      <c r="Z1025" s="49" t="n"/>
      <c r="AA1025" s="49" t="n"/>
      <c r="AB1025" s="49" t="n"/>
      <c r="AC1025" s="50" t="n"/>
      <c r="AD1025" s="43">
        <f>IF(Z1025&lt;&gt;"",Z1025,N(V1025))</f>
        <v/>
      </c>
      <c r="AE1025" s="43">
        <f>IF(AA1025&lt;&gt;"",AA1025,N(W1025))</f>
        <v/>
      </c>
      <c r="AF1025" s="43">
        <f>AD1025+AE1025</f>
        <v/>
      </c>
      <c r="AG1025" s="42">
        <f>IF(UPPER(AC1025)="Y",1,IF(AF1025=0,0,IF(AND(Z1025="",Y1025&lt;&gt;""),IF(Y1025&gt;=0.999,1,0),IF(AF1025&gt;=U1025,1,0))))</f>
        <v/>
      </c>
      <c r="AH1025" s="44">
        <f>IF(AF1025&gt;0,(AD1025-AE1025)/AF1025,"")</f>
        <v/>
      </c>
      <c r="AI1025" s="45">
        <f>IF(AG1025=1,AH1025-O1025,"")</f>
        <v/>
      </c>
      <c r="AJ1025" s="44">
        <f>IF(AG1025=1,AH1025,MAX(-1,MIN(1,O1025+INDEX(Types!$H:$H,MATCH($A1025&amp;"|"&amp;$D1025,Types!$A:$A,0)))))</f>
        <v/>
      </c>
      <c r="AK1025" s="43">
        <f>IF(AG1025=1,AF1025,MAX(AQ1025*AS1025,AF1025))</f>
        <v/>
      </c>
      <c r="AL1025" s="43">
        <f>IF(AG1025=1,AD1025,AK1025*(1+AJ1025)/2)</f>
        <v/>
      </c>
      <c r="AM1025" s="43">
        <f>IF(AG1025=1,AE1025,AK1025*(1-AJ1025)/2)</f>
        <v/>
      </c>
      <c r="AN1025" s="45">
        <f>IF(AH1025="","",AH1025-T1025)</f>
        <v/>
      </c>
      <c r="AO1025" s="51">
        <f>IF(AG1025=1,1,IF(U1025&gt;0,MIN(AF1025/U1025,0.99),0))</f>
        <v/>
      </c>
      <c r="AP1025" s="43">
        <f>IF(AG1025=1,AI1025*AF1025,0)</f>
        <v/>
      </c>
      <c r="AQ1025" s="43">
        <f>N1025*(F1025+G1025)/H1025</f>
        <v/>
      </c>
      <c r="AR1025" s="43">
        <f>O1025*AQ1025</f>
        <v/>
      </c>
      <c r="AS1025" s="52">
        <f>IF(AG1025=1,IF(AQ1025&gt;0,AF1025/AQ1025,1),IFERROR(INDEX(Types!$K:$K,MATCH($A1025&amp;"|"&amp;$D1025,Types!$A:$A,0)),INDEX(Dashboard!$X$6:$X$22,MATCH($A1025,Dashboard!$A$6:$A$22,0))))</f>
        <v/>
      </c>
      <c r="AT1025" s="43">
        <f>AQ1025*INDEX(Dashboard!$Y$6:$Y$22,MATCH($A1025,Dashboard!$A$6:$A$22,0))</f>
        <v/>
      </c>
      <c r="AU1025" s="53">
        <f>IF(AND(AG1025=1,AT1025&gt;0,AF1025&gt;0),100*AF1025/AT1025,"")</f>
        <v/>
      </c>
      <c r="AV1025" s="44">
        <f>IF(AU1025="","",T1025/(AU1025/100))</f>
        <v/>
      </c>
      <c r="AW1025" s="53">
        <f>IF(AU1025="","",IF(AND(ABS(AH1025)&gt;=0.1,ABS(T1025)&gt;=0.05,SIGN(AH1025)=SIGN(T1025)),100*T1025/AH1025,""))</f>
        <v/>
      </c>
      <c r="AX1025" s="45">
        <f>IF(AU1025="","",T1025-AV1025)</f>
        <v/>
      </c>
      <c r="AY1025" s="45">
        <f>IF(AU1025="","",AH1025-AV1025)</f>
        <v/>
      </c>
      <c r="AZ1025" s="54">
        <f>(AL1025-AM1025)-T1025*AT1025</f>
        <v/>
      </c>
      <c r="BA1025" s="43">
        <f>IF(AU1025="",0,(AH1025-T1025)*AF1025)</f>
        <v/>
      </c>
      <c r="BB1025" s="43">
        <f>IF(AU1025="",0,T1025*(AF1025-AT1025))</f>
        <v/>
      </c>
      <c r="BC1025" s="51" t="n">
        <v>0.01164929491109749</v>
      </c>
      <c r="BD1025" s="51" t="n">
        <v>0.1850858369098712</v>
      </c>
      <c r="BE1025" s="51" t="n">
        <v>0.3433852140077821</v>
      </c>
      <c r="BF1025" s="43" t="n">
        <v>13048</v>
      </c>
    </row>
    <row r="1026">
      <c r="A1026" s="42" t="inlineStr">
        <is>
          <t>TX</t>
        </is>
      </c>
      <c r="B1026" s="42" t="inlineStr">
        <is>
          <t>48033</t>
        </is>
      </c>
      <c r="C1026" s="42" t="inlineStr">
        <is>
          <t>Borden</t>
        </is>
      </c>
      <c r="D1026" s="42" t="inlineStr">
        <is>
          <t>Small town &amp; rural</t>
        </is>
      </c>
      <c r="E1026" s="42" t="inlineStr"/>
      <c r="F1026" s="43" t="n">
        <v>16</v>
      </c>
      <c r="G1026" s="43" t="n">
        <v>370</v>
      </c>
      <c r="H1026" s="43" t="n">
        <v>387</v>
      </c>
      <c r="I1026" s="43" t="n">
        <v>16</v>
      </c>
      <c r="J1026" s="43" t="n">
        <v>397</v>
      </c>
      <c r="K1026" s="42" t="inlineStr">
        <is>
          <t>Governor</t>
        </is>
      </c>
      <c r="L1026" s="43" t="n">
        <v>9</v>
      </c>
      <c r="M1026" s="43" t="n">
        <v>306</v>
      </c>
      <c r="N1026" s="43" t="n">
        <v>317</v>
      </c>
      <c r="O1026" s="44">
        <f>IFERROR((F1026-G1026)/(F1026+G1026),"")</f>
        <v/>
      </c>
      <c r="P1026" s="44">
        <f>IFERROR((I1026-J1026)/(I1026+J1026),"")</f>
        <v/>
      </c>
      <c r="Q1026" s="45">
        <f>IFERROR(O1026-P1026,"")</f>
        <v/>
      </c>
      <c r="R1026" s="44">
        <f>IFERROR((L1026-M1026)/(L1026+M1026),"")</f>
        <v/>
      </c>
      <c r="S1026" s="46">
        <f>H1026/SUMIFS(Counties!$H$2:$H$1583,Counties!$A$2:$A$1583,$A1026)</f>
        <v/>
      </c>
      <c r="T1026" s="44">
        <f>O1026+INDEX(Dashboard!$F$6:$F$22,MATCH($A1026,Dashboard!$A$6:$A$22,0))</f>
        <v/>
      </c>
      <c r="U1026" s="43">
        <f>AQ1026*INDEX(Dashboard!$G$6:$G$22,MATCH($A1026,Dashboard!$A$6:$A$22,0))</f>
        <v/>
      </c>
      <c r="V1026" s="47" t="n"/>
      <c r="W1026" s="47" t="n"/>
      <c r="X1026" s="47" t="n"/>
      <c r="Y1026" s="48" t="n"/>
      <c r="Z1026" s="49" t="n"/>
      <c r="AA1026" s="49" t="n"/>
      <c r="AB1026" s="49" t="n"/>
      <c r="AC1026" s="50" t="n"/>
      <c r="AD1026" s="43">
        <f>IF(Z1026&lt;&gt;"",Z1026,N(V1026))</f>
        <v/>
      </c>
      <c r="AE1026" s="43">
        <f>IF(AA1026&lt;&gt;"",AA1026,N(W1026))</f>
        <v/>
      </c>
      <c r="AF1026" s="43">
        <f>AD1026+AE1026</f>
        <v/>
      </c>
      <c r="AG1026" s="42">
        <f>IF(UPPER(AC1026)="Y",1,IF(AF1026=0,0,IF(AND(Z1026="",Y1026&lt;&gt;""),IF(Y1026&gt;=0.999,1,0),IF(AF1026&gt;=U1026,1,0))))</f>
        <v/>
      </c>
      <c r="AH1026" s="44">
        <f>IF(AF1026&gt;0,(AD1026-AE1026)/AF1026,"")</f>
        <v/>
      </c>
      <c r="AI1026" s="45">
        <f>IF(AG1026=1,AH1026-O1026,"")</f>
        <v/>
      </c>
      <c r="AJ1026" s="44">
        <f>IF(AG1026=1,AH1026,MAX(-1,MIN(1,O1026+INDEX(Types!$H:$H,MATCH($A1026&amp;"|"&amp;$D1026,Types!$A:$A,0)))))</f>
        <v/>
      </c>
      <c r="AK1026" s="43">
        <f>IF(AG1026=1,AF1026,MAX(AQ1026*AS1026,AF1026))</f>
        <v/>
      </c>
      <c r="AL1026" s="43">
        <f>IF(AG1026=1,AD1026,AK1026*(1+AJ1026)/2)</f>
        <v/>
      </c>
      <c r="AM1026" s="43">
        <f>IF(AG1026=1,AE1026,AK1026*(1-AJ1026)/2)</f>
        <v/>
      </c>
      <c r="AN1026" s="45">
        <f>IF(AH1026="","",AH1026-T1026)</f>
        <v/>
      </c>
      <c r="AO1026" s="51">
        <f>IF(AG1026=1,1,IF(U1026&gt;0,MIN(AF1026/U1026,0.99),0))</f>
        <v/>
      </c>
      <c r="AP1026" s="43">
        <f>IF(AG1026=1,AI1026*AF1026,0)</f>
        <v/>
      </c>
      <c r="AQ1026" s="43">
        <f>N1026*(F1026+G1026)/H1026</f>
        <v/>
      </c>
      <c r="AR1026" s="43">
        <f>O1026*AQ1026</f>
        <v/>
      </c>
      <c r="AS1026" s="52">
        <f>IF(AG1026=1,IF(AQ1026&gt;0,AF1026/AQ1026,1),IFERROR(INDEX(Types!$K:$K,MATCH($A1026&amp;"|"&amp;$D1026,Types!$A:$A,0)),INDEX(Dashboard!$X$6:$X$22,MATCH($A1026,Dashboard!$A$6:$A$22,0))))</f>
        <v/>
      </c>
      <c r="AT1026" s="43">
        <f>AQ1026*INDEX(Dashboard!$Y$6:$Y$22,MATCH($A1026,Dashboard!$A$6:$A$22,0))</f>
        <v/>
      </c>
      <c r="AU1026" s="53">
        <f>IF(AND(AG1026=1,AT1026&gt;0,AF1026&gt;0),100*AF1026/AT1026,"")</f>
        <v/>
      </c>
      <c r="AV1026" s="44">
        <f>IF(AU1026="","",T1026/(AU1026/100))</f>
        <v/>
      </c>
      <c r="AW1026" s="53">
        <f>IF(AU1026="","",IF(AND(ABS(AH1026)&gt;=0.1,ABS(T1026)&gt;=0.05,SIGN(AH1026)=SIGN(T1026)),100*T1026/AH1026,""))</f>
        <v/>
      </c>
      <c r="AX1026" s="45">
        <f>IF(AU1026="","",T1026-AV1026)</f>
        <v/>
      </c>
      <c r="AY1026" s="45">
        <f>IF(AU1026="","",AH1026-AV1026)</f>
        <v/>
      </c>
      <c r="AZ1026" s="54">
        <f>(AL1026-AM1026)-T1026*AT1026</f>
        <v/>
      </c>
      <c r="BA1026" s="43">
        <f>IF(AU1026="",0,(AH1026-T1026)*AF1026)</f>
        <v/>
      </c>
      <c r="BB1026" s="43">
        <f>IF(AU1026="",0,T1026*(AF1026-AT1026))</f>
        <v/>
      </c>
      <c r="BC1026" s="51" t="n">
        <v>0.01748251748251748</v>
      </c>
      <c r="BD1026" s="51" t="n">
        <v>0.1486013986013986</v>
      </c>
      <c r="BE1026" s="51" t="n">
        <v>0.3534675615212528</v>
      </c>
      <c r="BF1026" s="43" t="n">
        <v>572</v>
      </c>
    </row>
    <row r="1027">
      <c r="A1027" s="42" t="inlineStr">
        <is>
          <t>TX</t>
        </is>
      </c>
      <c r="B1027" s="42" t="inlineStr">
        <is>
          <t>48035</t>
        </is>
      </c>
      <c r="C1027" s="42" t="inlineStr">
        <is>
          <t>Bosque</t>
        </is>
      </c>
      <c r="D1027" s="42" t="inlineStr">
        <is>
          <t>Small town &amp; rural</t>
        </is>
      </c>
      <c r="E1027" s="42" t="inlineStr"/>
      <c r="F1027" s="43" t="n">
        <v>1524</v>
      </c>
      <c r="G1027" s="43" t="n">
        <v>7969</v>
      </c>
      <c r="H1027" s="43" t="n">
        <v>9571</v>
      </c>
      <c r="I1027" s="43" t="n">
        <v>1561</v>
      </c>
      <c r="J1027" s="43" t="n">
        <v>7469</v>
      </c>
      <c r="K1027" s="42" t="inlineStr">
        <is>
          <t>Governor</t>
        </is>
      </c>
      <c r="L1027" s="43" t="n">
        <v>1094</v>
      </c>
      <c r="M1027" s="43" t="n">
        <v>6272</v>
      </c>
      <c r="N1027" s="43" t="n">
        <v>7460</v>
      </c>
      <c r="O1027" s="44">
        <f>IFERROR((F1027-G1027)/(F1027+G1027),"")</f>
        <v/>
      </c>
      <c r="P1027" s="44">
        <f>IFERROR((I1027-J1027)/(I1027+J1027),"")</f>
        <v/>
      </c>
      <c r="Q1027" s="45">
        <f>IFERROR(O1027-P1027,"")</f>
        <v/>
      </c>
      <c r="R1027" s="44">
        <f>IFERROR((L1027-M1027)/(L1027+M1027),"")</f>
        <v/>
      </c>
      <c r="S1027" s="46">
        <f>H1027/SUMIFS(Counties!$H$2:$H$1583,Counties!$A$2:$A$1583,$A1027)</f>
        <v/>
      </c>
      <c r="T1027" s="44">
        <f>O1027+INDEX(Dashboard!$F$6:$F$22,MATCH($A1027,Dashboard!$A$6:$A$22,0))</f>
        <v/>
      </c>
      <c r="U1027" s="43">
        <f>AQ1027*INDEX(Dashboard!$G$6:$G$22,MATCH($A1027,Dashboard!$A$6:$A$22,0))</f>
        <v/>
      </c>
      <c r="V1027" s="47" t="n"/>
      <c r="W1027" s="47" t="n"/>
      <c r="X1027" s="47" t="n"/>
      <c r="Y1027" s="48" t="n"/>
      <c r="Z1027" s="49" t="n"/>
      <c r="AA1027" s="49" t="n"/>
      <c r="AB1027" s="49" t="n"/>
      <c r="AC1027" s="50" t="n"/>
      <c r="AD1027" s="43">
        <f>IF(Z1027&lt;&gt;"",Z1027,N(V1027))</f>
        <v/>
      </c>
      <c r="AE1027" s="43">
        <f>IF(AA1027&lt;&gt;"",AA1027,N(W1027))</f>
        <v/>
      </c>
      <c r="AF1027" s="43">
        <f>AD1027+AE1027</f>
        <v/>
      </c>
      <c r="AG1027" s="42">
        <f>IF(UPPER(AC1027)="Y",1,IF(AF1027=0,0,IF(AND(Z1027="",Y1027&lt;&gt;""),IF(Y1027&gt;=0.999,1,0),IF(AF1027&gt;=U1027,1,0))))</f>
        <v/>
      </c>
      <c r="AH1027" s="44">
        <f>IF(AF1027&gt;0,(AD1027-AE1027)/AF1027,"")</f>
        <v/>
      </c>
      <c r="AI1027" s="45">
        <f>IF(AG1027=1,AH1027-O1027,"")</f>
        <v/>
      </c>
      <c r="AJ1027" s="44">
        <f>IF(AG1027=1,AH1027,MAX(-1,MIN(1,O1027+INDEX(Types!$H:$H,MATCH($A1027&amp;"|"&amp;$D1027,Types!$A:$A,0)))))</f>
        <v/>
      </c>
      <c r="AK1027" s="43">
        <f>IF(AG1027=1,AF1027,MAX(AQ1027*AS1027,AF1027))</f>
        <v/>
      </c>
      <c r="AL1027" s="43">
        <f>IF(AG1027=1,AD1027,AK1027*(1+AJ1027)/2)</f>
        <v/>
      </c>
      <c r="AM1027" s="43">
        <f>IF(AG1027=1,AE1027,AK1027*(1-AJ1027)/2)</f>
        <v/>
      </c>
      <c r="AN1027" s="45">
        <f>IF(AH1027="","",AH1027-T1027)</f>
        <v/>
      </c>
      <c r="AO1027" s="51">
        <f>IF(AG1027=1,1,IF(U1027&gt;0,MIN(AF1027/U1027,0.99),0))</f>
        <v/>
      </c>
      <c r="AP1027" s="43">
        <f>IF(AG1027=1,AI1027*AF1027,0)</f>
        <v/>
      </c>
      <c r="AQ1027" s="43">
        <f>N1027*(F1027+G1027)/H1027</f>
        <v/>
      </c>
      <c r="AR1027" s="43">
        <f>O1027*AQ1027</f>
        <v/>
      </c>
      <c r="AS1027" s="52">
        <f>IF(AG1027=1,IF(AQ1027&gt;0,AF1027/AQ1027,1),IFERROR(INDEX(Types!$K:$K,MATCH($A1027&amp;"|"&amp;$D1027,Types!$A:$A,0)),INDEX(Dashboard!$X$6:$X$22,MATCH($A1027,Dashboard!$A$6:$A$22,0))))</f>
        <v/>
      </c>
      <c r="AT1027" s="43">
        <f>AQ1027*INDEX(Dashboard!$Y$6:$Y$22,MATCH($A1027,Dashboard!$A$6:$A$22,0))</f>
        <v/>
      </c>
      <c r="AU1027" s="53">
        <f>IF(AND(AG1027=1,AT1027&gt;0,AF1027&gt;0),100*AF1027/AT1027,"")</f>
        <v/>
      </c>
      <c r="AV1027" s="44">
        <f>IF(AU1027="","",T1027/(AU1027/100))</f>
        <v/>
      </c>
      <c r="AW1027" s="53">
        <f>IF(AU1027="","",IF(AND(ABS(AH1027)&gt;=0.1,ABS(T1027)&gt;=0.05,SIGN(AH1027)=SIGN(T1027)),100*T1027/AH1027,""))</f>
        <v/>
      </c>
      <c r="AX1027" s="45">
        <f>IF(AU1027="","",T1027-AV1027)</f>
        <v/>
      </c>
      <c r="AY1027" s="45">
        <f>IF(AU1027="","",AH1027-AV1027)</f>
        <v/>
      </c>
      <c r="AZ1027" s="54">
        <f>(AL1027-AM1027)-T1027*AT1027</f>
        <v/>
      </c>
      <c r="BA1027" s="43">
        <f>IF(AU1027="",0,(AH1027-T1027)*AF1027)</f>
        <v/>
      </c>
      <c r="BB1027" s="43">
        <f>IF(AU1027="",0,T1027*(AF1027-AT1027))</f>
        <v/>
      </c>
      <c r="BC1027" s="51" t="n">
        <v>0.01853021688776585</v>
      </c>
      <c r="BD1027" s="51" t="n">
        <v>0.1957780585386397</v>
      </c>
      <c r="BE1027" s="51" t="n">
        <v>0.2072789520690682</v>
      </c>
      <c r="BF1027" s="43" t="n">
        <v>18996</v>
      </c>
    </row>
    <row r="1028">
      <c r="A1028" s="42" t="inlineStr">
        <is>
          <t>TX</t>
        </is>
      </c>
      <c r="B1028" s="42" t="inlineStr">
        <is>
          <t>48037</t>
        </is>
      </c>
      <c r="C1028" s="42" t="inlineStr">
        <is>
          <t>Bowie</t>
        </is>
      </c>
      <c r="D1028" s="42" t="inlineStr">
        <is>
          <t>Small town &amp; rural</t>
        </is>
      </c>
      <c r="E1028" s="42" t="inlineStr"/>
      <c r="F1028" s="43" t="n">
        <v>9282</v>
      </c>
      <c r="G1028" s="43" t="n">
        <v>27122</v>
      </c>
      <c r="H1028" s="43" t="n">
        <v>36629</v>
      </c>
      <c r="I1028" s="43" t="n">
        <v>10747</v>
      </c>
      <c r="J1028" s="43" t="n">
        <v>27116</v>
      </c>
      <c r="K1028" s="42" t="inlineStr">
        <is>
          <t>Governor</t>
        </is>
      </c>
      <c r="L1028" s="43" t="n">
        <v>6060</v>
      </c>
      <c r="M1028" s="43" t="n">
        <v>20206</v>
      </c>
      <c r="N1028" s="43" t="n">
        <v>26593</v>
      </c>
      <c r="O1028" s="44">
        <f>IFERROR((F1028-G1028)/(F1028+G1028),"")</f>
        <v/>
      </c>
      <c r="P1028" s="44">
        <f>IFERROR((I1028-J1028)/(I1028+J1028),"")</f>
        <v/>
      </c>
      <c r="Q1028" s="45">
        <f>IFERROR(O1028-P1028,"")</f>
        <v/>
      </c>
      <c r="R1028" s="44">
        <f>IFERROR((L1028-M1028)/(L1028+M1028),"")</f>
        <v/>
      </c>
      <c r="S1028" s="46">
        <f>H1028/SUMIFS(Counties!$H$2:$H$1583,Counties!$A$2:$A$1583,$A1028)</f>
        <v/>
      </c>
      <c r="T1028" s="44">
        <f>O1028+INDEX(Dashboard!$F$6:$F$22,MATCH($A1028,Dashboard!$A$6:$A$22,0))</f>
        <v/>
      </c>
      <c r="U1028" s="43">
        <f>AQ1028*INDEX(Dashboard!$G$6:$G$22,MATCH($A1028,Dashboard!$A$6:$A$22,0))</f>
        <v/>
      </c>
      <c r="V1028" s="47" t="n"/>
      <c r="W1028" s="47" t="n"/>
      <c r="X1028" s="47" t="n"/>
      <c r="Y1028" s="48" t="n"/>
      <c r="Z1028" s="49" t="n"/>
      <c r="AA1028" s="49" t="n"/>
      <c r="AB1028" s="49" t="n"/>
      <c r="AC1028" s="50" t="n"/>
      <c r="AD1028" s="43">
        <f>IF(Z1028&lt;&gt;"",Z1028,N(V1028))</f>
        <v/>
      </c>
      <c r="AE1028" s="43">
        <f>IF(AA1028&lt;&gt;"",AA1028,N(W1028))</f>
        <v/>
      </c>
      <c r="AF1028" s="43">
        <f>AD1028+AE1028</f>
        <v/>
      </c>
      <c r="AG1028" s="42">
        <f>IF(UPPER(AC1028)="Y",1,IF(AF1028=0,0,IF(AND(Z1028="",Y1028&lt;&gt;""),IF(Y1028&gt;=0.999,1,0),IF(AF1028&gt;=U1028,1,0))))</f>
        <v/>
      </c>
      <c r="AH1028" s="44">
        <f>IF(AF1028&gt;0,(AD1028-AE1028)/AF1028,"")</f>
        <v/>
      </c>
      <c r="AI1028" s="45">
        <f>IF(AG1028=1,AH1028-O1028,"")</f>
        <v/>
      </c>
      <c r="AJ1028" s="44">
        <f>IF(AG1028=1,AH1028,MAX(-1,MIN(1,O1028+INDEX(Types!$H:$H,MATCH($A1028&amp;"|"&amp;$D1028,Types!$A:$A,0)))))</f>
        <v/>
      </c>
      <c r="AK1028" s="43">
        <f>IF(AG1028=1,AF1028,MAX(AQ1028*AS1028,AF1028))</f>
        <v/>
      </c>
      <c r="AL1028" s="43">
        <f>IF(AG1028=1,AD1028,AK1028*(1+AJ1028)/2)</f>
        <v/>
      </c>
      <c r="AM1028" s="43">
        <f>IF(AG1028=1,AE1028,AK1028*(1-AJ1028)/2)</f>
        <v/>
      </c>
      <c r="AN1028" s="45">
        <f>IF(AH1028="","",AH1028-T1028)</f>
        <v/>
      </c>
      <c r="AO1028" s="51">
        <f>IF(AG1028=1,1,IF(U1028&gt;0,MIN(AF1028/U1028,0.99),0))</f>
        <v/>
      </c>
      <c r="AP1028" s="43">
        <f>IF(AG1028=1,AI1028*AF1028,0)</f>
        <v/>
      </c>
      <c r="AQ1028" s="43">
        <f>N1028*(F1028+G1028)/H1028</f>
        <v/>
      </c>
      <c r="AR1028" s="43">
        <f>O1028*AQ1028</f>
        <v/>
      </c>
      <c r="AS1028" s="52">
        <f>IF(AG1028=1,IF(AQ1028&gt;0,AF1028/AQ1028,1),IFERROR(INDEX(Types!$K:$K,MATCH($A1028&amp;"|"&amp;$D1028,Types!$A:$A,0)),INDEX(Dashboard!$X$6:$X$22,MATCH($A1028,Dashboard!$A$6:$A$22,0))))</f>
        <v/>
      </c>
      <c r="AT1028" s="43">
        <f>AQ1028*INDEX(Dashboard!$Y$6:$Y$22,MATCH($A1028,Dashboard!$A$6:$A$22,0))</f>
        <v/>
      </c>
      <c r="AU1028" s="53">
        <f>IF(AND(AG1028=1,AT1028&gt;0,AF1028&gt;0),100*AF1028/AT1028,"")</f>
        <v/>
      </c>
      <c r="AV1028" s="44">
        <f>IF(AU1028="","",T1028/(AU1028/100))</f>
        <v/>
      </c>
      <c r="AW1028" s="53">
        <f>IF(AU1028="","",IF(AND(ABS(AH1028)&gt;=0.1,ABS(T1028)&gt;=0.05,SIGN(AH1028)=SIGN(T1028)),100*T1028/AH1028,""))</f>
        <v/>
      </c>
      <c r="AX1028" s="45">
        <f>IF(AU1028="","",T1028-AV1028)</f>
        <v/>
      </c>
      <c r="AY1028" s="45">
        <f>IF(AU1028="","",AH1028-AV1028)</f>
        <v/>
      </c>
      <c r="AZ1028" s="54">
        <f>(AL1028-AM1028)-T1028*AT1028</f>
        <v/>
      </c>
      <c r="BA1028" s="43">
        <f>IF(AU1028="",0,(AH1028-T1028)*AF1028)</f>
        <v/>
      </c>
      <c r="BB1028" s="43">
        <f>IF(AU1028="",0,T1028*(AF1028-AT1028))</f>
        <v/>
      </c>
      <c r="BC1028" s="51" t="n">
        <v>0.2544744620284228</v>
      </c>
      <c r="BD1028" s="51" t="n">
        <v>0.08724246621658469</v>
      </c>
      <c r="BE1028" s="51" t="n">
        <v>0.2207138621319699</v>
      </c>
      <c r="BF1028" s="43" t="n">
        <v>91687</v>
      </c>
    </row>
    <row r="1029">
      <c r="A1029" s="42" t="inlineStr">
        <is>
          <t>TX</t>
        </is>
      </c>
      <c r="B1029" s="42" t="inlineStr">
        <is>
          <t>48039</t>
        </is>
      </c>
      <c r="C1029" s="42" t="inlineStr">
        <is>
          <t>Brazoria</t>
        </is>
      </c>
      <c r="D1029" s="42" t="inlineStr">
        <is>
          <t>Mid-size/working metro</t>
        </is>
      </c>
      <c r="E1029" s="42" t="inlineStr"/>
      <c r="F1029" s="43" t="n">
        <v>63976</v>
      </c>
      <c r="G1029" s="43" t="n">
        <v>95867</v>
      </c>
      <c r="H1029" s="43" t="n">
        <v>161950</v>
      </c>
      <c r="I1029" s="43" t="n">
        <v>62228</v>
      </c>
      <c r="J1029" s="43" t="n">
        <v>90433</v>
      </c>
      <c r="K1029" s="42" t="inlineStr">
        <is>
          <t>Governor</t>
        </is>
      </c>
      <c r="L1029" s="43" t="n">
        <v>43364</v>
      </c>
      <c r="M1029" s="43" t="n">
        <v>64938</v>
      </c>
      <c r="N1029" s="43" t="n">
        <v>109994</v>
      </c>
      <c r="O1029" s="44">
        <f>IFERROR((F1029-G1029)/(F1029+G1029),"")</f>
        <v/>
      </c>
      <c r="P1029" s="44">
        <f>IFERROR((I1029-J1029)/(I1029+J1029),"")</f>
        <v/>
      </c>
      <c r="Q1029" s="45">
        <f>IFERROR(O1029-P1029,"")</f>
        <v/>
      </c>
      <c r="R1029" s="44">
        <f>IFERROR((L1029-M1029)/(L1029+M1029),"")</f>
        <v/>
      </c>
      <c r="S1029" s="46">
        <f>H1029/SUMIFS(Counties!$H$2:$H$1583,Counties!$A$2:$A$1583,$A1029)</f>
        <v/>
      </c>
      <c r="T1029" s="44">
        <f>O1029+INDEX(Dashboard!$F$6:$F$22,MATCH($A1029,Dashboard!$A$6:$A$22,0))</f>
        <v/>
      </c>
      <c r="U1029" s="43">
        <f>AQ1029*INDEX(Dashboard!$G$6:$G$22,MATCH($A1029,Dashboard!$A$6:$A$22,0))</f>
        <v/>
      </c>
      <c r="V1029" s="47" t="n"/>
      <c r="W1029" s="47" t="n"/>
      <c r="X1029" s="47" t="n"/>
      <c r="Y1029" s="48" t="n"/>
      <c r="Z1029" s="49" t="n"/>
      <c r="AA1029" s="49" t="n"/>
      <c r="AB1029" s="49" t="n"/>
      <c r="AC1029" s="50" t="n"/>
      <c r="AD1029" s="43">
        <f>IF(Z1029&lt;&gt;"",Z1029,N(V1029))</f>
        <v/>
      </c>
      <c r="AE1029" s="43">
        <f>IF(AA1029&lt;&gt;"",AA1029,N(W1029))</f>
        <v/>
      </c>
      <c r="AF1029" s="43">
        <f>AD1029+AE1029</f>
        <v/>
      </c>
      <c r="AG1029" s="42">
        <f>IF(UPPER(AC1029)="Y",1,IF(AF1029=0,0,IF(AND(Z1029="",Y1029&lt;&gt;""),IF(Y1029&gt;=0.999,1,0),IF(AF1029&gt;=U1029,1,0))))</f>
        <v/>
      </c>
      <c r="AH1029" s="44">
        <f>IF(AF1029&gt;0,(AD1029-AE1029)/AF1029,"")</f>
        <v/>
      </c>
      <c r="AI1029" s="45">
        <f>IF(AG1029=1,AH1029-O1029,"")</f>
        <v/>
      </c>
      <c r="AJ1029" s="44">
        <f>IF(AG1029=1,AH1029,MAX(-1,MIN(1,O1029+INDEX(Types!$H:$H,MATCH($A1029&amp;"|"&amp;$D1029,Types!$A:$A,0)))))</f>
        <v/>
      </c>
      <c r="AK1029" s="43">
        <f>IF(AG1029=1,AF1029,MAX(AQ1029*AS1029,AF1029))</f>
        <v/>
      </c>
      <c r="AL1029" s="43">
        <f>IF(AG1029=1,AD1029,AK1029*(1+AJ1029)/2)</f>
        <v/>
      </c>
      <c r="AM1029" s="43">
        <f>IF(AG1029=1,AE1029,AK1029*(1-AJ1029)/2)</f>
        <v/>
      </c>
      <c r="AN1029" s="45">
        <f>IF(AH1029="","",AH1029-T1029)</f>
        <v/>
      </c>
      <c r="AO1029" s="51">
        <f>IF(AG1029=1,1,IF(U1029&gt;0,MIN(AF1029/U1029,0.99),0))</f>
        <v/>
      </c>
      <c r="AP1029" s="43">
        <f>IF(AG1029=1,AI1029*AF1029,0)</f>
        <v/>
      </c>
      <c r="AQ1029" s="43">
        <f>N1029*(F1029+G1029)/H1029</f>
        <v/>
      </c>
      <c r="AR1029" s="43">
        <f>O1029*AQ1029</f>
        <v/>
      </c>
      <c r="AS1029" s="52">
        <f>IF(AG1029=1,IF(AQ1029&gt;0,AF1029/AQ1029,1),IFERROR(INDEX(Types!$K:$K,MATCH($A1029&amp;"|"&amp;$D1029,Types!$A:$A,0)),INDEX(Dashboard!$X$6:$X$22,MATCH($A1029,Dashboard!$A$6:$A$22,0))))</f>
        <v/>
      </c>
      <c r="AT1029" s="43">
        <f>AQ1029*INDEX(Dashboard!$Y$6:$Y$22,MATCH($A1029,Dashboard!$A$6:$A$22,0))</f>
        <v/>
      </c>
      <c r="AU1029" s="53">
        <f>IF(AND(AG1029=1,AT1029&gt;0,AF1029&gt;0),100*AF1029/AT1029,"")</f>
        <v/>
      </c>
      <c r="AV1029" s="44">
        <f>IF(AU1029="","",T1029/(AU1029/100))</f>
        <v/>
      </c>
      <c r="AW1029" s="53">
        <f>IF(AU1029="","",IF(AND(ABS(AH1029)&gt;=0.1,ABS(T1029)&gt;=0.05,SIGN(AH1029)=SIGN(T1029)),100*T1029/AH1029,""))</f>
        <v/>
      </c>
      <c r="AX1029" s="45">
        <f>IF(AU1029="","",T1029-AV1029)</f>
        <v/>
      </c>
      <c r="AY1029" s="45">
        <f>IF(AU1029="","",AH1029-AV1029)</f>
        <v/>
      </c>
      <c r="AZ1029" s="54">
        <f>(AL1029-AM1029)-T1029*AT1029</f>
        <v/>
      </c>
      <c r="BA1029" s="43">
        <f>IF(AU1029="",0,(AH1029-T1029)*AF1029)</f>
        <v/>
      </c>
      <c r="BB1029" s="43">
        <f>IF(AU1029="",0,T1029*(AF1029-AT1029))</f>
        <v/>
      </c>
      <c r="BC1029" s="51" t="n">
        <v>0.1684221608370223</v>
      </c>
      <c r="BD1029" s="51" t="n">
        <v>0.318380299695692</v>
      </c>
      <c r="BE1029" s="51" t="n">
        <v>0.3209135189341483</v>
      </c>
      <c r="BF1029" s="43" t="n">
        <v>398938</v>
      </c>
    </row>
    <row r="1030">
      <c r="A1030" s="42" t="inlineStr">
        <is>
          <t>TX</t>
        </is>
      </c>
      <c r="B1030" s="42" t="inlineStr">
        <is>
          <t>48041</t>
        </is>
      </c>
      <c r="C1030" s="42" t="inlineStr">
        <is>
          <t>Brazos</t>
        </is>
      </c>
      <c r="D1030" s="42" t="inlineStr">
        <is>
          <t>College suburb/metro</t>
        </is>
      </c>
      <c r="E1030" s="42" t="inlineStr"/>
      <c r="F1030" s="43" t="n">
        <v>33844</v>
      </c>
      <c r="G1030" s="43" t="n">
        <v>56671</v>
      </c>
      <c r="H1030" s="43" t="n">
        <v>91847</v>
      </c>
      <c r="I1030" s="43" t="n">
        <v>35349</v>
      </c>
      <c r="J1030" s="43" t="n">
        <v>47530</v>
      </c>
      <c r="K1030" s="42" t="inlineStr">
        <is>
          <t>Governor</t>
        </is>
      </c>
      <c r="L1030" s="43" t="n">
        <v>23103</v>
      </c>
      <c r="M1030" s="43" t="n">
        <v>35768</v>
      </c>
      <c r="N1030" s="43" t="n">
        <v>59991</v>
      </c>
      <c r="O1030" s="44">
        <f>IFERROR((F1030-G1030)/(F1030+G1030),"")</f>
        <v/>
      </c>
      <c r="P1030" s="44">
        <f>IFERROR((I1030-J1030)/(I1030+J1030),"")</f>
        <v/>
      </c>
      <c r="Q1030" s="45">
        <f>IFERROR(O1030-P1030,"")</f>
        <v/>
      </c>
      <c r="R1030" s="44">
        <f>IFERROR((L1030-M1030)/(L1030+M1030),"")</f>
        <v/>
      </c>
      <c r="S1030" s="46">
        <f>H1030/SUMIFS(Counties!$H$2:$H$1583,Counties!$A$2:$A$1583,$A1030)</f>
        <v/>
      </c>
      <c r="T1030" s="44">
        <f>O1030+INDEX(Dashboard!$F$6:$F$22,MATCH($A1030,Dashboard!$A$6:$A$22,0))</f>
        <v/>
      </c>
      <c r="U1030" s="43">
        <f>AQ1030*INDEX(Dashboard!$G$6:$G$22,MATCH($A1030,Dashboard!$A$6:$A$22,0))</f>
        <v/>
      </c>
      <c r="V1030" s="47" t="n"/>
      <c r="W1030" s="47" t="n"/>
      <c r="X1030" s="47" t="n"/>
      <c r="Y1030" s="48" t="n"/>
      <c r="Z1030" s="49" t="n"/>
      <c r="AA1030" s="49" t="n"/>
      <c r="AB1030" s="49" t="n"/>
      <c r="AC1030" s="50" t="n"/>
      <c r="AD1030" s="43">
        <f>IF(Z1030&lt;&gt;"",Z1030,N(V1030))</f>
        <v/>
      </c>
      <c r="AE1030" s="43">
        <f>IF(AA1030&lt;&gt;"",AA1030,N(W1030))</f>
        <v/>
      </c>
      <c r="AF1030" s="43">
        <f>AD1030+AE1030</f>
        <v/>
      </c>
      <c r="AG1030" s="42">
        <f>IF(UPPER(AC1030)="Y",1,IF(AF1030=0,0,IF(AND(Z1030="",Y1030&lt;&gt;""),IF(Y1030&gt;=0.999,1,0),IF(AF1030&gt;=U1030,1,0))))</f>
        <v/>
      </c>
      <c r="AH1030" s="44">
        <f>IF(AF1030&gt;0,(AD1030-AE1030)/AF1030,"")</f>
        <v/>
      </c>
      <c r="AI1030" s="45">
        <f>IF(AG1030=1,AH1030-O1030,"")</f>
        <v/>
      </c>
      <c r="AJ1030" s="44">
        <f>IF(AG1030=1,AH1030,MAX(-1,MIN(1,O1030+INDEX(Types!$H:$H,MATCH($A1030&amp;"|"&amp;$D1030,Types!$A:$A,0)))))</f>
        <v/>
      </c>
      <c r="AK1030" s="43">
        <f>IF(AG1030=1,AF1030,MAX(AQ1030*AS1030,AF1030))</f>
        <v/>
      </c>
      <c r="AL1030" s="43">
        <f>IF(AG1030=1,AD1030,AK1030*(1+AJ1030)/2)</f>
        <v/>
      </c>
      <c r="AM1030" s="43">
        <f>IF(AG1030=1,AE1030,AK1030*(1-AJ1030)/2)</f>
        <v/>
      </c>
      <c r="AN1030" s="45">
        <f>IF(AH1030="","",AH1030-T1030)</f>
        <v/>
      </c>
      <c r="AO1030" s="51">
        <f>IF(AG1030=1,1,IF(U1030&gt;0,MIN(AF1030/U1030,0.99),0))</f>
        <v/>
      </c>
      <c r="AP1030" s="43">
        <f>IF(AG1030=1,AI1030*AF1030,0)</f>
        <v/>
      </c>
      <c r="AQ1030" s="43">
        <f>N1030*(F1030+G1030)/H1030</f>
        <v/>
      </c>
      <c r="AR1030" s="43">
        <f>O1030*AQ1030</f>
        <v/>
      </c>
      <c r="AS1030" s="52">
        <f>IF(AG1030=1,IF(AQ1030&gt;0,AF1030/AQ1030,1),IFERROR(INDEX(Types!$K:$K,MATCH($A1030&amp;"|"&amp;$D1030,Types!$A:$A,0)),INDEX(Dashboard!$X$6:$X$22,MATCH($A1030,Dashboard!$A$6:$A$22,0))))</f>
        <v/>
      </c>
      <c r="AT1030" s="43">
        <f>AQ1030*INDEX(Dashboard!$Y$6:$Y$22,MATCH($A1030,Dashboard!$A$6:$A$22,0))</f>
        <v/>
      </c>
      <c r="AU1030" s="53">
        <f>IF(AND(AG1030=1,AT1030&gt;0,AF1030&gt;0),100*AF1030/AT1030,"")</f>
        <v/>
      </c>
      <c r="AV1030" s="44">
        <f>IF(AU1030="","",T1030/(AU1030/100))</f>
        <v/>
      </c>
      <c r="AW1030" s="53">
        <f>IF(AU1030="","",IF(AND(ABS(AH1030)&gt;=0.1,ABS(T1030)&gt;=0.05,SIGN(AH1030)=SIGN(T1030)),100*T1030/AH1030,""))</f>
        <v/>
      </c>
      <c r="AX1030" s="45">
        <f>IF(AU1030="","",T1030-AV1030)</f>
        <v/>
      </c>
      <c r="AY1030" s="45">
        <f>IF(AU1030="","",AH1030-AV1030)</f>
        <v/>
      </c>
      <c r="AZ1030" s="54">
        <f>(AL1030-AM1030)-T1030*AT1030</f>
        <v/>
      </c>
      <c r="BA1030" s="43">
        <f>IF(AU1030="",0,(AH1030-T1030)*AF1030)</f>
        <v/>
      </c>
      <c r="BB1030" s="43">
        <f>IF(AU1030="",0,T1030*(AF1030-AT1030))</f>
        <v/>
      </c>
      <c r="BC1030" s="51" t="n">
        <v>0.1075834787477064</v>
      </c>
      <c r="BD1030" s="51" t="n">
        <v>0.2745654936800938</v>
      </c>
      <c r="BE1030" s="51" t="n">
        <v>0.4253721303821409</v>
      </c>
      <c r="BF1030" s="43" t="n">
        <v>244703</v>
      </c>
    </row>
    <row r="1031">
      <c r="A1031" s="42" t="inlineStr">
        <is>
          <t>TX</t>
        </is>
      </c>
      <c r="B1031" s="42" t="inlineStr">
        <is>
          <t>48043</t>
        </is>
      </c>
      <c r="C1031" s="42" t="inlineStr">
        <is>
          <t>Brewster</t>
        </is>
      </c>
      <c r="D1031" s="42" t="inlineStr">
        <is>
          <t>Hispanic</t>
        </is>
      </c>
      <c r="E1031" s="42" t="inlineStr"/>
      <c r="F1031" s="43" t="n">
        <v>1969</v>
      </c>
      <c r="G1031" s="43" t="n">
        <v>2545</v>
      </c>
      <c r="H1031" s="43" t="n">
        <v>4576</v>
      </c>
      <c r="I1031" s="43" t="n">
        <v>2258</v>
      </c>
      <c r="J1031" s="43" t="n">
        <v>2461</v>
      </c>
      <c r="K1031" s="42" t="inlineStr">
        <is>
          <t>Governor</t>
        </is>
      </c>
      <c r="L1031" s="43" t="n">
        <v>1678</v>
      </c>
      <c r="M1031" s="43" t="n">
        <v>2014</v>
      </c>
      <c r="N1031" s="43" t="n">
        <v>3763</v>
      </c>
      <c r="O1031" s="44">
        <f>IFERROR((F1031-G1031)/(F1031+G1031),"")</f>
        <v/>
      </c>
      <c r="P1031" s="44">
        <f>IFERROR((I1031-J1031)/(I1031+J1031),"")</f>
        <v/>
      </c>
      <c r="Q1031" s="45">
        <f>IFERROR(O1031-P1031,"")</f>
        <v/>
      </c>
      <c r="R1031" s="44">
        <f>IFERROR((L1031-M1031)/(L1031+M1031),"")</f>
        <v/>
      </c>
      <c r="S1031" s="46">
        <f>H1031/SUMIFS(Counties!$H$2:$H$1583,Counties!$A$2:$A$1583,$A1031)</f>
        <v/>
      </c>
      <c r="T1031" s="44">
        <f>O1031+INDEX(Dashboard!$F$6:$F$22,MATCH($A1031,Dashboard!$A$6:$A$22,0))</f>
        <v/>
      </c>
      <c r="U1031" s="43">
        <f>AQ1031*INDEX(Dashboard!$G$6:$G$22,MATCH($A1031,Dashboard!$A$6:$A$22,0))</f>
        <v/>
      </c>
      <c r="V1031" s="47" t="n"/>
      <c r="W1031" s="47" t="n"/>
      <c r="X1031" s="47" t="n"/>
      <c r="Y1031" s="48" t="n"/>
      <c r="Z1031" s="49" t="n"/>
      <c r="AA1031" s="49" t="n"/>
      <c r="AB1031" s="49" t="n"/>
      <c r="AC1031" s="50" t="n"/>
      <c r="AD1031" s="43">
        <f>IF(Z1031&lt;&gt;"",Z1031,N(V1031))</f>
        <v/>
      </c>
      <c r="AE1031" s="43">
        <f>IF(AA1031&lt;&gt;"",AA1031,N(W1031))</f>
        <v/>
      </c>
      <c r="AF1031" s="43">
        <f>AD1031+AE1031</f>
        <v/>
      </c>
      <c r="AG1031" s="42">
        <f>IF(UPPER(AC1031)="Y",1,IF(AF1031=0,0,IF(AND(Z1031="",Y1031&lt;&gt;""),IF(Y1031&gt;=0.999,1,0),IF(AF1031&gt;=U1031,1,0))))</f>
        <v/>
      </c>
      <c r="AH1031" s="44">
        <f>IF(AF1031&gt;0,(AD1031-AE1031)/AF1031,"")</f>
        <v/>
      </c>
      <c r="AI1031" s="45">
        <f>IF(AG1031=1,AH1031-O1031,"")</f>
        <v/>
      </c>
      <c r="AJ1031" s="44">
        <f>IF(AG1031=1,AH1031,MAX(-1,MIN(1,O1031+INDEX(Types!$H:$H,MATCH($A1031&amp;"|"&amp;$D1031,Types!$A:$A,0)))))</f>
        <v/>
      </c>
      <c r="AK1031" s="43">
        <f>IF(AG1031=1,AF1031,MAX(AQ1031*AS1031,AF1031))</f>
        <v/>
      </c>
      <c r="AL1031" s="43">
        <f>IF(AG1031=1,AD1031,AK1031*(1+AJ1031)/2)</f>
        <v/>
      </c>
      <c r="AM1031" s="43">
        <f>IF(AG1031=1,AE1031,AK1031*(1-AJ1031)/2)</f>
        <v/>
      </c>
      <c r="AN1031" s="45">
        <f>IF(AH1031="","",AH1031-T1031)</f>
        <v/>
      </c>
      <c r="AO1031" s="51">
        <f>IF(AG1031=1,1,IF(U1031&gt;0,MIN(AF1031/U1031,0.99),0))</f>
        <v/>
      </c>
      <c r="AP1031" s="43">
        <f>IF(AG1031=1,AI1031*AF1031,0)</f>
        <v/>
      </c>
      <c r="AQ1031" s="43">
        <f>N1031*(F1031+G1031)/H1031</f>
        <v/>
      </c>
      <c r="AR1031" s="43">
        <f>O1031*AQ1031</f>
        <v/>
      </c>
      <c r="AS1031" s="52">
        <f>IF(AG1031=1,IF(AQ1031&gt;0,AF1031/AQ1031,1),IFERROR(INDEX(Types!$K:$K,MATCH($A1031&amp;"|"&amp;$D1031,Types!$A:$A,0)),INDEX(Dashboard!$X$6:$X$22,MATCH($A1031,Dashboard!$A$6:$A$22,0))))</f>
        <v/>
      </c>
      <c r="AT1031" s="43">
        <f>AQ1031*INDEX(Dashboard!$Y$6:$Y$22,MATCH($A1031,Dashboard!$A$6:$A$22,0))</f>
        <v/>
      </c>
      <c r="AU1031" s="53">
        <f>IF(AND(AG1031=1,AT1031&gt;0,AF1031&gt;0),100*AF1031/AT1031,"")</f>
        <v/>
      </c>
      <c r="AV1031" s="44">
        <f>IF(AU1031="","",T1031/(AU1031/100))</f>
        <v/>
      </c>
      <c r="AW1031" s="53">
        <f>IF(AU1031="","",IF(AND(ABS(AH1031)&gt;=0.1,ABS(T1031)&gt;=0.05,SIGN(AH1031)=SIGN(T1031)),100*T1031/AH1031,""))</f>
        <v/>
      </c>
      <c r="AX1031" s="45">
        <f>IF(AU1031="","",T1031-AV1031)</f>
        <v/>
      </c>
      <c r="AY1031" s="45">
        <f>IF(AU1031="","",AH1031-AV1031)</f>
        <v/>
      </c>
      <c r="AZ1031" s="54">
        <f>(AL1031-AM1031)-T1031*AT1031</f>
        <v/>
      </c>
      <c r="BA1031" s="43">
        <f>IF(AU1031="",0,(AH1031-T1031)*AF1031)</f>
        <v/>
      </c>
      <c r="BB1031" s="43">
        <f>IF(AU1031="",0,T1031*(AF1031-AT1031))</f>
        <v/>
      </c>
      <c r="BC1031" s="51" t="n">
        <v>0.02407232208556712</v>
      </c>
      <c r="BD1031" s="51" t="n">
        <v>0.4204772416692947</v>
      </c>
      <c r="BE1031" s="51" t="n">
        <v>0.4527064732142857</v>
      </c>
      <c r="BF1031" s="43" t="n">
        <v>9513</v>
      </c>
    </row>
    <row r="1032">
      <c r="A1032" s="42" t="inlineStr">
        <is>
          <t>TX</t>
        </is>
      </c>
      <c r="B1032" s="42" t="inlineStr">
        <is>
          <t>48045</t>
        </is>
      </c>
      <c r="C1032" s="42" t="inlineStr">
        <is>
          <t>Briscoe</t>
        </is>
      </c>
      <c r="D1032" s="42" t="inlineStr">
        <is>
          <t>Small town &amp; rural</t>
        </is>
      </c>
      <c r="E1032" s="42" t="inlineStr"/>
      <c r="F1032" s="43" t="n">
        <v>72</v>
      </c>
      <c r="G1032" s="43" t="n">
        <v>666</v>
      </c>
      <c r="H1032" s="43" t="n">
        <v>744</v>
      </c>
      <c r="I1032" s="43" t="n">
        <v>78</v>
      </c>
      <c r="J1032" s="43" t="n">
        <v>639</v>
      </c>
      <c r="K1032" s="42" t="inlineStr">
        <is>
          <t>Governor</t>
        </is>
      </c>
      <c r="L1032" s="43" t="n">
        <v>49</v>
      </c>
      <c r="M1032" s="43" t="n">
        <v>539</v>
      </c>
      <c r="N1032" s="43" t="n">
        <v>592</v>
      </c>
      <c r="O1032" s="44">
        <f>IFERROR((F1032-G1032)/(F1032+G1032),"")</f>
        <v/>
      </c>
      <c r="P1032" s="44">
        <f>IFERROR((I1032-J1032)/(I1032+J1032),"")</f>
        <v/>
      </c>
      <c r="Q1032" s="45">
        <f>IFERROR(O1032-P1032,"")</f>
        <v/>
      </c>
      <c r="R1032" s="44">
        <f>IFERROR((L1032-M1032)/(L1032+M1032),"")</f>
        <v/>
      </c>
      <c r="S1032" s="46">
        <f>H1032/SUMIFS(Counties!$H$2:$H$1583,Counties!$A$2:$A$1583,$A1032)</f>
        <v/>
      </c>
      <c r="T1032" s="44">
        <f>O1032+INDEX(Dashboard!$F$6:$F$22,MATCH($A1032,Dashboard!$A$6:$A$22,0))</f>
        <v/>
      </c>
      <c r="U1032" s="43">
        <f>AQ1032*INDEX(Dashboard!$G$6:$G$22,MATCH($A1032,Dashboard!$A$6:$A$22,0))</f>
        <v/>
      </c>
      <c r="V1032" s="47" t="n"/>
      <c r="W1032" s="47" t="n"/>
      <c r="X1032" s="47" t="n"/>
      <c r="Y1032" s="48" t="n"/>
      <c r="Z1032" s="49" t="n"/>
      <c r="AA1032" s="49" t="n"/>
      <c r="AB1032" s="49" t="n"/>
      <c r="AC1032" s="50" t="n"/>
      <c r="AD1032" s="43">
        <f>IF(Z1032&lt;&gt;"",Z1032,N(V1032))</f>
        <v/>
      </c>
      <c r="AE1032" s="43">
        <f>IF(AA1032&lt;&gt;"",AA1032,N(W1032))</f>
        <v/>
      </c>
      <c r="AF1032" s="43">
        <f>AD1032+AE1032</f>
        <v/>
      </c>
      <c r="AG1032" s="42">
        <f>IF(UPPER(AC1032)="Y",1,IF(AF1032=0,0,IF(AND(Z1032="",Y1032&lt;&gt;""),IF(Y1032&gt;=0.999,1,0),IF(AF1032&gt;=U1032,1,0))))</f>
        <v/>
      </c>
      <c r="AH1032" s="44">
        <f>IF(AF1032&gt;0,(AD1032-AE1032)/AF1032,"")</f>
        <v/>
      </c>
      <c r="AI1032" s="45">
        <f>IF(AG1032=1,AH1032-O1032,"")</f>
        <v/>
      </c>
      <c r="AJ1032" s="44">
        <f>IF(AG1032=1,AH1032,MAX(-1,MIN(1,O1032+INDEX(Types!$H:$H,MATCH($A1032&amp;"|"&amp;$D1032,Types!$A:$A,0)))))</f>
        <v/>
      </c>
      <c r="AK1032" s="43">
        <f>IF(AG1032=1,AF1032,MAX(AQ1032*AS1032,AF1032))</f>
        <v/>
      </c>
      <c r="AL1032" s="43">
        <f>IF(AG1032=1,AD1032,AK1032*(1+AJ1032)/2)</f>
        <v/>
      </c>
      <c r="AM1032" s="43">
        <f>IF(AG1032=1,AE1032,AK1032*(1-AJ1032)/2)</f>
        <v/>
      </c>
      <c r="AN1032" s="45">
        <f>IF(AH1032="","",AH1032-T1032)</f>
        <v/>
      </c>
      <c r="AO1032" s="51">
        <f>IF(AG1032=1,1,IF(U1032&gt;0,MIN(AF1032/U1032,0.99),0))</f>
        <v/>
      </c>
      <c r="AP1032" s="43">
        <f>IF(AG1032=1,AI1032*AF1032,0)</f>
        <v/>
      </c>
      <c r="AQ1032" s="43">
        <f>N1032*(F1032+G1032)/H1032</f>
        <v/>
      </c>
      <c r="AR1032" s="43">
        <f>O1032*AQ1032</f>
        <v/>
      </c>
      <c r="AS1032" s="52">
        <f>IF(AG1032=1,IF(AQ1032&gt;0,AF1032/AQ1032,1),IFERROR(INDEX(Types!$K:$K,MATCH($A1032&amp;"|"&amp;$D1032,Types!$A:$A,0)),INDEX(Dashboard!$X$6:$X$22,MATCH($A1032,Dashboard!$A$6:$A$22,0))))</f>
        <v/>
      </c>
      <c r="AT1032" s="43">
        <f>AQ1032*INDEX(Dashboard!$Y$6:$Y$22,MATCH($A1032,Dashboard!$A$6:$A$22,0))</f>
        <v/>
      </c>
      <c r="AU1032" s="53">
        <f>IF(AND(AG1032=1,AT1032&gt;0,AF1032&gt;0),100*AF1032/AT1032,"")</f>
        <v/>
      </c>
      <c r="AV1032" s="44">
        <f>IF(AU1032="","",T1032/(AU1032/100))</f>
        <v/>
      </c>
      <c r="AW1032" s="53">
        <f>IF(AU1032="","",IF(AND(ABS(AH1032)&gt;=0.1,ABS(T1032)&gt;=0.05,SIGN(AH1032)=SIGN(T1032)),100*T1032/AH1032,""))</f>
        <v/>
      </c>
      <c r="AX1032" s="45">
        <f>IF(AU1032="","",T1032-AV1032)</f>
        <v/>
      </c>
      <c r="AY1032" s="45">
        <f>IF(AU1032="","",AH1032-AV1032)</f>
        <v/>
      </c>
      <c r="AZ1032" s="54">
        <f>(AL1032-AM1032)-T1032*AT1032</f>
        <v/>
      </c>
      <c r="BA1032" s="43">
        <f>IF(AU1032="",0,(AH1032-T1032)*AF1032)</f>
        <v/>
      </c>
      <c r="BB1032" s="43">
        <f>IF(AU1032="",0,T1032*(AF1032-AT1032))</f>
        <v/>
      </c>
      <c r="BC1032" s="51" t="n">
        <v>0.04013840830449827</v>
      </c>
      <c r="BD1032" s="51" t="n">
        <v>0.285121107266436</v>
      </c>
      <c r="BE1032" s="51" t="n">
        <v>0.1902286902286902</v>
      </c>
      <c r="BF1032" s="43" t="n">
        <v>1445</v>
      </c>
    </row>
    <row r="1033">
      <c r="A1033" s="42" t="inlineStr">
        <is>
          <t>TX</t>
        </is>
      </c>
      <c r="B1033" s="42" t="inlineStr">
        <is>
          <t>48047</t>
        </is>
      </c>
      <c r="C1033" s="42" t="inlineStr">
        <is>
          <t>Brooks</t>
        </is>
      </c>
      <c r="D1033" s="42" t="inlineStr">
        <is>
          <t>Hispanic</t>
        </is>
      </c>
      <c r="E1033" s="42" t="inlineStr"/>
      <c r="F1033" s="43" t="n">
        <v>1308</v>
      </c>
      <c r="G1033" s="43" t="n">
        <v>1077</v>
      </c>
      <c r="H1033" s="43" t="n">
        <v>2402</v>
      </c>
      <c r="I1033" s="43" t="n">
        <v>1470</v>
      </c>
      <c r="J1033" s="43" t="n">
        <v>998</v>
      </c>
      <c r="K1033" s="42" t="inlineStr">
        <is>
          <t>Governor</t>
        </is>
      </c>
      <c r="L1033" s="43" t="n">
        <v>1204</v>
      </c>
      <c r="M1033" s="43" t="n">
        <v>785</v>
      </c>
      <c r="N1033" s="43" t="n">
        <v>2008</v>
      </c>
      <c r="O1033" s="44">
        <f>IFERROR((F1033-G1033)/(F1033+G1033),"")</f>
        <v/>
      </c>
      <c r="P1033" s="44">
        <f>IFERROR((I1033-J1033)/(I1033+J1033),"")</f>
        <v/>
      </c>
      <c r="Q1033" s="45">
        <f>IFERROR(O1033-P1033,"")</f>
        <v/>
      </c>
      <c r="R1033" s="44">
        <f>IFERROR((L1033-M1033)/(L1033+M1033),"")</f>
        <v/>
      </c>
      <c r="S1033" s="46">
        <f>H1033/SUMIFS(Counties!$H$2:$H$1583,Counties!$A$2:$A$1583,$A1033)</f>
        <v/>
      </c>
      <c r="T1033" s="44">
        <f>O1033+INDEX(Dashboard!$F$6:$F$22,MATCH($A1033,Dashboard!$A$6:$A$22,0))</f>
        <v/>
      </c>
      <c r="U1033" s="43">
        <f>AQ1033*INDEX(Dashboard!$G$6:$G$22,MATCH($A1033,Dashboard!$A$6:$A$22,0))</f>
        <v/>
      </c>
      <c r="V1033" s="47" t="n"/>
      <c r="W1033" s="47" t="n"/>
      <c r="X1033" s="47" t="n"/>
      <c r="Y1033" s="48" t="n"/>
      <c r="Z1033" s="49" t="n"/>
      <c r="AA1033" s="49" t="n"/>
      <c r="AB1033" s="49" t="n"/>
      <c r="AC1033" s="50" t="n"/>
      <c r="AD1033" s="43">
        <f>IF(Z1033&lt;&gt;"",Z1033,N(V1033))</f>
        <v/>
      </c>
      <c r="AE1033" s="43">
        <f>IF(AA1033&lt;&gt;"",AA1033,N(W1033))</f>
        <v/>
      </c>
      <c r="AF1033" s="43">
        <f>AD1033+AE1033</f>
        <v/>
      </c>
      <c r="AG1033" s="42">
        <f>IF(UPPER(AC1033)="Y",1,IF(AF1033=0,0,IF(AND(Z1033="",Y1033&lt;&gt;""),IF(Y1033&gt;=0.999,1,0),IF(AF1033&gt;=U1033,1,0))))</f>
        <v/>
      </c>
      <c r="AH1033" s="44">
        <f>IF(AF1033&gt;0,(AD1033-AE1033)/AF1033,"")</f>
        <v/>
      </c>
      <c r="AI1033" s="45">
        <f>IF(AG1033=1,AH1033-O1033,"")</f>
        <v/>
      </c>
      <c r="AJ1033" s="44">
        <f>IF(AG1033=1,AH1033,MAX(-1,MIN(1,O1033+INDEX(Types!$H:$H,MATCH($A1033&amp;"|"&amp;$D1033,Types!$A:$A,0)))))</f>
        <v/>
      </c>
      <c r="AK1033" s="43">
        <f>IF(AG1033=1,AF1033,MAX(AQ1033*AS1033,AF1033))</f>
        <v/>
      </c>
      <c r="AL1033" s="43">
        <f>IF(AG1033=1,AD1033,AK1033*(1+AJ1033)/2)</f>
        <v/>
      </c>
      <c r="AM1033" s="43">
        <f>IF(AG1033=1,AE1033,AK1033*(1-AJ1033)/2)</f>
        <v/>
      </c>
      <c r="AN1033" s="45">
        <f>IF(AH1033="","",AH1033-T1033)</f>
        <v/>
      </c>
      <c r="AO1033" s="51">
        <f>IF(AG1033=1,1,IF(U1033&gt;0,MIN(AF1033/U1033,0.99),0))</f>
        <v/>
      </c>
      <c r="AP1033" s="43">
        <f>IF(AG1033=1,AI1033*AF1033,0)</f>
        <v/>
      </c>
      <c r="AQ1033" s="43">
        <f>N1033*(F1033+G1033)/H1033</f>
        <v/>
      </c>
      <c r="AR1033" s="43">
        <f>O1033*AQ1033</f>
        <v/>
      </c>
      <c r="AS1033" s="52">
        <f>IF(AG1033=1,IF(AQ1033&gt;0,AF1033/AQ1033,1),IFERROR(INDEX(Types!$K:$K,MATCH($A1033&amp;"|"&amp;$D1033,Types!$A:$A,0)),INDEX(Dashboard!$X$6:$X$22,MATCH($A1033,Dashboard!$A$6:$A$22,0))))</f>
        <v/>
      </c>
      <c r="AT1033" s="43">
        <f>AQ1033*INDEX(Dashboard!$Y$6:$Y$22,MATCH($A1033,Dashboard!$A$6:$A$22,0))</f>
        <v/>
      </c>
      <c r="AU1033" s="53">
        <f>IF(AND(AG1033=1,AT1033&gt;0,AF1033&gt;0),100*AF1033/AT1033,"")</f>
        <v/>
      </c>
      <c r="AV1033" s="44">
        <f>IF(AU1033="","",T1033/(AU1033/100))</f>
        <v/>
      </c>
      <c r="AW1033" s="53">
        <f>IF(AU1033="","",IF(AND(ABS(AH1033)&gt;=0.1,ABS(T1033)&gt;=0.05,SIGN(AH1033)=SIGN(T1033)),100*T1033/AH1033,""))</f>
        <v/>
      </c>
      <c r="AX1033" s="45">
        <f>IF(AU1033="","",T1033-AV1033)</f>
        <v/>
      </c>
      <c r="AY1033" s="45">
        <f>IF(AU1033="","",AH1033-AV1033)</f>
        <v/>
      </c>
      <c r="AZ1033" s="54">
        <f>(AL1033-AM1033)-T1033*AT1033</f>
        <v/>
      </c>
      <c r="BA1033" s="43">
        <f>IF(AU1033="",0,(AH1033-T1033)*AF1033)</f>
        <v/>
      </c>
      <c r="BB1033" s="43">
        <f>IF(AU1033="",0,T1033*(AF1033-AT1033))</f>
        <v/>
      </c>
      <c r="BC1033" s="51" t="n">
        <v>0.02686915887850467</v>
      </c>
      <c r="BD1033" s="51" t="n">
        <v>0.8691588785046729</v>
      </c>
      <c r="BE1033" s="51" t="n">
        <v>0.1444078309749952</v>
      </c>
      <c r="BF1033" s="43" t="n">
        <v>6848</v>
      </c>
    </row>
    <row r="1034">
      <c r="A1034" s="42" t="inlineStr">
        <is>
          <t>TX</t>
        </is>
      </c>
      <c r="B1034" s="42" t="inlineStr">
        <is>
          <t>48049</t>
        </is>
      </c>
      <c r="C1034" s="42" t="inlineStr">
        <is>
          <t>Brown</t>
        </is>
      </c>
      <c r="D1034" s="42" t="inlineStr">
        <is>
          <t>Small town &amp; rural</t>
        </is>
      </c>
      <c r="E1034" s="42" t="inlineStr"/>
      <c r="F1034" s="43" t="n">
        <v>2132</v>
      </c>
      <c r="G1034" s="43" t="n">
        <v>14593</v>
      </c>
      <c r="H1034" s="43" t="n">
        <v>16853</v>
      </c>
      <c r="I1034" s="43" t="n">
        <v>2107</v>
      </c>
      <c r="J1034" s="43" t="n">
        <v>13698</v>
      </c>
      <c r="K1034" s="42" t="inlineStr">
        <is>
          <t>Governor</t>
        </is>
      </c>
      <c r="L1034" s="43" t="n">
        <v>1308</v>
      </c>
      <c r="M1034" s="43" t="n">
        <v>10853</v>
      </c>
      <c r="N1034" s="43" t="n">
        <v>12285</v>
      </c>
      <c r="O1034" s="44">
        <f>IFERROR((F1034-G1034)/(F1034+G1034),"")</f>
        <v/>
      </c>
      <c r="P1034" s="44">
        <f>IFERROR((I1034-J1034)/(I1034+J1034),"")</f>
        <v/>
      </c>
      <c r="Q1034" s="45">
        <f>IFERROR(O1034-P1034,"")</f>
        <v/>
      </c>
      <c r="R1034" s="44">
        <f>IFERROR((L1034-M1034)/(L1034+M1034),"")</f>
        <v/>
      </c>
      <c r="S1034" s="46">
        <f>H1034/SUMIFS(Counties!$H$2:$H$1583,Counties!$A$2:$A$1583,$A1034)</f>
        <v/>
      </c>
      <c r="T1034" s="44">
        <f>O1034+INDEX(Dashboard!$F$6:$F$22,MATCH($A1034,Dashboard!$A$6:$A$22,0))</f>
        <v/>
      </c>
      <c r="U1034" s="43">
        <f>AQ1034*INDEX(Dashboard!$G$6:$G$22,MATCH($A1034,Dashboard!$A$6:$A$22,0))</f>
        <v/>
      </c>
      <c r="V1034" s="47" t="n"/>
      <c r="W1034" s="47" t="n"/>
      <c r="X1034" s="47" t="n"/>
      <c r="Y1034" s="48" t="n"/>
      <c r="Z1034" s="49" t="n"/>
      <c r="AA1034" s="49" t="n"/>
      <c r="AB1034" s="49" t="n"/>
      <c r="AC1034" s="50" t="n"/>
      <c r="AD1034" s="43">
        <f>IF(Z1034&lt;&gt;"",Z1034,N(V1034))</f>
        <v/>
      </c>
      <c r="AE1034" s="43">
        <f>IF(AA1034&lt;&gt;"",AA1034,N(W1034))</f>
        <v/>
      </c>
      <c r="AF1034" s="43">
        <f>AD1034+AE1034</f>
        <v/>
      </c>
      <c r="AG1034" s="42">
        <f>IF(UPPER(AC1034)="Y",1,IF(AF1034=0,0,IF(AND(Z1034="",Y1034&lt;&gt;""),IF(Y1034&gt;=0.999,1,0),IF(AF1034&gt;=U1034,1,0))))</f>
        <v/>
      </c>
      <c r="AH1034" s="44">
        <f>IF(AF1034&gt;0,(AD1034-AE1034)/AF1034,"")</f>
        <v/>
      </c>
      <c r="AI1034" s="45">
        <f>IF(AG1034=1,AH1034-O1034,"")</f>
        <v/>
      </c>
      <c r="AJ1034" s="44">
        <f>IF(AG1034=1,AH1034,MAX(-1,MIN(1,O1034+INDEX(Types!$H:$H,MATCH($A1034&amp;"|"&amp;$D1034,Types!$A:$A,0)))))</f>
        <v/>
      </c>
      <c r="AK1034" s="43">
        <f>IF(AG1034=1,AF1034,MAX(AQ1034*AS1034,AF1034))</f>
        <v/>
      </c>
      <c r="AL1034" s="43">
        <f>IF(AG1034=1,AD1034,AK1034*(1+AJ1034)/2)</f>
        <v/>
      </c>
      <c r="AM1034" s="43">
        <f>IF(AG1034=1,AE1034,AK1034*(1-AJ1034)/2)</f>
        <v/>
      </c>
      <c r="AN1034" s="45">
        <f>IF(AH1034="","",AH1034-T1034)</f>
        <v/>
      </c>
      <c r="AO1034" s="51">
        <f>IF(AG1034=1,1,IF(U1034&gt;0,MIN(AF1034/U1034,0.99),0))</f>
        <v/>
      </c>
      <c r="AP1034" s="43">
        <f>IF(AG1034=1,AI1034*AF1034,0)</f>
        <v/>
      </c>
      <c r="AQ1034" s="43">
        <f>N1034*(F1034+G1034)/H1034</f>
        <v/>
      </c>
      <c r="AR1034" s="43">
        <f>O1034*AQ1034</f>
        <v/>
      </c>
      <c r="AS1034" s="52">
        <f>IF(AG1034=1,IF(AQ1034&gt;0,AF1034/AQ1034,1),IFERROR(INDEX(Types!$K:$K,MATCH($A1034&amp;"|"&amp;$D1034,Types!$A:$A,0)),INDEX(Dashboard!$X$6:$X$22,MATCH($A1034,Dashboard!$A$6:$A$22,0))))</f>
        <v/>
      </c>
      <c r="AT1034" s="43">
        <f>AQ1034*INDEX(Dashboard!$Y$6:$Y$22,MATCH($A1034,Dashboard!$A$6:$A$22,0))</f>
        <v/>
      </c>
      <c r="AU1034" s="53">
        <f>IF(AND(AG1034=1,AT1034&gt;0,AF1034&gt;0),100*AF1034/AT1034,"")</f>
        <v/>
      </c>
      <c r="AV1034" s="44">
        <f>IF(AU1034="","",T1034/(AU1034/100))</f>
        <v/>
      </c>
      <c r="AW1034" s="53">
        <f>IF(AU1034="","",IF(AND(ABS(AH1034)&gt;=0.1,ABS(T1034)&gt;=0.05,SIGN(AH1034)=SIGN(T1034)),100*T1034/AH1034,""))</f>
        <v/>
      </c>
      <c r="AX1034" s="45">
        <f>IF(AU1034="","",T1034-AV1034)</f>
        <v/>
      </c>
      <c r="AY1034" s="45">
        <f>IF(AU1034="","",AH1034-AV1034)</f>
        <v/>
      </c>
      <c r="AZ1034" s="54">
        <f>(AL1034-AM1034)-T1034*AT1034</f>
        <v/>
      </c>
      <c r="BA1034" s="43">
        <f>IF(AU1034="",0,(AH1034-T1034)*AF1034)</f>
        <v/>
      </c>
      <c r="BB1034" s="43">
        <f>IF(AU1034="",0,T1034*(AF1034-AT1034))</f>
        <v/>
      </c>
      <c r="BC1034" s="51" t="n">
        <v>0.0362448009506833</v>
      </c>
      <c r="BD1034" s="51" t="n">
        <v>0.2289906740034617</v>
      </c>
      <c r="BE1034" s="51" t="n">
        <v>0.1993702912403014</v>
      </c>
      <c r="BF1034" s="43" t="n">
        <v>38709</v>
      </c>
    </row>
    <row r="1035">
      <c r="A1035" s="42" t="inlineStr">
        <is>
          <t>TX</t>
        </is>
      </c>
      <c r="B1035" s="42" t="inlineStr">
        <is>
          <t>48051</t>
        </is>
      </c>
      <c r="C1035" s="42" t="inlineStr">
        <is>
          <t>Burleson</t>
        </is>
      </c>
      <c r="D1035" s="42" t="inlineStr">
        <is>
          <t>Small town &amp; rural</t>
        </is>
      </c>
      <c r="E1035" s="42" t="inlineStr"/>
      <c r="F1035" s="43" t="n">
        <v>1705</v>
      </c>
      <c r="G1035" s="43" t="n">
        <v>7590</v>
      </c>
      <c r="H1035" s="43" t="n">
        <v>9365</v>
      </c>
      <c r="I1035" s="43" t="n">
        <v>1788</v>
      </c>
      <c r="J1035" s="43" t="n">
        <v>6743</v>
      </c>
      <c r="K1035" s="42" t="inlineStr">
        <is>
          <t>Governor</t>
        </is>
      </c>
      <c r="L1035" s="43" t="n">
        <v>1142</v>
      </c>
      <c r="M1035" s="43" t="n">
        <v>5506</v>
      </c>
      <c r="N1035" s="43" t="n">
        <v>6712</v>
      </c>
      <c r="O1035" s="44">
        <f>IFERROR((F1035-G1035)/(F1035+G1035),"")</f>
        <v/>
      </c>
      <c r="P1035" s="44">
        <f>IFERROR((I1035-J1035)/(I1035+J1035),"")</f>
        <v/>
      </c>
      <c r="Q1035" s="45">
        <f>IFERROR(O1035-P1035,"")</f>
        <v/>
      </c>
      <c r="R1035" s="44">
        <f>IFERROR((L1035-M1035)/(L1035+M1035),"")</f>
        <v/>
      </c>
      <c r="S1035" s="46">
        <f>H1035/SUMIFS(Counties!$H$2:$H$1583,Counties!$A$2:$A$1583,$A1035)</f>
        <v/>
      </c>
      <c r="T1035" s="44">
        <f>O1035+INDEX(Dashboard!$F$6:$F$22,MATCH($A1035,Dashboard!$A$6:$A$22,0))</f>
        <v/>
      </c>
      <c r="U1035" s="43">
        <f>AQ1035*INDEX(Dashboard!$G$6:$G$22,MATCH($A1035,Dashboard!$A$6:$A$22,0))</f>
        <v/>
      </c>
      <c r="V1035" s="47" t="n"/>
      <c r="W1035" s="47" t="n"/>
      <c r="X1035" s="47" t="n"/>
      <c r="Y1035" s="48" t="n"/>
      <c r="Z1035" s="49" t="n"/>
      <c r="AA1035" s="49" t="n"/>
      <c r="AB1035" s="49" t="n"/>
      <c r="AC1035" s="50" t="n"/>
      <c r="AD1035" s="43">
        <f>IF(Z1035&lt;&gt;"",Z1035,N(V1035))</f>
        <v/>
      </c>
      <c r="AE1035" s="43">
        <f>IF(AA1035&lt;&gt;"",AA1035,N(W1035))</f>
        <v/>
      </c>
      <c r="AF1035" s="43">
        <f>AD1035+AE1035</f>
        <v/>
      </c>
      <c r="AG1035" s="42">
        <f>IF(UPPER(AC1035)="Y",1,IF(AF1035=0,0,IF(AND(Z1035="",Y1035&lt;&gt;""),IF(Y1035&gt;=0.999,1,0),IF(AF1035&gt;=U1035,1,0))))</f>
        <v/>
      </c>
      <c r="AH1035" s="44">
        <f>IF(AF1035&gt;0,(AD1035-AE1035)/AF1035,"")</f>
        <v/>
      </c>
      <c r="AI1035" s="45">
        <f>IF(AG1035=1,AH1035-O1035,"")</f>
        <v/>
      </c>
      <c r="AJ1035" s="44">
        <f>IF(AG1035=1,AH1035,MAX(-1,MIN(1,O1035+INDEX(Types!$H:$H,MATCH($A1035&amp;"|"&amp;$D1035,Types!$A:$A,0)))))</f>
        <v/>
      </c>
      <c r="AK1035" s="43">
        <f>IF(AG1035=1,AF1035,MAX(AQ1035*AS1035,AF1035))</f>
        <v/>
      </c>
      <c r="AL1035" s="43">
        <f>IF(AG1035=1,AD1035,AK1035*(1+AJ1035)/2)</f>
        <v/>
      </c>
      <c r="AM1035" s="43">
        <f>IF(AG1035=1,AE1035,AK1035*(1-AJ1035)/2)</f>
        <v/>
      </c>
      <c r="AN1035" s="45">
        <f>IF(AH1035="","",AH1035-T1035)</f>
        <v/>
      </c>
      <c r="AO1035" s="51">
        <f>IF(AG1035=1,1,IF(U1035&gt;0,MIN(AF1035/U1035,0.99),0))</f>
        <v/>
      </c>
      <c r="AP1035" s="43">
        <f>IF(AG1035=1,AI1035*AF1035,0)</f>
        <v/>
      </c>
      <c r="AQ1035" s="43">
        <f>N1035*(F1035+G1035)/H1035</f>
        <v/>
      </c>
      <c r="AR1035" s="43">
        <f>O1035*AQ1035</f>
        <v/>
      </c>
      <c r="AS1035" s="52">
        <f>IF(AG1035=1,IF(AQ1035&gt;0,AF1035/AQ1035,1),IFERROR(INDEX(Types!$K:$K,MATCH($A1035&amp;"|"&amp;$D1035,Types!$A:$A,0)),INDEX(Dashboard!$X$6:$X$22,MATCH($A1035,Dashboard!$A$6:$A$22,0))))</f>
        <v/>
      </c>
      <c r="AT1035" s="43">
        <f>AQ1035*INDEX(Dashboard!$Y$6:$Y$22,MATCH($A1035,Dashboard!$A$6:$A$22,0))</f>
        <v/>
      </c>
      <c r="AU1035" s="53">
        <f>IF(AND(AG1035=1,AT1035&gt;0,AF1035&gt;0),100*AF1035/AT1035,"")</f>
        <v/>
      </c>
      <c r="AV1035" s="44">
        <f>IF(AU1035="","",T1035/(AU1035/100))</f>
        <v/>
      </c>
      <c r="AW1035" s="53">
        <f>IF(AU1035="","",IF(AND(ABS(AH1035)&gt;=0.1,ABS(T1035)&gt;=0.05,SIGN(AH1035)=SIGN(T1035)),100*T1035/AH1035,""))</f>
        <v/>
      </c>
      <c r="AX1035" s="45">
        <f>IF(AU1035="","",T1035-AV1035)</f>
        <v/>
      </c>
      <c r="AY1035" s="45">
        <f>IF(AU1035="","",AH1035-AV1035)</f>
        <v/>
      </c>
      <c r="AZ1035" s="54">
        <f>(AL1035-AM1035)-T1035*AT1035</f>
        <v/>
      </c>
      <c r="BA1035" s="43">
        <f>IF(AU1035="",0,(AH1035-T1035)*AF1035)</f>
        <v/>
      </c>
      <c r="BB1035" s="43">
        <f>IF(AU1035="",0,T1035*(AF1035-AT1035))</f>
        <v/>
      </c>
      <c r="BC1035" s="51" t="n">
        <v>0.104390243902439</v>
      </c>
      <c r="BD1035" s="51" t="n">
        <v>0.2317329910141207</v>
      </c>
      <c r="BE1035" s="51" t="n">
        <v>0.2310326459173579</v>
      </c>
      <c r="BF1035" s="43" t="n">
        <v>19475</v>
      </c>
    </row>
    <row r="1036">
      <c r="A1036" s="42" t="inlineStr">
        <is>
          <t>TX</t>
        </is>
      </c>
      <c r="B1036" s="42" t="inlineStr">
        <is>
          <t>48053</t>
        </is>
      </c>
      <c r="C1036" s="42" t="inlineStr">
        <is>
          <t>Burnet</t>
        </is>
      </c>
      <c r="D1036" s="42" t="inlineStr">
        <is>
          <t>Small town &amp; rural</t>
        </is>
      </c>
      <c r="E1036" s="42" t="inlineStr"/>
      <c r="F1036" s="43" t="n">
        <v>6114</v>
      </c>
      <c r="G1036" s="43" t="n">
        <v>21795</v>
      </c>
      <c r="H1036" s="43" t="n">
        <v>28147</v>
      </c>
      <c r="I1036" s="43" t="n">
        <v>5639</v>
      </c>
      <c r="J1036" s="43" t="n">
        <v>18767</v>
      </c>
      <c r="K1036" s="42" t="inlineStr">
        <is>
          <t>Governor</t>
        </is>
      </c>
      <c r="L1036" s="43" t="n">
        <v>4337</v>
      </c>
      <c r="M1036" s="43" t="n">
        <v>16505</v>
      </c>
      <c r="N1036" s="43" t="n">
        <v>21111</v>
      </c>
      <c r="O1036" s="44">
        <f>IFERROR((F1036-G1036)/(F1036+G1036),"")</f>
        <v/>
      </c>
      <c r="P1036" s="44">
        <f>IFERROR((I1036-J1036)/(I1036+J1036),"")</f>
        <v/>
      </c>
      <c r="Q1036" s="45">
        <f>IFERROR(O1036-P1036,"")</f>
        <v/>
      </c>
      <c r="R1036" s="44">
        <f>IFERROR((L1036-M1036)/(L1036+M1036),"")</f>
        <v/>
      </c>
      <c r="S1036" s="46">
        <f>H1036/SUMIFS(Counties!$H$2:$H$1583,Counties!$A$2:$A$1583,$A1036)</f>
        <v/>
      </c>
      <c r="T1036" s="44">
        <f>O1036+INDEX(Dashboard!$F$6:$F$22,MATCH($A1036,Dashboard!$A$6:$A$22,0))</f>
        <v/>
      </c>
      <c r="U1036" s="43">
        <f>AQ1036*INDEX(Dashboard!$G$6:$G$22,MATCH($A1036,Dashboard!$A$6:$A$22,0))</f>
        <v/>
      </c>
      <c r="V1036" s="47" t="n"/>
      <c r="W1036" s="47" t="n"/>
      <c r="X1036" s="47" t="n"/>
      <c r="Y1036" s="48" t="n"/>
      <c r="Z1036" s="49" t="n"/>
      <c r="AA1036" s="49" t="n"/>
      <c r="AB1036" s="49" t="n"/>
      <c r="AC1036" s="50" t="n"/>
      <c r="AD1036" s="43">
        <f>IF(Z1036&lt;&gt;"",Z1036,N(V1036))</f>
        <v/>
      </c>
      <c r="AE1036" s="43">
        <f>IF(AA1036&lt;&gt;"",AA1036,N(W1036))</f>
        <v/>
      </c>
      <c r="AF1036" s="43">
        <f>AD1036+AE1036</f>
        <v/>
      </c>
      <c r="AG1036" s="42">
        <f>IF(UPPER(AC1036)="Y",1,IF(AF1036=0,0,IF(AND(Z1036="",Y1036&lt;&gt;""),IF(Y1036&gt;=0.999,1,0),IF(AF1036&gt;=U1036,1,0))))</f>
        <v/>
      </c>
      <c r="AH1036" s="44">
        <f>IF(AF1036&gt;0,(AD1036-AE1036)/AF1036,"")</f>
        <v/>
      </c>
      <c r="AI1036" s="45">
        <f>IF(AG1036=1,AH1036-O1036,"")</f>
        <v/>
      </c>
      <c r="AJ1036" s="44">
        <f>IF(AG1036=1,AH1036,MAX(-1,MIN(1,O1036+INDEX(Types!$H:$H,MATCH($A1036&amp;"|"&amp;$D1036,Types!$A:$A,0)))))</f>
        <v/>
      </c>
      <c r="AK1036" s="43">
        <f>IF(AG1036=1,AF1036,MAX(AQ1036*AS1036,AF1036))</f>
        <v/>
      </c>
      <c r="AL1036" s="43">
        <f>IF(AG1036=1,AD1036,AK1036*(1+AJ1036)/2)</f>
        <v/>
      </c>
      <c r="AM1036" s="43">
        <f>IF(AG1036=1,AE1036,AK1036*(1-AJ1036)/2)</f>
        <v/>
      </c>
      <c r="AN1036" s="45">
        <f>IF(AH1036="","",AH1036-T1036)</f>
        <v/>
      </c>
      <c r="AO1036" s="51">
        <f>IF(AG1036=1,1,IF(U1036&gt;0,MIN(AF1036/U1036,0.99),0))</f>
        <v/>
      </c>
      <c r="AP1036" s="43">
        <f>IF(AG1036=1,AI1036*AF1036,0)</f>
        <v/>
      </c>
      <c r="AQ1036" s="43">
        <f>N1036*(F1036+G1036)/H1036</f>
        <v/>
      </c>
      <c r="AR1036" s="43">
        <f>O1036*AQ1036</f>
        <v/>
      </c>
      <c r="AS1036" s="52">
        <f>IF(AG1036=1,IF(AQ1036&gt;0,AF1036/AQ1036,1),IFERROR(INDEX(Types!$K:$K,MATCH($A1036&amp;"|"&amp;$D1036,Types!$A:$A,0)),INDEX(Dashboard!$X$6:$X$22,MATCH($A1036,Dashboard!$A$6:$A$22,0))))</f>
        <v/>
      </c>
      <c r="AT1036" s="43">
        <f>AQ1036*INDEX(Dashboard!$Y$6:$Y$22,MATCH($A1036,Dashboard!$A$6:$A$22,0))</f>
        <v/>
      </c>
      <c r="AU1036" s="53">
        <f>IF(AND(AG1036=1,AT1036&gt;0,AF1036&gt;0),100*AF1036/AT1036,"")</f>
        <v/>
      </c>
      <c r="AV1036" s="44">
        <f>IF(AU1036="","",T1036/(AU1036/100))</f>
        <v/>
      </c>
      <c r="AW1036" s="53">
        <f>IF(AU1036="","",IF(AND(ABS(AH1036)&gt;=0.1,ABS(T1036)&gt;=0.05,SIGN(AH1036)=SIGN(T1036)),100*T1036/AH1036,""))</f>
        <v/>
      </c>
      <c r="AX1036" s="45">
        <f>IF(AU1036="","",T1036-AV1036)</f>
        <v/>
      </c>
      <c r="AY1036" s="45">
        <f>IF(AU1036="","",AH1036-AV1036)</f>
        <v/>
      </c>
      <c r="AZ1036" s="54">
        <f>(AL1036-AM1036)-T1036*AT1036</f>
        <v/>
      </c>
      <c r="BA1036" s="43">
        <f>IF(AU1036="",0,(AH1036-T1036)*AF1036)</f>
        <v/>
      </c>
      <c r="BB1036" s="43">
        <f>IF(AU1036="",0,T1036*(AF1036-AT1036))</f>
        <v/>
      </c>
      <c r="BC1036" s="51" t="n">
        <v>0.01689170417291771</v>
      </c>
      <c r="BD1036" s="51" t="n">
        <v>0.2350391731955326</v>
      </c>
      <c r="BE1036" s="51" t="n">
        <v>0.2869517990495587</v>
      </c>
      <c r="BF1036" s="43" t="n">
        <v>53991</v>
      </c>
    </row>
    <row r="1037">
      <c r="A1037" s="42" t="inlineStr">
        <is>
          <t>TX</t>
        </is>
      </c>
      <c r="B1037" s="42" t="inlineStr">
        <is>
          <t>48055</t>
        </is>
      </c>
      <c r="C1037" s="42" t="inlineStr">
        <is>
          <t>Caldwell</t>
        </is>
      </c>
      <c r="D1037" s="42" t="inlineStr">
        <is>
          <t>Hispanic</t>
        </is>
      </c>
      <c r="E1037" s="42" t="inlineStr"/>
      <c r="F1037" s="43" t="n">
        <v>6618</v>
      </c>
      <c r="G1037" s="43" t="n">
        <v>8880</v>
      </c>
      <c r="H1037" s="43" t="n">
        <v>15686</v>
      </c>
      <c r="I1037" s="43" t="n">
        <v>6672</v>
      </c>
      <c r="J1037" s="43" t="n">
        <v>8031</v>
      </c>
      <c r="K1037" s="42" t="inlineStr">
        <is>
          <t>Governor</t>
        </is>
      </c>
      <c r="L1037" s="43" t="n">
        <v>4790</v>
      </c>
      <c r="M1037" s="43" t="n">
        <v>6351</v>
      </c>
      <c r="N1037" s="43" t="n">
        <v>11365</v>
      </c>
      <c r="O1037" s="44">
        <f>IFERROR((F1037-G1037)/(F1037+G1037),"")</f>
        <v/>
      </c>
      <c r="P1037" s="44">
        <f>IFERROR((I1037-J1037)/(I1037+J1037),"")</f>
        <v/>
      </c>
      <c r="Q1037" s="45">
        <f>IFERROR(O1037-P1037,"")</f>
        <v/>
      </c>
      <c r="R1037" s="44">
        <f>IFERROR((L1037-M1037)/(L1037+M1037),"")</f>
        <v/>
      </c>
      <c r="S1037" s="46">
        <f>H1037/SUMIFS(Counties!$H$2:$H$1583,Counties!$A$2:$A$1583,$A1037)</f>
        <v/>
      </c>
      <c r="T1037" s="44">
        <f>O1037+INDEX(Dashboard!$F$6:$F$22,MATCH($A1037,Dashboard!$A$6:$A$22,0))</f>
        <v/>
      </c>
      <c r="U1037" s="43">
        <f>AQ1037*INDEX(Dashboard!$G$6:$G$22,MATCH($A1037,Dashboard!$A$6:$A$22,0))</f>
        <v/>
      </c>
      <c r="V1037" s="47" t="n"/>
      <c r="W1037" s="47" t="n"/>
      <c r="X1037" s="47" t="n"/>
      <c r="Y1037" s="48" t="n"/>
      <c r="Z1037" s="49" t="n"/>
      <c r="AA1037" s="49" t="n"/>
      <c r="AB1037" s="49" t="n"/>
      <c r="AC1037" s="50" t="n"/>
      <c r="AD1037" s="43">
        <f>IF(Z1037&lt;&gt;"",Z1037,N(V1037))</f>
        <v/>
      </c>
      <c r="AE1037" s="43">
        <f>IF(AA1037&lt;&gt;"",AA1037,N(W1037))</f>
        <v/>
      </c>
      <c r="AF1037" s="43">
        <f>AD1037+AE1037</f>
        <v/>
      </c>
      <c r="AG1037" s="42">
        <f>IF(UPPER(AC1037)="Y",1,IF(AF1037=0,0,IF(AND(Z1037="",Y1037&lt;&gt;""),IF(Y1037&gt;=0.999,1,0),IF(AF1037&gt;=U1037,1,0))))</f>
        <v/>
      </c>
      <c r="AH1037" s="44">
        <f>IF(AF1037&gt;0,(AD1037-AE1037)/AF1037,"")</f>
        <v/>
      </c>
      <c r="AI1037" s="45">
        <f>IF(AG1037=1,AH1037-O1037,"")</f>
        <v/>
      </c>
      <c r="AJ1037" s="44">
        <f>IF(AG1037=1,AH1037,MAX(-1,MIN(1,O1037+INDEX(Types!$H:$H,MATCH($A1037&amp;"|"&amp;$D1037,Types!$A:$A,0)))))</f>
        <v/>
      </c>
      <c r="AK1037" s="43">
        <f>IF(AG1037=1,AF1037,MAX(AQ1037*AS1037,AF1037))</f>
        <v/>
      </c>
      <c r="AL1037" s="43">
        <f>IF(AG1037=1,AD1037,AK1037*(1+AJ1037)/2)</f>
        <v/>
      </c>
      <c r="AM1037" s="43">
        <f>IF(AG1037=1,AE1037,AK1037*(1-AJ1037)/2)</f>
        <v/>
      </c>
      <c r="AN1037" s="45">
        <f>IF(AH1037="","",AH1037-T1037)</f>
        <v/>
      </c>
      <c r="AO1037" s="51">
        <f>IF(AG1037=1,1,IF(U1037&gt;0,MIN(AF1037/U1037,0.99),0))</f>
        <v/>
      </c>
      <c r="AP1037" s="43">
        <f>IF(AG1037=1,AI1037*AF1037,0)</f>
        <v/>
      </c>
      <c r="AQ1037" s="43">
        <f>N1037*(F1037+G1037)/H1037</f>
        <v/>
      </c>
      <c r="AR1037" s="43">
        <f>O1037*AQ1037</f>
        <v/>
      </c>
      <c r="AS1037" s="52">
        <f>IF(AG1037=1,IF(AQ1037&gt;0,AF1037/AQ1037,1),IFERROR(INDEX(Types!$K:$K,MATCH($A1037&amp;"|"&amp;$D1037,Types!$A:$A,0)),INDEX(Dashboard!$X$6:$X$22,MATCH($A1037,Dashboard!$A$6:$A$22,0))))</f>
        <v/>
      </c>
      <c r="AT1037" s="43">
        <f>AQ1037*INDEX(Dashboard!$Y$6:$Y$22,MATCH($A1037,Dashboard!$A$6:$A$22,0))</f>
        <v/>
      </c>
      <c r="AU1037" s="53">
        <f>IF(AND(AG1037=1,AT1037&gt;0,AF1037&gt;0),100*AF1037/AT1037,"")</f>
        <v/>
      </c>
      <c r="AV1037" s="44">
        <f>IF(AU1037="","",T1037/(AU1037/100))</f>
        <v/>
      </c>
      <c r="AW1037" s="53">
        <f>IF(AU1037="","",IF(AND(ABS(AH1037)&gt;=0.1,ABS(T1037)&gt;=0.05,SIGN(AH1037)=SIGN(T1037)),100*T1037/AH1037,""))</f>
        <v/>
      </c>
      <c r="AX1037" s="45">
        <f>IF(AU1037="","",T1037-AV1037)</f>
        <v/>
      </c>
      <c r="AY1037" s="45">
        <f>IF(AU1037="","",AH1037-AV1037)</f>
        <v/>
      </c>
      <c r="AZ1037" s="54">
        <f>(AL1037-AM1037)-T1037*AT1037</f>
        <v/>
      </c>
      <c r="BA1037" s="43">
        <f>IF(AU1037="",0,(AH1037-T1037)*AF1037)</f>
        <v/>
      </c>
      <c r="BB1037" s="43">
        <f>IF(AU1037="",0,T1037*(AF1037-AT1037))</f>
        <v/>
      </c>
      <c r="BC1037" s="51" t="n">
        <v>0.051846206301771</v>
      </c>
      <c r="BD1037" s="51" t="n">
        <v>0.5759241059788603</v>
      </c>
      <c r="BE1037" s="51" t="n">
        <v>0.1642558051008755</v>
      </c>
      <c r="BF1037" s="43" t="n">
        <v>49859</v>
      </c>
    </row>
    <row r="1038">
      <c r="A1038" s="42" t="inlineStr">
        <is>
          <t>TX</t>
        </is>
      </c>
      <c r="B1038" s="42" t="inlineStr">
        <is>
          <t>48057</t>
        </is>
      </c>
      <c r="C1038" s="42" t="inlineStr">
        <is>
          <t>Calhoun</t>
        </is>
      </c>
      <c r="D1038" s="42" t="inlineStr">
        <is>
          <t>Hispanic</t>
        </is>
      </c>
      <c r="E1038" s="42" t="inlineStr"/>
      <c r="F1038" s="43" t="n">
        <v>1853</v>
      </c>
      <c r="G1038" s="43" t="n">
        <v>5939</v>
      </c>
      <c r="H1038" s="43" t="n">
        <v>7832</v>
      </c>
      <c r="I1038" s="43" t="n">
        <v>2148</v>
      </c>
      <c r="J1038" s="43" t="n">
        <v>5641</v>
      </c>
      <c r="K1038" s="42" t="inlineStr">
        <is>
          <t>Governor</t>
        </is>
      </c>
      <c r="L1038" s="43" t="n">
        <v>1292</v>
      </c>
      <c r="M1038" s="43" t="n">
        <v>4228</v>
      </c>
      <c r="N1038" s="43" t="n">
        <v>5593</v>
      </c>
      <c r="O1038" s="44">
        <f>IFERROR((F1038-G1038)/(F1038+G1038),"")</f>
        <v/>
      </c>
      <c r="P1038" s="44">
        <f>IFERROR((I1038-J1038)/(I1038+J1038),"")</f>
        <v/>
      </c>
      <c r="Q1038" s="45">
        <f>IFERROR(O1038-P1038,"")</f>
        <v/>
      </c>
      <c r="R1038" s="44">
        <f>IFERROR((L1038-M1038)/(L1038+M1038),"")</f>
        <v/>
      </c>
      <c r="S1038" s="46">
        <f>H1038/SUMIFS(Counties!$H$2:$H$1583,Counties!$A$2:$A$1583,$A1038)</f>
        <v/>
      </c>
      <c r="T1038" s="44">
        <f>O1038+INDEX(Dashboard!$F$6:$F$22,MATCH($A1038,Dashboard!$A$6:$A$22,0))</f>
        <v/>
      </c>
      <c r="U1038" s="43">
        <f>AQ1038*INDEX(Dashboard!$G$6:$G$22,MATCH($A1038,Dashboard!$A$6:$A$22,0))</f>
        <v/>
      </c>
      <c r="V1038" s="47" t="n"/>
      <c r="W1038" s="47" t="n"/>
      <c r="X1038" s="47" t="n"/>
      <c r="Y1038" s="48" t="n"/>
      <c r="Z1038" s="49" t="n"/>
      <c r="AA1038" s="49" t="n"/>
      <c r="AB1038" s="49" t="n"/>
      <c r="AC1038" s="50" t="n"/>
      <c r="AD1038" s="43">
        <f>IF(Z1038&lt;&gt;"",Z1038,N(V1038))</f>
        <v/>
      </c>
      <c r="AE1038" s="43">
        <f>IF(AA1038&lt;&gt;"",AA1038,N(W1038))</f>
        <v/>
      </c>
      <c r="AF1038" s="43">
        <f>AD1038+AE1038</f>
        <v/>
      </c>
      <c r="AG1038" s="42">
        <f>IF(UPPER(AC1038)="Y",1,IF(AF1038=0,0,IF(AND(Z1038="",Y1038&lt;&gt;""),IF(Y1038&gt;=0.999,1,0),IF(AF1038&gt;=U1038,1,0))))</f>
        <v/>
      </c>
      <c r="AH1038" s="44">
        <f>IF(AF1038&gt;0,(AD1038-AE1038)/AF1038,"")</f>
        <v/>
      </c>
      <c r="AI1038" s="45">
        <f>IF(AG1038=1,AH1038-O1038,"")</f>
        <v/>
      </c>
      <c r="AJ1038" s="44">
        <f>IF(AG1038=1,AH1038,MAX(-1,MIN(1,O1038+INDEX(Types!$H:$H,MATCH($A1038&amp;"|"&amp;$D1038,Types!$A:$A,0)))))</f>
        <v/>
      </c>
      <c r="AK1038" s="43">
        <f>IF(AG1038=1,AF1038,MAX(AQ1038*AS1038,AF1038))</f>
        <v/>
      </c>
      <c r="AL1038" s="43">
        <f>IF(AG1038=1,AD1038,AK1038*(1+AJ1038)/2)</f>
        <v/>
      </c>
      <c r="AM1038" s="43">
        <f>IF(AG1038=1,AE1038,AK1038*(1-AJ1038)/2)</f>
        <v/>
      </c>
      <c r="AN1038" s="45">
        <f>IF(AH1038="","",AH1038-T1038)</f>
        <v/>
      </c>
      <c r="AO1038" s="51">
        <f>IF(AG1038=1,1,IF(U1038&gt;0,MIN(AF1038/U1038,0.99),0))</f>
        <v/>
      </c>
      <c r="AP1038" s="43">
        <f>IF(AG1038=1,AI1038*AF1038,0)</f>
        <v/>
      </c>
      <c r="AQ1038" s="43">
        <f>N1038*(F1038+G1038)/H1038</f>
        <v/>
      </c>
      <c r="AR1038" s="43">
        <f>O1038*AQ1038</f>
        <v/>
      </c>
      <c r="AS1038" s="52">
        <f>IF(AG1038=1,IF(AQ1038&gt;0,AF1038/AQ1038,1),IFERROR(INDEX(Types!$K:$K,MATCH($A1038&amp;"|"&amp;$D1038,Types!$A:$A,0)),INDEX(Dashboard!$X$6:$X$22,MATCH($A1038,Dashboard!$A$6:$A$22,0))))</f>
        <v/>
      </c>
      <c r="AT1038" s="43">
        <f>AQ1038*INDEX(Dashboard!$Y$6:$Y$22,MATCH($A1038,Dashboard!$A$6:$A$22,0))</f>
        <v/>
      </c>
      <c r="AU1038" s="53">
        <f>IF(AND(AG1038=1,AT1038&gt;0,AF1038&gt;0),100*AF1038/AT1038,"")</f>
        <v/>
      </c>
      <c r="AV1038" s="44">
        <f>IF(AU1038="","",T1038/(AU1038/100))</f>
        <v/>
      </c>
      <c r="AW1038" s="53">
        <f>IF(AU1038="","",IF(AND(ABS(AH1038)&gt;=0.1,ABS(T1038)&gt;=0.05,SIGN(AH1038)=SIGN(T1038)),100*T1038/AH1038,""))</f>
        <v/>
      </c>
      <c r="AX1038" s="45">
        <f>IF(AU1038="","",T1038-AV1038)</f>
        <v/>
      </c>
      <c r="AY1038" s="45">
        <f>IF(AU1038="","",AH1038-AV1038)</f>
        <v/>
      </c>
      <c r="AZ1038" s="54">
        <f>(AL1038-AM1038)-T1038*AT1038</f>
        <v/>
      </c>
      <c r="BA1038" s="43">
        <f>IF(AU1038="",0,(AH1038-T1038)*AF1038)</f>
        <v/>
      </c>
      <c r="BB1038" s="43">
        <f>IF(AU1038="",0,T1038*(AF1038-AT1038))</f>
        <v/>
      </c>
      <c r="BC1038" s="51" t="n">
        <v>0.02193338748984565</v>
      </c>
      <c r="BD1038" s="51" t="n">
        <v>0.4966490658001625</v>
      </c>
      <c r="BE1038" s="51" t="n">
        <v>0.1689635371805915</v>
      </c>
      <c r="BF1038" s="43" t="n">
        <v>19696</v>
      </c>
    </row>
    <row r="1039">
      <c r="A1039" s="42" t="inlineStr">
        <is>
          <t>TX</t>
        </is>
      </c>
      <c r="B1039" s="42" t="inlineStr">
        <is>
          <t>48059</t>
        </is>
      </c>
      <c r="C1039" s="42" t="inlineStr">
        <is>
          <t>Callahan</t>
        </is>
      </c>
      <c r="D1039" s="42" t="inlineStr">
        <is>
          <t>Small town &amp; rural</t>
        </is>
      </c>
      <c r="E1039" s="42" t="inlineStr"/>
      <c r="F1039" s="43" t="n">
        <v>761</v>
      </c>
      <c r="G1039" s="43" t="n">
        <v>6180</v>
      </c>
      <c r="H1039" s="43" t="n">
        <v>6985</v>
      </c>
      <c r="I1039" s="43" t="n">
        <v>734</v>
      </c>
      <c r="J1039" s="43" t="n">
        <v>6012</v>
      </c>
      <c r="K1039" s="42" t="inlineStr">
        <is>
          <t>Governor</t>
        </is>
      </c>
      <c r="L1039" s="43" t="n">
        <v>444</v>
      </c>
      <c r="M1039" s="43" t="n">
        <v>4770</v>
      </c>
      <c r="N1039" s="43" t="n">
        <v>5266</v>
      </c>
      <c r="O1039" s="44">
        <f>IFERROR((F1039-G1039)/(F1039+G1039),"")</f>
        <v/>
      </c>
      <c r="P1039" s="44">
        <f>IFERROR((I1039-J1039)/(I1039+J1039),"")</f>
        <v/>
      </c>
      <c r="Q1039" s="45">
        <f>IFERROR(O1039-P1039,"")</f>
        <v/>
      </c>
      <c r="R1039" s="44">
        <f>IFERROR((L1039-M1039)/(L1039+M1039),"")</f>
        <v/>
      </c>
      <c r="S1039" s="46">
        <f>H1039/SUMIFS(Counties!$H$2:$H$1583,Counties!$A$2:$A$1583,$A1039)</f>
        <v/>
      </c>
      <c r="T1039" s="44">
        <f>O1039+INDEX(Dashboard!$F$6:$F$22,MATCH($A1039,Dashboard!$A$6:$A$22,0))</f>
        <v/>
      </c>
      <c r="U1039" s="43">
        <f>AQ1039*INDEX(Dashboard!$G$6:$G$22,MATCH($A1039,Dashboard!$A$6:$A$22,0))</f>
        <v/>
      </c>
      <c r="V1039" s="47" t="n"/>
      <c r="W1039" s="47" t="n"/>
      <c r="X1039" s="47" t="n"/>
      <c r="Y1039" s="48" t="n"/>
      <c r="Z1039" s="49" t="n"/>
      <c r="AA1039" s="49" t="n"/>
      <c r="AB1039" s="49" t="n"/>
      <c r="AC1039" s="50" t="n"/>
      <c r="AD1039" s="43">
        <f>IF(Z1039&lt;&gt;"",Z1039,N(V1039))</f>
        <v/>
      </c>
      <c r="AE1039" s="43">
        <f>IF(AA1039&lt;&gt;"",AA1039,N(W1039))</f>
        <v/>
      </c>
      <c r="AF1039" s="43">
        <f>AD1039+AE1039</f>
        <v/>
      </c>
      <c r="AG1039" s="42">
        <f>IF(UPPER(AC1039)="Y",1,IF(AF1039=0,0,IF(AND(Z1039="",Y1039&lt;&gt;""),IF(Y1039&gt;=0.999,1,0),IF(AF1039&gt;=U1039,1,0))))</f>
        <v/>
      </c>
      <c r="AH1039" s="44">
        <f>IF(AF1039&gt;0,(AD1039-AE1039)/AF1039,"")</f>
        <v/>
      </c>
      <c r="AI1039" s="45">
        <f>IF(AG1039=1,AH1039-O1039,"")</f>
        <v/>
      </c>
      <c r="AJ1039" s="44">
        <f>IF(AG1039=1,AH1039,MAX(-1,MIN(1,O1039+INDEX(Types!$H:$H,MATCH($A1039&amp;"|"&amp;$D1039,Types!$A:$A,0)))))</f>
        <v/>
      </c>
      <c r="AK1039" s="43">
        <f>IF(AG1039=1,AF1039,MAX(AQ1039*AS1039,AF1039))</f>
        <v/>
      </c>
      <c r="AL1039" s="43">
        <f>IF(AG1039=1,AD1039,AK1039*(1+AJ1039)/2)</f>
        <v/>
      </c>
      <c r="AM1039" s="43">
        <f>IF(AG1039=1,AE1039,AK1039*(1-AJ1039)/2)</f>
        <v/>
      </c>
      <c r="AN1039" s="45">
        <f>IF(AH1039="","",AH1039-T1039)</f>
        <v/>
      </c>
      <c r="AO1039" s="51">
        <f>IF(AG1039=1,1,IF(U1039&gt;0,MIN(AF1039/U1039,0.99),0))</f>
        <v/>
      </c>
      <c r="AP1039" s="43">
        <f>IF(AG1039=1,AI1039*AF1039,0)</f>
        <v/>
      </c>
      <c r="AQ1039" s="43">
        <f>N1039*(F1039+G1039)/H1039</f>
        <v/>
      </c>
      <c r="AR1039" s="43">
        <f>O1039*AQ1039</f>
        <v/>
      </c>
      <c r="AS1039" s="52">
        <f>IF(AG1039=1,IF(AQ1039&gt;0,AF1039/AQ1039,1),IFERROR(INDEX(Types!$K:$K,MATCH($A1039&amp;"|"&amp;$D1039,Types!$A:$A,0)),INDEX(Dashboard!$X$6:$X$22,MATCH($A1039,Dashboard!$A$6:$A$22,0))))</f>
        <v/>
      </c>
      <c r="AT1039" s="43">
        <f>AQ1039*INDEX(Dashboard!$Y$6:$Y$22,MATCH($A1039,Dashboard!$A$6:$A$22,0))</f>
        <v/>
      </c>
      <c r="AU1039" s="53">
        <f>IF(AND(AG1039=1,AT1039&gt;0,AF1039&gt;0),100*AF1039/AT1039,"")</f>
        <v/>
      </c>
      <c r="AV1039" s="44">
        <f>IF(AU1039="","",T1039/(AU1039/100))</f>
        <v/>
      </c>
      <c r="AW1039" s="53">
        <f>IF(AU1039="","",IF(AND(ABS(AH1039)&gt;=0.1,ABS(T1039)&gt;=0.05,SIGN(AH1039)=SIGN(T1039)),100*T1039/AH1039,""))</f>
        <v/>
      </c>
      <c r="AX1039" s="45">
        <f>IF(AU1039="","",T1039-AV1039)</f>
        <v/>
      </c>
      <c r="AY1039" s="45">
        <f>IF(AU1039="","",AH1039-AV1039)</f>
        <v/>
      </c>
      <c r="AZ1039" s="54">
        <f>(AL1039-AM1039)-T1039*AT1039</f>
        <v/>
      </c>
      <c r="BA1039" s="43">
        <f>IF(AU1039="",0,(AH1039-T1039)*AF1039)</f>
        <v/>
      </c>
      <c r="BB1039" s="43">
        <f>IF(AU1039="",0,T1039*(AF1039-AT1039))</f>
        <v/>
      </c>
      <c r="BC1039" s="51" t="n">
        <v>0.01739251426186169</v>
      </c>
      <c r="BD1039" s="51" t="n">
        <v>0.1178516766383748</v>
      </c>
      <c r="BE1039" s="51" t="n">
        <v>0.2387800897592819</v>
      </c>
      <c r="BF1039" s="43" t="n">
        <v>14374</v>
      </c>
    </row>
    <row r="1040">
      <c r="A1040" s="42" t="inlineStr">
        <is>
          <t>TX</t>
        </is>
      </c>
      <c r="B1040" s="42" t="inlineStr">
        <is>
          <t>48061</t>
        </is>
      </c>
      <c r="C1040" s="42" t="inlineStr">
        <is>
          <t>Cameron</t>
        </is>
      </c>
      <c r="D1040" s="42" t="inlineStr">
        <is>
          <t>Hispanic</t>
        </is>
      </c>
      <c r="E1040" s="42" t="inlineStr"/>
      <c r="F1040" s="43" t="n">
        <v>54258</v>
      </c>
      <c r="G1040" s="43" t="n">
        <v>60991</v>
      </c>
      <c r="H1040" s="43" t="n">
        <v>116122</v>
      </c>
      <c r="I1040" s="43" t="n">
        <v>64063</v>
      </c>
      <c r="J1040" s="43" t="n">
        <v>49032</v>
      </c>
      <c r="K1040" s="42" t="inlineStr">
        <is>
          <t>Governor</t>
        </is>
      </c>
      <c r="L1040" s="43" t="n">
        <v>41667</v>
      </c>
      <c r="M1040" s="43" t="n">
        <v>34290</v>
      </c>
      <c r="N1040" s="43" t="n">
        <v>77127</v>
      </c>
      <c r="O1040" s="44">
        <f>IFERROR((F1040-G1040)/(F1040+G1040),"")</f>
        <v/>
      </c>
      <c r="P1040" s="44">
        <f>IFERROR((I1040-J1040)/(I1040+J1040),"")</f>
        <v/>
      </c>
      <c r="Q1040" s="45">
        <f>IFERROR(O1040-P1040,"")</f>
        <v/>
      </c>
      <c r="R1040" s="44">
        <f>IFERROR((L1040-M1040)/(L1040+M1040),"")</f>
        <v/>
      </c>
      <c r="S1040" s="46">
        <f>H1040/SUMIFS(Counties!$H$2:$H$1583,Counties!$A$2:$A$1583,$A1040)</f>
        <v/>
      </c>
      <c r="T1040" s="44">
        <f>O1040+INDEX(Dashboard!$F$6:$F$22,MATCH($A1040,Dashboard!$A$6:$A$22,0))</f>
        <v/>
      </c>
      <c r="U1040" s="43">
        <f>AQ1040*INDEX(Dashboard!$G$6:$G$22,MATCH($A1040,Dashboard!$A$6:$A$22,0))</f>
        <v/>
      </c>
      <c r="V1040" s="47" t="n"/>
      <c r="W1040" s="47" t="n"/>
      <c r="X1040" s="47" t="n"/>
      <c r="Y1040" s="48" t="n"/>
      <c r="Z1040" s="49" t="n"/>
      <c r="AA1040" s="49" t="n"/>
      <c r="AB1040" s="49" t="n"/>
      <c r="AC1040" s="50" t="n"/>
      <c r="AD1040" s="43">
        <f>IF(Z1040&lt;&gt;"",Z1040,N(V1040))</f>
        <v/>
      </c>
      <c r="AE1040" s="43">
        <f>IF(AA1040&lt;&gt;"",AA1040,N(W1040))</f>
        <v/>
      </c>
      <c r="AF1040" s="43">
        <f>AD1040+AE1040</f>
        <v/>
      </c>
      <c r="AG1040" s="42">
        <f>IF(UPPER(AC1040)="Y",1,IF(AF1040=0,0,IF(AND(Z1040="",Y1040&lt;&gt;""),IF(Y1040&gt;=0.999,1,0),IF(AF1040&gt;=U1040,1,0))))</f>
        <v/>
      </c>
      <c r="AH1040" s="44">
        <f>IF(AF1040&gt;0,(AD1040-AE1040)/AF1040,"")</f>
        <v/>
      </c>
      <c r="AI1040" s="45">
        <f>IF(AG1040=1,AH1040-O1040,"")</f>
        <v/>
      </c>
      <c r="AJ1040" s="44">
        <f>IF(AG1040=1,AH1040,MAX(-1,MIN(1,O1040+INDEX(Types!$H:$H,MATCH($A1040&amp;"|"&amp;$D1040,Types!$A:$A,0)))))</f>
        <v/>
      </c>
      <c r="AK1040" s="43">
        <f>IF(AG1040=1,AF1040,MAX(AQ1040*AS1040,AF1040))</f>
        <v/>
      </c>
      <c r="AL1040" s="43">
        <f>IF(AG1040=1,AD1040,AK1040*(1+AJ1040)/2)</f>
        <v/>
      </c>
      <c r="AM1040" s="43">
        <f>IF(AG1040=1,AE1040,AK1040*(1-AJ1040)/2)</f>
        <v/>
      </c>
      <c r="AN1040" s="45">
        <f>IF(AH1040="","",AH1040-T1040)</f>
        <v/>
      </c>
      <c r="AO1040" s="51">
        <f>IF(AG1040=1,1,IF(U1040&gt;0,MIN(AF1040/U1040,0.99),0))</f>
        <v/>
      </c>
      <c r="AP1040" s="43">
        <f>IF(AG1040=1,AI1040*AF1040,0)</f>
        <v/>
      </c>
      <c r="AQ1040" s="43">
        <f>N1040*(F1040+G1040)/H1040</f>
        <v/>
      </c>
      <c r="AR1040" s="43">
        <f>O1040*AQ1040</f>
        <v/>
      </c>
      <c r="AS1040" s="52">
        <f>IF(AG1040=1,IF(AQ1040&gt;0,AF1040/AQ1040,1),IFERROR(INDEX(Types!$K:$K,MATCH($A1040&amp;"|"&amp;$D1040,Types!$A:$A,0)),INDEX(Dashboard!$X$6:$X$22,MATCH($A1040,Dashboard!$A$6:$A$22,0))))</f>
        <v/>
      </c>
      <c r="AT1040" s="43">
        <f>AQ1040*INDEX(Dashboard!$Y$6:$Y$22,MATCH($A1040,Dashboard!$A$6:$A$22,0))</f>
        <v/>
      </c>
      <c r="AU1040" s="53">
        <f>IF(AND(AG1040=1,AT1040&gt;0,AF1040&gt;0),100*AF1040/AT1040,"")</f>
        <v/>
      </c>
      <c r="AV1040" s="44">
        <f>IF(AU1040="","",T1040/(AU1040/100))</f>
        <v/>
      </c>
      <c r="AW1040" s="53">
        <f>IF(AU1040="","",IF(AND(ABS(AH1040)&gt;=0.1,ABS(T1040)&gt;=0.05,SIGN(AH1040)=SIGN(T1040)),100*T1040/AH1040,""))</f>
        <v/>
      </c>
      <c r="AX1040" s="45">
        <f>IF(AU1040="","",T1040-AV1040)</f>
        <v/>
      </c>
      <c r="AY1040" s="45">
        <f>IF(AU1040="","",AH1040-AV1040)</f>
        <v/>
      </c>
      <c r="AZ1040" s="54">
        <f>(AL1040-AM1040)-T1040*AT1040</f>
        <v/>
      </c>
      <c r="BA1040" s="43">
        <f>IF(AU1040="",0,(AH1040-T1040)*AF1040)</f>
        <v/>
      </c>
      <c r="BB1040" s="43">
        <f>IF(AU1040="",0,T1040*(AF1040-AT1040))</f>
        <v/>
      </c>
      <c r="BC1040" s="51" t="n">
        <v>0.006435283916477233</v>
      </c>
      <c r="BD1040" s="51" t="n">
        <v>0.8915797614304797</v>
      </c>
      <c r="BE1040" s="51" t="n">
        <v>0.2055811390561656</v>
      </c>
      <c r="BF1040" s="43" t="n">
        <v>426710</v>
      </c>
    </row>
    <row r="1041">
      <c r="A1041" s="42" t="inlineStr">
        <is>
          <t>TX</t>
        </is>
      </c>
      <c r="B1041" s="42" t="inlineStr">
        <is>
          <t>48063</t>
        </is>
      </c>
      <c r="C1041" s="42" t="inlineStr">
        <is>
          <t>Camp</t>
        </is>
      </c>
      <c r="D1041" s="42" t="inlineStr">
        <is>
          <t>Small town &amp; rural</t>
        </is>
      </c>
      <c r="E1041" s="42" t="inlineStr"/>
      <c r="F1041" s="43" t="n">
        <v>1201</v>
      </c>
      <c r="G1041" s="43" t="n">
        <v>4011</v>
      </c>
      <c r="H1041" s="43" t="n">
        <v>5242</v>
      </c>
      <c r="I1041" s="43" t="n">
        <v>1394</v>
      </c>
      <c r="J1041" s="43" t="n">
        <v>3626</v>
      </c>
      <c r="K1041" s="42" t="inlineStr">
        <is>
          <t>Governor</t>
        </is>
      </c>
      <c r="L1041" s="43" t="n">
        <v>863</v>
      </c>
      <c r="M1041" s="43" t="n">
        <v>3082</v>
      </c>
      <c r="N1041" s="43" t="n">
        <v>3983</v>
      </c>
      <c r="O1041" s="44">
        <f>IFERROR((F1041-G1041)/(F1041+G1041),"")</f>
        <v/>
      </c>
      <c r="P1041" s="44">
        <f>IFERROR((I1041-J1041)/(I1041+J1041),"")</f>
        <v/>
      </c>
      <c r="Q1041" s="45">
        <f>IFERROR(O1041-P1041,"")</f>
        <v/>
      </c>
      <c r="R1041" s="44">
        <f>IFERROR((L1041-M1041)/(L1041+M1041),"")</f>
        <v/>
      </c>
      <c r="S1041" s="46">
        <f>H1041/SUMIFS(Counties!$H$2:$H$1583,Counties!$A$2:$A$1583,$A1041)</f>
        <v/>
      </c>
      <c r="T1041" s="44">
        <f>O1041+INDEX(Dashboard!$F$6:$F$22,MATCH($A1041,Dashboard!$A$6:$A$22,0))</f>
        <v/>
      </c>
      <c r="U1041" s="43">
        <f>AQ1041*INDEX(Dashboard!$G$6:$G$22,MATCH($A1041,Dashboard!$A$6:$A$22,0))</f>
        <v/>
      </c>
      <c r="V1041" s="47" t="n"/>
      <c r="W1041" s="47" t="n"/>
      <c r="X1041" s="47" t="n"/>
      <c r="Y1041" s="48" t="n"/>
      <c r="Z1041" s="49" t="n"/>
      <c r="AA1041" s="49" t="n"/>
      <c r="AB1041" s="49" t="n"/>
      <c r="AC1041" s="50" t="n"/>
      <c r="AD1041" s="43">
        <f>IF(Z1041&lt;&gt;"",Z1041,N(V1041))</f>
        <v/>
      </c>
      <c r="AE1041" s="43">
        <f>IF(AA1041&lt;&gt;"",AA1041,N(W1041))</f>
        <v/>
      </c>
      <c r="AF1041" s="43">
        <f>AD1041+AE1041</f>
        <v/>
      </c>
      <c r="AG1041" s="42">
        <f>IF(UPPER(AC1041)="Y",1,IF(AF1041=0,0,IF(AND(Z1041="",Y1041&lt;&gt;""),IF(Y1041&gt;=0.999,1,0),IF(AF1041&gt;=U1041,1,0))))</f>
        <v/>
      </c>
      <c r="AH1041" s="44">
        <f>IF(AF1041&gt;0,(AD1041-AE1041)/AF1041,"")</f>
        <v/>
      </c>
      <c r="AI1041" s="45">
        <f>IF(AG1041=1,AH1041-O1041,"")</f>
        <v/>
      </c>
      <c r="AJ1041" s="44">
        <f>IF(AG1041=1,AH1041,MAX(-1,MIN(1,O1041+INDEX(Types!$H:$H,MATCH($A1041&amp;"|"&amp;$D1041,Types!$A:$A,0)))))</f>
        <v/>
      </c>
      <c r="AK1041" s="43">
        <f>IF(AG1041=1,AF1041,MAX(AQ1041*AS1041,AF1041))</f>
        <v/>
      </c>
      <c r="AL1041" s="43">
        <f>IF(AG1041=1,AD1041,AK1041*(1+AJ1041)/2)</f>
        <v/>
      </c>
      <c r="AM1041" s="43">
        <f>IF(AG1041=1,AE1041,AK1041*(1-AJ1041)/2)</f>
        <v/>
      </c>
      <c r="AN1041" s="45">
        <f>IF(AH1041="","",AH1041-T1041)</f>
        <v/>
      </c>
      <c r="AO1041" s="51">
        <f>IF(AG1041=1,1,IF(U1041&gt;0,MIN(AF1041/U1041,0.99),0))</f>
        <v/>
      </c>
      <c r="AP1041" s="43">
        <f>IF(AG1041=1,AI1041*AF1041,0)</f>
        <v/>
      </c>
      <c r="AQ1041" s="43">
        <f>N1041*(F1041+G1041)/H1041</f>
        <v/>
      </c>
      <c r="AR1041" s="43">
        <f>O1041*AQ1041</f>
        <v/>
      </c>
      <c r="AS1041" s="52">
        <f>IF(AG1041=1,IF(AQ1041&gt;0,AF1041/AQ1041,1),IFERROR(INDEX(Types!$K:$K,MATCH($A1041&amp;"|"&amp;$D1041,Types!$A:$A,0)),INDEX(Dashboard!$X$6:$X$22,MATCH($A1041,Dashboard!$A$6:$A$22,0))))</f>
        <v/>
      </c>
      <c r="AT1041" s="43">
        <f>AQ1041*INDEX(Dashboard!$Y$6:$Y$22,MATCH($A1041,Dashboard!$A$6:$A$22,0))</f>
        <v/>
      </c>
      <c r="AU1041" s="53">
        <f>IF(AND(AG1041=1,AT1041&gt;0,AF1041&gt;0),100*AF1041/AT1041,"")</f>
        <v/>
      </c>
      <c r="AV1041" s="44">
        <f>IF(AU1041="","",T1041/(AU1041/100))</f>
        <v/>
      </c>
      <c r="AW1041" s="53">
        <f>IF(AU1041="","",IF(AND(ABS(AH1041)&gt;=0.1,ABS(T1041)&gt;=0.05,SIGN(AH1041)=SIGN(T1041)),100*T1041/AH1041,""))</f>
        <v/>
      </c>
      <c r="AX1041" s="45">
        <f>IF(AU1041="","",T1041-AV1041)</f>
        <v/>
      </c>
      <c r="AY1041" s="45">
        <f>IF(AU1041="","",AH1041-AV1041)</f>
        <v/>
      </c>
      <c r="AZ1041" s="54">
        <f>(AL1041-AM1041)-T1041*AT1041</f>
        <v/>
      </c>
      <c r="BA1041" s="43">
        <f>IF(AU1041="",0,(AH1041-T1041)*AF1041)</f>
        <v/>
      </c>
      <c r="BB1041" s="43">
        <f>IF(AU1041="",0,T1041*(AF1041-AT1041))</f>
        <v/>
      </c>
      <c r="BC1041" s="51" t="n">
        <v>0.1476153846153846</v>
      </c>
      <c r="BD1041" s="51" t="n">
        <v>0.2788461538461539</v>
      </c>
      <c r="BE1041" s="51" t="n">
        <v>0.196949839151674</v>
      </c>
      <c r="BF1041" s="43" t="n">
        <v>13000</v>
      </c>
    </row>
    <row r="1042">
      <c r="A1042" s="42" t="inlineStr">
        <is>
          <t>TX</t>
        </is>
      </c>
      <c r="B1042" s="42" t="inlineStr">
        <is>
          <t>48065</t>
        </is>
      </c>
      <c r="C1042" s="42" t="inlineStr">
        <is>
          <t>Carson</t>
        </is>
      </c>
      <c r="D1042" s="42" t="inlineStr">
        <is>
          <t>Small town &amp; rural</t>
        </is>
      </c>
      <c r="E1042" s="42" t="inlineStr"/>
      <c r="F1042" s="43" t="n">
        <v>290</v>
      </c>
      <c r="G1042" s="43" t="n">
        <v>2866</v>
      </c>
      <c r="H1042" s="43" t="n">
        <v>3172</v>
      </c>
      <c r="I1042" s="43" t="n">
        <v>297</v>
      </c>
      <c r="J1042" s="43" t="n">
        <v>2779</v>
      </c>
      <c r="K1042" s="42" t="inlineStr">
        <is>
          <t>Governor</t>
        </is>
      </c>
      <c r="L1042" s="43" t="n">
        <v>183</v>
      </c>
      <c r="M1042" s="43" t="n">
        <v>2177</v>
      </c>
      <c r="N1042" s="43" t="n">
        <v>2394</v>
      </c>
      <c r="O1042" s="44">
        <f>IFERROR((F1042-G1042)/(F1042+G1042),"")</f>
        <v/>
      </c>
      <c r="P1042" s="44">
        <f>IFERROR((I1042-J1042)/(I1042+J1042),"")</f>
        <v/>
      </c>
      <c r="Q1042" s="45">
        <f>IFERROR(O1042-P1042,"")</f>
        <v/>
      </c>
      <c r="R1042" s="44">
        <f>IFERROR((L1042-M1042)/(L1042+M1042),"")</f>
        <v/>
      </c>
      <c r="S1042" s="46">
        <f>H1042/SUMIFS(Counties!$H$2:$H$1583,Counties!$A$2:$A$1583,$A1042)</f>
        <v/>
      </c>
      <c r="T1042" s="44">
        <f>O1042+INDEX(Dashboard!$F$6:$F$22,MATCH($A1042,Dashboard!$A$6:$A$22,0))</f>
        <v/>
      </c>
      <c r="U1042" s="43">
        <f>AQ1042*INDEX(Dashboard!$G$6:$G$22,MATCH($A1042,Dashboard!$A$6:$A$22,0))</f>
        <v/>
      </c>
      <c r="V1042" s="47" t="n"/>
      <c r="W1042" s="47" t="n"/>
      <c r="X1042" s="47" t="n"/>
      <c r="Y1042" s="48" t="n"/>
      <c r="Z1042" s="49" t="n"/>
      <c r="AA1042" s="49" t="n"/>
      <c r="AB1042" s="49" t="n"/>
      <c r="AC1042" s="50" t="n"/>
      <c r="AD1042" s="43">
        <f>IF(Z1042&lt;&gt;"",Z1042,N(V1042))</f>
        <v/>
      </c>
      <c r="AE1042" s="43">
        <f>IF(AA1042&lt;&gt;"",AA1042,N(W1042))</f>
        <v/>
      </c>
      <c r="AF1042" s="43">
        <f>AD1042+AE1042</f>
        <v/>
      </c>
      <c r="AG1042" s="42">
        <f>IF(UPPER(AC1042)="Y",1,IF(AF1042=0,0,IF(AND(Z1042="",Y1042&lt;&gt;""),IF(Y1042&gt;=0.999,1,0),IF(AF1042&gt;=U1042,1,0))))</f>
        <v/>
      </c>
      <c r="AH1042" s="44">
        <f>IF(AF1042&gt;0,(AD1042-AE1042)/AF1042,"")</f>
        <v/>
      </c>
      <c r="AI1042" s="45">
        <f>IF(AG1042=1,AH1042-O1042,"")</f>
        <v/>
      </c>
      <c r="AJ1042" s="44">
        <f>IF(AG1042=1,AH1042,MAX(-1,MIN(1,O1042+INDEX(Types!$H:$H,MATCH($A1042&amp;"|"&amp;$D1042,Types!$A:$A,0)))))</f>
        <v/>
      </c>
      <c r="AK1042" s="43">
        <f>IF(AG1042=1,AF1042,MAX(AQ1042*AS1042,AF1042))</f>
        <v/>
      </c>
      <c r="AL1042" s="43">
        <f>IF(AG1042=1,AD1042,AK1042*(1+AJ1042)/2)</f>
        <v/>
      </c>
      <c r="AM1042" s="43">
        <f>IF(AG1042=1,AE1042,AK1042*(1-AJ1042)/2)</f>
        <v/>
      </c>
      <c r="AN1042" s="45">
        <f>IF(AH1042="","",AH1042-T1042)</f>
        <v/>
      </c>
      <c r="AO1042" s="51">
        <f>IF(AG1042=1,1,IF(U1042&gt;0,MIN(AF1042/U1042,0.99),0))</f>
        <v/>
      </c>
      <c r="AP1042" s="43">
        <f>IF(AG1042=1,AI1042*AF1042,0)</f>
        <v/>
      </c>
      <c r="AQ1042" s="43">
        <f>N1042*(F1042+G1042)/H1042</f>
        <v/>
      </c>
      <c r="AR1042" s="43">
        <f>O1042*AQ1042</f>
        <v/>
      </c>
      <c r="AS1042" s="52">
        <f>IF(AG1042=1,IF(AQ1042&gt;0,AF1042/AQ1042,1),IFERROR(INDEX(Types!$K:$K,MATCH($A1042&amp;"|"&amp;$D1042,Types!$A:$A,0)),INDEX(Dashboard!$X$6:$X$22,MATCH($A1042,Dashboard!$A$6:$A$22,0))))</f>
        <v/>
      </c>
      <c r="AT1042" s="43">
        <f>AQ1042*INDEX(Dashboard!$Y$6:$Y$22,MATCH($A1042,Dashboard!$A$6:$A$22,0))</f>
        <v/>
      </c>
      <c r="AU1042" s="53">
        <f>IF(AND(AG1042=1,AT1042&gt;0,AF1042&gt;0),100*AF1042/AT1042,"")</f>
        <v/>
      </c>
      <c r="AV1042" s="44">
        <f>IF(AU1042="","",T1042/(AU1042/100))</f>
        <v/>
      </c>
      <c r="AW1042" s="53">
        <f>IF(AU1042="","",IF(AND(ABS(AH1042)&gt;=0.1,ABS(T1042)&gt;=0.05,SIGN(AH1042)=SIGN(T1042)),100*T1042/AH1042,""))</f>
        <v/>
      </c>
      <c r="AX1042" s="45">
        <f>IF(AU1042="","",T1042-AV1042)</f>
        <v/>
      </c>
      <c r="AY1042" s="45">
        <f>IF(AU1042="","",AH1042-AV1042)</f>
        <v/>
      </c>
      <c r="AZ1042" s="54">
        <f>(AL1042-AM1042)-T1042*AT1042</f>
        <v/>
      </c>
      <c r="BA1042" s="43">
        <f>IF(AU1042="",0,(AH1042-T1042)*AF1042)</f>
        <v/>
      </c>
      <c r="BB1042" s="43">
        <f>IF(AU1042="",0,T1042*(AF1042-AT1042))</f>
        <v/>
      </c>
      <c r="BC1042" s="51" t="n">
        <v>0.01429057502551888</v>
      </c>
      <c r="BD1042" s="51" t="n">
        <v>0.1126233412725417</v>
      </c>
      <c r="BE1042" s="51" t="n">
        <v>0.25870272977711</v>
      </c>
      <c r="BF1042" s="43" t="n">
        <v>5878</v>
      </c>
    </row>
    <row r="1043">
      <c r="A1043" s="42" t="inlineStr">
        <is>
          <t>TX</t>
        </is>
      </c>
      <c r="B1043" s="42" t="inlineStr">
        <is>
          <t>48067</t>
        </is>
      </c>
      <c r="C1043" s="42" t="inlineStr">
        <is>
          <t>Cass</t>
        </is>
      </c>
      <c r="D1043" s="42" t="inlineStr">
        <is>
          <t>Small town &amp; rural</t>
        </is>
      </c>
      <c r="E1043" s="42" t="inlineStr"/>
      <c r="F1043" s="43" t="n">
        <v>2406</v>
      </c>
      <c r="G1043" s="43" t="n">
        <v>11693</v>
      </c>
      <c r="H1043" s="43" t="n">
        <v>14140</v>
      </c>
      <c r="I1043" s="43" t="n">
        <v>2795</v>
      </c>
      <c r="J1043" s="43" t="n">
        <v>11033</v>
      </c>
      <c r="K1043" s="42" t="inlineStr">
        <is>
          <t>Governor</t>
        </is>
      </c>
      <c r="L1043" s="43" t="n">
        <v>1460</v>
      </c>
      <c r="M1043" s="43" t="n">
        <v>8415</v>
      </c>
      <c r="N1043" s="43" t="n">
        <v>9969</v>
      </c>
      <c r="O1043" s="44">
        <f>IFERROR((F1043-G1043)/(F1043+G1043),"")</f>
        <v/>
      </c>
      <c r="P1043" s="44">
        <f>IFERROR((I1043-J1043)/(I1043+J1043),"")</f>
        <v/>
      </c>
      <c r="Q1043" s="45">
        <f>IFERROR(O1043-P1043,"")</f>
        <v/>
      </c>
      <c r="R1043" s="44">
        <f>IFERROR((L1043-M1043)/(L1043+M1043),"")</f>
        <v/>
      </c>
      <c r="S1043" s="46">
        <f>H1043/SUMIFS(Counties!$H$2:$H$1583,Counties!$A$2:$A$1583,$A1043)</f>
        <v/>
      </c>
      <c r="T1043" s="44">
        <f>O1043+INDEX(Dashboard!$F$6:$F$22,MATCH($A1043,Dashboard!$A$6:$A$22,0))</f>
        <v/>
      </c>
      <c r="U1043" s="43">
        <f>AQ1043*INDEX(Dashboard!$G$6:$G$22,MATCH($A1043,Dashboard!$A$6:$A$22,0))</f>
        <v/>
      </c>
      <c r="V1043" s="47" t="n"/>
      <c r="W1043" s="47" t="n"/>
      <c r="X1043" s="47" t="n"/>
      <c r="Y1043" s="48" t="n"/>
      <c r="Z1043" s="49" t="n"/>
      <c r="AA1043" s="49" t="n"/>
      <c r="AB1043" s="49" t="n"/>
      <c r="AC1043" s="50" t="n"/>
      <c r="AD1043" s="43">
        <f>IF(Z1043&lt;&gt;"",Z1043,N(V1043))</f>
        <v/>
      </c>
      <c r="AE1043" s="43">
        <f>IF(AA1043&lt;&gt;"",AA1043,N(W1043))</f>
        <v/>
      </c>
      <c r="AF1043" s="43">
        <f>AD1043+AE1043</f>
        <v/>
      </c>
      <c r="AG1043" s="42">
        <f>IF(UPPER(AC1043)="Y",1,IF(AF1043=0,0,IF(AND(Z1043="",Y1043&lt;&gt;""),IF(Y1043&gt;=0.999,1,0),IF(AF1043&gt;=U1043,1,0))))</f>
        <v/>
      </c>
      <c r="AH1043" s="44">
        <f>IF(AF1043&gt;0,(AD1043-AE1043)/AF1043,"")</f>
        <v/>
      </c>
      <c r="AI1043" s="45">
        <f>IF(AG1043=1,AH1043-O1043,"")</f>
        <v/>
      </c>
      <c r="AJ1043" s="44">
        <f>IF(AG1043=1,AH1043,MAX(-1,MIN(1,O1043+INDEX(Types!$H:$H,MATCH($A1043&amp;"|"&amp;$D1043,Types!$A:$A,0)))))</f>
        <v/>
      </c>
      <c r="AK1043" s="43">
        <f>IF(AG1043=1,AF1043,MAX(AQ1043*AS1043,AF1043))</f>
        <v/>
      </c>
      <c r="AL1043" s="43">
        <f>IF(AG1043=1,AD1043,AK1043*(1+AJ1043)/2)</f>
        <v/>
      </c>
      <c r="AM1043" s="43">
        <f>IF(AG1043=1,AE1043,AK1043*(1-AJ1043)/2)</f>
        <v/>
      </c>
      <c r="AN1043" s="45">
        <f>IF(AH1043="","",AH1043-T1043)</f>
        <v/>
      </c>
      <c r="AO1043" s="51">
        <f>IF(AG1043=1,1,IF(U1043&gt;0,MIN(AF1043/U1043,0.99),0))</f>
        <v/>
      </c>
      <c r="AP1043" s="43">
        <f>IF(AG1043=1,AI1043*AF1043,0)</f>
        <v/>
      </c>
      <c r="AQ1043" s="43">
        <f>N1043*(F1043+G1043)/H1043</f>
        <v/>
      </c>
      <c r="AR1043" s="43">
        <f>O1043*AQ1043</f>
        <v/>
      </c>
      <c r="AS1043" s="52">
        <f>IF(AG1043=1,IF(AQ1043&gt;0,AF1043/AQ1043,1),IFERROR(INDEX(Types!$K:$K,MATCH($A1043&amp;"|"&amp;$D1043,Types!$A:$A,0)),INDEX(Dashboard!$X$6:$X$22,MATCH($A1043,Dashboard!$A$6:$A$22,0))))</f>
        <v/>
      </c>
      <c r="AT1043" s="43">
        <f>AQ1043*INDEX(Dashboard!$Y$6:$Y$22,MATCH($A1043,Dashboard!$A$6:$A$22,0))</f>
        <v/>
      </c>
      <c r="AU1043" s="53">
        <f>IF(AND(AG1043=1,AT1043&gt;0,AF1043&gt;0),100*AF1043/AT1043,"")</f>
        <v/>
      </c>
      <c r="AV1043" s="44">
        <f>IF(AU1043="","",T1043/(AU1043/100))</f>
        <v/>
      </c>
      <c r="AW1043" s="53">
        <f>IF(AU1043="","",IF(AND(ABS(AH1043)&gt;=0.1,ABS(T1043)&gt;=0.05,SIGN(AH1043)=SIGN(T1043)),100*T1043/AH1043,""))</f>
        <v/>
      </c>
      <c r="AX1043" s="45">
        <f>IF(AU1043="","",T1043-AV1043)</f>
        <v/>
      </c>
      <c r="AY1043" s="45">
        <f>IF(AU1043="","",AH1043-AV1043)</f>
        <v/>
      </c>
      <c r="AZ1043" s="54">
        <f>(AL1043-AM1043)-T1043*AT1043</f>
        <v/>
      </c>
      <c r="BA1043" s="43">
        <f>IF(AU1043="",0,(AH1043-T1043)*AF1043)</f>
        <v/>
      </c>
      <c r="BB1043" s="43">
        <f>IF(AU1043="",0,T1043*(AF1043-AT1043))</f>
        <v/>
      </c>
      <c r="BC1043" s="51" t="n">
        <v>0.1598450748455982</v>
      </c>
      <c r="BD1043" s="51" t="n">
        <v>0.0577131093199344</v>
      </c>
      <c r="BE1043" s="51" t="n">
        <v>0.1759782070331848</v>
      </c>
      <c r="BF1043" s="43" t="n">
        <v>28659</v>
      </c>
    </row>
    <row r="1044">
      <c r="A1044" s="42" t="inlineStr">
        <is>
          <t>TX</t>
        </is>
      </c>
      <c r="B1044" s="42" t="inlineStr">
        <is>
          <t>48069</t>
        </is>
      </c>
      <c r="C1044" s="42" t="inlineStr">
        <is>
          <t>Castro</t>
        </is>
      </c>
      <c r="D1044" s="42" t="inlineStr">
        <is>
          <t>Hispanic</t>
        </is>
      </c>
      <c r="E1044" s="42" t="inlineStr"/>
      <c r="F1044" s="43" t="n">
        <v>418</v>
      </c>
      <c r="G1044" s="43" t="n">
        <v>1594</v>
      </c>
      <c r="H1044" s="43" t="n">
        <v>2021</v>
      </c>
      <c r="I1044" s="43" t="n">
        <v>466</v>
      </c>
      <c r="J1044" s="43" t="n">
        <v>1602</v>
      </c>
      <c r="K1044" s="42" t="inlineStr">
        <is>
          <t>Governor</t>
        </is>
      </c>
      <c r="L1044" s="43" t="n">
        <v>239</v>
      </c>
      <c r="M1044" s="43" t="n">
        <v>1226</v>
      </c>
      <c r="N1044" s="43" t="n">
        <v>1493</v>
      </c>
      <c r="O1044" s="44">
        <f>IFERROR((F1044-G1044)/(F1044+G1044),"")</f>
        <v/>
      </c>
      <c r="P1044" s="44">
        <f>IFERROR((I1044-J1044)/(I1044+J1044),"")</f>
        <v/>
      </c>
      <c r="Q1044" s="45">
        <f>IFERROR(O1044-P1044,"")</f>
        <v/>
      </c>
      <c r="R1044" s="44">
        <f>IFERROR((L1044-M1044)/(L1044+M1044),"")</f>
        <v/>
      </c>
      <c r="S1044" s="46">
        <f>H1044/SUMIFS(Counties!$H$2:$H$1583,Counties!$A$2:$A$1583,$A1044)</f>
        <v/>
      </c>
      <c r="T1044" s="44">
        <f>O1044+INDEX(Dashboard!$F$6:$F$22,MATCH($A1044,Dashboard!$A$6:$A$22,0))</f>
        <v/>
      </c>
      <c r="U1044" s="43">
        <f>AQ1044*INDEX(Dashboard!$G$6:$G$22,MATCH($A1044,Dashboard!$A$6:$A$22,0))</f>
        <v/>
      </c>
      <c r="V1044" s="47" t="n"/>
      <c r="W1044" s="47" t="n"/>
      <c r="X1044" s="47" t="n"/>
      <c r="Y1044" s="48" t="n"/>
      <c r="Z1044" s="49" t="n"/>
      <c r="AA1044" s="49" t="n"/>
      <c r="AB1044" s="49" t="n"/>
      <c r="AC1044" s="50" t="n"/>
      <c r="AD1044" s="43">
        <f>IF(Z1044&lt;&gt;"",Z1044,N(V1044))</f>
        <v/>
      </c>
      <c r="AE1044" s="43">
        <f>IF(AA1044&lt;&gt;"",AA1044,N(W1044))</f>
        <v/>
      </c>
      <c r="AF1044" s="43">
        <f>AD1044+AE1044</f>
        <v/>
      </c>
      <c r="AG1044" s="42">
        <f>IF(UPPER(AC1044)="Y",1,IF(AF1044=0,0,IF(AND(Z1044="",Y1044&lt;&gt;""),IF(Y1044&gt;=0.999,1,0),IF(AF1044&gt;=U1044,1,0))))</f>
        <v/>
      </c>
      <c r="AH1044" s="44">
        <f>IF(AF1044&gt;0,(AD1044-AE1044)/AF1044,"")</f>
        <v/>
      </c>
      <c r="AI1044" s="45">
        <f>IF(AG1044=1,AH1044-O1044,"")</f>
        <v/>
      </c>
      <c r="AJ1044" s="44">
        <f>IF(AG1044=1,AH1044,MAX(-1,MIN(1,O1044+INDEX(Types!$H:$H,MATCH($A1044&amp;"|"&amp;$D1044,Types!$A:$A,0)))))</f>
        <v/>
      </c>
      <c r="AK1044" s="43">
        <f>IF(AG1044=1,AF1044,MAX(AQ1044*AS1044,AF1044))</f>
        <v/>
      </c>
      <c r="AL1044" s="43">
        <f>IF(AG1044=1,AD1044,AK1044*(1+AJ1044)/2)</f>
        <v/>
      </c>
      <c r="AM1044" s="43">
        <f>IF(AG1044=1,AE1044,AK1044*(1-AJ1044)/2)</f>
        <v/>
      </c>
      <c r="AN1044" s="45">
        <f>IF(AH1044="","",AH1044-T1044)</f>
        <v/>
      </c>
      <c r="AO1044" s="51">
        <f>IF(AG1044=1,1,IF(U1044&gt;0,MIN(AF1044/U1044,0.99),0))</f>
        <v/>
      </c>
      <c r="AP1044" s="43">
        <f>IF(AG1044=1,AI1044*AF1044,0)</f>
        <v/>
      </c>
      <c r="AQ1044" s="43">
        <f>N1044*(F1044+G1044)/H1044</f>
        <v/>
      </c>
      <c r="AR1044" s="43">
        <f>O1044*AQ1044</f>
        <v/>
      </c>
      <c r="AS1044" s="52">
        <f>IF(AG1044=1,IF(AQ1044&gt;0,AF1044/AQ1044,1),IFERROR(INDEX(Types!$K:$K,MATCH($A1044&amp;"|"&amp;$D1044,Types!$A:$A,0)),INDEX(Dashboard!$X$6:$X$22,MATCH($A1044,Dashboard!$A$6:$A$22,0))))</f>
        <v/>
      </c>
      <c r="AT1044" s="43">
        <f>AQ1044*INDEX(Dashboard!$Y$6:$Y$22,MATCH($A1044,Dashboard!$A$6:$A$22,0))</f>
        <v/>
      </c>
      <c r="AU1044" s="53">
        <f>IF(AND(AG1044=1,AT1044&gt;0,AF1044&gt;0),100*AF1044/AT1044,"")</f>
        <v/>
      </c>
      <c r="AV1044" s="44">
        <f>IF(AU1044="","",T1044/(AU1044/100))</f>
        <v/>
      </c>
      <c r="AW1044" s="53">
        <f>IF(AU1044="","",IF(AND(ABS(AH1044)&gt;=0.1,ABS(T1044)&gt;=0.05,SIGN(AH1044)=SIGN(T1044)),100*T1044/AH1044,""))</f>
        <v/>
      </c>
      <c r="AX1044" s="45">
        <f>IF(AU1044="","",T1044-AV1044)</f>
        <v/>
      </c>
      <c r="AY1044" s="45">
        <f>IF(AU1044="","",AH1044-AV1044)</f>
        <v/>
      </c>
      <c r="AZ1044" s="54">
        <f>(AL1044-AM1044)-T1044*AT1044</f>
        <v/>
      </c>
      <c r="BA1044" s="43">
        <f>IF(AU1044="",0,(AH1044-T1044)*AF1044)</f>
        <v/>
      </c>
      <c r="BB1044" s="43">
        <f>IF(AU1044="",0,T1044*(AF1044-AT1044))</f>
        <v/>
      </c>
      <c r="BC1044" s="51" t="n">
        <v>0.0195101701951017</v>
      </c>
      <c r="BD1044" s="51" t="n">
        <v>0.6561505465615055</v>
      </c>
      <c r="BE1044" s="51" t="n">
        <v>0.2099843295276472</v>
      </c>
      <c r="BF1044" s="43" t="n">
        <v>7227</v>
      </c>
    </row>
    <row r="1045">
      <c r="A1045" s="42" t="inlineStr">
        <is>
          <t>TX</t>
        </is>
      </c>
      <c r="B1045" s="42" t="inlineStr">
        <is>
          <t>48071</t>
        </is>
      </c>
      <c r="C1045" s="42" t="inlineStr">
        <is>
          <t>Chambers</t>
        </is>
      </c>
      <c r="D1045" s="42" t="inlineStr">
        <is>
          <t>Small town &amp; rural</t>
        </is>
      </c>
      <c r="E1045" s="42" t="inlineStr"/>
      <c r="F1045" s="43" t="n">
        <v>4192</v>
      </c>
      <c r="G1045" s="43" t="n">
        <v>20567</v>
      </c>
      <c r="H1045" s="43" t="n">
        <v>24971</v>
      </c>
      <c r="I1045" s="43" t="n">
        <v>3997</v>
      </c>
      <c r="J1045" s="43" t="n">
        <v>17353</v>
      </c>
      <c r="K1045" s="42" t="inlineStr">
        <is>
          <t>Governor</t>
        </is>
      </c>
      <c r="L1045" s="43" t="n">
        <v>2549</v>
      </c>
      <c r="M1045" s="43" t="n">
        <v>12948</v>
      </c>
      <c r="N1045" s="43" t="n">
        <v>15710</v>
      </c>
      <c r="O1045" s="44">
        <f>IFERROR((F1045-G1045)/(F1045+G1045),"")</f>
        <v/>
      </c>
      <c r="P1045" s="44">
        <f>IFERROR((I1045-J1045)/(I1045+J1045),"")</f>
        <v/>
      </c>
      <c r="Q1045" s="45">
        <f>IFERROR(O1045-P1045,"")</f>
        <v/>
      </c>
      <c r="R1045" s="44">
        <f>IFERROR((L1045-M1045)/(L1045+M1045),"")</f>
        <v/>
      </c>
      <c r="S1045" s="46">
        <f>H1045/SUMIFS(Counties!$H$2:$H$1583,Counties!$A$2:$A$1583,$A1045)</f>
        <v/>
      </c>
      <c r="T1045" s="44">
        <f>O1045+INDEX(Dashboard!$F$6:$F$22,MATCH($A1045,Dashboard!$A$6:$A$22,0))</f>
        <v/>
      </c>
      <c r="U1045" s="43">
        <f>AQ1045*INDEX(Dashboard!$G$6:$G$22,MATCH($A1045,Dashboard!$A$6:$A$22,0))</f>
        <v/>
      </c>
      <c r="V1045" s="47" t="n"/>
      <c r="W1045" s="47" t="n"/>
      <c r="X1045" s="47" t="n"/>
      <c r="Y1045" s="48" t="n"/>
      <c r="Z1045" s="49" t="n"/>
      <c r="AA1045" s="49" t="n"/>
      <c r="AB1045" s="49" t="n"/>
      <c r="AC1045" s="50" t="n"/>
      <c r="AD1045" s="43">
        <f>IF(Z1045&lt;&gt;"",Z1045,N(V1045))</f>
        <v/>
      </c>
      <c r="AE1045" s="43">
        <f>IF(AA1045&lt;&gt;"",AA1045,N(W1045))</f>
        <v/>
      </c>
      <c r="AF1045" s="43">
        <f>AD1045+AE1045</f>
        <v/>
      </c>
      <c r="AG1045" s="42">
        <f>IF(UPPER(AC1045)="Y",1,IF(AF1045=0,0,IF(AND(Z1045="",Y1045&lt;&gt;""),IF(Y1045&gt;=0.999,1,0),IF(AF1045&gt;=U1045,1,0))))</f>
        <v/>
      </c>
      <c r="AH1045" s="44">
        <f>IF(AF1045&gt;0,(AD1045-AE1045)/AF1045,"")</f>
        <v/>
      </c>
      <c r="AI1045" s="45">
        <f>IF(AG1045=1,AH1045-O1045,"")</f>
        <v/>
      </c>
      <c r="AJ1045" s="44">
        <f>IF(AG1045=1,AH1045,MAX(-1,MIN(1,O1045+INDEX(Types!$H:$H,MATCH($A1045&amp;"|"&amp;$D1045,Types!$A:$A,0)))))</f>
        <v/>
      </c>
      <c r="AK1045" s="43">
        <f>IF(AG1045=1,AF1045,MAX(AQ1045*AS1045,AF1045))</f>
        <v/>
      </c>
      <c r="AL1045" s="43">
        <f>IF(AG1045=1,AD1045,AK1045*(1+AJ1045)/2)</f>
        <v/>
      </c>
      <c r="AM1045" s="43">
        <f>IF(AG1045=1,AE1045,AK1045*(1-AJ1045)/2)</f>
        <v/>
      </c>
      <c r="AN1045" s="45">
        <f>IF(AH1045="","",AH1045-T1045)</f>
        <v/>
      </c>
      <c r="AO1045" s="51">
        <f>IF(AG1045=1,1,IF(U1045&gt;0,MIN(AF1045/U1045,0.99),0))</f>
        <v/>
      </c>
      <c r="AP1045" s="43">
        <f>IF(AG1045=1,AI1045*AF1045,0)</f>
        <v/>
      </c>
      <c r="AQ1045" s="43">
        <f>N1045*(F1045+G1045)/H1045</f>
        <v/>
      </c>
      <c r="AR1045" s="43">
        <f>O1045*AQ1045</f>
        <v/>
      </c>
      <c r="AS1045" s="52">
        <f>IF(AG1045=1,IF(AQ1045&gt;0,AF1045/AQ1045,1),IFERROR(INDEX(Types!$K:$K,MATCH($A1045&amp;"|"&amp;$D1045,Types!$A:$A,0)),INDEX(Dashboard!$X$6:$X$22,MATCH($A1045,Dashboard!$A$6:$A$22,0))))</f>
        <v/>
      </c>
      <c r="AT1045" s="43">
        <f>AQ1045*INDEX(Dashboard!$Y$6:$Y$22,MATCH($A1045,Dashboard!$A$6:$A$22,0))</f>
        <v/>
      </c>
      <c r="AU1045" s="53">
        <f>IF(AND(AG1045=1,AT1045&gt;0,AF1045&gt;0),100*AF1045/AT1045,"")</f>
        <v/>
      </c>
      <c r="AV1045" s="44">
        <f>IF(AU1045="","",T1045/(AU1045/100))</f>
        <v/>
      </c>
      <c r="AW1045" s="53">
        <f>IF(AU1045="","",IF(AND(ABS(AH1045)&gt;=0.1,ABS(T1045)&gt;=0.05,SIGN(AH1045)=SIGN(T1045)),100*T1045/AH1045,""))</f>
        <v/>
      </c>
      <c r="AX1045" s="45">
        <f>IF(AU1045="","",T1045-AV1045)</f>
        <v/>
      </c>
      <c r="AY1045" s="45">
        <f>IF(AU1045="","",AH1045-AV1045)</f>
        <v/>
      </c>
      <c r="AZ1045" s="54">
        <f>(AL1045-AM1045)-T1045*AT1045</f>
        <v/>
      </c>
      <c r="BA1045" s="43">
        <f>IF(AU1045="",0,(AH1045-T1045)*AF1045)</f>
        <v/>
      </c>
      <c r="BB1045" s="43">
        <f>IF(AU1045="",0,T1045*(AF1045-AT1045))</f>
        <v/>
      </c>
      <c r="BC1045" s="51" t="n">
        <v>0.08619793600118791</v>
      </c>
      <c r="BD1045" s="51" t="n">
        <v>0.2733499146187542</v>
      </c>
      <c r="BE1045" s="51" t="n">
        <v>0.2296658360488148</v>
      </c>
      <c r="BF1045" s="43" t="n">
        <v>53876</v>
      </c>
    </row>
    <row r="1046">
      <c r="A1046" s="42" t="inlineStr">
        <is>
          <t>TX</t>
        </is>
      </c>
      <c r="B1046" s="42" t="inlineStr">
        <is>
          <t>48073</t>
        </is>
      </c>
      <c r="C1046" s="42" t="inlineStr">
        <is>
          <t>Cherokee</t>
        </is>
      </c>
      <c r="D1046" s="42" t="inlineStr">
        <is>
          <t>Small town &amp; rural</t>
        </is>
      </c>
      <c r="E1046" s="42" t="inlineStr"/>
      <c r="F1046" s="43" t="n">
        <v>3744</v>
      </c>
      <c r="G1046" s="43" t="n">
        <v>16593</v>
      </c>
      <c r="H1046" s="43" t="n">
        <v>20502</v>
      </c>
      <c r="I1046" s="43" t="n">
        <v>4210</v>
      </c>
      <c r="J1046" s="43" t="n">
        <v>15101</v>
      </c>
      <c r="K1046" s="42" t="inlineStr">
        <is>
          <t>Governor</t>
        </is>
      </c>
      <c r="L1046" s="43" t="n">
        <v>2319</v>
      </c>
      <c r="M1046" s="43" t="n">
        <v>12020</v>
      </c>
      <c r="N1046" s="43" t="n">
        <v>14476</v>
      </c>
      <c r="O1046" s="44">
        <f>IFERROR((F1046-G1046)/(F1046+G1046),"")</f>
        <v/>
      </c>
      <c r="P1046" s="44">
        <f>IFERROR((I1046-J1046)/(I1046+J1046),"")</f>
        <v/>
      </c>
      <c r="Q1046" s="45">
        <f>IFERROR(O1046-P1046,"")</f>
        <v/>
      </c>
      <c r="R1046" s="44">
        <f>IFERROR((L1046-M1046)/(L1046+M1046),"")</f>
        <v/>
      </c>
      <c r="S1046" s="46">
        <f>H1046/SUMIFS(Counties!$H$2:$H$1583,Counties!$A$2:$A$1583,$A1046)</f>
        <v/>
      </c>
      <c r="T1046" s="44">
        <f>O1046+INDEX(Dashboard!$F$6:$F$22,MATCH($A1046,Dashboard!$A$6:$A$22,0))</f>
        <v/>
      </c>
      <c r="U1046" s="43">
        <f>AQ1046*INDEX(Dashboard!$G$6:$G$22,MATCH($A1046,Dashboard!$A$6:$A$22,0))</f>
        <v/>
      </c>
      <c r="V1046" s="47" t="n"/>
      <c r="W1046" s="47" t="n"/>
      <c r="X1046" s="47" t="n"/>
      <c r="Y1046" s="48" t="n"/>
      <c r="Z1046" s="49" t="n"/>
      <c r="AA1046" s="49" t="n"/>
      <c r="AB1046" s="49" t="n"/>
      <c r="AC1046" s="50" t="n"/>
      <c r="AD1046" s="43">
        <f>IF(Z1046&lt;&gt;"",Z1046,N(V1046))</f>
        <v/>
      </c>
      <c r="AE1046" s="43">
        <f>IF(AA1046&lt;&gt;"",AA1046,N(W1046))</f>
        <v/>
      </c>
      <c r="AF1046" s="43">
        <f>AD1046+AE1046</f>
        <v/>
      </c>
      <c r="AG1046" s="42">
        <f>IF(UPPER(AC1046)="Y",1,IF(AF1046=0,0,IF(AND(Z1046="",Y1046&lt;&gt;""),IF(Y1046&gt;=0.999,1,0),IF(AF1046&gt;=U1046,1,0))))</f>
        <v/>
      </c>
      <c r="AH1046" s="44">
        <f>IF(AF1046&gt;0,(AD1046-AE1046)/AF1046,"")</f>
        <v/>
      </c>
      <c r="AI1046" s="45">
        <f>IF(AG1046=1,AH1046-O1046,"")</f>
        <v/>
      </c>
      <c r="AJ1046" s="44">
        <f>IF(AG1046=1,AH1046,MAX(-1,MIN(1,O1046+INDEX(Types!$H:$H,MATCH($A1046&amp;"|"&amp;$D1046,Types!$A:$A,0)))))</f>
        <v/>
      </c>
      <c r="AK1046" s="43">
        <f>IF(AG1046=1,AF1046,MAX(AQ1046*AS1046,AF1046))</f>
        <v/>
      </c>
      <c r="AL1046" s="43">
        <f>IF(AG1046=1,AD1046,AK1046*(1+AJ1046)/2)</f>
        <v/>
      </c>
      <c r="AM1046" s="43">
        <f>IF(AG1046=1,AE1046,AK1046*(1-AJ1046)/2)</f>
        <v/>
      </c>
      <c r="AN1046" s="45">
        <f>IF(AH1046="","",AH1046-T1046)</f>
        <v/>
      </c>
      <c r="AO1046" s="51">
        <f>IF(AG1046=1,1,IF(U1046&gt;0,MIN(AF1046/U1046,0.99),0))</f>
        <v/>
      </c>
      <c r="AP1046" s="43">
        <f>IF(AG1046=1,AI1046*AF1046,0)</f>
        <v/>
      </c>
      <c r="AQ1046" s="43">
        <f>N1046*(F1046+G1046)/H1046</f>
        <v/>
      </c>
      <c r="AR1046" s="43">
        <f>O1046*AQ1046</f>
        <v/>
      </c>
      <c r="AS1046" s="52">
        <f>IF(AG1046=1,IF(AQ1046&gt;0,AF1046/AQ1046,1),IFERROR(INDEX(Types!$K:$K,MATCH($A1046&amp;"|"&amp;$D1046,Types!$A:$A,0)),INDEX(Dashboard!$X$6:$X$22,MATCH($A1046,Dashboard!$A$6:$A$22,0))))</f>
        <v/>
      </c>
      <c r="AT1046" s="43">
        <f>AQ1046*INDEX(Dashboard!$Y$6:$Y$22,MATCH($A1046,Dashboard!$A$6:$A$22,0))</f>
        <v/>
      </c>
      <c r="AU1046" s="53">
        <f>IF(AND(AG1046=1,AT1046&gt;0,AF1046&gt;0),100*AF1046/AT1046,"")</f>
        <v/>
      </c>
      <c r="AV1046" s="44">
        <f>IF(AU1046="","",T1046/(AU1046/100))</f>
        <v/>
      </c>
      <c r="AW1046" s="53">
        <f>IF(AU1046="","",IF(AND(ABS(AH1046)&gt;=0.1,ABS(T1046)&gt;=0.05,SIGN(AH1046)=SIGN(T1046)),100*T1046/AH1046,""))</f>
        <v/>
      </c>
      <c r="AX1046" s="45">
        <f>IF(AU1046="","",T1046-AV1046)</f>
        <v/>
      </c>
      <c r="AY1046" s="45">
        <f>IF(AU1046="","",AH1046-AV1046)</f>
        <v/>
      </c>
      <c r="AZ1046" s="54">
        <f>(AL1046-AM1046)-T1046*AT1046</f>
        <v/>
      </c>
      <c r="BA1046" s="43">
        <f>IF(AU1046="",0,(AH1046-T1046)*AF1046)</f>
        <v/>
      </c>
      <c r="BB1046" s="43">
        <f>IF(AU1046="",0,T1046*(AF1046-AT1046))</f>
        <v/>
      </c>
      <c r="BC1046" s="51" t="n">
        <v>0.1317961583392382</v>
      </c>
      <c r="BD1046" s="51" t="n">
        <v>0.2418752513549227</v>
      </c>
      <c r="BE1046" s="51" t="n">
        <v>0.1845805388869279</v>
      </c>
      <c r="BF1046" s="43" t="n">
        <v>52217</v>
      </c>
    </row>
    <row r="1047">
      <c r="A1047" s="42" t="inlineStr">
        <is>
          <t>TX</t>
        </is>
      </c>
      <c r="B1047" s="42" t="inlineStr">
        <is>
          <t>48075</t>
        </is>
      </c>
      <c r="C1047" s="42" t="inlineStr">
        <is>
          <t>Childress</t>
        </is>
      </c>
      <c r="D1047" s="42" t="inlineStr">
        <is>
          <t>Small town &amp; rural</t>
        </is>
      </c>
      <c r="E1047" s="42" t="inlineStr"/>
      <c r="F1047" s="43" t="n">
        <v>263</v>
      </c>
      <c r="G1047" s="43" t="n">
        <v>1991</v>
      </c>
      <c r="H1047" s="43" t="n">
        <v>2272</v>
      </c>
      <c r="I1047" s="43" t="n">
        <v>310</v>
      </c>
      <c r="J1047" s="43" t="n">
        <v>1943</v>
      </c>
      <c r="K1047" s="42" t="inlineStr">
        <is>
          <t>Governor</t>
        </is>
      </c>
      <c r="L1047" s="43" t="n">
        <v>162</v>
      </c>
      <c r="M1047" s="43" t="n">
        <v>1562</v>
      </c>
      <c r="N1047" s="43" t="n">
        <v>1751</v>
      </c>
      <c r="O1047" s="44">
        <f>IFERROR((F1047-G1047)/(F1047+G1047),"")</f>
        <v/>
      </c>
      <c r="P1047" s="44">
        <f>IFERROR((I1047-J1047)/(I1047+J1047),"")</f>
        <v/>
      </c>
      <c r="Q1047" s="45">
        <f>IFERROR(O1047-P1047,"")</f>
        <v/>
      </c>
      <c r="R1047" s="44">
        <f>IFERROR((L1047-M1047)/(L1047+M1047),"")</f>
        <v/>
      </c>
      <c r="S1047" s="46">
        <f>H1047/SUMIFS(Counties!$H$2:$H$1583,Counties!$A$2:$A$1583,$A1047)</f>
        <v/>
      </c>
      <c r="T1047" s="44">
        <f>O1047+INDEX(Dashboard!$F$6:$F$22,MATCH($A1047,Dashboard!$A$6:$A$22,0))</f>
        <v/>
      </c>
      <c r="U1047" s="43">
        <f>AQ1047*INDEX(Dashboard!$G$6:$G$22,MATCH($A1047,Dashboard!$A$6:$A$22,0))</f>
        <v/>
      </c>
      <c r="V1047" s="47" t="n"/>
      <c r="W1047" s="47" t="n"/>
      <c r="X1047" s="47" t="n"/>
      <c r="Y1047" s="48" t="n"/>
      <c r="Z1047" s="49" t="n"/>
      <c r="AA1047" s="49" t="n"/>
      <c r="AB1047" s="49" t="n"/>
      <c r="AC1047" s="50" t="n"/>
      <c r="AD1047" s="43">
        <f>IF(Z1047&lt;&gt;"",Z1047,N(V1047))</f>
        <v/>
      </c>
      <c r="AE1047" s="43">
        <f>IF(AA1047&lt;&gt;"",AA1047,N(W1047))</f>
        <v/>
      </c>
      <c r="AF1047" s="43">
        <f>AD1047+AE1047</f>
        <v/>
      </c>
      <c r="AG1047" s="42">
        <f>IF(UPPER(AC1047)="Y",1,IF(AF1047=0,0,IF(AND(Z1047="",Y1047&lt;&gt;""),IF(Y1047&gt;=0.999,1,0),IF(AF1047&gt;=U1047,1,0))))</f>
        <v/>
      </c>
      <c r="AH1047" s="44">
        <f>IF(AF1047&gt;0,(AD1047-AE1047)/AF1047,"")</f>
        <v/>
      </c>
      <c r="AI1047" s="45">
        <f>IF(AG1047=1,AH1047-O1047,"")</f>
        <v/>
      </c>
      <c r="AJ1047" s="44">
        <f>IF(AG1047=1,AH1047,MAX(-1,MIN(1,O1047+INDEX(Types!$H:$H,MATCH($A1047&amp;"|"&amp;$D1047,Types!$A:$A,0)))))</f>
        <v/>
      </c>
      <c r="AK1047" s="43">
        <f>IF(AG1047=1,AF1047,MAX(AQ1047*AS1047,AF1047))</f>
        <v/>
      </c>
      <c r="AL1047" s="43">
        <f>IF(AG1047=1,AD1047,AK1047*(1+AJ1047)/2)</f>
        <v/>
      </c>
      <c r="AM1047" s="43">
        <f>IF(AG1047=1,AE1047,AK1047*(1-AJ1047)/2)</f>
        <v/>
      </c>
      <c r="AN1047" s="45">
        <f>IF(AH1047="","",AH1047-T1047)</f>
        <v/>
      </c>
      <c r="AO1047" s="51">
        <f>IF(AG1047=1,1,IF(U1047&gt;0,MIN(AF1047/U1047,0.99),0))</f>
        <v/>
      </c>
      <c r="AP1047" s="43">
        <f>IF(AG1047=1,AI1047*AF1047,0)</f>
        <v/>
      </c>
      <c r="AQ1047" s="43">
        <f>N1047*(F1047+G1047)/H1047</f>
        <v/>
      </c>
      <c r="AR1047" s="43">
        <f>O1047*AQ1047</f>
        <v/>
      </c>
      <c r="AS1047" s="52">
        <f>IF(AG1047=1,IF(AQ1047&gt;0,AF1047/AQ1047,1),IFERROR(INDEX(Types!$K:$K,MATCH($A1047&amp;"|"&amp;$D1047,Types!$A:$A,0)),INDEX(Dashboard!$X$6:$X$22,MATCH($A1047,Dashboard!$A$6:$A$22,0))))</f>
        <v/>
      </c>
      <c r="AT1047" s="43">
        <f>AQ1047*INDEX(Dashboard!$Y$6:$Y$22,MATCH($A1047,Dashboard!$A$6:$A$22,0))</f>
        <v/>
      </c>
      <c r="AU1047" s="53">
        <f>IF(AND(AG1047=1,AT1047&gt;0,AF1047&gt;0),100*AF1047/AT1047,"")</f>
        <v/>
      </c>
      <c r="AV1047" s="44">
        <f>IF(AU1047="","",T1047/(AU1047/100))</f>
        <v/>
      </c>
      <c r="AW1047" s="53">
        <f>IF(AU1047="","",IF(AND(ABS(AH1047)&gt;=0.1,ABS(T1047)&gt;=0.05,SIGN(AH1047)=SIGN(T1047)),100*T1047/AH1047,""))</f>
        <v/>
      </c>
      <c r="AX1047" s="45">
        <f>IF(AU1047="","",T1047-AV1047)</f>
        <v/>
      </c>
      <c r="AY1047" s="45">
        <f>IF(AU1047="","",AH1047-AV1047)</f>
        <v/>
      </c>
      <c r="AZ1047" s="54">
        <f>(AL1047-AM1047)-T1047*AT1047</f>
        <v/>
      </c>
      <c r="BA1047" s="43">
        <f>IF(AU1047="",0,(AH1047-T1047)*AF1047)</f>
        <v/>
      </c>
      <c r="BB1047" s="43">
        <f>IF(AU1047="",0,T1047*(AF1047-AT1047))</f>
        <v/>
      </c>
      <c r="BC1047" s="51" t="n">
        <v>0.09678845020624632</v>
      </c>
      <c r="BD1047" s="51" t="n">
        <v>0.3126104890984089</v>
      </c>
      <c r="BE1047" s="51" t="n">
        <v>0.1147840194686676</v>
      </c>
      <c r="BF1047" s="43" t="n">
        <v>6788</v>
      </c>
    </row>
    <row r="1048">
      <c r="A1048" s="42" t="inlineStr">
        <is>
          <t>TX</t>
        </is>
      </c>
      <c r="B1048" s="42" t="inlineStr">
        <is>
          <t>48077</t>
        </is>
      </c>
      <c r="C1048" s="42" t="inlineStr">
        <is>
          <t>Clay</t>
        </is>
      </c>
      <c r="D1048" s="42" t="inlineStr">
        <is>
          <t>Small town &amp; rural</t>
        </is>
      </c>
      <c r="E1048" s="42" t="inlineStr"/>
      <c r="F1048" s="43" t="n">
        <v>584</v>
      </c>
      <c r="G1048" s="43" t="n">
        <v>5288</v>
      </c>
      <c r="H1048" s="43" t="n">
        <v>5906</v>
      </c>
      <c r="I1048" s="43" t="n">
        <v>614</v>
      </c>
      <c r="J1048" s="43" t="n">
        <v>5069</v>
      </c>
      <c r="K1048" s="42" t="inlineStr">
        <is>
          <t>Governor</t>
        </is>
      </c>
      <c r="L1048" s="43" t="n">
        <v>393</v>
      </c>
      <c r="M1048" s="43" t="n">
        <v>4052</v>
      </c>
      <c r="N1048" s="43" t="n">
        <v>4489</v>
      </c>
      <c r="O1048" s="44">
        <f>IFERROR((F1048-G1048)/(F1048+G1048),"")</f>
        <v/>
      </c>
      <c r="P1048" s="44">
        <f>IFERROR((I1048-J1048)/(I1048+J1048),"")</f>
        <v/>
      </c>
      <c r="Q1048" s="45">
        <f>IFERROR(O1048-P1048,"")</f>
        <v/>
      </c>
      <c r="R1048" s="44">
        <f>IFERROR((L1048-M1048)/(L1048+M1048),"")</f>
        <v/>
      </c>
      <c r="S1048" s="46">
        <f>H1048/SUMIFS(Counties!$H$2:$H$1583,Counties!$A$2:$A$1583,$A1048)</f>
        <v/>
      </c>
      <c r="T1048" s="44">
        <f>O1048+INDEX(Dashboard!$F$6:$F$22,MATCH($A1048,Dashboard!$A$6:$A$22,0))</f>
        <v/>
      </c>
      <c r="U1048" s="43">
        <f>AQ1048*INDEX(Dashboard!$G$6:$G$22,MATCH($A1048,Dashboard!$A$6:$A$22,0))</f>
        <v/>
      </c>
      <c r="V1048" s="47" t="n"/>
      <c r="W1048" s="47" t="n"/>
      <c r="X1048" s="47" t="n"/>
      <c r="Y1048" s="48" t="n"/>
      <c r="Z1048" s="49" t="n"/>
      <c r="AA1048" s="49" t="n"/>
      <c r="AB1048" s="49" t="n"/>
      <c r="AC1048" s="50" t="n"/>
      <c r="AD1048" s="43">
        <f>IF(Z1048&lt;&gt;"",Z1048,N(V1048))</f>
        <v/>
      </c>
      <c r="AE1048" s="43">
        <f>IF(AA1048&lt;&gt;"",AA1048,N(W1048))</f>
        <v/>
      </c>
      <c r="AF1048" s="43">
        <f>AD1048+AE1048</f>
        <v/>
      </c>
      <c r="AG1048" s="42">
        <f>IF(UPPER(AC1048)="Y",1,IF(AF1048=0,0,IF(AND(Z1048="",Y1048&lt;&gt;""),IF(Y1048&gt;=0.999,1,0),IF(AF1048&gt;=U1048,1,0))))</f>
        <v/>
      </c>
      <c r="AH1048" s="44">
        <f>IF(AF1048&gt;0,(AD1048-AE1048)/AF1048,"")</f>
        <v/>
      </c>
      <c r="AI1048" s="45">
        <f>IF(AG1048=1,AH1048-O1048,"")</f>
        <v/>
      </c>
      <c r="AJ1048" s="44">
        <f>IF(AG1048=1,AH1048,MAX(-1,MIN(1,O1048+INDEX(Types!$H:$H,MATCH($A1048&amp;"|"&amp;$D1048,Types!$A:$A,0)))))</f>
        <v/>
      </c>
      <c r="AK1048" s="43">
        <f>IF(AG1048=1,AF1048,MAX(AQ1048*AS1048,AF1048))</f>
        <v/>
      </c>
      <c r="AL1048" s="43">
        <f>IF(AG1048=1,AD1048,AK1048*(1+AJ1048)/2)</f>
        <v/>
      </c>
      <c r="AM1048" s="43">
        <f>IF(AG1048=1,AE1048,AK1048*(1-AJ1048)/2)</f>
        <v/>
      </c>
      <c r="AN1048" s="45">
        <f>IF(AH1048="","",AH1048-T1048)</f>
        <v/>
      </c>
      <c r="AO1048" s="51">
        <f>IF(AG1048=1,1,IF(U1048&gt;0,MIN(AF1048/U1048,0.99),0))</f>
        <v/>
      </c>
      <c r="AP1048" s="43">
        <f>IF(AG1048=1,AI1048*AF1048,0)</f>
        <v/>
      </c>
      <c r="AQ1048" s="43">
        <f>N1048*(F1048+G1048)/H1048</f>
        <v/>
      </c>
      <c r="AR1048" s="43">
        <f>O1048*AQ1048</f>
        <v/>
      </c>
      <c r="AS1048" s="52">
        <f>IF(AG1048=1,IF(AQ1048&gt;0,AF1048/AQ1048,1),IFERROR(INDEX(Types!$K:$K,MATCH($A1048&amp;"|"&amp;$D1048,Types!$A:$A,0)),INDEX(Dashboard!$X$6:$X$22,MATCH($A1048,Dashboard!$A$6:$A$22,0))))</f>
        <v/>
      </c>
      <c r="AT1048" s="43">
        <f>AQ1048*INDEX(Dashboard!$Y$6:$Y$22,MATCH($A1048,Dashboard!$A$6:$A$22,0))</f>
        <v/>
      </c>
      <c r="AU1048" s="53">
        <f>IF(AND(AG1048=1,AT1048&gt;0,AF1048&gt;0),100*AF1048/AT1048,"")</f>
        <v/>
      </c>
      <c r="AV1048" s="44">
        <f>IF(AU1048="","",T1048/(AU1048/100))</f>
        <v/>
      </c>
      <c r="AW1048" s="53">
        <f>IF(AU1048="","",IF(AND(ABS(AH1048)&gt;=0.1,ABS(T1048)&gt;=0.05,SIGN(AH1048)=SIGN(T1048)),100*T1048/AH1048,""))</f>
        <v/>
      </c>
      <c r="AX1048" s="45">
        <f>IF(AU1048="","",T1048-AV1048)</f>
        <v/>
      </c>
      <c r="AY1048" s="45">
        <f>IF(AU1048="","",AH1048-AV1048)</f>
        <v/>
      </c>
      <c r="AZ1048" s="54">
        <f>(AL1048-AM1048)-T1048*AT1048</f>
        <v/>
      </c>
      <c r="BA1048" s="43">
        <f>IF(AU1048="",0,(AH1048-T1048)*AF1048)</f>
        <v/>
      </c>
      <c r="BB1048" s="43">
        <f>IF(AU1048="",0,T1048*(AF1048-AT1048))</f>
        <v/>
      </c>
      <c r="BC1048" s="51" t="n">
        <v>0.01294468243620786</v>
      </c>
      <c r="BD1048" s="51" t="n">
        <v>0.07347737008753957</v>
      </c>
      <c r="BE1048" s="51" t="n">
        <v>0.2385297184567257</v>
      </c>
      <c r="BF1048" s="43" t="n">
        <v>10738</v>
      </c>
    </row>
    <row r="1049">
      <c r="A1049" s="42" t="inlineStr">
        <is>
          <t>TX</t>
        </is>
      </c>
      <c r="B1049" s="42" t="inlineStr">
        <is>
          <t>48079</t>
        </is>
      </c>
      <c r="C1049" s="42" t="inlineStr">
        <is>
          <t>Cochran</t>
        </is>
      </c>
      <c r="D1049" s="42" t="inlineStr">
        <is>
          <t>Hispanic</t>
        </is>
      </c>
      <c r="E1049" s="42" t="inlineStr"/>
      <c r="F1049" s="43" t="n">
        <v>148</v>
      </c>
      <c r="G1049" s="43" t="n">
        <v>735</v>
      </c>
      <c r="H1049" s="43" t="n">
        <v>893</v>
      </c>
      <c r="I1049" s="43" t="n">
        <v>177</v>
      </c>
      <c r="J1049" s="43" t="n">
        <v>809</v>
      </c>
      <c r="K1049" s="42" t="inlineStr">
        <is>
          <t>Governor</t>
        </is>
      </c>
      <c r="L1049" s="43" t="n">
        <v>95</v>
      </c>
      <c r="M1049" s="43" t="n">
        <v>506</v>
      </c>
      <c r="N1049" s="43" t="n">
        <v>616</v>
      </c>
      <c r="O1049" s="44">
        <f>IFERROR((F1049-G1049)/(F1049+G1049),"")</f>
        <v/>
      </c>
      <c r="P1049" s="44">
        <f>IFERROR((I1049-J1049)/(I1049+J1049),"")</f>
        <v/>
      </c>
      <c r="Q1049" s="45">
        <f>IFERROR(O1049-P1049,"")</f>
        <v/>
      </c>
      <c r="R1049" s="44">
        <f>IFERROR((L1049-M1049)/(L1049+M1049),"")</f>
        <v/>
      </c>
      <c r="S1049" s="46">
        <f>H1049/SUMIFS(Counties!$H$2:$H$1583,Counties!$A$2:$A$1583,$A1049)</f>
        <v/>
      </c>
      <c r="T1049" s="44">
        <f>O1049+INDEX(Dashboard!$F$6:$F$22,MATCH($A1049,Dashboard!$A$6:$A$22,0))</f>
        <v/>
      </c>
      <c r="U1049" s="43">
        <f>AQ1049*INDEX(Dashboard!$G$6:$G$22,MATCH($A1049,Dashboard!$A$6:$A$22,0))</f>
        <v/>
      </c>
      <c r="V1049" s="47" t="n"/>
      <c r="W1049" s="47" t="n"/>
      <c r="X1049" s="47" t="n"/>
      <c r="Y1049" s="48" t="n"/>
      <c r="Z1049" s="49" t="n"/>
      <c r="AA1049" s="49" t="n"/>
      <c r="AB1049" s="49" t="n"/>
      <c r="AC1049" s="50" t="n"/>
      <c r="AD1049" s="43">
        <f>IF(Z1049&lt;&gt;"",Z1049,N(V1049))</f>
        <v/>
      </c>
      <c r="AE1049" s="43">
        <f>IF(AA1049&lt;&gt;"",AA1049,N(W1049))</f>
        <v/>
      </c>
      <c r="AF1049" s="43">
        <f>AD1049+AE1049</f>
        <v/>
      </c>
      <c r="AG1049" s="42">
        <f>IF(UPPER(AC1049)="Y",1,IF(AF1049=0,0,IF(AND(Z1049="",Y1049&lt;&gt;""),IF(Y1049&gt;=0.999,1,0),IF(AF1049&gt;=U1049,1,0))))</f>
        <v/>
      </c>
      <c r="AH1049" s="44">
        <f>IF(AF1049&gt;0,(AD1049-AE1049)/AF1049,"")</f>
        <v/>
      </c>
      <c r="AI1049" s="45">
        <f>IF(AG1049=1,AH1049-O1049,"")</f>
        <v/>
      </c>
      <c r="AJ1049" s="44">
        <f>IF(AG1049=1,AH1049,MAX(-1,MIN(1,O1049+INDEX(Types!$H:$H,MATCH($A1049&amp;"|"&amp;$D1049,Types!$A:$A,0)))))</f>
        <v/>
      </c>
      <c r="AK1049" s="43">
        <f>IF(AG1049=1,AF1049,MAX(AQ1049*AS1049,AF1049))</f>
        <v/>
      </c>
      <c r="AL1049" s="43">
        <f>IF(AG1049=1,AD1049,AK1049*(1+AJ1049)/2)</f>
        <v/>
      </c>
      <c r="AM1049" s="43">
        <f>IF(AG1049=1,AE1049,AK1049*(1-AJ1049)/2)</f>
        <v/>
      </c>
      <c r="AN1049" s="45">
        <f>IF(AH1049="","",AH1049-T1049)</f>
        <v/>
      </c>
      <c r="AO1049" s="51">
        <f>IF(AG1049=1,1,IF(U1049&gt;0,MIN(AF1049/U1049,0.99),0))</f>
        <v/>
      </c>
      <c r="AP1049" s="43">
        <f>IF(AG1049=1,AI1049*AF1049,0)</f>
        <v/>
      </c>
      <c r="AQ1049" s="43">
        <f>N1049*(F1049+G1049)/H1049</f>
        <v/>
      </c>
      <c r="AR1049" s="43">
        <f>O1049*AQ1049</f>
        <v/>
      </c>
      <c r="AS1049" s="52">
        <f>IF(AG1049=1,IF(AQ1049&gt;0,AF1049/AQ1049,1),IFERROR(INDEX(Types!$K:$K,MATCH($A1049&amp;"|"&amp;$D1049,Types!$A:$A,0)),INDEX(Dashboard!$X$6:$X$22,MATCH($A1049,Dashboard!$A$6:$A$22,0))))</f>
        <v/>
      </c>
      <c r="AT1049" s="43">
        <f>AQ1049*INDEX(Dashboard!$Y$6:$Y$22,MATCH($A1049,Dashboard!$A$6:$A$22,0))</f>
        <v/>
      </c>
      <c r="AU1049" s="53">
        <f>IF(AND(AG1049=1,AT1049&gt;0,AF1049&gt;0),100*AF1049/AT1049,"")</f>
        <v/>
      </c>
      <c r="AV1049" s="44">
        <f>IF(AU1049="","",T1049/(AU1049/100))</f>
        <v/>
      </c>
      <c r="AW1049" s="53">
        <f>IF(AU1049="","",IF(AND(ABS(AH1049)&gt;=0.1,ABS(T1049)&gt;=0.05,SIGN(AH1049)=SIGN(T1049)),100*T1049/AH1049,""))</f>
        <v/>
      </c>
      <c r="AX1049" s="45">
        <f>IF(AU1049="","",T1049-AV1049)</f>
        <v/>
      </c>
      <c r="AY1049" s="45">
        <f>IF(AU1049="","",AH1049-AV1049)</f>
        <v/>
      </c>
      <c r="AZ1049" s="54">
        <f>(AL1049-AM1049)-T1049*AT1049</f>
        <v/>
      </c>
      <c r="BA1049" s="43">
        <f>IF(AU1049="",0,(AH1049-T1049)*AF1049)</f>
        <v/>
      </c>
      <c r="BB1049" s="43">
        <f>IF(AU1049="",0,T1049*(AF1049-AT1049))</f>
        <v/>
      </c>
      <c r="BC1049" s="51" t="n">
        <v>0.03826225587883619</v>
      </c>
      <c r="BD1049" s="51" t="n">
        <v>0.6022319649262654</v>
      </c>
      <c r="BE1049" s="51" t="n">
        <v>0.1072077528770442</v>
      </c>
      <c r="BF1049" s="43" t="n">
        <v>2509</v>
      </c>
    </row>
    <row r="1050">
      <c r="A1050" s="42" t="inlineStr">
        <is>
          <t>TX</t>
        </is>
      </c>
      <c r="B1050" s="42" t="inlineStr">
        <is>
          <t>48081</t>
        </is>
      </c>
      <c r="C1050" s="42" t="inlineStr">
        <is>
          <t>Coke</t>
        </is>
      </c>
      <c r="D1050" s="42" t="inlineStr">
        <is>
          <t>Small town &amp; rural</t>
        </is>
      </c>
      <c r="E1050" s="42" t="inlineStr"/>
      <c r="F1050" s="43" t="n">
        <v>179</v>
      </c>
      <c r="G1050" s="43" t="n">
        <v>1623</v>
      </c>
      <c r="H1050" s="43" t="n">
        <v>1814</v>
      </c>
      <c r="I1050" s="43" t="n">
        <v>178</v>
      </c>
      <c r="J1050" s="43" t="n">
        <v>1586</v>
      </c>
      <c r="K1050" s="42" t="inlineStr">
        <is>
          <t>Governor</t>
        </is>
      </c>
      <c r="L1050" s="43" t="n">
        <v>114</v>
      </c>
      <c r="M1050" s="43" t="n">
        <v>1260</v>
      </c>
      <c r="N1050" s="43" t="n">
        <v>1389</v>
      </c>
      <c r="O1050" s="44">
        <f>IFERROR((F1050-G1050)/(F1050+G1050),"")</f>
        <v/>
      </c>
      <c r="P1050" s="44">
        <f>IFERROR((I1050-J1050)/(I1050+J1050),"")</f>
        <v/>
      </c>
      <c r="Q1050" s="45">
        <f>IFERROR(O1050-P1050,"")</f>
        <v/>
      </c>
      <c r="R1050" s="44">
        <f>IFERROR((L1050-M1050)/(L1050+M1050),"")</f>
        <v/>
      </c>
      <c r="S1050" s="46">
        <f>H1050/SUMIFS(Counties!$H$2:$H$1583,Counties!$A$2:$A$1583,$A1050)</f>
        <v/>
      </c>
      <c r="T1050" s="44">
        <f>O1050+INDEX(Dashboard!$F$6:$F$22,MATCH($A1050,Dashboard!$A$6:$A$22,0))</f>
        <v/>
      </c>
      <c r="U1050" s="43">
        <f>AQ1050*INDEX(Dashboard!$G$6:$G$22,MATCH($A1050,Dashboard!$A$6:$A$22,0))</f>
        <v/>
      </c>
      <c r="V1050" s="47" t="n"/>
      <c r="W1050" s="47" t="n"/>
      <c r="X1050" s="47" t="n"/>
      <c r="Y1050" s="48" t="n"/>
      <c r="Z1050" s="49" t="n"/>
      <c r="AA1050" s="49" t="n"/>
      <c r="AB1050" s="49" t="n"/>
      <c r="AC1050" s="50" t="n"/>
      <c r="AD1050" s="43">
        <f>IF(Z1050&lt;&gt;"",Z1050,N(V1050))</f>
        <v/>
      </c>
      <c r="AE1050" s="43">
        <f>IF(AA1050&lt;&gt;"",AA1050,N(W1050))</f>
        <v/>
      </c>
      <c r="AF1050" s="43">
        <f>AD1050+AE1050</f>
        <v/>
      </c>
      <c r="AG1050" s="42">
        <f>IF(UPPER(AC1050)="Y",1,IF(AF1050=0,0,IF(AND(Z1050="",Y1050&lt;&gt;""),IF(Y1050&gt;=0.999,1,0),IF(AF1050&gt;=U1050,1,0))))</f>
        <v/>
      </c>
      <c r="AH1050" s="44">
        <f>IF(AF1050&gt;0,(AD1050-AE1050)/AF1050,"")</f>
        <v/>
      </c>
      <c r="AI1050" s="45">
        <f>IF(AG1050=1,AH1050-O1050,"")</f>
        <v/>
      </c>
      <c r="AJ1050" s="44">
        <f>IF(AG1050=1,AH1050,MAX(-1,MIN(1,O1050+INDEX(Types!$H:$H,MATCH($A1050&amp;"|"&amp;$D1050,Types!$A:$A,0)))))</f>
        <v/>
      </c>
      <c r="AK1050" s="43">
        <f>IF(AG1050=1,AF1050,MAX(AQ1050*AS1050,AF1050))</f>
        <v/>
      </c>
      <c r="AL1050" s="43">
        <f>IF(AG1050=1,AD1050,AK1050*(1+AJ1050)/2)</f>
        <v/>
      </c>
      <c r="AM1050" s="43">
        <f>IF(AG1050=1,AE1050,AK1050*(1-AJ1050)/2)</f>
        <v/>
      </c>
      <c r="AN1050" s="45">
        <f>IF(AH1050="","",AH1050-T1050)</f>
        <v/>
      </c>
      <c r="AO1050" s="51">
        <f>IF(AG1050=1,1,IF(U1050&gt;0,MIN(AF1050/U1050,0.99),0))</f>
        <v/>
      </c>
      <c r="AP1050" s="43">
        <f>IF(AG1050=1,AI1050*AF1050,0)</f>
        <v/>
      </c>
      <c r="AQ1050" s="43">
        <f>N1050*(F1050+G1050)/H1050</f>
        <v/>
      </c>
      <c r="AR1050" s="43">
        <f>O1050*AQ1050</f>
        <v/>
      </c>
      <c r="AS1050" s="52">
        <f>IF(AG1050=1,IF(AQ1050&gt;0,AF1050/AQ1050,1),IFERROR(INDEX(Types!$K:$K,MATCH($A1050&amp;"|"&amp;$D1050,Types!$A:$A,0)),INDEX(Dashboard!$X$6:$X$22,MATCH($A1050,Dashboard!$A$6:$A$22,0))))</f>
        <v/>
      </c>
      <c r="AT1050" s="43">
        <f>AQ1050*INDEX(Dashboard!$Y$6:$Y$22,MATCH($A1050,Dashboard!$A$6:$A$22,0))</f>
        <v/>
      </c>
      <c r="AU1050" s="53">
        <f>IF(AND(AG1050=1,AT1050&gt;0,AF1050&gt;0),100*AF1050/AT1050,"")</f>
        <v/>
      </c>
      <c r="AV1050" s="44">
        <f>IF(AU1050="","",T1050/(AU1050/100))</f>
        <v/>
      </c>
      <c r="AW1050" s="53">
        <f>IF(AU1050="","",IF(AND(ABS(AH1050)&gt;=0.1,ABS(T1050)&gt;=0.05,SIGN(AH1050)=SIGN(T1050)),100*T1050/AH1050,""))</f>
        <v/>
      </c>
      <c r="AX1050" s="45">
        <f>IF(AU1050="","",T1050-AV1050)</f>
        <v/>
      </c>
      <c r="AY1050" s="45">
        <f>IF(AU1050="","",AH1050-AV1050)</f>
        <v/>
      </c>
      <c r="AZ1050" s="54">
        <f>(AL1050-AM1050)-T1050*AT1050</f>
        <v/>
      </c>
      <c r="BA1050" s="43">
        <f>IF(AU1050="",0,(AH1050-T1050)*AF1050)</f>
        <v/>
      </c>
      <c r="BB1050" s="43">
        <f>IF(AU1050="",0,T1050*(AF1050-AT1050))</f>
        <v/>
      </c>
      <c r="BC1050" s="51" t="n">
        <v>0.008651551312649164</v>
      </c>
      <c r="BD1050" s="51" t="n">
        <v>0.2180787589498807</v>
      </c>
      <c r="BE1050" s="51" t="n">
        <v>0.2109343125254998</v>
      </c>
      <c r="BF1050" s="43" t="n">
        <v>3352</v>
      </c>
    </row>
    <row r="1051">
      <c r="A1051" s="42" t="inlineStr">
        <is>
          <t>TX</t>
        </is>
      </c>
      <c r="B1051" s="42" t="inlineStr">
        <is>
          <t>48083</t>
        </is>
      </c>
      <c r="C1051" s="42" t="inlineStr">
        <is>
          <t>Coleman</t>
        </is>
      </c>
      <c r="D1051" s="42" t="inlineStr">
        <is>
          <t>Small town &amp; rural</t>
        </is>
      </c>
      <c r="E1051" s="42" t="inlineStr"/>
      <c r="F1051" s="43" t="n">
        <v>428</v>
      </c>
      <c r="G1051" s="43" t="n">
        <v>3712</v>
      </c>
      <c r="H1051" s="43" t="n">
        <v>4155</v>
      </c>
      <c r="I1051" s="43" t="n">
        <v>451</v>
      </c>
      <c r="J1051" s="43" t="n">
        <v>3641</v>
      </c>
      <c r="K1051" s="42" t="inlineStr">
        <is>
          <t>Governor</t>
        </is>
      </c>
      <c r="L1051" s="43" t="n">
        <v>269</v>
      </c>
      <c r="M1051" s="43" t="n">
        <v>2942</v>
      </c>
      <c r="N1051" s="43" t="n">
        <v>3240</v>
      </c>
      <c r="O1051" s="44">
        <f>IFERROR((F1051-G1051)/(F1051+G1051),"")</f>
        <v/>
      </c>
      <c r="P1051" s="44">
        <f>IFERROR((I1051-J1051)/(I1051+J1051),"")</f>
        <v/>
      </c>
      <c r="Q1051" s="45">
        <f>IFERROR(O1051-P1051,"")</f>
        <v/>
      </c>
      <c r="R1051" s="44">
        <f>IFERROR((L1051-M1051)/(L1051+M1051),"")</f>
        <v/>
      </c>
      <c r="S1051" s="46">
        <f>H1051/SUMIFS(Counties!$H$2:$H$1583,Counties!$A$2:$A$1583,$A1051)</f>
        <v/>
      </c>
      <c r="T1051" s="44">
        <f>O1051+INDEX(Dashboard!$F$6:$F$22,MATCH($A1051,Dashboard!$A$6:$A$22,0))</f>
        <v/>
      </c>
      <c r="U1051" s="43">
        <f>AQ1051*INDEX(Dashboard!$G$6:$G$22,MATCH($A1051,Dashboard!$A$6:$A$22,0))</f>
        <v/>
      </c>
      <c r="V1051" s="47" t="n"/>
      <c r="W1051" s="47" t="n"/>
      <c r="X1051" s="47" t="n"/>
      <c r="Y1051" s="48" t="n"/>
      <c r="Z1051" s="49" t="n"/>
      <c r="AA1051" s="49" t="n"/>
      <c r="AB1051" s="49" t="n"/>
      <c r="AC1051" s="50" t="n"/>
      <c r="AD1051" s="43">
        <f>IF(Z1051&lt;&gt;"",Z1051,N(V1051))</f>
        <v/>
      </c>
      <c r="AE1051" s="43">
        <f>IF(AA1051&lt;&gt;"",AA1051,N(W1051))</f>
        <v/>
      </c>
      <c r="AF1051" s="43">
        <f>AD1051+AE1051</f>
        <v/>
      </c>
      <c r="AG1051" s="42">
        <f>IF(UPPER(AC1051)="Y",1,IF(AF1051=0,0,IF(AND(Z1051="",Y1051&lt;&gt;""),IF(Y1051&gt;=0.999,1,0),IF(AF1051&gt;=U1051,1,0))))</f>
        <v/>
      </c>
      <c r="AH1051" s="44">
        <f>IF(AF1051&gt;0,(AD1051-AE1051)/AF1051,"")</f>
        <v/>
      </c>
      <c r="AI1051" s="45">
        <f>IF(AG1051=1,AH1051-O1051,"")</f>
        <v/>
      </c>
      <c r="AJ1051" s="44">
        <f>IF(AG1051=1,AH1051,MAX(-1,MIN(1,O1051+INDEX(Types!$H:$H,MATCH($A1051&amp;"|"&amp;$D1051,Types!$A:$A,0)))))</f>
        <v/>
      </c>
      <c r="AK1051" s="43">
        <f>IF(AG1051=1,AF1051,MAX(AQ1051*AS1051,AF1051))</f>
        <v/>
      </c>
      <c r="AL1051" s="43">
        <f>IF(AG1051=1,AD1051,AK1051*(1+AJ1051)/2)</f>
        <v/>
      </c>
      <c r="AM1051" s="43">
        <f>IF(AG1051=1,AE1051,AK1051*(1-AJ1051)/2)</f>
        <v/>
      </c>
      <c r="AN1051" s="45">
        <f>IF(AH1051="","",AH1051-T1051)</f>
        <v/>
      </c>
      <c r="AO1051" s="51">
        <f>IF(AG1051=1,1,IF(U1051&gt;0,MIN(AF1051/U1051,0.99),0))</f>
        <v/>
      </c>
      <c r="AP1051" s="43">
        <f>IF(AG1051=1,AI1051*AF1051,0)</f>
        <v/>
      </c>
      <c r="AQ1051" s="43">
        <f>N1051*(F1051+G1051)/H1051</f>
        <v/>
      </c>
      <c r="AR1051" s="43">
        <f>O1051*AQ1051</f>
        <v/>
      </c>
      <c r="AS1051" s="52">
        <f>IF(AG1051=1,IF(AQ1051&gt;0,AF1051/AQ1051,1),IFERROR(INDEX(Types!$K:$K,MATCH($A1051&amp;"|"&amp;$D1051,Types!$A:$A,0)),INDEX(Dashboard!$X$6:$X$22,MATCH($A1051,Dashboard!$A$6:$A$22,0))))</f>
        <v/>
      </c>
      <c r="AT1051" s="43">
        <f>AQ1051*INDEX(Dashboard!$Y$6:$Y$22,MATCH($A1051,Dashboard!$A$6:$A$22,0))</f>
        <v/>
      </c>
      <c r="AU1051" s="53">
        <f>IF(AND(AG1051=1,AT1051&gt;0,AF1051&gt;0),100*AF1051/AT1051,"")</f>
        <v/>
      </c>
      <c r="AV1051" s="44">
        <f>IF(AU1051="","",T1051/(AU1051/100))</f>
        <v/>
      </c>
      <c r="AW1051" s="53">
        <f>IF(AU1051="","",IF(AND(ABS(AH1051)&gt;=0.1,ABS(T1051)&gt;=0.05,SIGN(AH1051)=SIGN(T1051)),100*T1051/AH1051,""))</f>
        <v/>
      </c>
      <c r="AX1051" s="45">
        <f>IF(AU1051="","",T1051-AV1051)</f>
        <v/>
      </c>
      <c r="AY1051" s="45">
        <f>IF(AU1051="","",AH1051-AV1051)</f>
        <v/>
      </c>
      <c r="AZ1051" s="54">
        <f>(AL1051-AM1051)-T1051*AT1051</f>
        <v/>
      </c>
      <c r="BA1051" s="43">
        <f>IF(AU1051="",0,(AH1051-T1051)*AF1051)</f>
        <v/>
      </c>
      <c r="BB1051" s="43">
        <f>IF(AU1051="",0,T1051*(AF1051-AT1051))</f>
        <v/>
      </c>
      <c r="BC1051" s="51" t="n">
        <v>0.03149706707472583</v>
      </c>
      <c r="BD1051" s="51" t="n">
        <v>0.1694720734506504</v>
      </c>
      <c r="BE1051" s="51" t="n">
        <v>0.1792535482740494</v>
      </c>
      <c r="BF1051" s="43" t="n">
        <v>7842</v>
      </c>
    </row>
    <row r="1052">
      <c r="A1052" s="42" t="inlineStr">
        <is>
          <t>TX</t>
        </is>
      </c>
      <c r="B1052" s="42" t="inlineStr">
        <is>
          <t>48085</t>
        </is>
      </c>
      <c r="C1052" s="42" t="inlineStr">
        <is>
          <t>Collin</t>
        </is>
      </c>
      <c r="D1052" s="42" t="inlineStr">
        <is>
          <t>Big metro core</t>
        </is>
      </c>
      <c r="E1052" s="42" t="inlineStr">
        <is>
          <t>★</t>
        </is>
      </c>
      <c r="F1052" s="43" t="n">
        <v>222115</v>
      </c>
      <c r="G1052" s="43" t="n">
        <v>279534</v>
      </c>
      <c r="H1052" s="43" t="n">
        <v>515167</v>
      </c>
      <c r="I1052" s="43" t="n">
        <v>230945</v>
      </c>
      <c r="J1052" s="43" t="n">
        <v>252318</v>
      </c>
      <c r="K1052" s="42" t="inlineStr">
        <is>
          <t>Governor</t>
        </is>
      </c>
      <c r="L1052" s="43" t="n">
        <v>161737</v>
      </c>
      <c r="M1052" s="43" t="n">
        <v>198236</v>
      </c>
      <c r="N1052" s="43" t="n">
        <v>364976</v>
      </c>
      <c r="O1052" s="44">
        <f>IFERROR((F1052-G1052)/(F1052+G1052),"")</f>
        <v/>
      </c>
      <c r="P1052" s="44">
        <f>IFERROR((I1052-J1052)/(I1052+J1052),"")</f>
        <v/>
      </c>
      <c r="Q1052" s="45">
        <f>IFERROR(O1052-P1052,"")</f>
        <v/>
      </c>
      <c r="R1052" s="44">
        <f>IFERROR((L1052-M1052)/(L1052+M1052),"")</f>
        <v/>
      </c>
      <c r="S1052" s="46">
        <f>H1052/SUMIFS(Counties!$H$2:$H$1583,Counties!$A$2:$A$1583,$A1052)</f>
        <v/>
      </c>
      <c r="T1052" s="44">
        <f>O1052+INDEX(Dashboard!$F$6:$F$22,MATCH($A1052,Dashboard!$A$6:$A$22,0))</f>
        <v/>
      </c>
      <c r="U1052" s="43">
        <f>AQ1052*INDEX(Dashboard!$G$6:$G$22,MATCH($A1052,Dashboard!$A$6:$A$22,0))</f>
        <v/>
      </c>
      <c r="V1052" s="47" t="n"/>
      <c r="W1052" s="47" t="n"/>
      <c r="X1052" s="47" t="n"/>
      <c r="Y1052" s="48" t="n"/>
      <c r="Z1052" s="49" t="n"/>
      <c r="AA1052" s="49" t="n"/>
      <c r="AB1052" s="49" t="n"/>
      <c r="AC1052" s="50" t="n"/>
      <c r="AD1052" s="43">
        <f>IF(Z1052&lt;&gt;"",Z1052,N(V1052))</f>
        <v/>
      </c>
      <c r="AE1052" s="43">
        <f>IF(AA1052&lt;&gt;"",AA1052,N(W1052))</f>
        <v/>
      </c>
      <c r="AF1052" s="43">
        <f>AD1052+AE1052</f>
        <v/>
      </c>
      <c r="AG1052" s="42">
        <f>IF(UPPER(AC1052)="Y",1,IF(AF1052=0,0,IF(AND(Z1052="",Y1052&lt;&gt;""),IF(Y1052&gt;=0.999,1,0),IF(AF1052&gt;=U1052,1,0))))</f>
        <v/>
      </c>
      <c r="AH1052" s="44">
        <f>IF(AF1052&gt;0,(AD1052-AE1052)/AF1052,"")</f>
        <v/>
      </c>
      <c r="AI1052" s="45">
        <f>IF(AG1052=1,AH1052-O1052,"")</f>
        <v/>
      </c>
      <c r="AJ1052" s="44">
        <f>IF(AG1052=1,AH1052,MAX(-1,MIN(1,O1052+INDEX(Types!$H:$H,MATCH($A1052&amp;"|"&amp;$D1052,Types!$A:$A,0)))))</f>
        <v/>
      </c>
      <c r="AK1052" s="43">
        <f>IF(AG1052=1,AF1052,MAX(AQ1052*AS1052,AF1052))</f>
        <v/>
      </c>
      <c r="AL1052" s="43">
        <f>IF(AG1052=1,AD1052,AK1052*(1+AJ1052)/2)</f>
        <v/>
      </c>
      <c r="AM1052" s="43">
        <f>IF(AG1052=1,AE1052,AK1052*(1-AJ1052)/2)</f>
        <v/>
      </c>
      <c r="AN1052" s="45">
        <f>IF(AH1052="","",AH1052-T1052)</f>
        <v/>
      </c>
      <c r="AO1052" s="51">
        <f>IF(AG1052=1,1,IF(U1052&gt;0,MIN(AF1052/U1052,0.99),0))</f>
        <v/>
      </c>
      <c r="AP1052" s="43">
        <f>IF(AG1052=1,AI1052*AF1052,0)</f>
        <v/>
      </c>
      <c r="AQ1052" s="43">
        <f>N1052*(F1052+G1052)/H1052</f>
        <v/>
      </c>
      <c r="AR1052" s="43">
        <f>O1052*AQ1052</f>
        <v/>
      </c>
      <c r="AS1052" s="52">
        <f>IF(AG1052=1,IF(AQ1052&gt;0,AF1052/AQ1052,1),IFERROR(INDEX(Types!$K:$K,MATCH($A1052&amp;"|"&amp;$D1052,Types!$A:$A,0)),INDEX(Dashboard!$X$6:$X$22,MATCH($A1052,Dashboard!$A$6:$A$22,0))))</f>
        <v/>
      </c>
      <c r="AT1052" s="43">
        <f>AQ1052*INDEX(Dashboard!$Y$6:$Y$22,MATCH($A1052,Dashboard!$A$6:$A$22,0))</f>
        <v/>
      </c>
      <c r="AU1052" s="53">
        <f>IF(AND(AG1052=1,AT1052&gt;0,AF1052&gt;0),100*AF1052/AT1052,"")</f>
        <v/>
      </c>
      <c r="AV1052" s="44">
        <f>IF(AU1052="","",T1052/(AU1052/100))</f>
        <v/>
      </c>
      <c r="AW1052" s="53">
        <f>IF(AU1052="","",IF(AND(ABS(AH1052)&gt;=0.1,ABS(T1052)&gt;=0.05,SIGN(AH1052)=SIGN(T1052)),100*T1052/AH1052,""))</f>
        <v/>
      </c>
      <c r="AX1052" s="45">
        <f>IF(AU1052="","",T1052-AV1052)</f>
        <v/>
      </c>
      <c r="AY1052" s="45">
        <f>IF(AU1052="","",AH1052-AV1052)</f>
        <v/>
      </c>
      <c r="AZ1052" s="54">
        <f>(AL1052-AM1052)-T1052*AT1052</f>
        <v/>
      </c>
      <c r="BA1052" s="43">
        <f>IF(AU1052="",0,(AH1052-T1052)*AF1052)</f>
        <v/>
      </c>
      <c r="BB1052" s="43">
        <f>IF(AU1052="",0,T1052*(AF1052-AT1052))</f>
        <v/>
      </c>
      <c r="BC1052" s="51" t="n">
        <v>0.1146810288791903</v>
      </c>
      <c r="BD1052" s="51" t="n">
        <v>0.1609466277494878</v>
      </c>
      <c r="BE1052" s="51" t="n">
        <v>0.5491339399852436</v>
      </c>
      <c r="BF1052" s="43" t="n">
        <v>1195359</v>
      </c>
    </row>
    <row r="1053">
      <c r="A1053" s="42" t="inlineStr">
        <is>
          <t>TX</t>
        </is>
      </c>
      <c r="B1053" s="42" t="inlineStr">
        <is>
          <t>48087</t>
        </is>
      </c>
      <c r="C1053" s="42" t="inlineStr">
        <is>
          <t>Collingsworth</t>
        </is>
      </c>
      <c r="D1053" s="42" t="inlineStr">
        <is>
          <t>Small town &amp; rural</t>
        </is>
      </c>
      <c r="E1053" s="42" t="inlineStr"/>
      <c r="F1053" s="43" t="n">
        <v>135</v>
      </c>
      <c r="G1053" s="43" t="n">
        <v>1066</v>
      </c>
      <c r="H1053" s="43" t="n">
        <v>1201</v>
      </c>
      <c r="I1053" s="43" t="n">
        <v>155</v>
      </c>
      <c r="J1053" s="43" t="n">
        <v>1048</v>
      </c>
      <c r="K1053" s="42" t="inlineStr">
        <is>
          <t>Governor</t>
        </is>
      </c>
      <c r="L1053" s="43" t="n">
        <v>75</v>
      </c>
      <c r="M1053" s="43" t="n">
        <v>845</v>
      </c>
      <c r="N1053" s="43" t="n">
        <v>925</v>
      </c>
      <c r="O1053" s="44">
        <f>IFERROR((F1053-G1053)/(F1053+G1053),"")</f>
        <v/>
      </c>
      <c r="P1053" s="44">
        <f>IFERROR((I1053-J1053)/(I1053+J1053),"")</f>
        <v/>
      </c>
      <c r="Q1053" s="45">
        <f>IFERROR(O1053-P1053,"")</f>
        <v/>
      </c>
      <c r="R1053" s="44">
        <f>IFERROR((L1053-M1053)/(L1053+M1053),"")</f>
        <v/>
      </c>
      <c r="S1053" s="46">
        <f>H1053/SUMIFS(Counties!$H$2:$H$1583,Counties!$A$2:$A$1583,$A1053)</f>
        <v/>
      </c>
      <c r="T1053" s="44">
        <f>O1053+INDEX(Dashboard!$F$6:$F$22,MATCH($A1053,Dashboard!$A$6:$A$22,0))</f>
        <v/>
      </c>
      <c r="U1053" s="43">
        <f>AQ1053*INDEX(Dashboard!$G$6:$G$22,MATCH($A1053,Dashboard!$A$6:$A$22,0))</f>
        <v/>
      </c>
      <c r="V1053" s="47" t="n"/>
      <c r="W1053" s="47" t="n"/>
      <c r="X1053" s="47" t="n"/>
      <c r="Y1053" s="48" t="n"/>
      <c r="Z1053" s="49" t="n"/>
      <c r="AA1053" s="49" t="n"/>
      <c r="AB1053" s="49" t="n"/>
      <c r="AC1053" s="50" t="n"/>
      <c r="AD1053" s="43">
        <f>IF(Z1053&lt;&gt;"",Z1053,N(V1053))</f>
        <v/>
      </c>
      <c r="AE1053" s="43">
        <f>IF(AA1053&lt;&gt;"",AA1053,N(W1053))</f>
        <v/>
      </c>
      <c r="AF1053" s="43">
        <f>AD1053+AE1053</f>
        <v/>
      </c>
      <c r="AG1053" s="42">
        <f>IF(UPPER(AC1053)="Y",1,IF(AF1053=0,0,IF(AND(Z1053="",Y1053&lt;&gt;""),IF(Y1053&gt;=0.999,1,0),IF(AF1053&gt;=U1053,1,0))))</f>
        <v/>
      </c>
      <c r="AH1053" s="44">
        <f>IF(AF1053&gt;0,(AD1053-AE1053)/AF1053,"")</f>
        <v/>
      </c>
      <c r="AI1053" s="45">
        <f>IF(AG1053=1,AH1053-O1053,"")</f>
        <v/>
      </c>
      <c r="AJ1053" s="44">
        <f>IF(AG1053=1,AH1053,MAX(-1,MIN(1,O1053+INDEX(Types!$H:$H,MATCH($A1053&amp;"|"&amp;$D1053,Types!$A:$A,0)))))</f>
        <v/>
      </c>
      <c r="AK1053" s="43">
        <f>IF(AG1053=1,AF1053,MAX(AQ1053*AS1053,AF1053))</f>
        <v/>
      </c>
      <c r="AL1053" s="43">
        <f>IF(AG1053=1,AD1053,AK1053*(1+AJ1053)/2)</f>
        <v/>
      </c>
      <c r="AM1053" s="43">
        <f>IF(AG1053=1,AE1053,AK1053*(1-AJ1053)/2)</f>
        <v/>
      </c>
      <c r="AN1053" s="45">
        <f>IF(AH1053="","",AH1053-T1053)</f>
        <v/>
      </c>
      <c r="AO1053" s="51">
        <f>IF(AG1053=1,1,IF(U1053&gt;0,MIN(AF1053/U1053,0.99),0))</f>
        <v/>
      </c>
      <c r="AP1053" s="43">
        <f>IF(AG1053=1,AI1053*AF1053,0)</f>
        <v/>
      </c>
      <c r="AQ1053" s="43">
        <f>N1053*(F1053+G1053)/H1053</f>
        <v/>
      </c>
      <c r="AR1053" s="43">
        <f>O1053*AQ1053</f>
        <v/>
      </c>
      <c r="AS1053" s="52">
        <f>IF(AG1053=1,IF(AQ1053&gt;0,AF1053/AQ1053,1),IFERROR(INDEX(Types!$K:$K,MATCH($A1053&amp;"|"&amp;$D1053,Types!$A:$A,0)),INDEX(Dashboard!$X$6:$X$22,MATCH($A1053,Dashboard!$A$6:$A$22,0))))</f>
        <v/>
      </c>
      <c r="AT1053" s="43">
        <f>AQ1053*INDEX(Dashboard!$Y$6:$Y$22,MATCH($A1053,Dashboard!$A$6:$A$22,0))</f>
        <v/>
      </c>
      <c r="AU1053" s="53">
        <f>IF(AND(AG1053=1,AT1053&gt;0,AF1053&gt;0),100*AF1053/AT1053,"")</f>
        <v/>
      </c>
      <c r="AV1053" s="44">
        <f>IF(AU1053="","",T1053/(AU1053/100))</f>
        <v/>
      </c>
      <c r="AW1053" s="53">
        <f>IF(AU1053="","",IF(AND(ABS(AH1053)&gt;=0.1,ABS(T1053)&gt;=0.05,SIGN(AH1053)=SIGN(T1053)),100*T1053/AH1053,""))</f>
        <v/>
      </c>
      <c r="AX1053" s="45">
        <f>IF(AU1053="","",T1053-AV1053)</f>
        <v/>
      </c>
      <c r="AY1053" s="45">
        <f>IF(AU1053="","",AH1053-AV1053)</f>
        <v/>
      </c>
      <c r="AZ1053" s="54">
        <f>(AL1053-AM1053)-T1053*AT1053</f>
        <v/>
      </c>
      <c r="BA1053" s="43">
        <f>IF(AU1053="",0,(AH1053-T1053)*AF1053)</f>
        <v/>
      </c>
      <c r="BB1053" s="43">
        <f>IF(AU1053="",0,T1053*(AF1053-AT1053))</f>
        <v/>
      </c>
      <c r="BC1053" s="51" t="n">
        <v>0.05618415918845104</v>
      </c>
      <c r="BD1053" s="51" t="n">
        <v>0.3133047210300429</v>
      </c>
      <c r="BE1053" s="51" t="n">
        <v>0.2604651162790698</v>
      </c>
      <c r="BF1053" s="43" t="n">
        <v>2563</v>
      </c>
    </row>
    <row r="1054">
      <c r="A1054" s="42" t="inlineStr">
        <is>
          <t>TX</t>
        </is>
      </c>
      <c r="B1054" s="42" t="inlineStr">
        <is>
          <t>48089</t>
        </is>
      </c>
      <c r="C1054" s="42" t="inlineStr">
        <is>
          <t>Colorado</t>
        </is>
      </c>
      <c r="D1054" s="42" t="inlineStr">
        <is>
          <t>Small town &amp; rural</t>
        </is>
      </c>
      <c r="E1054" s="42" t="inlineStr"/>
      <c r="F1054" s="43" t="n">
        <v>2108</v>
      </c>
      <c r="G1054" s="43" t="n">
        <v>7824</v>
      </c>
      <c r="H1054" s="43" t="n">
        <v>9994</v>
      </c>
      <c r="I1054" s="43" t="n">
        <v>2420</v>
      </c>
      <c r="J1054" s="43" t="n">
        <v>7472</v>
      </c>
      <c r="K1054" s="42" t="inlineStr">
        <is>
          <t>Governor</t>
        </is>
      </c>
      <c r="L1054" s="43" t="n">
        <v>1395</v>
      </c>
      <c r="M1054" s="43" t="n">
        <v>6084</v>
      </c>
      <c r="N1054" s="43" t="n">
        <v>7550</v>
      </c>
      <c r="O1054" s="44">
        <f>IFERROR((F1054-G1054)/(F1054+G1054),"")</f>
        <v/>
      </c>
      <c r="P1054" s="44">
        <f>IFERROR((I1054-J1054)/(I1054+J1054),"")</f>
        <v/>
      </c>
      <c r="Q1054" s="45">
        <f>IFERROR(O1054-P1054,"")</f>
        <v/>
      </c>
      <c r="R1054" s="44">
        <f>IFERROR((L1054-M1054)/(L1054+M1054),"")</f>
        <v/>
      </c>
      <c r="S1054" s="46">
        <f>H1054/SUMIFS(Counties!$H$2:$H$1583,Counties!$A$2:$A$1583,$A1054)</f>
        <v/>
      </c>
      <c r="T1054" s="44">
        <f>O1054+INDEX(Dashboard!$F$6:$F$22,MATCH($A1054,Dashboard!$A$6:$A$22,0))</f>
        <v/>
      </c>
      <c r="U1054" s="43">
        <f>AQ1054*INDEX(Dashboard!$G$6:$G$22,MATCH($A1054,Dashboard!$A$6:$A$22,0))</f>
        <v/>
      </c>
      <c r="V1054" s="47" t="n"/>
      <c r="W1054" s="47" t="n"/>
      <c r="X1054" s="47" t="n"/>
      <c r="Y1054" s="48" t="n"/>
      <c r="Z1054" s="49" t="n"/>
      <c r="AA1054" s="49" t="n"/>
      <c r="AB1054" s="49" t="n"/>
      <c r="AC1054" s="50" t="n"/>
      <c r="AD1054" s="43">
        <f>IF(Z1054&lt;&gt;"",Z1054,N(V1054))</f>
        <v/>
      </c>
      <c r="AE1054" s="43">
        <f>IF(AA1054&lt;&gt;"",AA1054,N(W1054))</f>
        <v/>
      </c>
      <c r="AF1054" s="43">
        <f>AD1054+AE1054</f>
        <v/>
      </c>
      <c r="AG1054" s="42">
        <f>IF(UPPER(AC1054)="Y",1,IF(AF1054=0,0,IF(AND(Z1054="",Y1054&lt;&gt;""),IF(Y1054&gt;=0.999,1,0),IF(AF1054&gt;=U1054,1,0))))</f>
        <v/>
      </c>
      <c r="AH1054" s="44">
        <f>IF(AF1054&gt;0,(AD1054-AE1054)/AF1054,"")</f>
        <v/>
      </c>
      <c r="AI1054" s="45">
        <f>IF(AG1054=1,AH1054-O1054,"")</f>
        <v/>
      </c>
      <c r="AJ1054" s="44">
        <f>IF(AG1054=1,AH1054,MAX(-1,MIN(1,O1054+INDEX(Types!$H:$H,MATCH($A1054&amp;"|"&amp;$D1054,Types!$A:$A,0)))))</f>
        <v/>
      </c>
      <c r="AK1054" s="43">
        <f>IF(AG1054=1,AF1054,MAX(AQ1054*AS1054,AF1054))</f>
        <v/>
      </c>
      <c r="AL1054" s="43">
        <f>IF(AG1054=1,AD1054,AK1054*(1+AJ1054)/2)</f>
        <v/>
      </c>
      <c r="AM1054" s="43">
        <f>IF(AG1054=1,AE1054,AK1054*(1-AJ1054)/2)</f>
        <v/>
      </c>
      <c r="AN1054" s="45">
        <f>IF(AH1054="","",AH1054-T1054)</f>
        <v/>
      </c>
      <c r="AO1054" s="51">
        <f>IF(AG1054=1,1,IF(U1054&gt;0,MIN(AF1054/U1054,0.99),0))</f>
        <v/>
      </c>
      <c r="AP1054" s="43">
        <f>IF(AG1054=1,AI1054*AF1054,0)</f>
        <v/>
      </c>
      <c r="AQ1054" s="43">
        <f>N1054*(F1054+G1054)/H1054</f>
        <v/>
      </c>
      <c r="AR1054" s="43">
        <f>O1054*AQ1054</f>
        <v/>
      </c>
      <c r="AS1054" s="52">
        <f>IF(AG1054=1,IF(AQ1054&gt;0,AF1054/AQ1054,1),IFERROR(INDEX(Types!$K:$K,MATCH($A1054&amp;"|"&amp;$D1054,Types!$A:$A,0)),INDEX(Dashboard!$X$6:$X$22,MATCH($A1054,Dashboard!$A$6:$A$22,0))))</f>
        <v/>
      </c>
      <c r="AT1054" s="43">
        <f>AQ1054*INDEX(Dashboard!$Y$6:$Y$22,MATCH($A1054,Dashboard!$A$6:$A$22,0))</f>
        <v/>
      </c>
      <c r="AU1054" s="53">
        <f>IF(AND(AG1054=1,AT1054&gt;0,AF1054&gt;0),100*AF1054/AT1054,"")</f>
        <v/>
      </c>
      <c r="AV1054" s="44">
        <f>IF(AU1054="","",T1054/(AU1054/100))</f>
        <v/>
      </c>
      <c r="AW1054" s="53">
        <f>IF(AU1054="","",IF(AND(ABS(AH1054)&gt;=0.1,ABS(T1054)&gt;=0.05,SIGN(AH1054)=SIGN(T1054)),100*T1054/AH1054,""))</f>
        <v/>
      </c>
      <c r="AX1054" s="45">
        <f>IF(AU1054="","",T1054-AV1054)</f>
        <v/>
      </c>
      <c r="AY1054" s="45">
        <f>IF(AU1054="","",AH1054-AV1054)</f>
        <v/>
      </c>
      <c r="AZ1054" s="54">
        <f>(AL1054-AM1054)-T1054*AT1054</f>
        <v/>
      </c>
      <c r="BA1054" s="43">
        <f>IF(AU1054="",0,(AH1054-T1054)*AF1054)</f>
        <v/>
      </c>
      <c r="BB1054" s="43">
        <f>IF(AU1054="",0,T1054*(AF1054-AT1054))</f>
        <v/>
      </c>
      <c r="BC1054" s="51" t="n">
        <v>0.1121371406923332</v>
      </c>
      <c r="BD1054" s="51" t="n">
        <v>0.310129279727234</v>
      </c>
      <c r="BE1054" s="51" t="n">
        <v>0.23999718725828</v>
      </c>
      <c r="BF1054" s="43" t="n">
        <v>21117</v>
      </c>
    </row>
    <row r="1055">
      <c r="A1055" s="42" t="inlineStr">
        <is>
          <t>TX</t>
        </is>
      </c>
      <c r="B1055" s="42" t="inlineStr">
        <is>
          <t>48091</t>
        </is>
      </c>
      <c r="C1055" s="42" t="inlineStr">
        <is>
          <t>Comal</t>
        </is>
      </c>
      <c r="D1055" s="42" t="inlineStr">
        <is>
          <t>College suburb/metro</t>
        </is>
      </c>
      <c r="E1055" s="42" t="inlineStr">
        <is>
          <t>★</t>
        </is>
      </c>
      <c r="F1055" s="43" t="n">
        <v>27680</v>
      </c>
      <c r="G1055" s="43" t="n">
        <v>74756</v>
      </c>
      <c r="H1055" s="43" t="n">
        <v>103465</v>
      </c>
      <c r="I1055" s="43" t="n">
        <v>24826</v>
      </c>
      <c r="J1055" s="43" t="n">
        <v>62740</v>
      </c>
      <c r="K1055" s="42" t="inlineStr">
        <is>
          <t>Governor</t>
        </is>
      </c>
      <c r="L1055" s="43" t="n">
        <v>19195</v>
      </c>
      <c r="M1055" s="43" t="n">
        <v>54503</v>
      </c>
      <c r="N1055" s="43" t="n">
        <v>74763</v>
      </c>
      <c r="O1055" s="44">
        <f>IFERROR((F1055-G1055)/(F1055+G1055),"")</f>
        <v/>
      </c>
      <c r="P1055" s="44">
        <f>IFERROR((I1055-J1055)/(I1055+J1055),"")</f>
        <v/>
      </c>
      <c r="Q1055" s="45">
        <f>IFERROR(O1055-P1055,"")</f>
        <v/>
      </c>
      <c r="R1055" s="44">
        <f>IFERROR((L1055-M1055)/(L1055+M1055),"")</f>
        <v/>
      </c>
      <c r="S1055" s="46">
        <f>H1055/SUMIFS(Counties!$H$2:$H$1583,Counties!$A$2:$A$1583,$A1055)</f>
        <v/>
      </c>
      <c r="T1055" s="44">
        <f>O1055+INDEX(Dashboard!$F$6:$F$22,MATCH($A1055,Dashboard!$A$6:$A$22,0))</f>
        <v/>
      </c>
      <c r="U1055" s="43">
        <f>AQ1055*INDEX(Dashboard!$G$6:$G$22,MATCH($A1055,Dashboard!$A$6:$A$22,0))</f>
        <v/>
      </c>
      <c r="V1055" s="47" t="n"/>
      <c r="W1055" s="47" t="n"/>
      <c r="X1055" s="47" t="n"/>
      <c r="Y1055" s="48" t="n"/>
      <c r="Z1055" s="49" t="n"/>
      <c r="AA1055" s="49" t="n"/>
      <c r="AB1055" s="49" t="n"/>
      <c r="AC1055" s="50" t="n"/>
      <c r="AD1055" s="43">
        <f>IF(Z1055&lt;&gt;"",Z1055,N(V1055))</f>
        <v/>
      </c>
      <c r="AE1055" s="43">
        <f>IF(AA1055&lt;&gt;"",AA1055,N(W1055))</f>
        <v/>
      </c>
      <c r="AF1055" s="43">
        <f>AD1055+AE1055</f>
        <v/>
      </c>
      <c r="AG1055" s="42">
        <f>IF(UPPER(AC1055)="Y",1,IF(AF1055=0,0,IF(AND(Z1055="",Y1055&lt;&gt;""),IF(Y1055&gt;=0.999,1,0),IF(AF1055&gt;=U1055,1,0))))</f>
        <v/>
      </c>
      <c r="AH1055" s="44">
        <f>IF(AF1055&gt;0,(AD1055-AE1055)/AF1055,"")</f>
        <v/>
      </c>
      <c r="AI1055" s="45">
        <f>IF(AG1055=1,AH1055-O1055,"")</f>
        <v/>
      </c>
      <c r="AJ1055" s="44">
        <f>IF(AG1055=1,AH1055,MAX(-1,MIN(1,O1055+INDEX(Types!$H:$H,MATCH($A1055&amp;"|"&amp;$D1055,Types!$A:$A,0)))))</f>
        <v/>
      </c>
      <c r="AK1055" s="43">
        <f>IF(AG1055=1,AF1055,MAX(AQ1055*AS1055,AF1055))</f>
        <v/>
      </c>
      <c r="AL1055" s="43">
        <f>IF(AG1055=1,AD1055,AK1055*(1+AJ1055)/2)</f>
        <v/>
      </c>
      <c r="AM1055" s="43">
        <f>IF(AG1055=1,AE1055,AK1055*(1-AJ1055)/2)</f>
        <v/>
      </c>
      <c r="AN1055" s="45">
        <f>IF(AH1055="","",AH1055-T1055)</f>
        <v/>
      </c>
      <c r="AO1055" s="51">
        <f>IF(AG1055=1,1,IF(U1055&gt;0,MIN(AF1055/U1055,0.99),0))</f>
        <v/>
      </c>
      <c r="AP1055" s="43">
        <f>IF(AG1055=1,AI1055*AF1055,0)</f>
        <v/>
      </c>
      <c r="AQ1055" s="43">
        <f>N1055*(F1055+G1055)/H1055</f>
        <v/>
      </c>
      <c r="AR1055" s="43">
        <f>O1055*AQ1055</f>
        <v/>
      </c>
      <c r="AS1055" s="52">
        <f>IF(AG1055=1,IF(AQ1055&gt;0,AF1055/AQ1055,1),IFERROR(INDEX(Types!$K:$K,MATCH($A1055&amp;"|"&amp;$D1055,Types!$A:$A,0)),INDEX(Dashboard!$X$6:$X$22,MATCH($A1055,Dashboard!$A$6:$A$22,0))))</f>
        <v/>
      </c>
      <c r="AT1055" s="43">
        <f>AQ1055*INDEX(Dashboard!$Y$6:$Y$22,MATCH($A1055,Dashboard!$A$6:$A$22,0))</f>
        <v/>
      </c>
      <c r="AU1055" s="53">
        <f>IF(AND(AG1055=1,AT1055&gt;0,AF1055&gt;0),100*AF1055/AT1055,"")</f>
        <v/>
      </c>
      <c r="AV1055" s="44">
        <f>IF(AU1055="","",T1055/(AU1055/100))</f>
        <v/>
      </c>
      <c r="AW1055" s="53">
        <f>IF(AU1055="","",IF(AND(ABS(AH1055)&gt;=0.1,ABS(T1055)&gt;=0.05,SIGN(AH1055)=SIGN(T1055)),100*T1055/AH1055,""))</f>
        <v/>
      </c>
      <c r="AX1055" s="45">
        <f>IF(AU1055="","",T1055-AV1055)</f>
        <v/>
      </c>
      <c r="AY1055" s="45">
        <f>IF(AU1055="","",AH1055-AV1055)</f>
        <v/>
      </c>
      <c r="AZ1055" s="54">
        <f>(AL1055-AM1055)-T1055*AT1055</f>
        <v/>
      </c>
      <c r="BA1055" s="43">
        <f>IF(AU1055="",0,(AH1055-T1055)*AF1055)</f>
        <v/>
      </c>
      <c r="BB1055" s="43">
        <f>IF(AU1055="",0,T1055*(AF1055-AT1055))</f>
        <v/>
      </c>
      <c r="BC1055" s="51" t="n">
        <v>0.03016583474279114</v>
      </c>
      <c r="BD1055" s="51" t="n">
        <v>0.2881739614702364</v>
      </c>
      <c r="BE1055" s="51" t="n">
        <v>0.4221406837300877</v>
      </c>
      <c r="BF1055" s="43" t="n">
        <v>193928</v>
      </c>
    </row>
    <row r="1056">
      <c r="A1056" s="42" t="inlineStr">
        <is>
          <t>TX</t>
        </is>
      </c>
      <c r="B1056" s="42" t="inlineStr">
        <is>
          <t>48093</t>
        </is>
      </c>
      <c r="C1056" s="42" t="inlineStr">
        <is>
          <t>Comanche</t>
        </is>
      </c>
      <c r="D1056" s="42" t="inlineStr">
        <is>
          <t>Small town &amp; rural</t>
        </is>
      </c>
      <c r="E1056" s="42" t="inlineStr"/>
      <c r="F1056" s="43" t="n">
        <v>834</v>
      </c>
      <c r="G1056" s="43" t="n">
        <v>5679</v>
      </c>
      <c r="H1056" s="43" t="n">
        <v>6544</v>
      </c>
      <c r="I1056" s="43" t="n">
        <v>853</v>
      </c>
      <c r="J1056" s="43" t="n">
        <v>5177</v>
      </c>
      <c r="K1056" s="42" t="inlineStr">
        <is>
          <t>Governor</t>
        </is>
      </c>
      <c r="L1056" s="43" t="n">
        <v>567</v>
      </c>
      <c r="M1056" s="43" t="n">
        <v>4203</v>
      </c>
      <c r="N1056" s="43" t="n">
        <v>4829</v>
      </c>
      <c r="O1056" s="44">
        <f>IFERROR((F1056-G1056)/(F1056+G1056),"")</f>
        <v/>
      </c>
      <c r="P1056" s="44">
        <f>IFERROR((I1056-J1056)/(I1056+J1056),"")</f>
        <v/>
      </c>
      <c r="Q1056" s="45">
        <f>IFERROR(O1056-P1056,"")</f>
        <v/>
      </c>
      <c r="R1056" s="44">
        <f>IFERROR((L1056-M1056)/(L1056+M1056),"")</f>
        <v/>
      </c>
      <c r="S1056" s="46">
        <f>H1056/SUMIFS(Counties!$H$2:$H$1583,Counties!$A$2:$A$1583,$A1056)</f>
        <v/>
      </c>
      <c r="T1056" s="44">
        <f>O1056+INDEX(Dashboard!$F$6:$F$22,MATCH($A1056,Dashboard!$A$6:$A$22,0))</f>
        <v/>
      </c>
      <c r="U1056" s="43">
        <f>AQ1056*INDEX(Dashboard!$G$6:$G$22,MATCH($A1056,Dashboard!$A$6:$A$22,0))</f>
        <v/>
      </c>
      <c r="V1056" s="47" t="n"/>
      <c r="W1056" s="47" t="n"/>
      <c r="X1056" s="47" t="n"/>
      <c r="Y1056" s="48" t="n"/>
      <c r="Z1056" s="49" t="n"/>
      <c r="AA1056" s="49" t="n"/>
      <c r="AB1056" s="49" t="n"/>
      <c r="AC1056" s="50" t="n"/>
      <c r="AD1056" s="43">
        <f>IF(Z1056&lt;&gt;"",Z1056,N(V1056))</f>
        <v/>
      </c>
      <c r="AE1056" s="43">
        <f>IF(AA1056&lt;&gt;"",AA1056,N(W1056))</f>
        <v/>
      </c>
      <c r="AF1056" s="43">
        <f>AD1056+AE1056</f>
        <v/>
      </c>
      <c r="AG1056" s="42">
        <f>IF(UPPER(AC1056)="Y",1,IF(AF1056=0,0,IF(AND(Z1056="",Y1056&lt;&gt;""),IF(Y1056&gt;=0.999,1,0),IF(AF1056&gt;=U1056,1,0))))</f>
        <v/>
      </c>
      <c r="AH1056" s="44">
        <f>IF(AF1056&gt;0,(AD1056-AE1056)/AF1056,"")</f>
        <v/>
      </c>
      <c r="AI1056" s="45">
        <f>IF(AG1056=1,AH1056-O1056,"")</f>
        <v/>
      </c>
      <c r="AJ1056" s="44">
        <f>IF(AG1056=1,AH1056,MAX(-1,MIN(1,O1056+INDEX(Types!$H:$H,MATCH($A1056&amp;"|"&amp;$D1056,Types!$A:$A,0)))))</f>
        <v/>
      </c>
      <c r="AK1056" s="43">
        <f>IF(AG1056=1,AF1056,MAX(AQ1056*AS1056,AF1056))</f>
        <v/>
      </c>
      <c r="AL1056" s="43">
        <f>IF(AG1056=1,AD1056,AK1056*(1+AJ1056)/2)</f>
        <v/>
      </c>
      <c r="AM1056" s="43">
        <f>IF(AG1056=1,AE1056,AK1056*(1-AJ1056)/2)</f>
        <v/>
      </c>
      <c r="AN1056" s="45">
        <f>IF(AH1056="","",AH1056-T1056)</f>
        <v/>
      </c>
      <c r="AO1056" s="51">
        <f>IF(AG1056=1,1,IF(U1056&gt;0,MIN(AF1056/U1056,0.99),0))</f>
        <v/>
      </c>
      <c r="AP1056" s="43">
        <f>IF(AG1056=1,AI1056*AF1056,0)</f>
        <v/>
      </c>
      <c r="AQ1056" s="43">
        <f>N1056*(F1056+G1056)/H1056</f>
        <v/>
      </c>
      <c r="AR1056" s="43">
        <f>O1056*AQ1056</f>
        <v/>
      </c>
      <c r="AS1056" s="52">
        <f>IF(AG1056=1,IF(AQ1056&gt;0,AF1056/AQ1056,1),IFERROR(INDEX(Types!$K:$K,MATCH($A1056&amp;"|"&amp;$D1056,Types!$A:$A,0)),INDEX(Dashboard!$X$6:$X$22,MATCH($A1056,Dashboard!$A$6:$A$22,0))))</f>
        <v/>
      </c>
      <c r="AT1056" s="43">
        <f>AQ1056*INDEX(Dashboard!$Y$6:$Y$22,MATCH($A1056,Dashboard!$A$6:$A$22,0))</f>
        <v/>
      </c>
      <c r="AU1056" s="53">
        <f>IF(AND(AG1056=1,AT1056&gt;0,AF1056&gt;0),100*AF1056/AT1056,"")</f>
        <v/>
      </c>
      <c r="AV1056" s="44">
        <f>IF(AU1056="","",T1056/(AU1056/100))</f>
        <v/>
      </c>
      <c r="AW1056" s="53">
        <f>IF(AU1056="","",IF(AND(ABS(AH1056)&gt;=0.1,ABS(T1056)&gt;=0.05,SIGN(AH1056)=SIGN(T1056)),100*T1056/AH1056,""))</f>
        <v/>
      </c>
      <c r="AX1056" s="45">
        <f>IF(AU1056="","",T1056-AV1056)</f>
        <v/>
      </c>
      <c r="AY1056" s="45">
        <f>IF(AU1056="","",AH1056-AV1056)</f>
        <v/>
      </c>
      <c r="AZ1056" s="54">
        <f>(AL1056-AM1056)-T1056*AT1056</f>
        <v/>
      </c>
      <c r="BA1056" s="43">
        <f>IF(AU1056="",0,(AH1056-T1056)*AF1056)</f>
        <v/>
      </c>
      <c r="BB1056" s="43">
        <f>IF(AU1056="",0,T1056*(AF1056-AT1056))</f>
        <v/>
      </c>
      <c r="BC1056" s="51" t="n">
        <v>0.009252669039145907</v>
      </c>
      <c r="BD1056" s="51" t="n">
        <v>0.2980071174377224</v>
      </c>
      <c r="BE1056" s="51" t="n">
        <v>0.1997509598422746</v>
      </c>
      <c r="BF1056" s="43" t="n">
        <v>14050</v>
      </c>
    </row>
    <row r="1057">
      <c r="A1057" s="42" t="inlineStr">
        <is>
          <t>TX</t>
        </is>
      </c>
      <c r="B1057" s="42" t="inlineStr">
        <is>
          <t>48095</t>
        </is>
      </c>
      <c r="C1057" s="42" t="inlineStr">
        <is>
          <t>Concho</t>
        </is>
      </c>
      <c r="D1057" s="42" t="inlineStr">
        <is>
          <t>Small town &amp; rural</t>
        </is>
      </c>
      <c r="E1057" s="42" t="inlineStr"/>
      <c r="F1057" s="43" t="n">
        <v>153</v>
      </c>
      <c r="G1057" s="43" t="n">
        <v>1038</v>
      </c>
      <c r="H1057" s="43" t="n">
        <v>1198</v>
      </c>
      <c r="I1057" s="43" t="n">
        <v>197</v>
      </c>
      <c r="J1057" s="43" t="n">
        <v>1058</v>
      </c>
      <c r="K1057" s="42" t="inlineStr">
        <is>
          <t>Governor</t>
        </is>
      </c>
      <c r="L1057" s="43" t="n">
        <v>109</v>
      </c>
      <c r="M1057" s="43" t="n">
        <v>818</v>
      </c>
      <c r="N1057" s="43" t="n">
        <v>943</v>
      </c>
      <c r="O1057" s="44">
        <f>IFERROR((F1057-G1057)/(F1057+G1057),"")</f>
        <v/>
      </c>
      <c r="P1057" s="44">
        <f>IFERROR((I1057-J1057)/(I1057+J1057),"")</f>
        <v/>
      </c>
      <c r="Q1057" s="45">
        <f>IFERROR(O1057-P1057,"")</f>
        <v/>
      </c>
      <c r="R1057" s="44">
        <f>IFERROR((L1057-M1057)/(L1057+M1057),"")</f>
        <v/>
      </c>
      <c r="S1057" s="46">
        <f>H1057/SUMIFS(Counties!$H$2:$H$1583,Counties!$A$2:$A$1583,$A1057)</f>
        <v/>
      </c>
      <c r="T1057" s="44">
        <f>O1057+INDEX(Dashboard!$F$6:$F$22,MATCH($A1057,Dashboard!$A$6:$A$22,0))</f>
        <v/>
      </c>
      <c r="U1057" s="43">
        <f>AQ1057*INDEX(Dashboard!$G$6:$G$22,MATCH($A1057,Dashboard!$A$6:$A$22,0))</f>
        <v/>
      </c>
      <c r="V1057" s="47" t="n"/>
      <c r="W1057" s="47" t="n"/>
      <c r="X1057" s="47" t="n"/>
      <c r="Y1057" s="48" t="n"/>
      <c r="Z1057" s="49" t="n"/>
      <c r="AA1057" s="49" t="n"/>
      <c r="AB1057" s="49" t="n"/>
      <c r="AC1057" s="50" t="n"/>
      <c r="AD1057" s="43">
        <f>IF(Z1057&lt;&gt;"",Z1057,N(V1057))</f>
        <v/>
      </c>
      <c r="AE1057" s="43">
        <f>IF(AA1057&lt;&gt;"",AA1057,N(W1057))</f>
        <v/>
      </c>
      <c r="AF1057" s="43">
        <f>AD1057+AE1057</f>
        <v/>
      </c>
      <c r="AG1057" s="42">
        <f>IF(UPPER(AC1057)="Y",1,IF(AF1057=0,0,IF(AND(Z1057="",Y1057&lt;&gt;""),IF(Y1057&gt;=0.999,1,0),IF(AF1057&gt;=U1057,1,0))))</f>
        <v/>
      </c>
      <c r="AH1057" s="44">
        <f>IF(AF1057&gt;0,(AD1057-AE1057)/AF1057,"")</f>
        <v/>
      </c>
      <c r="AI1057" s="45">
        <f>IF(AG1057=1,AH1057-O1057,"")</f>
        <v/>
      </c>
      <c r="AJ1057" s="44">
        <f>IF(AG1057=1,AH1057,MAX(-1,MIN(1,O1057+INDEX(Types!$H:$H,MATCH($A1057&amp;"|"&amp;$D1057,Types!$A:$A,0)))))</f>
        <v/>
      </c>
      <c r="AK1057" s="43">
        <f>IF(AG1057=1,AF1057,MAX(AQ1057*AS1057,AF1057))</f>
        <v/>
      </c>
      <c r="AL1057" s="43">
        <f>IF(AG1057=1,AD1057,AK1057*(1+AJ1057)/2)</f>
        <v/>
      </c>
      <c r="AM1057" s="43">
        <f>IF(AG1057=1,AE1057,AK1057*(1-AJ1057)/2)</f>
        <v/>
      </c>
      <c r="AN1057" s="45">
        <f>IF(AH1057="","",AH1057-T1057)</f>
        <v/>
      </c>
      <c r="AO1057" s="51">
        <f>IF(AG1057=1,1,IF(U1057&gt;0,MIN(AF1057/U1057,0.99),0))</f>
        <v/>
      </c>
      <c r="AP1057" s="43">
        <f>IF(AG1057=1,AI1057*AF1057,0)</f>
        <v/>
      </c>
      <c r="AQ1057" s="43">
        <f>N1057*(F1057+G1057)/H1057</f>
        <v/>
      </c>
      <c r="AR1057" s="43">
        <f>O1057*AQ1057</f>
        <v/>
      </c>
      <c r="AS1057" s="52">
        <f>IF(AG1057=1,IF(AQ1057&gt;0,AF1057/AQ1057,1),IFERROR(INDEX(Types!$K:$K,MATCH($A1057&amp;"|"&amp;$D1057,Types!$A:$A,0)),INDEX(Dashboard!$X$6:$X$22,MATCH($A1057,Dashboard!$A$6:$A$22,0))))</f>
        <v/>
      </c>
      <c r="AT1057" s="43">
        <f>AQ1057*INDEX(Dashboard!$Y$6:$Y$22,MATCH($A1057,Dashboard!$A$6:$A$22,0))</f>
        <v/>
      </c>
      <c r="AU1057" s="53">
        <f>IF(AND(AG1057=1,AT1057&gt;0,AF1057&gt;0),100*AF1057/AT1057,"")</f>
        <v/>
      </c>
      <c r="AV1057" s="44">
        <f>IF(AU1057="","",T1057/(AU1057/100))</f>
        <v/>
      </c>
      <c r="AW1057" s="53">
        <f>IF(AU1057="","",IF(AND(ABS(AH1057)&gt;=0.1,ABS(T1057)&gt;=0.05,SIGN(AH1057)=SIGN(T1057)),100*T1057/AH1057,""))</f>
        <v/>
      </c>
      <c r="AX1057" s="45">
        <f>IF(AU1057="","",T1057-AV1057)</f>
        <v/>
      </c>
      <c r="AY1057" s="45">
        <f>IF(AU1057="","",AH1057-AV1057)</f>
        <v/>
      </c>
      <c r="AZ1057" s="54">
        <f>(AL1057-AM1057)-T1057*AT1057</f>
        <v/>
      </c>
      <c r="BA1057" s="43">
        <f>IF(AU1057="",0,(AH1057-T1057)*AF1057)</f>
        <v/>
      </c>
      <c r="BB1057" s="43">
        <f>IF(AU1057="",0,T1057*(AF1057-AT1057))</f>
        <v/>
      </c>
      <c r="BC1057" s="51" t="n">
        <v>0.1170761298149833</v>
      </c>
      <c r="BD1057" s="51" t="n">
        <v>0.3148316651501365</v>
      </c>
      <c r="BE1057" s="51" t="n">
        <v>0.1315990818668707</v>
      </c>
      <c r="BF1057" s="43" t="n">
        <v>3297</v>
      </c>
    </row>
    <row r="1058">
      <c r="A1058" s="42" t="inlineStr">
        <is>
          <t>TX</t>
        </is>
      </c>
      <c r="B1058" s="42" t="inlineStr">
        <is>
          <t>48097</t>
        </is>
      </c>
      <c r="C1058" s="42" t="inlineStr">
        <is>
          <t>Cooke</t>
        </is>
      </c>
      <c r="D1058" s="42" t="inlineStr">
        <is>
          <t>Small town &amp; rural</t>
        </is>
      </c>
      <c r="E1058" s="42" t="inlineStr"/>
      <c r="F1058" s="43" t="n">
        <v>3310</v>
      </c>
      <c r="G1058" s="43" t="n">
        <v>16975</v>
      </c>
      <c r="H1058" s="43" t="n">
        <v>20432</v>
      </c>
      <c r="I1058" s="43" t="n">
        <v>3210</v>
      </c>
      <c r="J1058" s="43" t="n">
        <v>15596</v>
      </c>
      <c r="K1058" s="42" t="inlineStr">
        <is>
          <t>Governor</t>
        </is>
      </c>
      <c r="L1058" s="43" t="n">
        <v>2308</v>
      </c>
      <c r="M1058" s="43" t="n">
        <v>12815</v>
      </c>
      <c r="N1058" s="43" t="n">
        <v>15325</v>
      </c>
      <c r="O1058" s="44">
        <f>IFERROR((F1058-G1058)/(F1058+G1058),"")</f>
        <v/>
      </c>
      <c r="P1058" s="44">
        <f>IFERROR((I1058-J1058)/(I1058+J1058),"")</f>
        <v/>
      </c>
      <c r="Q1058" s="45">
        <f>IFERROR(O1058-P1058,"")</f>
        <v/>
      </c>
      <c r="R1058" s="44">
        <f>IFERROR((L1058-M1058)/(L1058+M1058),"")</f>
        <v/>
      </c>
      <c r="S1058" s="46">
        <f>H1058/SUMIFS(Counties!$H$2:$H$1583,Counties!$A$2:$A$1583,$A1058)</f>
        <v/>
      </c>
      <c r="T1058" s="44">
        <f>O1058+INDEX(Dashboard!$F$6:$F$22,MATCH($A1058,Dashboard!$A$6:$A$22,0))</f>
        <v/>
      </c>
      <c r="U1058" s="43">
        <f>AQ1058*INDEX(Dashboard!$G$6:$G$22,MATCH($A1058,Dashboard!$A$6:$A$22,0))</f>
        <v/>
      </c>
      <c r="V1058" s="47" t="n"/>
      <c r="W1058" s="47" t="n"/>
      <c r="X1058" s="47" t="n"/>
      <c r="Y1058" s="48" t="n"/>
      <c r="Z1058" s="49" t="n"/>
      <c r="AA1058" s="49" t="n"/>
      <c r="AB1058" s="49" t="n"/>
      <c r="AC1058" s="50" t="n"/>
      <c r="AD1058" s="43">
        <f>IF(Z1058&lt;&gt;"",Z1058,N(V1058))</f>
        <v/>
      </c>
      <c r="AE1058" s="43">
        <f>IF(AA1058&lt;&gt;"",AA1058,N(W1058))</f>
        <v/>
      </c>
      <c r="AF1058" s="43">
        <f>AD1058+AE1058</f>
        <v/>
      </c>
      <c r="AG1058" s="42">
        <f>IF(UPPER(AC1058)="Y",1,IF(AF1058=0,0,IF(AND(Z1058="",Y1058&lt;&gt;""),IF(Y1058&gt;=0.999,1,0),IF(AF1058&gt;=U1058,1,0))))</f>
        <v/>
      </c>
      <c r="AH1058" s="44">
        <f>IF(AF1058&gt;0,(AD1058-AE1058)/AF1058,"")</f>
        <v/>
      </c>
      <c r="AI1058" s="45">
        <f>IF(AG1058=1,AH1058-O1058,"")</f>
        <v/>
      </c>
      <c r="AJ1058" s="44">
        <f>IF(AG1058=1,AH1058,MAX(-1,MIN(1,O1058+INDEX(Types!$H:$H,MATCH($A1058&amp;"|"&amp;$D1058,Types!$A:$A,0)))))</f>
        <v/>
      </c>
      <c r="AK1058" s="43">
        <f>IF(AG1058=1,AF1058,MAX(AQ1058*AS1058,AF1058))</f>
        <v/>
      </c>
      <c r="AL1058" s="43">
        <f>IF(AG1058=1,AD1058,AK1058*(1+AJ1058)/2)</f>
        <v/>
      </c>
      <c r="AM1058" s="43">
        <f>IF(AG1058=1,AE1058,AK1058*(1-AJ1058)/2)</f>
        <v/>
      </c>
      <c r="AN1058" s="45">
        <f>IF(AH1058="","",AH1058-T1058)</f>
        <v/>
      </c>
      <c r="AO1058" s="51">
        <f>IF(AG1058=1,1,IF(U1058&gt;0,MIN(AF1058/U1058,0.99),0))</f>
        <v/>
      </c>
      <c r="AP1058" s="43">
        <f>IF(AG1058=1,AI1058*AF1058,0)</f>
        <v/>
      </c>
      <c r="AQ1058" s="43">
        <f>N1058*(F1058+G1058)/H1058</f>
        <v/>
      </c>
      <c r="AR1058" s="43">
        <f>O1058*AQ1058</f>
        <v/>
      </c>
      <c r="AS1058" s="52">
        <f>IF(AG1058=1,IF(AQ1058&gt;0,AF1058/AQ1058,1),IFERROR(INDEX(Types!$K:$K,MATCH($A1058&amp;"|"&amp;$D1058,Types!$A:$A,0)),INDEX(Dashboard!$X$6:$X$22,MATCH($A1058,Dashboard!$A$6:$A$22,0))))</f>
        <v/>
      </c>
      <c r="AT1058" s="43">
        <f>AQ1058*INDEX(Dashboard!$Y$6:$Y$22,MATCH($A1058,Dashboard!$A$6:$A$22,0))</f>
        <v/>
      </c>
      <c r="AU1058" s="53">
        <f>IF(AND(AG1058=1,AT1058&gt;0,AF1058&gt;0),100*AF1058/AT1058,"")</f>
        <v/>
      </c>
      <c r="AV1058" s="44">
        <f>IF(AU1058="","",T1058/(AU1058/100))</f>
        <v/>
      </c>
      <c r="AW1058" s="53">
        <f>IF(AU1058="","",IF(AND(ABS(AH1058)&gt;=0.1,ABS(T1058)&gt;=0.05,SIGN(AH1058)=SIGN(T1058)),100*T1058/AH1058,""))</f>
        <v/>
      </c>
      <c r="AX1058" s="45">
        <f>IF(AU1058="","",T1058-AV1058)</f>
        <v/>
      </c>
      <c r="AY1058" s="45">
        <f>IF(AU1058="","",AH1058-AV1058)</f>
        <v/>
      </c>
      <c r="AZ1058" s="54">
        <f>(AL1058-AM1058)-T1058*AT1058</f>
        <v/>
      </c>
      <c r="BA1058" s="43">
        <f>IF(AU1058="",0,(AH1058-T1058)*AF1058)</f>
        <v/>
      </c>
      <c r="BB1058" s="43">
        <f>IF(AU1058="",0,T1058*(AF1058-AT1058))</f>
        <v/>
      </c>
      <c r="BC1058" s="51" t="n">
        <v>0.03151980265862683</v>
      </c>
      <c r="BD1058" s="51" t="n">
        <v>0.2114110821798913</v>
      </c>
      <c r="BE1058" s="51" t="n">
        <v>0.2359448928472029</v>
      </c>
      <c r="BF1058" s="43" t="n">
        <v>43782</v>
      </c>
    </row>
    <row r="1059">
      <c r="A1059" s="42" t="inlineStr">
        <is>
          <t>TX</t>
        </is>
      </c>
      <c r="B1059" s="42" t="inlineStr">
        <is>
          <t>48099</t>
        </is>
      </c>
      <c r="C1059" s="42" t="inlineStr">
        <is>
          <t>Coryell</t>
        </is>
      </c>
      <c r="D1059" s="42" t="inlineStr">
        <is>
          <t>Small town &amp; rural</t>
        </is>
      </c>
      <c r="E1059" s="42" t="inlineStr"/>
      <c r="F1059" s="43" t="n">
        <v>6959</v>
      </c>
      <c r="G1059" s="43" t="n">
        <v>16688</v>
      </c>
      <c r="H1059" s="43" t="n">
        <v>23911</v>
      </c>
      <c r="I1059" s="43" t="n">
        <v>7565</v>
      </c>
      <c r="J1059" s="43" t="n">
        <v>15438</v>
      </c>
      <c r="K1059" s="42" t="inlineStr">
        <is>
          <t>Governor</t>
        </is>
      </c>
      <c r="L1059" s="43" t="n">
        <v>4450</v>
      </c>
      <c r="M1059" s="43" t="n">
        <v>11652</v>
      </c>
      <c r="N1059" s="43" t="n">
        <v>16379</v>
      </c>
      <c r="O1059" s="44">
        <f>IFERROR((F1059-G1059)/(F1059+G1059),"")</f>
        <v/>
      </c>
      <c r="P1059" s="44">
        <f>IFERROR((I1059-J1059)/(I1059+J1059),"")</f>
        <v/>
      </c>
      <c r="Q1059" s="45">
        <f>IFERROR(O1059-P1059,"")</f>
        <v/>
      </c>
      <c r="R1059" s="44">
        <f>IFERROR((L1059-M1059)/(L1059+M1059),"")</f>
        <v/>
      </c>
      <c r="S1059" s="46">
        <f>H1059/SUMIFS(Counties!$H$2:$H$1583,Counties!$A$2:$A$1583,$A1059)</f>
        <v/>
      </c>
      <c r="T1059" s="44">
        <f>O1059+INDEX(Dashboard!$F$6:$F$22,MATCH($A1059,Dashboard!$A$6:$A$22,0))</f>
        <v/>
      </c>
      <c r="U1059" s="43">
        <f>AQ1059*INDEX(Dashboard!$G$6:$G$22,MATCH($A1059,Dashboard!$A$6:$A$22,0))</f>
        <v/>
      </c>
      <c r="V1059" s="47" t="n"/>
      <c r="W1059" s="47" t="n"/>
      <c r="X1059" s="47" t="n"/>
      <c r="Y1059" s="48" t="n"/>
      <c r="Z1059" s="49" t="n"/>
      <c r="AA1059" s="49" t="n"/>
      <c r="AB1059" s="49" t="n"/>
      <c r="AC1059" s="50" t="n"/>
      <c r="AD1059" s="43">
        <f>IF(Z1059&lt;&gt;"",Z1059,N(V1059))</f>
        <v/>
      </c>
      <c r="AE1059" s="43">
        <f>IF(AA1059&lt;&gt;"",AA1059,N(W1059))</f>
        <v/>
      </c>
      <c r="AF1059" s="43">
        <f>AD1059+AE1059</f>
        <v/>
      </c>
      <c r="AG1059" s="42">
        <f>IF(UPPER(AC1059)="Y",1,IF(AF1059=0,0,IF(AND(Z1059="",Y1059&lt;&gt;""),IF(Y1059&gt;=0.999,1,0),IF(AF1059&gt;=U1059,1,0))))</f>
        <v/>
      </c>
      <c r="AH1059" s="44">
        <f>IF(AF1059&gt;0,(AD1059-AE1059)/AF1059,"")</f>
        <v/>
      </c>
      <c r="AI1059" s="45">
        <f>IF(AG1059=1,AH1059-O1059,"")</f>
        <v/>
      </c>
      <c r="AJ1059" s="44">
        <f>IF(AG1059=1,AH1059,MAX(-1,MIN(1,O1059+INDEX(Types!$H:$H,MATCH($A1059&amp;"|"&amp;$D1059,Types!$A:$A,0)))))</f>
        <v/>
      </c>
      <c r="AK1059" s="43">
        <f>IF(AG1059=1,AF1059,MAX(AQ1059*AS1059,AF1059))</f>
        <v/>
      </c>
      <c r="AL1059" s="43">
        <f>IF(AG1059=1,AD1059,AK1059*(1+AJ1059)/2)</f>
        <v/>
      </c>
      <c r="AM1059" s="43">
        <f>IF(AG1059=1,AE1059,AK1059*(1-AJ1059)/2)</f>
        <v/>
      </c>
      <c r="AN1059" s="45">
        <f>IF(AH1059="","",AH1059-T1059)</f>
        <v/>
      </c>
      <c r="AO1059" s="51">
        <f>IF(AG1059=1,1,IF(U1059&gt;0,MIN(AF1059/U1059,0.99),0))</f>
        <v/>
      </c>
      <c r="AP1059" s="43">
        <f>IF(AG1059=1,AI1059*AF1059,0)</f>
        <v/>
      </c>
      <c r="AQ1059" s="43">
        <f>N1059*(F1059+G1059)/H1059</f>
        <v/>
      </c>
      <c r="AR1059" s="43">
        <f>O1059*AQ1059</f>
        <v/>
      </c>
      <c r="AS1059" s="52">
        <f>IF(AG1059=1,IF(AQ1059&gt;0,AF1059/AQ1059,1),IFERROR(INDEX(Types!$K:$K,MATCH($A1059&amp;"|"&amp;$D1059,Types!$A:$A,0)),INDEX(Dashboard!$X$6:$X$22,MATCH($A1059,Dashboard!$A$6:$A$22,0))))</f>
        <v/>
      </c>
      <c r="AT1059" s="43">
        <f>AQ1059*INDEX(Dashboard!$Y$6:$Y$22,MATCH($A1059,Dashboard!$A$6:$A$22,0))</f>
        <v/>
      </c>
      <c r="AU1059" s="53">
        <f>IF(AND(AG1059=1,AT1059&gt;0,AF1059&gt;0),100*AF1059/AT1059,"")</f>
        <v/>
      </c>
      <c r="AV1059" s="44">
        <f>IF(AU1059="","",T1059/(AU1059/100))</f>
        <v/>
      </c>
      <c r="AW1059" s="53">
        <f>IF(AU1059="","",IF(AND(ABS(AH1059)&gt;=0.1,ABS(T1059)&gt;=0.05,SIGN(AH1059)=SIGN(T1059)),100*T1059/AH1059,""))</f>
        <v/>
      </c>
      <c r="AX1059" s="45">
        <f>IF(AU1059="","",T1059-AV1059)</f>
        <v/>
      </c>
      <c r="AY1059" s="45">
        <f>IF(AU1059="","",AH1059-AV1059)</f>
        <v/>
      </c>
      <c r="AZ1059" s="54">
        <f>(AL1059-AM1059)-T1059*AT1059</f>
        <v/>
      </c>
      <c r="BA1059" s="43">
        <f>IF(AU1059="",0,(AH1059-T1059)*AF1059)</f>
        <v/>
      </c>
      <c r="BB1059" s="43">
        <f>IF(AU1059="",0,T1059*(AF1059-AT1059))</f>
        <v/>
      </c>
      <c r="BC1059" s="51" t="n">
        <v>0.1621739437781286</v>
      </c>
      <c r="BD1059" s="51" t="n">
        <v>0.2111147765027451</v>
      </c>
      <c r="BE1059" s="51" t="n">
        <v>0.1865554097131071</v>
      </c>
      <c r="BF1059" s="43" t="n">
        <v>84878</v>
      </c>
    </row>
    <row r="1060">
      <c r="A1060" s="42" t="inlineStr">
        <is>
          <t>TX</t>
        </is>
      </c>
      <c r="B1060" s="42" t="inlineStr">
        <is>
          <t>48101</t>
        </is>
      </c>
      <c r="C1060" s="42" t="inlineStr">
        <is>
          <t>Cottle</t>
        </is>
      </c>
      <c r="D1060" s="42" t="inlineStr">
        <is>
          <t>Small town &amp; rural</t>
        </is>
      </c>
      <c r="E1060" s="42" t="inlineStr"/>
      <c r="F1060" s="43" t="n">
        <v>89</v>
      </c>
      <c r="G1060" s="43" t="n">
        <v>565</v>
      </c>
      <c r="H1060" s="43" t="n">
        <v>657</v>
      </c>
      <c r="I1060" s="43" t="n">
        <v>113</v>
      </c>
      <c r="J1060" s="43" t="n">
        <v>540</v>
      </c>
      <c r="K1060" s="42" t="inlineStr">
        <is>
          <t>Governor</t>
        </is>
      </c>
      <c r="L1060" s="43" t="n">
        <v>54</v>
      </c>
      <c r="M1060" s="43" t="n">
        <v>453</v>
      </c>
      <c r="N1060" s="43" t="n">
        <v>514</v>
      </c>
      <c r="O1060" s="44">
        <f>IFERROR((F1060-G1060)/(F1060+G1060),"")</f>
        <v/>
      </c>
      <c r="P1060" s="44">
        <f>IFERROR((I1060-J1060)/(I1060+J1060),"")</f>
        <v/>
      </c>
      <c r="Q1060" s="45">
        <f>IFERROR(O1060-P1060,"")</f>
        <v/>
      </c>
      <c r="R1060" s="44">
        <f>IFERROR((L1060-M1060)/(L1060+M1060),"")</f>
        <v/>
      </c>
      <c r="S1060" s="46">
        <f>H1060/SUMIFS(Counties!$H$2:$H$1583,Counties!$A$2:$A$1583,$A1060)</f>
        <v/>
      </c>
      <c r="T1060" s="44">
        <f>O1060+INDEX(Dashboard!$F$6:$F$22,MATCH($A1060,Dashboard!$A$6:$A$22,0))</f>
        <v/>
      </c>
      <c r="U1060" s="43">
        <f>AQ1060*INDEX(Dashboard!$G$6:$G$22,MATCH($A1060,Dashboard!$A$6:$A$22,0))</f>
        <v/>
      </c>
      <c r="V1060" s="47" t="n"/>
      <c r="W1060" s="47" t="n"/>
      <c r="X1060" s="47" t="n"/>
      <c r="Y1060" s="48" t="n"/>
      <c r="Z1060" s="49" t="n"/>
      <c r="AA1060" s="49" t="n"/>
      <c r="AB1060" s="49" t="n"/>
      <c r="AC1060" s="50" t="n"/>
      <c r="AD1060" s="43">
        <f>IF(Z1060&lt;&gt;"",Z1060,N(V1060))</f>
        <v/>
      </c>
      <c r="AE1060" s="43">
        <f>IF(AA1060&lt;&gt;"",AA1060,N(W1060))</f>
        <v/>
      </c>
      <c r="AF1060" s="43">
        <f>AD1060+AE1060</f>
        <v/>
      </c>
      <c r="AG1060" s="42">
        <f>IF(UPPER(AC1060)="Y",1,IF(AF1060=0,0,IF(AND(Z1060="",Y1060&lt;&gt;""),IF(Y1060&gt;=0.999,1,0),IF(AF1060&gt;=U1060,1,0))))</f>
        <v/>
      </c>
      <c r="AH1060" s="44">
        <f>IF(AF1060&gt;0,(AD1060-AE1060)/AF1060,"")</f>
        <v/>
      </c>
      <c r="AI1060" s="45">
        <f>IF(AG1060=1,AH1060-O1060,"")</f>
        <v/>
      </c>
      <c r="AJ1060" s="44">
        <f>IF(AG1060=1,AH1060,MAX(-1,MIN(1,O1060+INDEX(Types!$H:$H,MATCH($A1060&amp;"|"&amp;$D1060,Types!$A:$A,0)))))</f>
        <v/>
      </c>
      <c r="AK1060" s="43">
        <f>IF(AG1060=1,AF1060,MAX(AQ1060*AS1060,AF1060))</f>
        <v/>
      </c>
      <c r="AL1060" s="43">
        <f>IF(AG1060=1,AD1060,AK1060*(1+AJ1060)/2)</f>
        <v/>
      </c>
      <c r="AM1060" s="43">
        <f>IF(AG1060=1,AE1060,AK1060*(1-AJ1060)/2)</f>
        <v/>
      </c>
      <c r="AN1060" s="45">
        <f>IF(AH1060="","",AH1060-T1060)</f>
        <v/>
      </c>
      <c r="AO1060" s="51">
        <f>IF(AG1060=1,1,IF(U1060&gt;0,MIN(AF1060/U1060,0.99),0))</f>
        <v/>
      </c>
      <c r="AP1060" s="43">
        <f>IF(AG1060=1,AI1060*AF1060,0)</f>
        <v/>
      </c>
      <c r="AQ1060" s="43">
        <f>N1060*(F1060+G1060)/H1060</f>
        <v/>
      </c>
      <c r="AR1060" s="43">
        <f>O1060*AQ1060</f>
        <v/>
      </c>
      <c r="AS1060" s="52">
        <f>IF(AG1060=1,IF(AQ1060&gt;0,AF1060/AQ1060,1),IFERROR(INDEX(Types!$K:$K,MATCH($A1060&amp;"|"&amp;$D1060,Types!$A:$A,0)),INDEX(Dashboard!$X$6:$X$22,MATCH($A1060,Dashboard!$A$6:$A$22,0))))</f>
        <v/>
      </c>
      <c r="AT1060" s="43">
        <f>AQ1060*INDEX(Dashboard!$Y$6:$Y$22,MATCH($A1060,Dashboard!$A$6:$A$22,0))</f>
        <v/>
      </c>
      <c r="AU1060" s="53">
        <f>IF(AND(AG1060=1,AT1060&gt;0,AF1060&gt;0),100*AF1060/AT1060,"")</f>
        <v/>
      </c>
      <c r="AV1060" s="44">
        <f>IF(AU1060="","",T1060/(AU1060/100))</f>
        <v/>
      </c>
      <c r="AW1060" s="53">
        <f>IF(AU1060="","",IF(AND(ABS(AH1060)&gt;=0.1,ABS(T1060)&gt;=0.05,SIGN(AH1060)=SIGN(T1060)),100*T1060/AH1060,""))</f>
        <v/>
      </c>
      <c r="AX1060" s="45">
        <f>IF(AU1060="","",T1060-AV1060)</f>
        <v/>
      </c>
      <c r="AY1060" s="45">
        <f>IF(AU1060="","",AH1060-AV1060)</f>
        <v/>
      </c>
      <c r="AZ1060" s="54">
        <f>(AL1060-AM1060)-T1060*AT1060</f>
        <v/>
      </c>
      <c r="BA1060" s="43">
        <f>IF(AU1060="",0,(AH1060-T1060)*AF1060)</f>
        <v/>
      </c>
      <c r="BB1060" s="43">
        <f>IF(AU1060="",0,T1060*(AF1060-AT1060))</f>
        <v/>
      </c>
      <c r="BC1060" s="51" t="n">
        <v>0.0973724884080371</v>
      </c>
      <c r="BD1060" s="51" t="n">
        <v>0.2720247295208655</v>
      </c>
      <c r="BE1060" s="51" t="n">
        <v>0.217948717948718</v>
      </c>
      <c r="BF1060" s="43" t="n">
        <v>1294</v>
      </c>
    </row>
    <row r="1061">
      <c r="A1061" s="42" t="inlineStr">
        <is>
          <t>TX</t>
        </is>
      </c>
      <c r="B1061" s="42" t="inlineStr">
        <is>
          <t>48103</t>
        </is>
      </c>
      <c r="C1061" s="42" t="inlineStr">
        <is>
          <t>Crane</t>
        </is>
      </c>
      <c r="D1061" s="42" t="inlineStr">
        <is>
          <t>Hispanic</t>
        </is>
      </c>
      <c r="E1061" s="42" t="inlineStr"/>
      <c r="F1061" s="43" t="n">
        <v>186</v>
      </c>
      <c r="G1061" s="43" t="n">
        <v>1195</v>
      </c>
      <c r="H1061" s="43" t="n">
        <v>1387</v>
      </c>
      <c r="I1061" s="43" t="n">
        <v>241</v>
      </c>
      <c r="J1061" s="43" t="n">
        <v>1247</v>
      </c>
      <c r="K1061" s="42" t="inlineStr">
        <is>
          <t>Governor</t>
        </is>
      </c>
      <c r="L1061" s="43" t="n">
        <v>150</v>
      </c>
      <c r="M1061" s="43" t="n">
        <v>983</v>
      </c>
      <c r="N1061" s="43" t="n">
        <v>1147</v>
      </c>
      <c r="O1061" s="44">
        <f>IFERROR((F1061-G1061)/(F1061+G1061),"")</f>
        <v/>
      </c>
      <c r="P1061" s="44">
        <f>IFERROR((I1061-J1061)/(I1061+J1061),"")</f>
        <v/>
      </c>
      <c r="Q1061" s="45">
        <f>IFERROR(O1061-P1061,"")</f>
        <v/>
      </c>
      <c r="R1061" s="44">
        <f>IFERROR((L1061-M1061)/(L1061+M1061),"")</f>
        <v/>
      </c>
      <c r="S1061" s="46">
        <f>H1061/SUMIFS(Counties!$H$2:$H$1583,Counties!$A$2:$A$1583,$A1061)</f>
        <v/>
      </c>
      <c r="T1061" s="44">
        <f>O1061+INDEX(Dashboard!$F$6:$F$22,MATCH($A1061,Dashboard!$A$6:$A$22,0))</f>
        <v/>
      </c>
      <c r="U1061" s="43">
        <f>AQ1061*INDEX(Dashboard!$G$6:$G$22,MATCH($A1061,Dashboard!$A$6:$A$22,0))</f>
        <v/>
      </c>
      <c r="V1061" s="47" t="n"/>
      <c r="W1061" s="47" t="n"/>
      <c r="X1061" s="47" t="n"/>
      <c r="Y1061" s="48" t="n"/>
      <c r="Z1061" s="49" t="n"/>
      <c r="AA1061" s="49" t="n"/>
      <c r="AB1061" s="49" t="n"/>
      <c r="AC1061" s="50" t="n"/>
      <c r="AD1061" s="43">
        <f>IF(Z1061&lt;&gt;"",Z1061,N(V1061))</f>
        <v/>
      </c>
      <c r="AE1061" s="43">
        <f>IF(AA1061&lt;&gt;"",AA1061,N(W1061))</f>
        <v/>
      </c>
      <c r="AF1061" s="43">
        <f>AD1061+AE1061</f>
        <v/>
      </c>
      <c r="AG1061" s="42">
        <f>IF(UPPER(AC1061)="Y",1,IF(AF1061=0,0,IF(AND(Z1061="",Y1061&lt;&gt;""),IF(Y1061&gt;=0.999,1,0),IF(AF1061&gt;=U1061,1,0))))</f>
        <v/>
      </c>
      <c r="AH1061" s="44">
        <f>IF(AF1061&gt;0,(AD1061-AE1061)/AF1061,"")</f>
        <v/>
      </c>
      <c r="AI1061" s="45">
        <f>IF(AG1061=1,AH1061-O1061,"")</f>
        <v/>
      </c>
      <c r="AJ1061" s="44">
        <f>IF(AG1061=1,AH1061,MAX(-1,MIN(1,O1061+INDEX(Types!$H:$H,MATCH($A1061&amp;"|"&amp;$D1061,Types!$A:$A,0)))))</f>
        <v/>
      </c>
      <c r="AK1061" s="43">
        <f>IF(AG1061=1,AF1061,MAX(AQ1061*AS1061,AF1061))</f>
        <v/>
      </c>
      <c r="AL1061" s="43">
        <f>IF(AG1061=1,AD1061,AK1061*(1+AJ1061)/2)</f>
        <v/>
      </c>
      <c r="AM1061" s="43">
        <f>IF(AG1061=1,AE1061,AK1061*(1-AJ1061)/2)</f>
        <v/>
      </c>
      <c r="AN1061" s="45">
        <f>IF(AH1061="","",AH1061-T1061)</f>
        <v/>
      </c>
      <c r="AO1061" s="51">
        <f>IF(AG1061=1,1,IF(U1061&gt;0,MIN(AF1061/U1061,0.99),0))</f>
        <v/>
      </c>
      <c r="AP1061" s="43">
        <f>IF(AG1061=1,AI1061*AF1061,0)</f>
        <v/>
      </c>
      <c r="AQ1061" s="43">
        <f>N1061*(F1061+G1061)/H1061</f>
        <v/>
      </c>
      <c r="AR1061" s="43">
        <f>O1061*AQ1061</f>
        <v/>
      </c>
      <c r="AS1061" s="52">
        <f>IF(AG1061=1,IF(AQ1061&gt;0,AF1061/AQ1061,1),IFERROR(INDEX(Types!$K:$K,MATCH($A1061&amp;"|"&amp;$D1061,Types!$A:$A,0)),INDEX(Dashboard!$X$6:$X$22,MATCH($A1061,Dashboard!$A$6:$A$22,0))))</f>
        <v/>
      </c>
      <c r="AT1061" s="43">
        <f>AQ1061*INDEX(Dashboard!$Y$6:$Y$22,MATCH($A1061,Dashboard!$A$6:$A$22,0))</f>
        <v/>
      </c>
      <c r="AU1061" s="53">
        <f>IF(AND(AG1061=1,AT1061&gt;0,AF1061&gt;0),100*AF1061/AT1061,"")</f>
        <v/>
      </c>
      <c r="AV1061" s="44">
        <f>IF(AU1061="","",T1061/(AU1061/100))</f>
        <v/>
      </c>
      <c r="AW1061" s="53">
        <f>IF(AU1061="","",IF(AND(ABS(AH1061)&gt;=0.1,ABS(T1061)&gt;=0.05,SIGN(AH1061)=SIGN(T1061)),100*T1061/AH1061,""))</f>
        <v/>
      </c>
      <c r="AX1061" s="45">
        <f>IF(AU1061="","",T1061-AV1061)</f>
        <v/>
      </c>
      <c r="AY1061" s="45">
        <f>IF(AU1061="","",AH1061-AV1061)</f>
        <v/>
      </c>
      <c r="AZ1061" s="54">
        <f>(AL1061-AM1061)-T1061*AT1061</f>
        <v/>
      </c>
      <c r="BA1061" s="43">
        <f>IF(AU1061="",0,(AH1061-T1061)*AF1061)</f>
        <v/>
      </c>
      <c r="BB1061" s="43">
        <f>IF(AU1061="",0,T1061*(AF1061-AT1061))</f>
        <v/>
      </c>
      <c r="BC1061" s="51" t="n">
        <v>0.0295146480104941</v>
      </c>
      <c r="BD1061" s="51" t="n">
        <v>0.7017927415828596</v>
      </c>
      <c r="BE1061" s="51" t="n">
        <v>0.143448275862069</v>
      </c>
      <c r="BF1061" s="43" t="n">
        <v>4574</v>
      </c>
    </row>
    <row r="1062">
      <c r="A1062" s="42" t="inlineStr">
        <is>
          <t>TX</t>
        </is>
      </c>
      <c r="B1062" s="42" t="inlineStr">
        <is>
          <t>48105</t>
        </is>
      </c>
      <c r="C1062" s="42" t="inlineStr">
        <is>
          <t>Crockett</t>
        </is>
      </c>
      <c r="D1062" s="42" t="inlineStr">
        <is>
          <t>Hispanic</t>
        </is>
      </c>
      <c r="E1062" s="42" t="inlineStr"/>
      <c r="F1062" s="43" t="n">
        <v>323</v>
      </c>
      <c r="G1062" s="43" t="n">
        <v>1087</v>
      </c>
      <c r="H1062" s="43" t="n">
        <v>1417</v>
      </c>
      <c r="I1062" s="43" t="n">
        <v>344</v>
      </c>
      <c r="J1062" s="43" t="n">
        <v>1220</v>
      </c>
      <c r="K1062" s="42" t="inlineStr">
        <is>
          <t>Governor</t>
        </is>
      </c>
      <c r="L1062" s="43" t="n">
        <v>276</v>
      </c>
      <c r="M1062" s="43" t="n">
        <v>964</v>
      </c>
      <c r="N1062" s="43" t="n">
        <v>1273</v>
      </c>
      <c r="O1062" s="44">
        <f>IFERROR((F1062-G1062)/(F1062+G1062),"")</f>
        <v/>
      </c>
      <c r="P1062" s="44">
        <f>IFERROR((I1062-J1062)/(I1062+J1062),"")</f>
        <v/>
      </c>
      <c r="Q1062" s="45">
        <f>IFERROR(O1062-P1062,"")</f>
        <v/>
      </c>
      <c r="R1062" s="44">
        <f>IFERROR((L1062-M1062)/(L1062+M1062),"")</f>
        <v/>
      </c>
      <c r="S1062" s="46">
        <f>H1062/SUMIFS(Counties!$H$2:$H$1583,Counties!$A$2:$A$1583,$A1062)</f>
        <v/>
      </c>
      <c r="T1062" s="44">
        <f>O1062+INDEX(Dashboard!$F$6:$F$22,MATCH($A1062,Dashboard!$A$6:$A$22,0))</f>
        <v/>
      </c>
      <c r="U1062" s="43">
        <f>AQ1062*INDEX(Dashboard!$G$6:$G$22,MATCH($A1062,Dashboard!$A$6:$A$22,0))</f>
        <v/>
      </c>
      <c r="V1062" s="47" t="n"/>
      <c r="W1062" s="47" t="n"/>
      <c r="X1062" s="47" t="n"/>
      <c r="Y1062" s="48" t="n"/>
      <c r="Z1062" s="49" t="n"/>
      <c r="AA1062" s="49" t="n"/>
      <c r="AB1062" s="49" t="n"/>
      <c r="AC1062" s="50" t="n"/>
      <c r="AD1062" s="43">
        <f>IF(Z1062&lt;&gt;"",Z1062,N(V1062))</f>
        <v/>
      </c>
      <c r="AE1062" s="43">
        <f>IF(AA1062&lt;&gt;"",AA1062,N(W1062))</f>
        <v/>
      </c>
      <c r="AF1062" s="43">
        <f>AD1062+AE1062</f>
        <v/>
      </c>
      <c r="AG1062" s="42">
        <f>IF(UPPER(AC1062)="Y",1,IF(AF1062=0,0,IF(AND(Z1062="",Y1062&lt;&gt;""),IF(Y1062&gt;=0.999,1,0),IF(AF1062&gt;=U1062,1,0))))</f>
        <v/>
      </c>
      <c r="AH1062" s="44">
        <f>IF(AF1062&gt;0,(AD1062-AE1062)/AF1062,"")</f>
        <v/>
      </c>
      <c r="AI1062" s="45">
        <f>IF(AG1062=1,AH1062-O1062,"")</f>
        <v/>
      </c>
      <c r="AJ1062" s="44">
        <f>IF(AG1062=1,AH1062,MAX(-1,MIN(1,O1062+INDEX(Types!$H:$H,MATCH($A1062&amp;"|"&amp;$D1062,Types!$A:$A,0)))))</f>
        <v/>
      </c>
      <c r="AK1062" s="43">
        <f>IF(AG1062=1,AF1062,MAX(AQ1062*AS1062,AF1062))</f>
        <v/>
      </c>
      <c r="AL1062" s="43">
        <f>IF(AG1062=1,AD1062,AK1062*(1+AJ1062)/2)</f>
        <v/>
      </c>
      <c r="AM1062" s="43">
        <f>IF(AG1062=1,AE1062,AK1062*(1-AJ1062)/2)</f>
        <v/>
      </c>
      <c r="AN1062" s="45">
        <f>IF(AH1062="","",AH1062-T1062)</f>
        <v/>
      </c>
      <c r="AO1062" s="51">
        <f>IF(AG1062=1,1,IF(U1062&gt;0,MIN(AF1062/U1062,0.99),0))</f>
        <v/>
      </c>
      <c r="AP1062" s="43">
        <f>IF(AG1062=1,AI1062*AF1062,0)</f>
        <v/>
      </c>
      <c r="AQ1062" s="43">
        <f>N1062*(F1062+G1062)/H1062</f>
        <v/>
      </c>
      <c r="AR1062" s="43">
        <f>O1062*AQ1062</f>
        <v/>
      </c>
      <c r="AS1062" s="52">
        <f>IF(AG1062=1,IF(AQ1062&gt;0,AF1062/AQ1062,1),IFERROR(INDEX(Types!$K:$K,MATCH($A1062&amp;"|"&amp;$D1062,Types!$A:$A,0)),INDEX(Dashboard!$X$6:$X$22,MATCH($A1062,Dashboard!$A$6:$A$22,0))))</f>
        <v/>
      </c>
      <c r="AT1062" s="43">
        <f>AQ1062*INDEX(Dashboard!$Y$6:$Y$22,MATCH($A1062,Dashboard!$A$6:$A$22,0))</f>
        <v/>
      </c>
      <c r="AU1062" s="53">
        <f>IF(AND(AG1062=1,AT1062&gt;0,AF1062&gt;0),100*AF1062/AT1062,"")</f>
        <v/>
      </c>
      <c r="AV1062" s="44">
        <f>IF(AU1062="","",T1062/(AU1062/100))</f>
        <v/>
      </c>
      <c r="AW1062" s="53">
        <f>IF(AU1062="","",IF(AND(ABS(AH1062)&gt;=0.1,ABS(T1062)&gt;=0.05,SIGN(AH1062)=SIGN(T1062)),100*T1062/AH1062,""))</f>
        <v/>
      </c>
      <c r="AX1062" s="45">
        <f>IF(AU1062="","",T1062-AV1062)</f>
        <v/>
      </c>
      <c r="AY1062" s="45">
        <f>IF(AU1062="","",AH1062-AV1062)</f>
        <v/>
      </c>
      <c r="AZ1062" s="54">
        <f>(AL1062-AM1062)-T1062*AT1062</f>
        <v/>
      </c>
      <c r="BA1062" s="43">
        <f>IF(AU1062="",0,(AH1062-T1062)*AF1062)</f>
        <v/>
      </c>
      <c r="BB1062" s="43">
        <f>IF(AU1062="",0,T1062*(AF1062-AT1062))</f>
        <v/>
      </c>
      <c r="BC1062" s="51" t="n">
        <v>0.01224632610216935</v>
      </c>
      <c r="BD1062" s="51" t="n">
        <v>0.6305108467459762</v>
      </c>
      <c r="BE1062" s="51" t="n">
        <v>0.1100045269352648</v>
      </c>
      <c r="BF1062" s="43" t="n">
        <v>2858</v>
      </c>
    </row>
    <row r="1063">
      <c r="A1063" s="42" t="inlineStr">
        <is>
          <t>TX</t>
        </is>
      </c>
      <c r="B1063" s="42" t="inlineStr">
        <is>
          <t>48107</t>
        </is>
      </c>
      <c r="C1063" s="42" t="inlineStr">
        <is>
          <t>Crosby</t>
        </is>
      </c>
      <c r="D1063" s="42" t="inlineStr">
        <is>
          <t>Hispanic</t>
        </is>
      </c>
      <c r="E1063" s="42" t="inlineStr"/>
      <c r="F1063" s="43" t="n">
        <v>451</v>
      </c>
      <c r="G1063" s="43" t="n">
        <v>1416</v>
      </c>
      <c r="H1063" s="43" t="n">
        <v>1880</v>
      </c>
      <c r="I1063" s="43" t="n">
        <v>527</v>
      </c>
      <c r="J1063" s="43" t="n">
        <v>1396</v>
      </c>
      <c r="K1063" s="42" t="inlineStr">
        <is>
          <t>Governor</t>
        </is>
      </c>
      <c r="L1063" s="43" t="n">
        <v>255</v>
      </c>
      <c r="M1063" s="43" t="n">
        <v>990</v>
      </c>
      <c r="N1063" s="43" t="n">
        <v>1254</v>
      </c>
      <c r="O1063" s="44">
        <f>IFERROR((F1063-G1063)/(F1063+G1063),"")</f>
        <v/>
      </c>
      <c r="P1063" s="44">
        <f>IFERROR((I1063-J1063)/(I1063+J1063),"")</f>
        <v/>
      </c>
      <c r="Q1063" s="45">
        <f>IFERROR(O1063-P1063,"")</f>
        <v/>
      </c>
      <c r="R1063" s="44">
        <f>IFERROR((L1063-M1063)/(L1063+M1063),"")</f>
        <v/>
      </c>
      <c r="S1063" s="46">
        <f>H1063/SUMIFS(Counties!$H$2:$H$1583,Counties!$A$2:$A$1583,$A1063)</f>
        <v/>
      </c>
      <c r="T1063" s="44">
        <f>O1063+INDEX(Dashboard!$F$6:$F$22,MATCH($A1063,Dashboard!$A$6:$A$22,0))</f>
        <v/>
      </c>
      <c r="U1063" s="43">
        <f>AQ1063*INDEX(Dashboard!$G$6:$G$22,MATCH($A1063,Dashboard!$A$6:$A$22,0))</f>
        <v/>
      </c>
      <c r="V1063" s="47" t="n"/>
      <c r="W1063" s="47" t="n"/>
      <c r="X1063" s="47" t="n"/>
      <c r="Y1063" s="48" t="n"/>
      <c r="Z1063" s="49" t="n"/>
      <c r="AA1063" s="49" t="n"/>
      <c r="AB1063" s="49" t="n"/>
      <c r="AC1063" s="50" t="n"/>
      <c r="AD1063" s="43">
        <f>IF(Z1063&lt;&gt;"",Z1063,N(V1063))</f>
        <v/>
      </c>
      <c r="AE1063" s="43">
        <f>IF(AA1063&lt;&gt;"",AA1063,N(W1063))</f>
        <v/>
      </c>
      <c r="AF1063" s="43">
        <f>AD1063+AE1063</f>
        <v/>
      </c>
      <c r="AG1063" s="42">
        <f>IF(UPPER(AC1063)="Y",1,IF(AF1063=0,0,IF(AND(Z1063="",Y1063&lt;&gt;""),IF(Y1063&gt;=0.999,1,0),IF(AF1063&gt;=U1063,1,0))))</f>
        <v/>
      </c>
      <c r="AH1063" s="44">
        <f>IF(AF1063&gt;0,(AD1063-AE1063)/AF1063,"")</f>
        <v/>
      </c>
      <c r="AI1063" s="45">
        <f>IF(AG1063=1,AH1063-O1063,"")</f>
        <v/>
      </c>
      <c r="AJ1063" s="44">
        <f>IF(AG1063=1,AH1063,MAX(-1,MIN(1,O1063+INDEX(Types!$H:$H,MATCH($A1063&amp;"|"&amp;$D1063,Types!$A:$A,0)))))</f>
        <v/>
      </c>
      <c r="AK1063" s="43">
        <f>IF(AG1063=1,AF1063,MAX(AQ1063*AS1063,AF1063))</f>
        <v/>
      </c>
      <c r="AL1063" s="43">
        <f>IF(AG1063=1,AD1063,AK1063*(1+AJ1063)/2)</f>
        <v/>
      </c>
      <c r="AM1063" s="43">
        <f>IF(AG1063=1,AE1063,AK1063*(1-AJ1063)/2)</f>
        <v/>
      </c>
      <c r="AN1063" s="45">
        <f>IF(AH1063="","",AH1063-T1063)</f>
        <v/>
      </c>
      <c r="AO1063" s="51">
        <f>IF(AG1063=1,1,IF(U1063&gt;0,MIN(AF1063/U1063,0.99),0))</f>
        <v/>
      </c>
      <c r="AP1063" s="43">
        <f>IF(AG1063=1,AI1063*AF1063,0)</f>
        <v/>
      </c>
      <c r="AQ1063" s="43">
        <f>N1063*(F1063+G1063)/H1063</f>
        <v/>
      </c>
      <c r="AR1063" s="43">
        <f>O1063*AQ1063</f>
        <v/>
      </c>
      <c r="AS1063" s="52">
        <f>IF(AG1063=1,IF(AQ1063&gt;0,AF1063/AQ1063,1),IFERROR(INDEX(Types!$K:$K,MATCH($A1063&amp;"|"&amp;$D1063,Types!$A:$A,0)),INDEX(Dashboard!$X$6:$X$22,MATCH($A1063,Dashboard!$A$6:$A$22,0))))</f>
        <v/>
      </c>
      <c r="AT1063" s="43">
        <f>AQ1063*INDEX(Dashboard!$Y$6:$Y$22,MATCH($A1063,Dashboard!$A$6:$A$22,0))</f>
        <v/>
      </c>
      <c r="AU1063" s="53">
        <f>IF(AND(AG1063=1,AT1063&gt;0,AF1063&gt;0),100*AF1063/AT1063,"")</f>
        <v/>
      </c>
      <c r="AV1063" s="44">
        <f>IF(AU1063="","",T1063/(AU1063/100))</f>
        <v/>
      </c>
      <c r="AW1063" s="53">
        <f>IF(AU1063="","",IF(AND(ABS(AH1063)&gt;=0.1,ABS(T1063)&gt;=0.05,SIGN(AH1063)=SIGN(T1063)),100*T1063/AH1063,""))</f>
        <v/>
      </c>
      <c r="AX1063" s="45">
        <f>IF(AU1063="","",T1063-AV1063)</f>
        <v/>
      </c>
      <c r="AY1063" s="45">
        <f>IF(AU1063="","",AH1063-AV1063)</f>
        <v/>
      </c>
      <c r="AZ1063" s="54">
        <f>(AL1063-AM1063)-T1063*AT1063</f>
        <v/>
      </c>
      <c r="BA1063" s="43">
        <f>IF(AU1063="",0,(AH1063-T1063)*AF1063)</f>
        <v/>
      </c>
      <c r="BB1063" s="43">
        <f>IF(AU1063="",0,T1063*(AF1063-AT1063))</f>
        <v/>
      </c>
      <c r="BC1063" s="51" t="n">
        <v>0.0339637990644702</v>
      </c>
      <c r="BD1063" s="51" t="n">
        <v>0.5664022778116737</v>
      </c>
      <c r="BE1063" s="51" t="n">
        <v>0.1413406126781923</v>
      </c>
      <c r="BF1063" s="43" t="n">
        <v>4917</v>
      </c>
    </row>
    <row r="1064">
      <c r="A1064" s="42" t="inlineStr">
        <is>
          <t>TX</t>
        </is>
      </c>
      <c r="B1064" s="42" t="inlineStr">
        <is>
          <t>48109</t>
        </is>
      </c>
      <c r="C1064" s="42" t="inlineStr">
        <is>
          <t>Culberson</t>
        </is>
      </c>
      <c r="D1064" s="42" t="inlineStr">
        <is>
          <t>Hispanic</t>
        </is>
      </c>
      <c r="E1064" s="42" t="inlineStr"/>
      <c r="F1064" s="43" t="n">
        <v>319</v>
      </c>
      <c r="G1064" s="43" t="n">
        <v>451</v>
      </c>
      <c r="H1064" s="43" t="n">
        <v>781</v>
      </c>
      <c r="I1064" s="43" t="n">
        <v>438</v>
      </c>
      <c r="J1064" s="43" t="n">
        <v>415</v>
      </c>
      <c r="K1064" s="42" t="inlineStr">
        <is>
          <t>Governor</t>
        </is>
      </c>
      <c r="L1064" s="43" t="n">
        <v>328</v>
      </c>
      <c r="M1064" s="43" t="n">
        <v>391</v>
      </c>
      <c r="N1064" s="43" t="n">
        <v>735</v>
      </c>
      <c r="O1064" s="44">
        <f>IFERROR((F1064-G1064)/(F1064+G1064),"")</f>
        <v/>
      </c>
      <c r="P1064" s="44">
        <f>IFERROR((I1064-J1064)/(I1064+J1064),"")</f>
        <v/>
      </c>
      <c r="Q1064" s="45">
        <f>IFERROR(O1064-P1064,"")</f>
        <v/>
      </c>
      <c r="R1064" s="44">
        <f>IFERROR((L1064-M1064)/(L1064+M1064),"")</f>
        <v/>
      </c>
      <c r="S1064" s="46">
        <f>H1064/SUMIFS(Counties!$H$2:$H$1583,Counties!$A$2:$A$1583,$A1064)</f>
        <v/>
      </c>
      <c r="T1064" s="44">
        <f>O1064+INDEX(Dashboard!$F$6:$F$22,MATCH($A1064,Dashboard!$A$6:$A$22,0))</f>
        <v/>
      </c>
      <c r="U1064" s="43">
        <f>AQ1064*INDEX(Dashboard!$G$6:$G$22,MATCH($A1064,Dashboard!$A$6:$A$22,0))</f>
        <v/>
      </c>
      <c r="V1064" s="47" t="n"/>
      <c r="W1064" s="47" t="n"/>
      <c r="X1064" s="47" t="n"/>
      <c r="Y1064" s="48" t="n"/>
      <c r="Z1064" s="49" t="n"/>
      <c r="AA1064" s="49" t="n"/>
      <c r="AB1064" s="49" t="n"/>
      <c r="AC1064" s="50" t="n"/>
      <c r="AD1064" s="43">
        <f>IF(Z1064&lt;&gt;"",Z1064,N(V1064))</f>
        <v/>
      </c>
      <c r="AE1064" s="43">
        <f>IF(AA1064&lt;&gt;"",AA1064,N(W1064))</f>
        <v/>
      </c>
      <c r="AF1064" s="43">
        <f>AD1064+AE1064</f>
        <v/>
      </c>
      <c r="AG1064" s="42">
        <f>IF(UPPER(AC1064)="Y",1,IF(AF1064=0,0,IF(AND(Z1064="",Y1064&lt;&gt;""),IF(Y1064&gt;=0.999,1,0),IF(AF1064&gt;=U1064,1,0))))</f>
        <v/>
      </c>
      <c r="AH1064" s="44">
        <f>IF(AF1064&gt;0,(AD1064-AE1064)/AF1064,"")</f>
        <v/>
      </c>
      <c r="AI1064" s="45">
        <f>IF(AG1064=1,AH1064-O1064,"")</f>
        <v/>
      </c>
      <c r="AJ1064" s="44">
        <f>IF(AG1064=1,AH1064,MAX(-1,MIN(1,O1064+INDEX(Types!$H:$H,MATCH($A1064&amp;"|"&amp;$D1064,Types!$A:$A,0)))))</f>
        <v/>
      </c>
      <c r="AK1064" s="43">
        <f>IF(AG1064=1,AF1064,MAX(AQ1064*AS1064,AF1064))</f>
        <v/>
      </c>
      <c r="AL1064" s="43">
        <f>IF(AG1064=1,AD1064,AK1064*(1+AJ1064)/2)</f>
        <v/>
      </c>
      <c r="AM1064" s="43">
        <f>IF(AG1064=1,AE1064,AK1064*(1-AJ1064)/2)</f>
        <v/>
      </c>
      <c r="AN1064" s="45">
        <f>IF(AH1064="","",AH1064-T1064)</f>
        <v/>
      </c>
      <c r="AO1064" s="51">
        <f>IF(AG1064=1,1,IF(U1064&gt;0,MIN(AF1064/U1064,0.99),0))</f>
        <v/>
      </c>
      <c r="AP1064" s="43">
        <f>IF(AG1064=1,AI1064*AF1064,0)</f>
        <v/>
      </c>
      <c r="AQ1064" s="43">
        <f>N1064*(F1064+G1064)/H1064</f>
        <v/>
      </c>
      <c r="AR1064" s="43">
        <f>O1064*AQ1064</f>
        <v/>
      </c>
      <c r="AS1064" s="52">
        <f>IF(AG1064=1,IF(AQ1064&gt;0,AF1064/AQ1064,1),IFERROR(INDEX(Types!$K:$K,MATCH($A1064&amp;"|"&amp;$D1064,Types!$A:$A,0)),INDEX(Dashboard!$X$6:$X$22,MATCH($A1064,Dashboard!$A$6:$A$22,0))))</f>
        <v/>
      </c>
      <c r="AT1064" s="43">
        <f>AQ1064*INDEX(Dashboard!$Y$6:$Y$22,MATCH($A1064,Dashboard!$A$6:$A$22,0))</f>
        <v/>
      </c>
      <c r="AU1064" s="53">
        <f>IF(AND(AG1064=1,AT1064&gt;0,AF1064&gt;0),100*AF1064/AT1064,"")</f>
        <v/>
      </c>
      <c r="AV1064" s="44">
        <f>IF(AU1064="","",T1064/(AU1064/100))</f>
        <v/>
      </c>
      <c r="AW1064" s="53">
        <f>IF(AU1064="","",IF(AND(ABS(AH1064)&gt;=0.1,ABS(T1064)&gt;=0.05,SIGN(AH1064)=SIGN(T1064)),100*T1064/AH1064,""))</f>
        <v/>
      </c>
      <c r="AX1064" s="45">
        <f>IF(AU1064="","",T1064-AV1064)</f>
        <v/>
      </c>
      <c r="AY1064" s="45">
        <f>IF(AU1064="","",AH1064-AV1064)</f>
        <v/>
      </c>
      <c r="AZ1064" s="54">
        <f>(AL1064-AM1064)-T1064*AT1064</f>
        <v/>
      </c>
      <c r="BA1064" s="43">
        <f>IF(AU1064="",0,(AH1064-T1064)*AF1064)</f>
        <v/>
      </c>
      <c r="BB1064" s="43">
        <f>IF(AU1064="",0,T1064*(AF1064-AT1064))</f>
        <v/>
      </c>
      <c r="BC1064" s="51" t="n">
        <v>0.02868852459016394</v>
      </c>
      <c r="BD1064" s="51" t="n">
        <v>0.6830601092896175</v>
      </c>
      <c r="BE1064" s="51" t="n">
        <v>0.1630367143746111</v>
      </c>
      <c r="BF1064" s="43" t="n">
        <v>2196</v>
      </c>
    </row>
    <row r="1065">
      <c r="A1065" s="42" t="inlineStr">
        <is>
          <t>TX</t>
        </is>
      </c>
      <c r="B1065" s="42" t="inlineStr">
        <is>
          <t>48111</t>
        </is>
      </c>
      <c r="C1065" s="42" t="inlineStr">
        <is>
          <t>Dallam</t>
        </is>
      </c>
      <c r="D1065" s="42" t="inlineStr">
        <is>
          <t>Hispanic</t>
        </is>
      </c>
      <c r="E1065" s="42" t="inlineStr"/>
      <c r="F1065" s="43" t="n">
        <v>152</v>
      </c>
      <c r="G1065" s="43" t="n">
        <v>1285</v>
      </c>
      <c r="H1065" s="43" t="n">
        <v>1447</v>
      </c>
      <c r="I1065" s="43" t="n">
        <v>197</v>
      </c>
      <c r="J1065" s="43" t="n">
        <v>1389</v>
      </c>
      <c r="K1065" s="42" t="inlineStr">
        <is>
          <t>Governor</t>
        </is>
      </c>
      <c r="L1065" s="43" t="n">
        <v>78</v>
      </c>
      <c r="M1065" s="43" t="n">
        <v>958</v>
      </c>
      <c r="N1065" s="43" t="n">
        <v>1050</v>
      </c>
      <c r="O1065" s="44">
        <f>IFERROR((F1065-G1065)/(F1065+G1065),"")</f>
        <v/>
      </c>
      <c r="P1065" s="44">
        <f>IFERROR((I1065-J1065)/(I1065+J1065),"")</f>
        <v/>
      </c>
      <c r="Q1065" s="45">
        <f>IFERROR(O1065-P1065,"")</f>
        <v/>
      </c>
      <c r="R1065" s="44">
        <f>IFERROR((L1065-M1065)/(L1065+M1065),"")</f>
        <v/>
      </c>
      <c r="S1065" s="46">
        <f>H1065/SUMIFS(Counties!$H$2:$H$1583,Counties!$A$2:$A$1583,$A1065)</f>
        <v/>
      </c>
      <c r="T1065" s="44">
        <f>O1065+INDEX(Dashboard!$F$6:$F$22,MATCH($A1065,Dashboard!$A$6:$A$22,0))</f>
        <v/>
      </c>
      <c r="U1065" s="43">
        <f>AQ1065*INDEX(Dashboard!$G$6:$G$22,MATCH($A1065,Dashboard!$A$6:$A$22,0))</f>
        <v/>
      </c>
      <c r="V1065" s="47" t="n"/>
      <c r="W1065" s="47" t="n"/>
      <c r="X1065" s="47" t="n"/>
      <c r="Y1065" s="48" t="n"/>
      <c r="Z1065" s="49" t="n"/>
      <c r="AA1065" s="49" t="n"/>
      <c r="AB1065" s="49" t="n"/>
      <c r="AC1065" s="50" t="n"/>
      <c r="AD1065" s="43">
        <f>IF(Z1065&lt;&gt;"",Z1065,N(V1065))</f>
        <v/>
      </c>
      <c r="AE1065" s="43">
        <f>IF(AA1065&lt;&gt;"",AA1065,N(W1065))</f>
        <v/>
      </c>
      <c r="AF1065" s="43">
        <f>AD1065+AE1065</f>
        <v/>
      </c>
      <c r="AG1065" s="42">
        <f>IF(UPPER(AC1065)="Y",1,IF(AF1065=0,0,IF(AND(Z1065="",Y1065&lt;&gt;""),IF(Y1065&gt;=0.999,1,0),IF(AF1065&gt;=U1065,1,0))))</f>
        <v/>
      </c>
      <c r="AH1065" s="44">
        <f>IF(AF1065&gt;0,(AD1065-AE1065)/AF1065,"")</f>
        <v/>
      </c>
      <c r="AI1065" s="45">
        <f>IF(AG1065=1,AH1065-O1065,"")</f>
        <v/>
      </c>
      <c r="AJ1065" s="44">
        <f>IF(AG1065=1,AH1065,MAX(-1,MIN(1,O1065+INDEX(Types!$H:$H,MATCH($A1065&amp;"|"&amp;$D1065,Types!$A:$A,0)))))</f>
        <v/>
      </c>
      <c r="AK1065" s="43">
        <f>IF(AG1065=1,AF1065,MAX(AQ1065*AS1065,AF1065))</f>
        <v/>
      </c>
      <c r="AL1065" s="43">
        <f>IF(AG1065=1,AD1065,AK1065*(1+AJ1065)/2)</f>
        <v/>
      </c>
      <c r="AM1065" s="43">
        <f>IF(AG1065=1,AE1065,AK1065*(1-AJ1065)/2)</f>
        <v/>
      </c>
      <c r="AN1065" s="45">
        <f>IF(AH1065="","",AH1065-T1065)</f>
        <v/>
      </c>
      <c r="AO1065" s="51">
        <f>IF(AG1065=1,1,IF(U1065&gt;0,MIN(AF1065/U1065,0.99),0))</f>
        <v/>
      </c>
      <c r="AP1065" s="43">
        <f>IF(AG1065=1,AI1065*AF1065,0)</f>
        <v/>
      </c>
      <c r="AQ1065" s="43">
        <f>N1065*(F1065+G1065)/H1065</f>
        <v/>
      </c>
      <c r="AR1065" s="43">
        <f>O1065*AQ1065</f>
        <v/>
      </c>
      <c r="AS1065" s="52">
        <f>IF(AG1065=1,IF(AQ1065&gt;0,AF1065/AQ1065,1),IFERROR(INDEX(Types!$K:$K,MATCH($A1065&amp;"|"&amp;$D1065,Types!$A:$A,0)),INDEX(Dashboard!$X$6:$X$22,MATCH($A1065,Dashboard!$A$6:$A$22,0))))</f>
        <v/>
      </c>
      <c r="AT1065" s="43">
        <f>AQ1065*INDEX(Dashboard!$Y$6:$Y$22,MATCH($A1065,Dashboard!$A$6:$A$22,0))</f>
        <v/>
      </c>
      <c r="AU1065" s="53">
        <f>IF(AND(AG1065=1,AT1065&gt;0,AF1065&gt;0),100*AF1065/AT1065,"")</f>
        <v/>
      </c>
      <c r="AV1065" s="44">
        <f>IF(AU1065="","",T1065/(AU1065/100))</f>
        <v/>
      </c>
      <c r="AW1065" s="53">
        <f>IF(AU1065="","",IF(AND(ABS(AH1065)&gt;=0.1,ABS(T1065)&gt;=0.05,SIGN(AH1065)=SIGN(T1065)),100*T1065/AH1065,""))</f>
        <v/>
      </c>
      <c r="AX1065" s="45">
        <f>IF(AU1065="","",T1065-AV1065)</f>
        <v/>
      </c>
      <c r="AY1065" s="45">
        <f>IF(AU1065="","",AH1065-AV1065)</f>
        <v/>
      </c>
      <c r="AZ1065" s="54">
        <f>(AL1065-AM1065)-T1065*AT1065</f>
        <v/>
      </c>
      <c r="BA1065" s="43">
        <f>IF(AU1065="",0,(AH1065-T1065)*AF1065)</f>
        <v/>
      </c>
      <c r="BB1065" s="43">
        <f>IF(AU1065="",0,T1065*(AF1065-AT1065))</f>
        <v/>
      </c>
      <c r="BC1065" s="51" t="n">
        <v>0.0178250656349316</v>
      </c>
      <c r="BD1065" s="51" t="n">
        <v>0.548984385795219</v>
      </c>
      <c r="BE1065" s="51" t="n">
        <v>0.1571883530482256</v>
      </c>
      <c r="BF1065" s="43" t="n">
        <v>7237</v>
      </c>
    </row>
    <row r="1066">
      <c r="A1066" s="42" t="inlineStr">
        <is>
          <t>TX</t>
        </is>
      </c>
      <c r="B1066" s="42" t="inlineStr">
        <is>
          <t>48113</t>
        </is>
      </c>
      <c r="C1066" s="42" t="inlineStr">
        <is>
          <t>Dallas</t>
        </is>
      </c>
      <c r="D1066" s="42" t="inlineStr">
        <is>
          <t>Big metro core</t>
        </is>
      </c>
      <c r="E1066" s="42" t="inlineStr">
        <is>
          <t>★</t>
        </is>
      </c>
      <c r="F1066" s="43" t="n">
        <v>511118</v>
      </c>
      <c r="G1066" s="43" t="n">
        <v>322569</v>
      </c>
      <c r="H1066" s="43" t="n">
        <v>848948</v>
      </c>
      <c r="I1066" s="43" t="n">
        <v>598576</v>
      </c>
      <c r="J1066" s="43" t="n">
        <v>307076</v>
      </c>
      <c r="K1066" s="42" t="inlineStr">
        <is>
          <t>Governor</t>
        </is>
      </c>
      <c r="L1066" s="43" t="n">
        <v>392634</v>
      </c>
      <c r="M1066" s="43" t="n">
        <v>224684</v>
      </c>
      <c r="N1066" s="43" t="n">
        <v>625905</v>
      </c>
      <c r="O1066" s="44">
        <f>IFERROR((F1066-G1066)/(F1066+G1066),"")</f>
        <v/>
      </c>
      <c r="P1066" s="44">
        <f>IFERROR((I1066-J1066)/(I1066+J1066),"")</f>
        <v/>
      </c>
      <c r="Q1066" s="45">
        <f>IFERROR(O1066-P1066,"")</f>
        <v/>
      </c>
      <c r="R1066" s="44">
        <f>IFERROR((L1066-M1066)/(L1066+M1066),"")</f>
        <v/>
      </c>
      <c r="S1066" s="46">
        <f>H1066/SUMIFS(Counties!$H$2:$H$1583,Counties!$A$2:$A$1583,$A1066)</f>
        <v/>
      </c>
      <c r="T1066" s="44">
        <f>O1066+INDEX(Dashboard!$F$6:$F$22,MATCH($A1066,Dashboard!$A$6:$A$22,0))</f>
        <v/>
      </c>
      <c r="U1066" s="43">
        <f>AQ1066*INDEX(Dashboard!$G$6:$G$22,MATCH($A1066,Dashboard!$A$6:$A$22,0))</f>
        <v/>
      </c>
      <c r="V1066" s="47" t="n"/>
      <c r="W1066" s="47" t="n"/>
      <c r="X1066" s="47" t="n"/>
      <c r="Y1066" s="48" t="n"/>
      <c r="Z1066" s="49" t="n"/>
      <c r="AA1066" s="49" t="n"/>
      <c r="AB1066" s="49" t="n"/>
      <c r="AC1066" s="50" t="n"/>
      <c r="AD1066" s="43">
        <f>IF(Z1066&lt;&gt;"",Z1066,N(V1066))</f>
        <v/>
      </c>
      <c r="AE1066" s="43">
        <f>IF(AA1066&lt;&gt;"",AA1066,N(W1066))</f>
        <v/>
      </c>
      <c r="AF1066" s="43">
        <f>AD1066+AE1066</f>
        <v/>
      </c>
      <c r="AG1066" s="42">
        <f>IF(UPPER(AC1066)="Y",1,IF(AF1066=0,0,IF(AND(Z1066="",Y1066&lt;&gt;""),IF(Y1066&gt;=0.999,1,0),IF(AF1066&gt;=U1066,1,0))))</f>
        <v/>
      </c>
      <c r="AH1066" s="44">
        <f>IF(AF1066&gt;0,(AD1066-AE1066)/AF1066,"")</f>
        <v/>
      </c>
      <c r="AI1066" s="45">
        <f>IF(AG1066=1,AH1066-O1066,"")</f>
        <v/>
      </c>
      <c r="AJ1066" s="44">
        <f>IF(AG1066=1,AH1066,MAX(-1,MIN(1,O1066+INDEX(Types!$H:$H,MATCH($A1066&amp;"|"&amp;$D1066,Types!$A:$A,0)))))</f>
        <v/>
      </c>
      <c r="AK1066" s="43">
        <f>IF(AG1066=1,AF1066,MAX(AQ1066*AS1066,AF1066))</f>
        <v/>
      </c>
      <c r="AL1066" s="43">
        <f>IF(AG1066=1,AD1066,AK1066*(1+AJ1066)/2)</f>
        <v/>
      </c>
      <c r="AM1066" s="43">
        <f>IF(AG1066=1,AE1066,AK1066*(1-AJ1066)/2)</f>
        <v/>
      </c>
      <c r="AN1066" s="45">
        <f>IF(AH1066="","",AH1066-T1066)</f>
        <v/>
      </c>
      <c r="AO1066" s="51">
        <f>IF(AG1066=1,1,IF(U1066&gt;0,MIN(AF1066/U1066,0.99),0))</f>
        <v/>
      </c>
      <c r="AP1066" s="43">
        <f>IF(AG1066=1,AI1066*AF1066,0)</f>
        <v/>
      </c>
      <c r="AQ1066" s="43">
        <f>N1066*(F1066+G1066)/H1066</f>
        <v/>
      </c>
      <c r="AR1066" s="43">
        <f>O1066*AQ1066</f>
        <v/>
      </c>
      <c r="AS1066" s="52">
        <f>IF(AG1066=1,IF(AQ1066&gt;0,AF1066/AQ1066,1),IFERROR(INDEX(Types!$K:$K,MATCH($A1066&amp;"|"&amp;$D1066,Types!$A:$A,0)),INDEX(Dashboard!$X$6:$X$22,MATCH($A1066,Dashboard!$A$6:$A$22,0))))</f>
        <v/>
      </c>
      <c r="AT1066" s="43">
        <f>AQ1066*INDEX(Dashboard!$Y$6:$Y$22,MATCH($A1066,Dashboard!$A$6:$A$22,0))</f>
        <v/>
      </c>
      <c r="AU1066" s="53">
        <f>IF(AND(AG1066=1,AT1066&gt;0,AF1066&gt;0),100*AF1066/AT1066,"")</f>
        <v/>
      </c>
      <c r="AV1066" s="44">
        <f>IF(AU1066="","",T1066/(AU1066/100))</f>
        <v/>
      </c>
      <c r="AW1066" s="53">
        <f>IF(AU1066="","",IF(AND(ABS(AH1066)&gt;=0.1,ABS(T1066)&gt;=0.05,SIGN(AH1066)=SIGN(T1066)),100*T1066/AH1066,""))</f>
        <v/>
      </c>
      <c r="AX1066" s="45">
        <f>IF(AU1066="","",T1066-AV1066)</f>
        <v/>
      </c>
      <c r="AY1066" s="45">
        <f>IF(AU1066="","",AH1066-AV1066)</f>
        <v/>
      </c>
      <c r="AZ1066" s="54">
        <f>(AL1066-AM1066)-T1066*AT1066</f>
        <v/>
      </c>
      <c r="BA1066" s="43">
        <f>IF(AU1066="",0,(AH1066-T1066)*AF1066)</f>
        <v/>
      </c>
      <c r="BB1066" s="43">
        <f>IF(AU1066="",0,T1066*(AF1066-AT1066))</f>
        <v/>
      </c>
      <c r="BC1066" s="51" t="n">
        <v>0.2302273900975998</v>
      </c>
      <c r="BD1066" s="51" t="n">
        <v>0.4135475633048108</v>
      </c>
      <c r="BE1066" s="51" t="n">
        <v>0.3484724558992617</v>
      </c>
      <c r="BF1066" s="43" t="n">
        <v>2606358</v>
      </c>
    </row>
    <row r="1067">
      <c r="A1067" s="42" t="inlineStr">
        <is>
          <t>TX</t>
        </is>
      </c>
      <c r="B1067" s="42" t="inlineStr">
        <is>
          <t>48115</t>
        </is>
      </c>
      <c r="C1067" s="42" t="inlineStr">
        <is>
          <t>Dawson</t>
        </is>
      </c>
      <c r="D1067" s="42" t="inlineStr">
        <is>
          <t>Hispanic</t>
        </is>
      </c>
      <c r="E1067" s="42" t="inlineStr"/>
      <c r="F1067" s="43" t="n">
        <v>667</v>
      </c>
      <c r="G1067" s="43" t="n">
        <v>2810</v>
      </c>
      <c r="H1067" s="43" t="n">
        <v>3511</v>
      </c>
      <c r="I1067" s="43" t="n">
        <v>808</v>
      </c>
      <c r="J1067" s="43" t="n">
        <v>2951</v>
      </c>
      <c r="K1067" s="42" t="inlineStr">
        <is>
          <t>Governor</t>
        </is>
      </c>
      <c r="L1067" s="43" t="n">
        <v>402</v>
      </c>
      <c r="M1067" s="43" t="n">
        <v>2088</v>
      </c>
      <c r="N1067" s="43" t="n">
        <v>2516</v>
      </c>
      <c r="O1067" s="44">
        <f>IFERROR((F1067-G1067)/(F1067+G1067),"")</f>
        <v/>
      </c>
      <c r="P1067" s="44">
        <f>IFERROR((I1067-J1067)/(I1067+J1067),"")</f>
        <v/>
      </c>
      <c r="Q1067" s="45">
        <f>IFERROR(O1067-P1067,"")</f>
        <v/>
      </c>
      <c r="R1067" s="44">
        <f>IFERROR((L1067-M1067)/(L1067+M1067),"")</f>
        <v/>
      </c>
      <c r="S1067" s="46">
        <f>H1067/SUMIFS(Counties!$H$2:$H$1583,Counties!$A$2:$A$1583,$A1067)</f>
        <v/>
      </c>
      <c r="T1067" s="44">
        <f>O1067+INDEX(Dashboard!$F$6:$F$22,MATCH($A1067,Dashboard!$A$6:$A$22,0))</f>
        <v/>
      </c>
      <c r="U1067" s="43">
        <f>AQ1067*INDEX(Dashboard!$G$6:$G$22,MATCH($A1067,Dashboard!$A$6:$A$22,0))</f>
        <v/>
      </c>
      <c r="V1067" s="47" t="n"/>
      <c r="W1067" s="47" t="n"/>
      <c r="X1067" s="47" t="n"/>
      <c r="Y1067" s="48" t="n"/>
      <c r="Z1067" s="49" t="n"/>
      <c r="AA1067" s="49" t="n"/>
      <c r="AB1067" s="49" t="n"/>
      <c r="AC1067" s="50" t="n"/>
      <c r="AD1067" s="43">
        <f>IF(Z1067&lt;&gt;"",Z1067,N(V1067))</f>
        <v/>
      </c>
      <c r="AE1067" s="43">
        <f>IF(AA1067&lt;&gt;"",AA1067,N(W1067))</f>
        <v/>
      </c>
      <c r="AF1067" s="43">
        <f>AD1067+AE1067</f>
        <v/>
      </c>
      <c r="AG1067" s="42">
        <f>IF(UPPER(AC1067)="Y",1,IF(AF1067=0,0,IF(AND(Z1067="",Y1067&lt;&gt;""),IF(Y1067&gt;=0.999,1,0),IF(AF1067&gt;=U1067,1,0))))</f>
        <v/>
      </c>
      <c r="AH1067" s="44">
        <f>IF(AF1067&gt;0,(AD1067-AE1067)/AF1067,"")</f>
        <v/>
      </c>
      <c r="AI1067" s="45">
        <f>IF(AG1067=1,AH1067-O1067,"")</f>
        <v/>
      </c>
      <c r="AJ1067" s="44">
        <f>IF(AG1067=1,AH1067,MAX(-1,MIN(1,O1067+INDEX(Types!$H:$H,MATCH($A1067&amp;"|"&amp;$D1067,Types!$A:$A,0)))))</f>
        <v/>
      </c>
      <c r="AK1067" s="43">
        <f>IF(AG1067=1,AF1067,MAX(AQ1067*AS1067,AF1067))</f>
        <v/>
      </c>
      <c r="AL1067" s="43">
        <f>IF(AG1067=1,AD1067,AK1067*(1+AJ1067)/2)</f>
        <v/>
      </c>
      <c r="AM1067" s="43">
        <f>IF(AG1067=1,AE1067,AK1067*(1-AJ1067)/2)</f>
        <v/>
      </c>
      <c r="AN1067" s="45">
        <f>IF(AH1067="","",AH1067-T1067)</f>
        <v/>
      </c>
      <c r="AO1067" s="51">
        <f>IF(AG1067=1,1,IF(U1067&gt;0,MIN(AF1067/U1067,0.99),0))</f>
        <v/>
      </c>
      <c r="AP1067" s="43">
        <f>IF(AG1067=1,AI1067*AF1067,0)</f>
        <v/>
      </c>
      <c r="AQ1067" s="43">
        <f>N1067*(F1067+G1067)/H1067</f>
        <v/>
      </c>
      <c r="AR1067" s="43">
        <f>O1067*AQ1067</f>
        <v/>
      </c>
      <c r="AS1067" s="52">
        <f>IF(AG1067=1,IF(AQ1067&gt;0,AF1067/AQ1067,1),IFERROR(INDEX(Types!$K:$K,MATCH($A1067&amp;"|"&amp;$D1067,Types!$A:$A,0)),INDEX(Dashboard!$X$6:$X$22,MATCH($A1067,Dashboard!$A$6:$A$22,0))))</f>
        <v/>
      </c>
      <c r="AT1067" s="43">
        <f>AQ1067*INDEX(Dashboard!$Y$6:$Y$22,MATCH($A1067,Dashboard!$A$6:$A$22,0))</f>
        <v/>
      </c>
      <c r="AU1067" s="53">
        <f>IF(AND(AG1067=1,AT1067&gt;0,AF1067&gt;0),100*AF1067/AT1067,"")</f>
        <v/>
      </c>
      <c r="AV1067" s="44">
        <f>IF(AU1067="","",T1067/(AU1067/100))</f>
        <v/>
      </c>
      <c r="AW1067" s="53">
        <f>IF(AU1067="","",IF(AND(ABS(AH1067)&gt;=0.1,ABS(T1067)&gt;=0.05,SIGN(AH1067)=SIGN(T1067)),100*T1067/AH1067,""))</f>
        <v/>
      </c>
      <c r="AX1067" s="45">
        <f>IF(AU1067="","",T1067-AV1067)</f>
        <v/>
      </c>
      <c r="AY1067" s="45">
        <f>IF(AU1067="","",AH1067-AV1067)</f>
        <v/>
      </c>
      <c r="AZ1067" s="54">
        <f>(AL1067-AM1067)-T1067*AT1067</f>
        <v/>
      </c>
      <c r="BA1067" s="43">
        <f>IF(AU1067="",0,(AH1067-T1067)*AF1067)</f>
        <v/>
      </c>
      <c r="BB1067" s="43">
        <f>IF(AU1067="",0,T1067*(AF1067-AT1067))</f>
        <v/>
      </c>
      <c r="BC1067" s="51" t="n">
        <v>0.06439520159946685</v>
      </c>
      <c r="BD1067" s="51" t="n">
        <v>0.5638120626457848</v>
      </c>
      <c r="BE1067" s="51" t="n">
        <v>0.1447057359711335</v>
      </c>
      <c r="BF1067" s="43" t="n">
        <v>12004</v>
      </c>
    </row>
    <row r="1068">
      <c r="A1068" s="42" t="inlineStr">
        <is>
          <t>TX</t>
        </is>
      </c>
      <c r="B1068" s="42" t="inlineStr">
        <is>
          <t>48123</t>
        </is>
      </c>
      <c r="C1068" s="42" t="inlineStr">
        <is>
          <t>DeWitt</t>
        </is>
      </c>
      <c r="D1068" s="42" t="inlineStr">
        <is>
          <t>Small town &amp; rural</t>
        </is>
      </c>
      <c r="E1068" s="42" t="inlineStr"/>
      <c r="F1068" s="43" t="n">
        <v>1270</v>
      </c>
      <c r="G1068" s="43" t="n">
        <v>6515</v>
      </c>
      <c r="H1068" s="43" t="n">
        <v>7824</v>
      </c>
      <c r="I1068" s="43" t="n">
        <v>1494</v>
      </c>
      <c r="J1068" s="43" t="n">
        <v>6567</v>
      </c>
      <c r="K1068" s="42" t="inlineStr">
        <is>
          <t>Governor</t>
        </is>
      </c>
      <c r="L1068" s="43" t="n">
        <v>878</v>
      </c>
      <c r="M1068" s="43" t="n">
        <v>5151</v>
      </c>
      <c r="N1068" s="43" t="n">
        <v>6061</v>
      </c>
      <c r="O1068" s="44">
        <f>IFERROR((F1068-G1068)/(F1068+G1068),"")</f>
        <v/>
      </c>
      <c r="P1068" s="44">
        <f>IFERROR((I1068-J1068)/(I1068+J1068),"")</f>
        <v/>
      </c>
      <c r="Q1068" s="45">
        <f>IFERROR(O1068-P1068,"")</f>
        <v/>
      </c>
      <c r="R1068" s="44">
        <f>IFERROR((L1068-M1068)/(L1068+M1068),"")</f>
        <v/>
      </c>
      <c r="S1068" s="46">
        <f>H1068/SUMIFS(Counties!$H$2:$H$1583,Counties!$A$2:$A$1583,$A1068)</f>
        <v/>
      </c>
      <c r="T1068" s="44">
        <f>O1068+INDEX(Dashboard!$F$6:$F$22,MATCH($A1068,Dashboard!$A$6:$A$22,0))</f>
        <v/>
      </c>
      <c r="U1068" s="43">
        <f>AQ1068*INDEX(Dashboard!$G$6:$G$22,MATCH($A1068,Dashboard!$A$6:$A$22,0))</f>
        <v/>
      </c>
      <c r="V1068" s="47" t="n"/>
      <c r="W1068" s="47" t="n"/>
      <c r="X1068" s="47" t="n"/>
      <c r="Y1068" s="48" t="n"/>
      <c r="Z1068" s="49" t="n"/>
      <c r="AA1068" s="49" t="n"/>
      <c r="AB1068" s="49" t="n"/>
      <c r="AC1068" s="50" t="n"/>
      <c r="AD1068" s="43">
        <f>IF(Z1068&lt;&gt;"",Z1068,N(V1068))</f>
        <v/>
      </c>
      <c r="AE1068" s="43">
        <f>IF(AA1068&lt;&gt;"",AA1068,N(W1068))</f>
        <v/>
      </c>
      <c r="AF1068" s="43">
        <f>AD1068+AE1068</f>
        <v/>
      </c>
      <c r="AG1068" s="42">
        <f>IF(UPPER(AC1068)="Y",1,IF(AF1068=0,0,IF(AND(Z1068="",Y1068&lt;&gt;""),IF(Y1068&gt;=0.999,1,0),IF(AF1068&gt;=U1068,1,0))))</f>
        <v/>
      </c>
      <c r="AH1068" s="44">
        <f>IF(AF1068&gt;0,(AD1068-AE1068)/AF1068,"")</f>
        <v/>
      </c>
      <c r="AI1068" s="45">
        <f>IF(AG1068=1,AH1068-O1068,"")</f>
        <v/>
      </c>
      <c r="AJ1068" s="44">
        <f>IF(AG1068=1,AH1068,MAX(-1,MIN(1,O1068+INDEX(Types!$H:$H,MATCH($A1068&amp;"|"&amp;$D1068,Types!$A:$A,0)))))</f>
        <v/>
      </c>
      <c r="AK1068" s="43">
        <f>IF(AG1068=1,AF1068,MAX(AQ1068*AS1068,AF1068))</f>
        <v/>
      </c>
      <c r="AL1068" s="43">
        <f>IF(AG1068=1,AD1068,AK1068*(1+AJ1068)/2)</f>
        <v/>
      </c>
      <c r="AM1068" s="43">
        <f>IF(AG1068=1,AE1068,AK1068*(1-AJ1068)/2)</f>
        <v/>
      </c>
      <c r="AN1068" s="45">
        <f>IF(AH1068="","",AH1068-T1068)</f>
        <v/>
      </c>
      <c r="AO1068" s="51">
        <f>IF(AG1068=1,1,IF(U1068&gt;0,MIN(AF1068/U1068,0.99),0))</f>
        <v/>
      </c>
      <c r="AP1068" s="43">
        <f>IF(AG1068=1,AI1068*AF1068,0)</f>
        <v/>
      </c>
      <c r="AQ1068" s="43">
        <f>N1068*(F1068+G1068)/H1068</f>
        <v/>
      </c>
      <c r="AR1068" s="43">
        <f>O1068*AQ1068</f>
        <v/>
      </c>
      <c r="AS1068" s="52">
        <f>IF(AG1068=1,IF(AQ1068&gt;0,AF1068/AQ1068,1),IFERROR(INDEX(Types!$K:$K,MATCH($A1068&amp;"|"&amp;$D1068,Types!$A:$A,0)),INDEX(Dashboard!$X$6:$X$22,MATCH($A1068,Dashboard!$A$6:$A$22,0))))</f>
        <v/>
      </c>
      <c r="AT1068" s="43">
        <f>AQ1068*INDEX(Dashboard!$Y$6:$Y$22,MATCH($A1068,Dashboard!$A$6:$A$22,0))</f>
        <v/>
      </c>
      <c r="AU1068" s="53">
        <f>IF(AND(AG1068=1,AT1068&gt;0,AF1068&gt;0),100*AF1068/AT1068,"")</f>
        <v/>
      </c>
      <c r="AV1068" s="44">
        <f>IF(AU1068="","",T1068/(AU1068/100))</f>
        <v/>
      </c>
      <c r="AW1068" s="53">
        <f>IF(AU1068="","",IF(AND(ABS(AH1068)&gt;=0.1,ABS(T1068)&gt;=0.05,SIGN(AH1068)=SIGN(T1068)),100*T1068/AH1068,""))</f>
        <v/>
      </c>
      <c r="AX1068" s="45">
        <f>IF(AU1068="","",T1068-AV1068)</f>
        <v/>
      </c>
      <c r="AY1068" s="45">
        <f>IF(AU1068="","",AH1068-AV1068)</f>
        <v/>
      </c>
      <c r="AZ1068" s="54">
        <f>(AL1068-AM1068)-T1068*AT1068</f>
        <v/>
      </c>
      <c r="BA1068" s="43">
        <f>IF(AU1068="",0,(AH1068-T1068)*AF1068)</f>
        <v/>
      </c>
      <c r="BB1068" s="43">
        <f>IF(AU1068="",0,T1068*(AF1068-AT1068))</f>
        <v/>
      </c>
      <c r="BC1068" s="51" t="n">
        <v>0.07667218626122736</v>
      </c>
      <c r="BD1068" s="51" t="n">
        <v>0.3607305936073059</v>
      </c>
      <c r="BE1068" s="51" t="n">
        <v>0.1574837310195228</v>
      </c>
      <c r="BF1068" s="43" t="n">
        <v>19929</v>
      </c>
    </row>
    <row r="1069">
      <c r="A1069" s="42" t="inlineStr">
        <is>
          <t>TX</t>
        </is>
      </c>
      <c r="B1069" s="42" t="inlineStr">
        <is>
          <t>48117</t>
        </is>
      </c>
      <c r="C1069" s="42" t="inlineStr">
        <is>
          <t>Deaf Smith</t>
        </is>
      </c>
      <c r="D1069" s="42" t="inlineStr">
        <is>
          <t>Hispanic</t>
        </is>
      </c>
      <c r="E1069" s="42" t="inlineStr"/>
      <c r="F1069" s="43" t="n">
        <v>1019</v>
      </c>
      <c r="G1069" s="43" t="n">
        <v>3233</v>
      </c>
      <c r="H1069" s="43" t="n">
        <v>4286</v>
      </c>
      <c r="I1069" s="43" t="n">
        <v>1264</v>
      </c>
      <c r="J1069" s="43" t="n">
        <v>3294</v>
      </c>
      <c r="K1069" s="42" t="inlineStr">
        <is>
          <t>Governor</t>
        </is>
      </c>
      <c r="L1069" s="43" t="n">
        <v>635</v>
      </c>
      <c r="M1069" s="43" t="n">
        <v>2281</v>
      </c>
      <c r="N1069" s="43" t="n">
        <v>2947</v>
      </c>
      <c r="O1069" s="44">
        <f>IFERROR((F1069-G1069)/(F1069+G1069),"")</f>
        <v/>
      </c>
      <c r="P1069" s="44">
        <f>IFERROR((I1069-J1069)/(I1069+J1069),"")</f>
        <v/>
      </c>
      <c r="Q1069" s="45">
        <f>IFERROR(O1069-P1069,"")</f>
        <v/>
      </c>
      <c r="R1069" s="44">
        <f>IFERROR((L1069-M1069)/(L1069+M1069),"")</f>
        <v/>
      </c>
      <c r="S1069" s="46">
        <f>H1069/SUMIFS(Counties!$H$2:$H$1583,Counties!$A$2:$A$1583,$A1069)</f>
        <v/>
      </c>
      <c r="T1069" s="44">
        <f>O1069+INDEX(Dashboard!$F$6:$F$22,MATCH($A1069,Dashboard!$A$6:$A$22,0))</f>
        <v/>
      </c>
      <c r="U1069" s="43">
        <f>AQ1069*INDEX(Dashboard!$G$6:$G$22,MATCH($A1069,Dashboard!$A$6:$A$22,0))</f>
        <v/>
      </c>
      <c r="V1069" s="47" t="n"/>
      <c r="W1069" s="47" t="n"/>
      <c r="X1069" s="47" t="n"/>
      <c r="Y1069" s="48" t="n"/>
      <c r="Z1069" s="49" t="n"/>
      <c r="AA1069" s="49" t="n"/>
      <c r="AB1069" s="49" t="n"/>
      <c r="AC1069" s="50" t="n"/>
      <c r="AD1069" s="43">
        <f>IF(Z1069&lt;&gt;"",Z1069,N(V1069))</f>
        <v/>
      </c>
      <c r="AE1069" s="43">
        <f>IF(AA1069&lt;&gt;"",AA1069,N(W1069))</f>
        <v/>
      </c>
      <c r="AF1069" s="43">
        <f>AD1069+AE1069</f>
        <v/>
      </c>
      <c r="AG1069" s="42">
        <f>IF(UPPER(AC1069)="Y",1,IF(AF1069=0,0,IF(AND(Z1069="",Y1069&lt;&gt;""),IF(Y1069&gt;=0.999,1,0),IF(AF1069&gt;=U1069,1,0))))</f>
        <v/>
      </c>
      <c r="AH1069" s="44">
        <f>IF(AF1069&gt;0,(AD1069-AE1069)/AF1069,"")</f>
        <v/>
      </c>
      <c r="AI1069" s="45">
        <f>IF(AG1069=1,AH1069-O1069,"")</f>
        <v/>
      </c>
      <c r="AJ1069" s="44">
        <f>IF(AG1069=1,AH1069,MAX(-1,MIN(1,O1069+INDEX(Types!$H:$H,MATCH($A1069&amp;"|"&amp;$D1069,Types!$A:$A,0)))))</f>
        <v/>
      </c>
      <c r="AK1069" s="43">
        <f>IF(AG1069=1,AF1069,MAX(AQ1069*AS1069,AF1069))</f>
        <v/>
      </c>
      <c r="AL1069" s="43">
        <f>IF(AG1069=1,AD1069,AK1069*(1+AJ1069)/2)</f>
        <v/>
      </c>
      <c r="AM1069" s="43">
        <f>IF(AG1069=1,AE1069,AK1069*(1-AJ1069)/2)</f>
        <v/>
      </c>
      <c r="AN1069" s="45">
        <f>IF(AH1069="","",AH1069-T1069)</f>
        <v/>
      </c>
      <c r="AO1069" s="51">
        <f>IF(AG1069=1,1,IF(U1069&gt;0,MIN(AF1069/U1069,0.99),0))</f>
        <v/>
      </c>
      <c r="AP1069" s="43">
        <f>IF(AG1069=1,AI1069*AF1069,0)</f>
        <v/>
      </c>
      <c r="AQ1069" s="43">
        <f>N1069*(F1069+G1069)/H1069</f>
        <v/>
      </c>
      <c r="AR1069" s="43">
        <f>O1069*AQ1069</f>
        <v/>
      </c>
      <c r="AS1069" s="52">
        <f>IF(AG1069=1,IF(AQ1069&gt;0,AF1069/AQ1069,1),IFERROR(INDEX(Types!$K:$K,MATCH($A1069&amp;"|"&amp;$D1069,Types!$A:$A,0)),INDEX(Dashboard!$X$6:$X$22,MATCH($A1069,Dashboard!$A$6:$A$22,0))))</f>
        <v/>
      </c>
      <c r="AT1069" s="43">
        <f>AQ1069*INDEX(Dashboard!$Y$6:$Y$22,MATCH($A1069,Dashboard!$A$6:$A$22,0))</f>
        <v/>
      </c>
      <c r="AU1069" s="53">
        <f>IF(AND(AG1069=1,AT1069&gt;0,AF1069&gt;0),100*AF1069/AT1069,"")</f>
        <v/>
      </c>
      <c r="AV1069" s="44">
        <f>IF(AU1069="","",T1069/(AU1069/100))</f>
        <v/>
      </c>
      <c r="AW1069" s="53">
        <f>IF(AU1069="","",IF(AND(ABS(AH1069)&gt;=0.1,ABS(T1069)&gt;=0.05,SIGN(AH1069)=SIGN(T1069)),100*T1069/AH1069,""))</f>
        <v/>
      </c>
      <c r="AX1069" s="45">
        <f>IF(AU1069="","",T1069-AV1069)</f>
        <v/>
      </c>
      <c r="AY1069" s="45">
        <f>IF(AU1069="","",AH1069-AV1069)</f>
        <v/>
      </c>
      <c r="AZ1069" s="54">
        <f>(AL1069-AM1069)-T1069*AT1069</f>
        <v/>
      </c>
      <c r="BA1069" s="43">
        <f>IF(AU1069="",0,(AH1069-T1069)*AF1069)</f>
        <v/>
      </c>
      <c r="BB1069" s="43">
        <f>IF(AU1069="",0,T1069*(AF1069-AT1069))</f>
        <v/>
      </c>
      <c r="BC1069" s="51" t="n">
        <v>0.01019240202757944</v>
      </c>
      <c r="BD1069" s="51" t="n">
        <v>0.7712977598517469</v>
      </c>
      <c r="BE1069" s="51" t="n">
        <v>0.1182096759216269</v>
      </c>
      <c r="BF1069" s="43" t="n">
        <v>18347</v>
      </c>
    </row>
    <row r="1070">
      <c r="A1070" s="42" t="inlineStr">
        <is>
          <t>TX</t>
        </is>
      </c>
      <c r="B1070" s="42" t="inlineStr">
        <is>
          <t>48119</t>
        </is>
      </c>
      <c r="C1070" s="42" t="inlineStr">
        <is>
          <t>Delta</t>
        </is>
      </c>
      <c r="D1070" s="42" t="inlineStr">
        <is>
          <t>Small town &amp; rural</t>
        </is>
      </c>
      <c r="E1070" s="42" t="inlineStr"/>
      <c r="F1070" s="43" t="n">
        <v>397</v>
      </c>
      <c r="G1070" s="43" t="n">
        <v>2250</v>
      </c>
      <c r="H1070" s="43" t="n">
        <v>2658</v>
      </c>
      <c r="I1070" s="43" t="n">
        <v>403</v>
      </c>
      <c r="J1070" s="43" t="n">
        <v>2162</v>
      </c>
      <c r="K1070" s="42" t="inlineStr">
        <is>
          <t>Governor</t>
        </is>
      </c>
      <c r="L1070" s="43" t="n">
        <v>295</v>
      </c>
      <c r="M1070" s="43" t="n">
        <v>1711</v>
      </c>
      <c r="N1070" s="43" t="n">
        <v>2027</v>
      </c>
      <c r="O1070" s="44">
        <f>IFERROR((F1070-G1070)/(F1070+G1070),"")</f>
        <v/>
      </c>
      <c r="P1070" s="44">
        <f>IFERROR((I1070-J1070)/(I1070+J1070),"")</f>
        <v/>
      </c>
      <c r="Q1070" s="45">
        <f>IFERROR(O1070-P1070,"")</f>
        <v/>
      </c>
      <c r="R1070" s="44">
        <f>IFERROR((L1070-M1070)/(L1070+M1070),"")</f>
        <v/>
      </c>
      <c r="S1070" s="46">
        <f>H1070/SUMIFS(Counties!$H$2:$H$1583,Counties!$A$2:$A$1583,$A1070)</f>
        <v/>
      </c>
      <c r="T1070" s="44">
        <f>O1070+INDEX(Dashboard!$F$6:$F$22,MATCH($A1070,Dashboard!$A$6:$A$22,0))</f>
        <v/>
      </c>
      <c r="U1070" s="43">
        <f>AQ1070*INDEX(Dashboard!$G$6:$G$22,MATCH($A1070,Dashboard!$A$6:$A$22,0))</f>
        <v/>
      </c>
      <c r="V1070" s="47" t="n"/>
      <c r="W1070" s="47" t="n"/>
      <c r="X1070" s="47" t="n"/>
      <c r="Y1070" s="48" t="n"/>
      <c r="Z1070" s="49" t="n"/>
      <c r="AA1070" s="49" t="n"/>
      <c r="AB1070" s="49" t="n"/>
      <c r="AC1070" s="50" t="n"/>
      <c r="AD1070" s="43">
        <f>IF(Z1070&lt;&gt;"",Z1070,N(V1070))</f>
        <v/>
      </c>
      <c r="AE1070" s="43">
        <f>IF(AA1070&lt;&gt;"",AA1070,N(W1070))</f>
        <v/>
      </c>
      <c r="AF1070" s="43">
        <f>AD1070+AE1070</f>
        <v/>
      </c>
      <c r="AG1070" s="42">
        <f>IF(UPPER(AC1070)="Y",1,IF(AF1070=0,0,IF(AND(Z1070="",Y1070&lt;&gt;""),IF(Y1070&gt;=0.999,1,0),IF(AF1070&gt;=U1070,1,0))))</f>
        <v/>
      </c>
      <c r="AH1070" s="44">
        <f>IF(AF1070&gt;0,(AD1070-AE1070)/AF1070,"")</f>
        <v/>
      </c>
      <c r="AI1070" s="45">
        <f>IF(AG1070=1,AH1070-O1070,"")</f>
        <v/>
      </c>
      <c r="AJ1070" s="44">
        <f>IF(AG1070=1,AH1070,MAX(-1,MIN(1,O1070+INDEX(Types!$H:$H,MATCH($A1070&amp;"|"&amp;$D1070,Types!$A:$A,0)))))</f>
        <v/>
      </c>
      <c r="AK1070" s="43">
        <f>IF(AG1070=1,AF1070,MAX(AQ1070*AS1070,AF1070))</f>
        <v/>
      </c>
      <c r="AL1070" s="43">
        <f>IF(AG1070=1,AD1070,AK1070*(1+AJ1070)/2)</f>
        <v/>
      </c>
      <c r="AM1070" s="43">
        <f>IF(AG1070=1,AE1070,AK1070*(1-AJ1070)/2)</f>
        <v/>
      </c>
      <c r="AN1070" s="45">
        <f>IF(AH1070="","",AH1070-T1070)</f>
        <v/>
      </c>
      <c r="AO1070" s="51">
        <f>IF(AG1070=1,1,IF(U1070&gt;0,MIN(AF1070/U1070,0.99),0))</f>
        <v/>
      </c>
      <c r="AP1070" s="43">
        <f>IF(AG1070=1,AI1070*AF1070,0)</f>
        <v/>
      </c>
      <c r="AQ1070" s="43">
        <f>N1070*(F1070+G1070)/H1070</f>
        <v/>
      </c>
      <c r="AR1070" s="43">
        <f>O1070*AQ1070</f>
        <v/>
      </c>
      <c r="AS1070" s="52">
        <f>IF(AG1070=1,IF(AQ1070&gt;0,AF1070/AQ1070,1),IFERROR(INDEX(Types!$K:$K,MATCH($A1070&amp;"|"&amp;$D1070,Types!$A:$A,0)),INDEX(Dashboard!$X$6:$X$22,MATCH($A1070,Dashboard!$A$6:$A$22,0))))</f>
        <v/>
      </c>
      <c r="AT1070" s="43">
        <f>AQ1070*INDEX(Dashboard!$Y$6:$Y$22,MATCH($A1070,Dashboard!$A$6:$A$22,0))</f>
        <v/>
      </c>
      <c r="AU1070" s="53">
        <f>IF(AND(AG1070=1,AT1070&gt;0,AF1070&gt;0),100*AF1070/AT1070,"")</f>
        <v/>
      </c>
      <c r="AV1070" s="44">
        <f>IF(AU1070="","",T1070/(AU1070/100))</f>
        <v/>
      </c>
      <c r="AW1070" s="53">
        <f>IF(AU1070="","",IF(AND(ABS(AH1070)&gt;=0.1,ABS(T1070)&gt;=0.05,SIGN(AH1070)=SIGN(T1070)),100*T1070/AH1070,""))</f>
        <v/>
      </c>
      <c r="AX1070" s="45">
        <f>IF(AU1070="","",T1070-AV1070)</f>
        <v/>
      </c>
      <c r="AY1070" s="45">
        <f>IF(AU1070="","",AH1070-AV1070)</f>
        <v/>
      </c>
      <c r="AZ1070" s="54">
        <f>(AL1070-AM1070)-T1070*AT1070</f>
        <v/>
      </c>
      <c r="BA1070" s="43">
        <f>IF(AU1070="",0,(AH1070-T1070)*AF1070)</f>
        <v/>
      </c>
      <c r="BB1070" s="43">
        <f>IF(AU1070="",0,T1070*(AF1070-AT1070))</f>
        <v/>
      </c>
      <c r="BC1070" s="51" t="n">
        <v>0.05760869565217391</v>
      </c>
      <c r="BD1070" s="51" t="n">
        <v>0.09981884057971015</v>
      </c>
      <c r="BE1070" s="51" t="n">
        <v>0.195362473347548</v>
      </c>
      <c r="BF1070" s="43" t="n">
        <v>5520</v>
      </c>
    </row>
    <row r="1071">
      <c r="A1071" s="42" t="inlineStr">
        <is>
          <t>TX</t>
        </is>
      </c>
      <c r="B1071" s="42" t="inlineStr">
        <is>
          <t>48121</t>
        </is>
      </c>
      <c r="C1071" s="42" t="inlineStr">
        <is>
          <t>Denton</t>
        </is>
      </c>
      <c r="D1071" s="42" t="inlineStr">
        <is>
          <t>Big metro core</t>
        </is>
      </c>
      <c r="E1071" s="42" t="inlineStr"/>
      <c r="F1071" s="43" t="n">
        <v>191503</v>
      </c>
      <c r="G1071" s="43" t="n">
        <v>250521</v>
      </c>
      <c r="H1071" s="43" t="n">
        <v>448729</v>
      </c>
      <c r="I1071" s="43" t="n">
        <v>188695</v>
      </c>
      <c r="J1071" s="43" t="n">
        <v>222480</v>
      </c>
      <c r="K1071" s="42" t="inlineStr">
        <is>
          <t>Governor</t>
        </is>
      </c>
      <c r="L1071" s="43" t="n">
        <v>136388</v>
      </c>
      <c r="M1071" s="43" t="n">
        <v>177015</v>
      </c>
      <c r="N1071" s="43" t="n">
        <v>317778</v>
      </c>
      <c r="O1071" s="44">
        <f>IFERROR((F1071-G1071)/(F1071+G1071),"")</f>
        <v/>
      </c>
      <c r="P1071" s="44">
        <f>IFERROR((I1071-J1071)/(I1071+J1071),"")</f>
        <v/>
      </c>
      <c r="Q1071" s="45">
        <f>IFERROR(O1071-P1071,"")</f>
        <v/>
      </c>
      <c r="R1071" s="44">
        <f>IFERROR((L1071-M1071)/(L1071+M1071),"")</f>
        <v/>
      </c>
      <c r="S1071" s="46">
        <f>H1071/SUMIFS(Counties!$H$2:$H$1583,Counties!$A$2:$A$1583,$A1071)</f>
        <v/>
      </c>
      <c r="T1071" s="44">
        <f>O1071+INDEX(Dashboard!$F$6:$F$22,MATCH($A1071,Dashboard!$A$6:$A$22,0))</f>
        <v/>
      </c>
      <c r="U1071" s="43">
        <f>AQ1071*INDEX(Dashboard!$G$6:$G$22,MATCH($A1071,Dashboard!$A$6:$A$22,0))</f>
        <v/>
      </c>
      <c r="V1071" s="47" t="n"/>
      <c r="W1071" s="47" t="n"/>
      <c r="X1071" s="47" t="n"/>
      <c r="Y1071" s="48" t="n"/>
      <c r="Z1071" s="49" t="n"/>
      <c r="AA1071" s="49" t="n"/>
      <c r="AB1071" s="49" t="n"/>
      <c r="AC1071" s="50" t="n"/>
      <c r="AD1071" s="43">
        <f>IF(Z1071&lt;&gt;"",Z1071,N(V1071))</f>
        <v/>
      </c>
      <c r="AE1071" s="43">
        <f>IF(AA1071&lt;&gt;"",AA1071,N(W1071))</f>
        <v/>
      </c>
      <c r="AF1071" s="43">
        <f>AD1071+AE1071</f>
        <v/>
      </c>
      <c r="AG1071" s="42">
        <f>IF(UPPER(AC1071)="Y",1,IF(AF1071=0,0,IF(AND(Z1071="",Y1071&lt;&gt;""),IF(Y1071&gt;=0.999,1,0),IF(AF1071&gt;=U1071,1,0))))</f>
        <v/>
      </c>
      <c r="AH1071" s="44">
        <f>IF(AF1071&gt;0,(AD1071-AE1071)/AF1071,"")</f>
        <v/>
      </c>
      <c r="AI1071" s="45">
        <f>IF(AG1071=1,AH1071-O1071,"")</f>
        <v/>
      </c>
      <c r="AJ1071" s="44">
        <f>IF(AG1071=1,AH1071,MAX(-1,MIN(1,O1071+INDEX(Types!$H:$H,MATCH($A1071&amp;"|"&amp;$D1071,Types!$A:$A,0)))))</f>
        <v/>
      </c>
      <c r="AK1071" s="43">
        <f>IF(AG1071=1,AF1071,MAX(AQ1071*AS1071,AF1071))</f>
        <v/>
      </c>
      <c r="AL1071" s="43">
        <f>IF(AG1071=1,AD1071,AK1071*(1+AJ1071)/2)</f>
        <v/>
      </c>
      <c r="AM1071" s="43">
        <f>IF(AG1071=1,AE1071,AK1071*(1-AJ1071)/2)</f>
        <v/>
      </c>
      <c r="AN1071" s="45">
        <f>IF(AH1071="","",AH1071-T1071)</f>
        <v/>
      </c>
      <c r="AO1071" s="51">
        <f>IF(AG1071=1,1,IF(U1071&gt;0,MIN(AF1071/U1071,0.99),0))</f>
        <v/>
      </c>
      <c r="AP1071" s="43">
        <f>IF(AG1071=1,AI1071*AF1071,0)</f>
        <v/>
      </c>
      <c r="AQ1071" s="43">
        <f>N1071*(F1071+G1071)/H1071</f>
        <v/>
      </c>
      <c r="AR1071" s="43">
        <f>O1071*AQ1071</f>
        <v/>
      </c>
      <c r="AS1071" s="52">
        <f>IF(AG1071=1,IF(AQ1071&gt;0,AF1071/AQ1071,1),IFERROR(INDEX(Types!$K:$K,MATCH($A1071&amp;"|"&amp;$D1071,Types!$A:$A,0)),INDEX(Dashboard!$X$6:$X$22,MATCH($A1071,Dashboard!$A$6:$A$22,0))))</f>
        <v/>
      </c>
      <c r="AT1071" s="43">
        <f>AQ1071*INDEX(Dashboard!$Y$6:$Y$22,MATCH($A1071,Dashboard!$A$6:$A$22,0))</f>
        <v/>
      </c>
      <c r="AU1071" s="53">
        <f>IF(AND(AG1071=1,AT1071&gt;0,AF1071&gt;0),100*AF1071/AT1071,"")</f>
        <v/>
      </c>
      <c r="AV1071" s="44">
        <f>IF(AU1071="","",T1071/(AU1071/100))</f>
        <v/>
      </c>
      <c r="AW1071" s="53">
        <f>IF(AU1071="","",IF(AND(ABS(AH1071)&gt;=0.1,ABS(T1071)&gt;=0.05,SIGN(AH1071)=SIGN(T1071)),100*T1071/AH1071,""))</f>
        <v/>
      </c>
      <c r="AX1071" s="45">
        <f>IF(AU1071="","",T1071-AV1071)</f>
        <v/>
      </c>
      <c r="AY1071" s="45">
        <f>IF(AU1071="","",AH1071-AV1071)</f>
        <v/>
      </c>
      <c r="AZ1071" s="54">
        <f>(AL1071-AM1071)-T1071*AT1071</f>
        <v/>
      </c>
      <c r="BA1071" s="43">
        <f>IF(AU1071="",0,(AH1071-T1071)*AF1071)</f>
        <v/>
      </c>
      <c r="BB1071" s="43">
        <f>IF(AU1071="",0,T1071*(AF1071-AT1071))</f>
        <v/>
      </c>
      <c r="BC1071" s="51" t="n">
        <v>0.1181727155719493</v>
      </c>
      <c r="BD1071" s="51" t="n">
        <v>0.2049949240996603</v>
      </c>
      <c r="BE1071" s="51" t="n">
        <v>0.4839235703244534</v>
      </c>
      <c r="BF1071" s="43" t="n">
        <v>1007703</v>
      </c>
    </row>
    <row r="1072">
      <c r="A1072" s="42" t="inlineStr">
        <is>
          <t>TX</t>
        </is>
      </c>
      <c r="B1072" s="42" t="inlineStr">
        <is>
          <t>48125</t>
        </is>
      </c>
      <c r="C1072" s="42" t="inlineStr">
        <is>
          <t>Dickens</t>
        </is>
      </c>
      <c r="D1072" s="42" t="inlineStr">
        <is>
          <t>Small town &amp; rural</t>
        </is>
      </c>
      <c r="E1072" s="42" t="inlineStr"/>
      <c r="F1072" s="43" t="n">
        <v>146</v>
      </c>
      <c r="G1072" s="43" t="n">
        <v>844</v>
      </c>
      <c r="H1072" s="43" t="n">
        <v>993</v>
      </c>
      <c r="I1072" s="43" t="n">
        <v>130</v>
      </c>
      <c r="J1072" s="43" t="n">
        <v>853</v>
      </c>
      <c r="K1072" s="42" t="inlineStr">
        <is>
          <t>Governor</t>
        </is>
      </c>
      <c r="L1072" s="43" t="n">
        <v>98</v>
      </c>
      <c r="M1072" s="43" t="n">
        <v>684</v>
      </c>
      <c r="N1072" s="43" t="n">
        <v>791</v>
      </c>
      <c r="O1072" s="44">
        <f>IFERROR((F1072-G1072)/(F1072+G1072),"")</f>
        <v/>
      </c>
      <c r="P1072" s="44">
        <f>IFERROR((I1072-J1072)/(I1072+J1072),"")</f>
        <v/>
      </c>
      <c r="Q1072" s="45">
        <f>IFERROR(O1072-P1072,"")</f>
        <v/>
      </c>
      <c r="R1072" s="44">
        <f>IFERROR((L1072-M1072)/(L1072+M1072),"")</f>
        <v/>
      </c>
      <c r="S1072" s="46">
        <f>H1072/SUMIFS(Counties!$H$2:$H$1583,Counties!$A$2:$A$1583,$A1072)</f>
        <v/>
      </c>
      <c r="T1072" s="44">
        <f>O1072+INDEX(Dashboard!$F$6:$F$22,MATCH($A1072,Dashboard!$A$6:$A$22,0))</f>
        <v/>
      </c>
      <c r="U1072" s="43">
        <f>AQ1072*INDEX(Dashboard!$G$6:$G$22,MATCH($A1072,Dashboard!$A$6:$A$22,0))</f>
        <v/>
      </c>
      <c r="V1072" s="47" t="n"/>
      <c r="W1072" s="47" t="n"/>
      <c r="X1072" s="47" t="n"/>
      <c r="Y1072" s="48" t="n"/>
      <c r="Z1072" s="49" t="n"/>
      <c r="AA1072" s="49" t="n"/>
      <c r="AB1072" s="49" t="n"/>
      <c r="AC1072" s="50" t="n"/>
      <c r="AD1072" s="43">
        <f>IF(Z1072&lt;&gt;"",Z1072,N(V1072))</f>
        <v/>
      </c>
      <c r="AE1072" s="43">
        <f>IF(AA1072&lt;&gt;"",AA1072,N(W1072))</f>
        <v/>
      </c>
      <c r="AF1072" s="43">
        <f>AD1072+AE1072</f>
        <v/>
      </c>
      <c r="AG1072" s="42">
        <f>IF(UPPER(AC1072)="Y",1,IF(AF1072=0,0,IF(AND(Z1072="",Y1072&lt;&gt;""),IF(Y1072&gt;=0.999,1,0),IF(AF1072&gt;=U1072,1,0))))</f>
        <v/>
      </c>
      <c r="AH1072" s="44">
        <f>IF(AF1072&gt;0,(AD1072-AE1072)/AF1072,"")</f>
        <v/>
      </c>
      <c r="AI1072" s="45">
        <f>IF(AG1072=1,AH1072-O1072,"")</f>
        <v/>
      </c>
      <c r="AJ1072" s="44">
        <f>IF(AG1072=1,AH1072,MAX(-1,MIN(1,O1072+INDEX(Types!$H:$H,MATCH($A1072&amp;"|"&amp;$D1072,Types!$A:$A,0)))))</f>
        <v/>
      </c>
      <c r="AK1072" s="43">
        <f>IF(AG1072=1,AF1072,MAX(AQ1072*AS1072,AF1072))</f>
        <v/>
      </c>
      <c r="AL1072" s="43">
        <f>IF(AG1072=1,AD1072,AK1072*(1+AJ1072)/2)</f>
        <v/>
      </c>
      <c r="AM1072" s="43">
        <f>IF(AG1072=1,AE1072,AK1072*(1-AJ1072)/2)</f>
        <v/>
      </c>
      <c r="AN1072" s="45">
        <f>IF(AH1072="","",AH1072-T1072)</f>
        <v/>
      </c>
      <c r="AO1072" s="51">
        <f>IF(AG1072=1,1,IF(U1072&gt;0,MIN(AF1072/U1072,0.99),0))</f>
        <v/>
      </c>
      <c r="AP1072" s="43">
        <f>IF(AG1072=1,AI1072*AF1072,0)</f>
        <v/>
      </c>
      <c r="AQ1072" s="43">
        <f>N1072*(F1072+G1072)/H1072</f>
        <v/>
      </c>
      <c r="AR1072" s="43">
        <f>O1072*AQ1072</f>
        <v/>
      </c>
      <c r="AS1072" s="52">
        <f>IF(AG1072=1,IF(AQ1072&gt;0,AF1072/AQ1072,1),IFERROR(INDEX(Types!$K:$K,MATCH($A1072&amp;"|"&amp;$D1072,Types!$A:$A,0)),INDEX(Dashboard!$X$6:$X$22,MATCH($A1072,Dashboard!$A$6:$A$22,0))))</f>
        <v/>
      </c>
      <c r="AT1072" s="43">
        <f>AQ1072*INDEX(Dashboard!$Y$6:$Y$22,MATCH($A1072,Dashboard!$A$6:$A$22,0))</f>
        <v/>
      </c>
      <c r="AU1072" s="53">
        <f>IF(AND(AG1072=1,AT1072&gt;0,AF1072&gt;0),100*AF1072/AT1072,"")</f>
        <v/>
      </c>
      <c r="AV1072" s="44">
        <f>IF(AU1072="","",T1072/(AU1072/100))</f>
        <v/>
      </c>
      <c r="AW1072" s="53">
        <f>IF(AU1072="","",IF(AND(ABS(AH1072)&gt;=0.1,ABS(T1072)&gt;=0.05,SIGN(AH1072)=SIGN(T1072)),100*T1072/AH1072,""))</f>
        <v/>
      </c>
      <c r="AX1072" s="45">
        <f>IF(AU1072="","",T1072-AV1072)</f>
        <v/>
      </c>
      <c r="AY1072" s="45">
        <f>IF(AU1072="","",AH1072-AV1072)</f>
        <v/>
      </c>
      <c r="AZ1072" s="54">
        <f>(AL1072-AM1072)-T1072*AT1072</f>
        <v/>
      </c>
      <c r="BA1072" s="43">
        <f>IF(AU1072="",0,(AH1072-T1072)*AF1072)</f>
        <v/>
      </c>
      <c r="BB1072" s="43">
        <f>IF(AU1072="",0,T1072*(AF1072-AT1072))</f>
        <v/>
      </c>
      <c r="BC1072" s="51" t="n">
        <v>0.02513150204558737</v>
      </c>
      <c r="BD1072" s="51" t="n">
        <v>0.2764465225014611</v>
      </c>
      <c r="BE1072" s="51" t="n">
        <v>0.1911148365465214</v>
      </c>
      <c r="BF1072" s="43" t="n">
        <v>1711</v>
      </c>
    </row>
    <row r="1073">
      <c r="A1073" s="42" t="inlineStr">
        <is>
          <t>TX</t>
        </is>
      </c>
      <c r="B1073" s="42" t="inlineStr">
        <is>
          <t>48127</t>
        </is>
      </c>
      <c r="C1073" s="42" t="inlineStr">
        <is>
          <t>Dimmit</t>
        </is>
      </c>
      <c r="D1073" s="42" t="inlineStr">
        <is>
          <t>Hispanic</t>
        </is>
      </c>
      <c r="E1073" s="42" t="inlineStr"/>
      <c r="F1073" s="43" t="n">
        <v>1765</v>
      </c>
      <c r="G1073" s="43" t="n">
        <v>1653</v>
      </c>
      <c r="H1073" s="43" t="n">
        <v>3427</v>
      </c>
      <c r="I1073" s="43" t="n">
        <v>2264</v>
      </c>
      <c r="J1073" s="43" t="n">
        <v>1384</v>
      </c>
      <c r="K1073" s="42" t="inlineStr">
        <is>
          <t>Governor</t>
        </is>
      </c>
      <c r="L1073" s="43" t="n">
        <v>1757</v>
      </c>
      <c r="M1073" s="43" t="n">
        <v>1080</v>
      </c>
      <c r="N1073" s="43" t="n">
        <v>2877</v>
      </c>
      <c r="O1073" s="44">
        <f>IFERROR((F1073-G1073)/(F1073+G1073),"")</f>
        <v/>
      </c>
      <c r="P1073" s="44">
        <f>IFERROR((I1073-J1073)/(I1073+J1073),"")</f>
        <v/>
      </c>
      <c r="Q1073" s="45">
        <f>IFERROR(O1073-P1073,"")</f>
        <v/>
      </c>
      <c r="R1073" s="44">
        <f>IFERROR((L1073-M1073)/(L1073+M1073),"")</f>
        <v/>
      </c>
      <c r="S1073" s="46">
        <f>H1073/SUMIFS(Counties!$H$2:$H$1583,Counties!$A$2:$A$1583,$A1073)</f>
        <v/>
      </c>
      <c r="T1073" s="44">
        <f>O1073+INDEX(Dashboard!$F$6:$F$22,MATCH($A1073,Dashboard!$A$6:$A$22,0))</f>
        <v/>
      </c>
      <c r="U1073" s="43">
        <f>AQ1073*INDEX(Dashboard!$G$6:$G$22,MATCH($A1073,Dashboard!$A$6:$A$22,0))</f>
        <v/>
      </c>
      <c r="V1073" s="47" t="n"/>
      <c r="W1073" s="47" t="n"/>
      <c r="X1073" s="47" t="n"/>
      <c r="Y1073" s="48" t="n"/>
      <c r="Z1073" s="49" t="n"/>
      <c r="AA1073" s="49" t="n"/>
      <c r="AB1073" s="49" t="n"/>
      <c r="AC1073" s="50" t="n"/>
      <c r="AD1073" s="43">
        <f>IF(Z1073&lt;&gt;"",Z1073,N(V1073))</f>
        <v/>
      </c>
      <c r="AE1073" s="43">
        <f>IF(AA1073&lt;&gt;"",AA1073,N(W1073))</f>
        <v/>
      </c>
      <c r="AF1073" s="43">
        <f>AD1073+AE1073</f>
        <v/>
      </c>
      <c r="AG1073" s="42">
        <f>IF(UPPER(AC1073)="Y",1,IF(AF1073=0,0,IF(AND(Z1073="",Y1073&lt;&gt;""),IF(Y1073&gt;=0.999,1,0),IF(AF1073&gt;=U1073,1,0))))</f>
        <v/>
      </c>
      <c r="AH1073" s="44">
        <f>IF(AF1073&gt;0,(AD1073-AE1073)/AF1073,"")</f>
        <v/>
      </c>
      <c r="AI1073" s="45">
        <f>IF(AG1073=1,AH1073-O1073,"")</f>
        <v/>
      </c>
      <c r="AJ1073" s="44">
        <f>IF(AG1073=1,AH1073,MAX(-1,MIN(1,O1073+INDEX(Types!$H:$H,MATCH($A1073&amp;"|"&amp;$D1073,Types!$A:$A,0)))))</f>
        <v/>
      </c>
      <c r="AK1073" s="43">
        <f>IF(AG1073=1,AF1073,MAX(AQ1073*AS1073,AF1073))</f>
        <v/>
      </c>
      <c r="AL1073" s="43">
        <f>IF(AG1073=1,AD1073,AK1073*(1+AJ1073)/2)</f>
        <v/>
      </c>
      <c r="AM1073" s="43">
        <f>IF(AG1073=1,AE1073,AK1073*(1-AJ1073)/2)</f>
        <v/>
      </c>
      <c r="AN1073" s="45">
        <f>IF(AH1073="","",AH1073-T1073)</f>
        <v/>
      </c>
      <c r="AO1073" s="51">
        <f>IF(AG1073=1,1,IF(U1073&gt;0,MIN(AF1073/U1073,0.99),0))</f>
        <v/>
      </c>
      <c r="AP1073" s="43">
        <f>IF(AG1073=1,AI1073*AF1073,0)</f>
        <v/>
      </c>
      <c r="AQ1073" s="43">
        <f>N1073*(F1073+G1073)/H1073</f>
        <v/>
      </c>
      <c r="AR1073" s="43">
        <f>O1073*AQ1073</f>
        <v/>
      </c>
      <c r="AS1073" s="52">
        <f>IF(AG1073=1,IF(AQ1073&gt;0,AF1073/AQ1073,1),IFERROR(INDEX(Types!$K:$K,MATCH($A1073&amp;"|"&amp;$D1073,Types!$A:$A,0)),INDEX(Dashboard!$X$6:$X$22,MATCH($A1073,Dashboard!$A$6:$A$22,0))))</f>
        <v/>
      </c>
      <c r="AT1073" s="43">
        <f>AQ1073*INDEX(Dashboard!$Y$6:$Y$22,MATCH($A1073,Dashboard!$A$6:$A$22,0))</f>
        <v/>
      </c>
      <c r="AU1073" s="53">
        <f>IF(AND(AG1073=1,AT1073&gt;0,AF1073&gt;0),100*AF1073/AT1073,"")</f>
        <v/>
      </c>
      <c r="AV1073" s="44">
        <f>IF(AU1073="","",T1073/(AU1073/100))</f>
        <v/>
      </c>
      <c r="AW1073" s="53">
        <f>IF(AU1073="","",IF(AND(ABS(AH1073)&gt;=0.1,ABS(T1073)&gt;=0.05,SIGN(AH1073)=SIGN(T1073)),100*T1073/AH1073,""))</f>
        <v/>
      </c>
      <c r="AX1073" s="45">
        <f>IF(AU1073="","",T1073-AV1073)</f>
        <v/>
      </c>
      <c r="AY1073" s="45">
        <f>IF(AU1073="","",AH1073-AV1073)</f>
        <v/>
      </c>
      <c r="AZ1073" s="54">
        <f>(AL1073-AM1073)-T1073*AT1073</f>
        <v/>
      </c>
      <c r="BA1073" s="43">
        <f>IF(AU1073="",0,(AH1073-T1073)*AF1073)</f>
        <v/>
      </c>
      <c r="BB1073" s="43">
        <f>IF(AU1073="",0,T1073*(AF1073-AT1073))</f>
        <v/>
      </c>
      <c r="BC1073" s="51" t="n">
        <v>0.01525977958096161</v>
      </c>
      <c r="BD1073" s="51" t="n">
        <v>0.8744095918614508</v>
      </c>
      <c r="BE1073" s="51" t="n">
        <v>0.1104448742746615</v>
      </c>
      <c r="BF1073" s="43" t="n">
        <v>8257</v>
      </c>
    </row>
    <row r="1074">
      <c r="A1074" s="42" t="inlineStr">
        <is>
          <t>TX</t>
        </is>
      </c>
      <c r="B1074" s="42" t="inlineStr">
        <is>
          <t>48129</t>
        </is>
      </c>
      <c r="C1074" s="42" t="inlineStr">
        <is>
          <t>Donley</t>
        </is>
      </c>
      <c r="D1074" s="42" t="inlineStr">
        <is>
          <t>Small town &amp; rural</t>
        </is>
      </c>
      <c r="E1074" s="42" t="inlineStr"/>
      <c r="F1074" s="43" t="n">
        <v>174</v>
      </c>
      <c r="G1074" s="43" t="n">
        <v>1512</v>
      </c>
      <c r="H1074" s="43" t="n">
        <v>1712</v>
      </c>
      <c r="I1074" s="43" t="n">
        <v>198</v>
      </c>
      <c r="J1074" s="43" t="n">
        <v>1438</v>
      </c>
      <c r="K1074" s="42" t="inlineStr">
        <is>
          <t>Governor</t>
        </is>
      </c>
      <c r="L1074" s="43" t="n">
        <v>97</v>
      </c>
      <c r="M1074" s="43" t="n">
        <v>1084</v>
      </c>
      <c r="N1074" s="43" t="n">
        <v>1192</v>
      </c>
      <c r="O1074" s="44">
        <f>IFERROR((F1074-G1074)/(F1074+G1074),"")</f>
        <v/>
      </c>
      <c r="P1074" s="44">
        <f>IFERROR((I1074-J1074)/(I1074+J1074),"")</f>
        <v/>
      </c>
      <c r="Q1074" s="45">
        <f>IFERROR(O1074-P1074,"")</f>
        <v/>
      </c>
      <c r="R1074" s="44">
        <f>IFERROR((L1074-M1074)/(L1074+M1074),"")</f>
        <v/>
      </c>
      <c r="S1074" s="46">
        <f>H1074/SUMIFS(Counties!$H$2:$H$1583,Counties!$A$2:$A$1583,$A1074)</f>
        <v/>
      </c>
      <c r="T1074" s="44">
        <f>O1074+INDEX(Dashboard!$F$6:$F$22,MATCH($A1074,Dashboard!$A$6:$A$22,0))</f>
        <v/>
      </c>
      <c r="U1074" s="43">
        <f>AQ1074*INDEX(Dashboard!$G$6:$G$22,MATCH($A1074,Dashboard!$A$6:$A$22,0))</f>
        <v/>
      </c>
      <c r="V1074" s="47" t="n"/>
      <c r="W1074" s="47" t="n"/>
      <c r="X1074" s="47" t="n"/>
      <c r="Y1074" s="48" t="n"/>
      <c r="Z1074" s="49" t="n"/>
      <c r="AA1074" s="49" t="n"/>
      <c r="AB1074" s="49" t="n"/>
      <c r="AC1074" s="50" t="n"/>
      <c r="AD1074" s="43">
        <f>IF(Z1074&lt;&gt;"",Z1074,N(V1074))</f>
        <v/>
      </c>
      <c r="AE1074" s="43">
        <f>IF(AA1074&lt;&gt;"",AA1074,N(W1074))</f>
        <v/>
      </c>
      <c r="AF1074" s="43">
        <f>AD1074+AE1074</f>
        <v/>
      </c>
      <c r="AG1074" s="42">
        <f>IF(UPPER(AC1074)="Y",1,IF(AF1074=0,0,IF(AND(Z1074="",Y1074&lt;&gt;""),IF(Y1074&gt;=0.999,1,0),IF(AF1074&gt;=U1074,1,0))))</f>
        <v/>
      </c>
      <c r="AH1074" s="44">
        <f>IF(AF1074&gt;0,(AD1074-AE1074)/AF1074,"")</f>
        <v/>
      </c>
      <c r="AI1074" s="45">
        <f>IF(AG1074=1,AH1074-O1074,"")</f>
        <v/>
      </c>
      <c r="AJ1074" s="44">
        <f>IF(AG1074=1,AH1074,MAX(-1,MIN(1,O1074+INDEX(Types!$H:$H,MATCH($A1074&amp;"|"&amp;$D1074,Types!$A:$A,0)))))</f>
        <v/>
      </c>
      <c r="AK1074" s="43">
        <f>IF(AG1074=1,AF1074,MAX(AQ1074*AS1074,AF1074))</f>
        <v/>
      </c>
      <c r="AL1074" s="43">
        <f>IF(AG1074=1,AD1074,AK1074*(1+AJ1074)/2)</f>
        <v/>
      </c>
      <c r="AM1074" s="43">
        <f>IF(AG1074=1,AE1074,AK1074*(1-AJ1074)/2)</f>
        <v/>
      </c>
      <c r="AN1074" s="45">
        <f>IF(AH1074="","",AH1074-T1074)</f>
        <v/>
      </c>
      <c r="AO1074" s="51">
        <f>IF(AG1074=1,1,IF(U1074&gt;0,MIN(AF1074/U1074,0.99),0))</f>
        <v/>
      </c>
      <c r="AP1074" s="43">
        <f>IF(AG1074=1,AI1074*AF1074,0)</f>
        <v/>
      </c>
      <c r="AQ1074" s="43">
        <f>N1074*(F1074+G1074)/H1074</f>
        <v/>
      </c>
      <c r="AR1074" s="43">
        <f>O1074*AQ1074</f>
        <v/>
      </c>
      <c r="AS1074" s="52">
        <f>IF(AG1074=1,IF(AQ1074&gt;0,AF1074/AQ1074,1),IFERROR(INDEX(Types!$K:$K,MATCH($A1074&amp;"|"&amp;$D1074,Types!$A:$A,0)),INDEX(Dashboard!$X$6:$X$22,MATCH($A1074,Dashboard!$A$6:$A$22,0))))</f>
        <v/>
      </c>
      <c r="AT1074" s="43">
        <f>AQ1074*INDEX(Dashboard!$Y$6:$Y$22,MATCH($A1074,Dashboard!$A$6:$A$22,0))</f>
        <v/>
      </c>
      <c r="AU1074" s="53">
        <f>IF(AND(AG1074=1,AT1074&gt;0,AF1074&gt;0),100*AF1074/AT1074,"")</f>
        <v/>
      </c>
      <c r="AV1074" s="44">
        <f>IF(AU1074="","",T1074/(AU1074/100))</f>
        <v/>
      </c>
      <c r="AW1074" s="53">
        <f>IF(AU1074="","",IF(AND(ABS(AH1074)&gt;=0.1,ABS(T1074)&gt;=0.05,SIGN(AH1074)=SIGN(T1074)),100*T1074/AH1074,""))</f>
        <v/>
      </c>
      <c r="AX1074" s="45">
        <f>IF(AU1074="","",T1074-AV1074)</f>
        <v/>
      </c>
      <c r="AY1074" s="45">
        <f>IF(AU1074="","",AH1074-AV1074)</f>
        <v/>
      </c>
      <c r="AZ1074" s="54">
        <f>(AL1074-AM1074)-T1074*AT1074</f>
        <v/>
      </c>
      <c r="BA1074" s="43">
        <f>IF(AU1074="",0,(AH1074-T1074)*AF1074)</f>
        <v/>
      </c>
      <c r="BB1074" s="43">
        <f>IF(AU1074="",0,T1074*(AF1074-AT1074))</f>
        <v/>
      </c>
      <c r="BC1074" s="51" t="n">
        <v>0.05289359054138146</v>
      </c>
      <c r="BD1074" s="51" t="n">
        <v>0.1334785314250156</v>
      </c>
      <c r="BE1074" s="51" t="n">
        <v>0.1614654002713704</v>
      </c>
      <c r="BF1074" s="43" t="n">
        <v>3214</v>
      </c>
    </row>
    <row r="1075">
      <c r="A1075" s="42" t="inlineStr">
        <is>
          <t>TX</t>
        </is>
      </c>
      <c r="B1075" s="42" t="inlineStr">
        <is>
          <t>48131</t>
        </is>
      </c>
      <c r="C1075" s="42" t="inlineStr">
        <is>
          <t>Duval</t>
        </is>
      </c>
      <c r="D1075" s="42" t="inlineStr">
        <is>
          <t>Hispanic</t>
        </is>
      </c>
      <c r="E1075" s="42" t="inlineStr"/>
      <c r="F1075" s="43" t="n">
        <v>2003</v>
      </c>
      <c r="G1075" s="43" t="n">
        <v>2439</v>
      </c>
      <c r="H1075" s="43" t="n">
        <v>4461</v>
      </c>
      <c r="I1075" s="43" t="n">
        <v>2575</v>
      </c>
      <c r="J1075" s="43" t="n">
        <v>2443</v>
      </c>
      <c r="K1075" s="42" t="inlineStr">
        <is>
          <t>Governor</t>
        </is>
      </c>
      <c r="L1075" s="43" t="n">
        <v>2018</v>
      </c>
      <c r="M1075" s="43" t="n">
        <v>1600</v>
      </c>
      <c r="N1075" s="43" t="n">
        <v>3676</v>
      </c>
      <c r="O1075" s="44">
        <f>IFERROR((F1075-G1075)/(F1075+G1075),"")</f>
        <v/>
      </c>
      <c r="P1075" s="44">
        <f>IFERROR((I1075-J1075)/(I1075+J1075),"")</f>
        <v/>
      </c>
      <c r="Q1075" s="45">
        <f>IFERROR(O1075-P1075,"")</f>
        <v/>
      </c>
      <c r="R1075" s="44">
        <f>IFERROR((L1075-M1075)/(L1075+M1075),"")</f>
        <v/>
      </c>
      <c r="S1075" s="46">
        <f>H1075/SUMIFS(Counties!$H$2:$H$1583,Counties!$A$2:$A$1583,$A1075)</f>
        <v/>
      </c>
      <c r="T1075" s="44">
        <f>O1075+INDEX(Dashboard!$F$6:$F$22,MATCH($A1075,Dashboard!$A$6:$A$22,0))</f>
        <v/>
      </c>
      <c r="U1075" s="43">
        <f>AQ1075*INDEX(Dashboard!$G$6:$G$22,MATCH($A1075,Dashboard!$A$6:$A$22,0))</f>
        <v/>
      </c>
      <c r="V1075" s="47" t="n"/>
      <c r="W1075" s="47" t="n"/>
      <c r="X1075" s="47" t="n"/>
      <c r="Y1075" s="48" t="n"/>
      <c r="Z1075" s="49" t="n"/>
      <c r="AA1075" s="49" t="n"/>
      <c r="AB1075" s="49" t="n"/>
      <c r="AC1075" s="50" t="n"/>
      <c r="AD1075" s="43">
        <f>IF(Z1075&lt;&gt;"",Z1075,N(V1075))</f>
        <v/>
      </c>
      <c r="AE1075" s="43">
        <f>IF(AA1075&lt;&gt;"",AA1075,N(W1075))</f>
        <v/>
      </c>
      <c r="AF1075" s="43">
        <f>AD1075+AE1075</f>
        <v/>
      </c>
      <c r="AG1075" s="42">
        <f>IF(UPPER(AC1075)="Y",1,IF(AF1075=0,0,IF(AND(Z1075="",Y1075&lt;&gt;""),IF(Y1075&gt;=0.999,1,0),IF(AF1075&gt;=U1075,1,0))))</f>
        <v/>
      </c>
      <c r="AH1075" s="44">
        <f>IF(AF1075&gt;0,(AD1075-AE1075)/AF1075,"")</f>
        <v/>
      </c>
      <c r="AI1075" s="45">
        <f>IF(AG1075=1,AH1075-O1075,"")</f>
        <v/>
      </c>
      <c r="AJ1075" s="44">
        <f>IF(AG1075=1,AH1075,MAX(-1,MIN(1,O1075+INDEX(Types!$H:$H,MATCH($A1075&amp;"|"&amp;$D1075,Types!$A:$A,0)))))</f>
        <v/>
      </c>
      <c r="AK1075" s="43">
        <f>IF(AG1075=1,AF1075,MAX(AQ1075*AS1075,AF1075))</f>
        <v/>
      </c>
      <c r="AL1075" s="43">
        <f>IF(AG1075=1,AD1075,AK1075*(1+AJ1075)/2)</f>
        <v/>
      </c>
      <c r="AM1075" s="43">
        <f>IF(AG1075=1,AE1075,AK1075*(1-AJ1075)/2)</f>
        <v/>
      </c>
      <c r="AN1075" s="45">
        <f>IF(AH1075="","",AH1075-T1075)</f>
        <v/>
      </c>
      <c r="AO1075" s="51">
        <f>IF(AG1075=1,1,IF(U1075&gt;0,MIN(AF1075/U1075,0.99),0))</f>
        <v/>
      </c>
      <c r="AP1075" s="43">
        <f>IF(AG1075=1,AI1075*AF1075,0)</f>
        <v/>
      </c>
      <c r="AQ1075" s="43">
        <f>N1075*(F1075+G1075)/H1075</f>
        <v/>
      </c>
      <c r="AR1075" s="43">
        <f>O1075*AQ1075</f>
        <v/>
      </c>
      <c r="AS1075" s="52">
        <f>IF(AG1075=1,IF(AQ1075&gt;0,AF1075/AQ1075,1),IFERROR(INDEX(Types!$K:$K,MATCH($A1075&amp;"|"&amp;$D1075,Types!$A:$A,0)),INDEX(Dashboard!$X$6:$X$22,MATCH($A1075,Dashboard!$A$6:$A$22,0))))</f>
        <v/>
      </c>
      <c r="AT1075" s="43">
        <f>AQ1075*INDEX(Dashboard!$Y$6:$Y$22,MATCH($A1075,Dashboard!$A$6:$A$22,0))</f>
        <v/>
      </c>
      <c r="AU1075" s="53">
        <f>IF(AND(AG1075=1,AT1075&gt;0,AF1075&gt;0),100*AF1075/AT1075,"")</f>
        <v/>
      </c>
      <c r="AV1075" s="44">
        <f>IF(AU1075="","",T1075/(AU1075/100))</f>
        <v/>
      </c>
      <c r="AW1075" s="53">
        <f>IF(AU1075="","",IF(AND(ABS(AH1075)&gt;=0.1,ABS(T1075)&gt;=0.05,SIGN(AH1075)=SIGN(T1075)),100*T1075/AH1075,""))</f>
        <v/>
      </c>
      <c r="AX1075" s="45">
        <f>IF(AU1075="","",T1075-AV1075)</f>
        <v/>
      </c>
      <c r="AY1075" s="45">
        <f>IF(AU1075="","",AH1075-AV1075)</f>
        <v/>
      </c>
      <c r="AZ1075" s="54">
        <f>(AL1075-AM1075)-T1075*AT1075</f>
        <v/>
      </c>
      <c r="BA1075" s="43">
        <f>IF(AU1075="",0,(AH1075-T1075)*AF1075)</f>
        <v/>
      </c>
      <c r="BB1075" s="43">
        <f>IF(AU1075="",0,T1075*(AF1075-AT1075))</f>
        <v/>
      </c>
      <c r="BC1075" s="51" t="n">
        <v>0.02249062890462307</v>
      </c>
      <c r="BD1075" s="51" t="n">
        <v>0.8195543523531862</v>
      </c>
      <c r="BE1075" s="51" t="n">
        <v>0.06970345460103944</v>
      </c>
      <c r="BF1075" s="43" t="n">
        <v>9604</v>
      </c>
    </row>
    <row r="1076">
      <c r="A1076" s="42" t="inlineStr">
        <is>
          <t>TX</t>
        </is>
      </c>
      <c r="B1076" s="42" t="inlineStr">
        <is>
          <t>48133</t>
        </is>
      </c>
      <c r="C1076" s="42" t="inlineStr">
        <is>
          <t>Eastland</t>
        </is>
      </c>
      <c r="D1076" s="42" t="inlineStr">
        <is>
          <t>Small town &amp; rural</t>
        </is>
      </c>
      <c r="E1076" s="42" t="inlineStr"/>
      <c r="F1076" s="43" t="n">
        <v>918</v>
      </c>
      <c r="G1076" s="43" t="n">
        <v>7397</v>
      </c>
      <c r="H1076" s="43" t="n">
        <v>8363</v>
      </c>
      <c r="I1076" s="43" t="n">
        <v>983</v>
      </c>
      <c r="J1076" s="43" t="n">
        <v>7237</v>
      </c>
      <c r="K1076" s="42" t="inlineStr">
        <is>
          <t>Governor</t>
        </is>
      </c>
      <c r="L1076" s="43" t="n">
        <v>634</v>
      </c>
      <c r="M1076" s="43" t="n">
        <v>5468</v>
      </c>
      <c r="N1076" s="43" t="n">
        <v>6152</v>
      </c>
      <c r="O1076" s="44">
        <f>IFERROR((F1076-G1076)/(F1076+G1076),"")</f>
        <v/>
      </c>
      <c r="P1076" s="44">
        <f>IFERROR((I1076-J1076)/(I1076+J1076),"")</f>
        <v/>
      </c>
      <c r="Q1076" s="45">
        <f>IFERROR(O1076-P1076,"")</f>
        <v/>
      </c>
      <c r="R1076" s="44">
        <f>IFERROR((L1076-M1076)/(L1076+M1076),"")</f>
        <v/>
      </c>
      <c r="S1076" s="46">
        <f>H1076/SUMIFS(Counties!$H$2:$H$1583,Counties!$A$2:$A$1583,$A1076)</f>
        <v/>
      </c>
      <c r="T1076" s="44">
        <f>O1076+INDEX(Dashboard!$F$6:$F$22,MATCH($A1076,Dashboard!$A$6:$A$22,0))</f>
        <v/>
      </c>
      <c r="U1076" s="43">
        <f>AQ1076*INDEX(Dashboard!$G$6:$G$22,MATCH($A1076,Dashboard!$A$6:$A$22,0))</f>
        <v/>
      </c>
      <c r="V1076" s="47" t="n"/>
      <c r="W1076" s="47" t="n"/>
      <c r="X1076" s="47" t="n"/>
      <c r="Y1076" s="48" t="n"/>
      <c r="Z1076" s="49" t="n"/>
      <c r="AA1076" s="49" t="n"/>
      <c r="AB1076" s="49" t="n"/>
      <c r="AC1076" s="50" t="n"/>
      <c r="AD1076" s="43">
        <f>IF(Z1076&lt;&gt;"",Z1076,N(V1076))</f>
        <v/>
      </c>
      <c r="AE1076" s="43">
        <f>IF(AA1076&lt;&gt;"",AA1076,N(W1076))</f>
        <v/>
      </c>
      <c r="AF1076" s="43">
        <f>AD1076+AE1076</f>
        <v/>
      </c>
      <c r="AG1076" s="42">
        <f>IF(UPPER(AC1076)="Y",1,IF(AF1076=0,0,IF(AND(Z1076="",Y1076&lt;&gt;""),IF(Y1076&gt;=0.999,1,0),IF(AF1076&gt;=U1076,1,0))))</f>
        <v/>
      </c>
      <c r="AH1076" s="44">
        <f>IF(AF1076&gt;0,(AD1076-AE1076)/AF1076,"")</f>
        <v/>
      </c>
      <c r="AI1076" s="45">
        <f>IF(AG1076=1,AH1076-O1076,"")</f>
        <v/>
      </c>
      <c r="AJ1076" s="44">
        <f>IF(AG1076=1,AH1076,MAX(-1,MIN(1,O1076+INDEX(Types!$H:$H,MATCH($A1076&amp;"|"&amp;$D1076,Types!$A:$A,0)))))</f>
        <v/>
      </c>
      <c r="AK1076" s="43">
        <f>IF(AG1076=1,AF1076,MAX(AQ1076*AS1076,AF1076))</f>
        <v/>
      </c>
      <c r="AL1076" s="43">
        <f>IF(AG1076=1,AD1076,AK1076*(1+AJ1076)/2)</f>
        <v/>
      </c>
      <c r="AM1076" s="43">
        <f>IF(AG1076=1,AE1076,AK1076*(1-AJ1076)/2)</f>
        <v/>
      </c>
      <c r="AN1076" s="45">
        <f>IF(AH1076="","",AH1076-T1076)</f>
        <v/>
      </c>
      <c r="AO1076" s="51">
        <f>IF(AG1076=1,1,IF(U1076&gt;0,MIN(AF1076/U1076,0.99),0))</f>
        <v/>
      </c>
      <c r="AP1076" s="43">
        <f>IF(AG1076=1,AI1076*AF1076,0)</f>
        <v/>
      </c>
      <c r="AQ1076" s="43">
        <f>N1076*(F1076+G1076)/H1076</f>
        <v/>
      </c>
      <c r="AR1076" s="43">
        <f>O1076*AQ1076</f>
        <v/>
      </c>
      <c r="AS1076" s="52">
        <f>IF(AG1076=1,IF(AQ1076&gt;0,AF1076/AQ1076,1),IFERROR(INDEX(Types!$K:$K,MATCH($A1076&amp;"|"&amp;$D1076,Types!$A:$A,0)),INDEX(Dashboard!$X$6:$X$22,MATCH($A1076,Dashboard!$A$6:$A$22,0))))</f>
        <v/>
      </c>
      <c r="AT1076" s="43">
        <f>AQ1076*INDEX(Dashboard!$Y$6:$Y$22,MATCH($A1076,Dashboard!$A$6:$A$22,0))</f>
        <v/>
      </c>
      <c r="AU1076" s="53">
        <f>IF(AND(AG1076=1,AT1076&gt;0,AF1076&gt;0),100*AF1076/AT1076,"")</f>
        <v/>
      </c>
      <c r="AV1076" s="44">
        <f>IF(AU1076="","",T1076/(AU1076/100))</f>
        <v/>
      </c>
      <c r="AW1076" s="53">
        <f>IF(AU1076="","",IF(AND(ABS(AH1076)&gt;=0.1,ABS(T1076)&gt;=0.05,SIGN(AH1076)=SIGN(T1076)),100*T1076/AH1076,""))</f>
        <v/>
      </c>
      <c r="AX1076" s="45">
        <f>IF(AU1076="","",T1076-AV1076)</f>
        <v/>
      </c>
      <c r="AY1076" s="45">
        <f>IF(AU1076="","",AH1076-AV1076)</f>
        <v/>
      </c>
      <c r="AZ1076" s="54">
        <f>(AL1076-AM1076)-T1076*AT1076</f>
        <v/>
      </c>
      <c r="BA1076" s="43">
        <f>IF(AU1076="",0,(AH1076-T1076)*AF1076)</f>
        <v/>
      </c>
      <c r="BB1076" s="43">
        <f>IF(AU1076="",0,T1076*(AF1076-AT1076))</f>
        <v/>
      </c>
      <c r="BC1076" s="51" t="n">
        <v>0.02062427232910129</v>
      </c>
      <c r="BD1076" s="51" t="n">
        <v>0.1724233519986694</v>
      </c>
      <c r="BE1076" s="51" t="n">
        <v>0.2221401001888807</v>
      </c>
      <c r="BF1076" s="43" t="n">
        <v>18037</v>
      </c>
    </row>
    <row r="1077">
      <c r="A1077" s="42" t="inlineStr">
        <is>
          <t>TX</t>
        </is>
      </c>
      <c r="B1077" s="42" t="inlineStr">
        <is>
          <t>48135</t>
        </is>
      </c>
      <c r="C1077" s="42" t="inlineStr">
        <is>
          <t>Ector</t>
        </is>
      </c>
      <c r="D1077" s="42" t="inlineStr">
        <is>
          <t>Hispanic</t>
        </is>
      </c>
      <c r="E1077" s="42" t="inlineStr"/>
      <c r="F1077" s="43" t="n">
        <v>9881</v>
      </c>
      <c r="G1077" s="43" t="n">
        <v>32429</v>
      </c>
      <c r="H1077" s="43" t="n">
        <v>42615</v>
      </c>
      <c r="I1077" s="43" t="n">
        <v>11367</v>
      </c>
      <c r="J1077" s="43" t="n">
        <v>32697</v>
      </c>
      <c r="K1077" s="42" t="inlineStr">
        <is>
          <t>Governor</t>
        </is>
      </c>
      <c r="L1077" s="43" t="n">
        <v>5950</v>
      </c>
      <c r="M1077" s="43" t="n">
        <v>19212</v>
      </c>
      <c r="N1077" s="43" t="n">
        <v>25449</v>
      </c>
      <c r="O1077" s="44">
        <f>IFERROR((F1077-G1077)/(F1077+G1077),"")</f>
        <v/>
      </c>
      <c r="P1077" s="44">
        <f>IFERROR((I1077-J1077)/(I1077+J1077),"")</f>
        <v/>
      </c>
      <c r="Q1077" s="45">
        <f>IFERROR(O1077-P1077,"")</f>
        <v/>
      </c>
      <c r="R1077" s="44">
        <f>IFERROR((L1077-M1077)/(L1077+M1077),"")</f>
        <v/>
      </c>
      <c r="S1077" s="46">
        <f>H1077/SUMIFS(Counties!$H$2:$H$1583,Counties!$A$2:$A$1583,$A1077)</f>
        <v/>
      </c>
      <c r="T1077" s="44">
        <f>O1077+INDEX(Dashboard!$F$6:$F$22,MATCH($A1077,Dashboard!$A$6:$A$22,0))</f>
        <v/>
      </c>
      <c r="U1077" s="43">
        <f>AQ1077*INDEX(Dashboard!$G$6:$G$22,MATCH($A1077,Dashboard!$A$6:$A$22,0))</f>
        <v/>
      </c>
      <c r="V1077" s="47" t="n"/>
      <c r="W1077" s="47" t="n"/>
      <c r="X1077" s="47" t="n"/>
      <c r="Y1077" s="48" t="n"/>
      <c r="Z1077" s="49" t="n"/>
      <c r="AA1077" s="49" t="n"/>
      <c r="AB1077" s="49" t="n"/>
      <c r="AC1077" s="50" t="n"/>
      <c r="AD1077" s="43">
        <f>IF(Z1077&lt;&gt;"",Z1077,N(V1077))</f>
        <v/>
      </c>
      <c r="AE1077" s="43">
        <f>IF(AA1077&lt;&gt;"",AA1077,N(W1077))</f>
        <v/>
      </c>
      <c r="AF1077" s="43">
        <f>AD1077+AE1077</f>
        <v/>
      </c>
      <c r="AG1077" s="42">
        <f>IF(UPPER(AC1077)="Y",1,IF(AF1077=0,0,IF(AND(Z1077="",Y1077&lt;&gt;""),IF(Y1077&gt;=0.999,1,0),IF(AF1077&gt;=U1077,1,0))))</f>
        <v/>
      </c>
      <c r="AH1077" s="44">
        <f>IF(AF1077&gt;0,(AD1077-AE1077)/AF1077,"")</f>
        <v/>
      </c>
      <c r="AI1077" s="45">
        <f>IF(AG1077=1,AH1077-O1077,"")</f>
        <v/>
      </c>
      <c r="AJ1077" s="44">
        <f>IF(AG1077=1,AH1077,MAX(-1,MIN(1,O1077+INDEX(Types!$H:$H,MATCH($A1077&amp;"|"&amp;$D1077,Types!$A:$A,0)))))</f>
        <v/>
      </c>
      <c r="AK1077" s="43">
        <f>IF(AG1077=1,AF1077,MAX(AQ1077*AS1077,AF1077))</f>
        <v/>
      </c>
      <c r="AL1077" s="43">
        <f>IF(AG1077=1,AD1077,AK1077*(1+AJ1077)/2)</f>
        <v/>
      </c>
      <c r="AM1077" s="43">
        <f>IF(AG1077=1,AE1077,AK1077*(1-AJ1077)/2)</f>
        <v/>
      </c>
      <c r="AN1077" s="45">
        <f>IF(AH1077="","",AH1077-T1077)</f>
        <v/>
      </c>
      <c r="AO1077" s="51">
        <f>IF(AG1077=1,1,IF(U1077&gt;0,MIN(AF1077/U1077,0.99),0))</f>
        <v/>
      </c>
      <c r="AP1077" s="43">
        <f>IF(AG1077=1,AI1077*AF1077,0)</f>
        <v/>
      </c>
      <c r="AQ1077" s="43">
        <f>N1077*(F1077+G1077)/H1077</f>
        <v/>
      </c>
      <c r="AR1077" s="43">
        <f>O1077*AQ1077</f>
        <v/>
      </c>
      <c r="AS1077" s="52">
        <f>IF(AG1077=1,IF(AQ1077&gt;0,AF1077/AQ1077,1),IFERROR(INDEX(Types!$K:$K,MATCH($A1077&amp;"|"&amp;$D1077,Types!$A:$A,0)),INDEX(Dashboard!$X$6:$X$22,MATCH($A1077,Dashboard!$A$6:$A$22,0))))</f>
        <v/>
      </c>
      <c r="AT1077" s="43">
        <f>AQ1077*INDEX(Dashboard!$Y$6:$Y$22,MATCH($A1077,Dashboard!$A$6:$A$22,0))</f>
        <v/>
      </c>
      <c r="AU1077" s="53">
        <f>IF(AND(AG1077=1,AT1077&gt;0,AF1077&gt;0),100*AF1077/AT1077,"")</f>
        <v/>
      </c>
      <c r="AV1077" s="44">
        <f>IF(AU1077="","",T1077/(AU1077/100))</f>
        <v/>
      </c>
      <c r="AW1077" s="53">
        <f>IF(AU1077="","",IF(AND(ABS(AH1077)&gt;=0.1,ABS(T1077)&gt;=0.05,SIGN(AH1077)=SIGN(T1077)),100*T1077/AH1077,""))</f>
        <v/>
      </c>
      <c r="AX1077" s="45">
        <f>IF(AU1077="","",T1077-AV1077)</f>
        <v/>
      </c>
      <c r="AY1077" s="45">
        <f>IF(AU1077="","",AH1077-AV1077)</f>
        <v/>
      </c>
      <c r="AZ1077" s="54">
        <f>(AL1077-AM1077)-T1077*AT1077</f>
        <v/>
      </c>
      <c r="BA1077" s="43">
        <f>IF(AU1077="",0,(AH1077-T1077)*AF1077)</f>
        <v/>
      </c>
      <c r="BB1077" s="43">
        <f>IF(AU1077="",0,T1077*(AF1077-AT1077))</f>
        <v/>
      </c>
      <c r="BC1077" s="51" t="n">
        <v>0.04549102094909237</v>
      </c>
      <c r="BD1077" s="51" t="n">
        <v>0.6453974005130886</v>
      </c>
      <c r="BE1077" s="51" t="n">
        <v>0.1664746250089223</v>
      </c>
      <c r="BF1077" s="43" t="n">
        <v>164494</v>
      </c>
    </row>
    <row r="1078">
      <c r="A1078" s="42" t="inlineStr">
        <is>
          <t>TX</t>
        </is>
      </c>
      <c r="B1078" s="42" t="inlineStr">
        <is>
          <t>48137</t>
        </is>
      </c>
      <c r="C1078" s="42" t="inlineStr">
        <is>
          <t>Edwards</t>
        </is>
      </c>
      <c r="D1078" s="42" t="inlineStr">
        <is>
          <t>Hispanic</t>
        </is>
      </c>
      <c r="E1078" s="42" t="inlineStr"/>
      <c r="F1078" s="43" t="n">
        <v>133</v>
      </c>
      <c r="G1078" s="43" t="n">
        <v>869</v>
      </c>
      <c r="H1078" s="43" t="n">
        <v>1005</v>
      </c>
      <c r="I1078" s="43" t="n">
        <v>168</v>
      </c>
      <c r="J1078" s="43" t="n">
        <v>893</v>
      </c>
      <c r="K1078" s="42" t="inlineStr">
        <is>
          <t>Governor</t>
        </is>
      </c>
      <c r="L1078" s="43" t="n">
        <v>99</v>
      </c>
      <c r="M1078" s="43" t="n">
        <v>712</v>
      </c>
      <c r="N1078" s="43" t="n">
        <v>814</v>
      </c>
      <c r="O1078" s="44">
        <f>IFERROR((F1078-G1078)/(F1078+G1078),"")</f>
        <v/>
      </c>
      <c r="P1078" s="44">
        <f>IFERROR((I1078-J1078)/(I1078+J1078),"")</f>
        <v/>
      </c>
      <c r="Q1078" s="45">
        <f>IFERROR(O1078-P1078,"")</f>
        <v/>
      </c>
      <c r="R1078" s="44">
        <f>IFERROR((L1078-M1078)/(L1078+M1078),"")</f>
        <v/>
      </c>
      <c r="S1078" s="46">
        <f>H1078/SUMIFS(Counties!$H$2:$H$1583,Counties!$A$2:$A$1583,$A1078)</f>
        <v/>
      </c>
      <c r="T1078" s="44">
        <f>O1078+INDEX(Dashboard!$F$6:$F$22,MATCH($A1078,Dashboard!$A$6:$A$22,0))</f>
        <v/>
      </c>
      <c r="U1078" s="43">
        <f>AQ1078*INDEX(Dashboard!$G$6:$G$22,MATCH($A1078,Dashboard!$A$6:$A$22,0))</f>
        <v/>
      </c>
      <c r="V1078" s="47" t="n"/>
      <c r="W1078" s="47" t="n"/>
      <c r="X1078" s="47" t="n"/>
      <c r="Y1078" s="48" t="n"/>
      <c r="Z1078" s="49" t="n"/>
      <c r="AA1078" s="49" t="n"/>
      <c r="AB1078" s="49" t="n"/>
      <c r="AC1078" s="50" t="n"/>
      <c r="AD1078" s="43">
        <f>IF(Z1078&lt;&gt;"",Z1078,N(V1078))</f>
        <v/>
      </c>
      <c r="AE1078" s="43">
        <f>IF(AA1078&lt;&gt;"",AA1078,N(W1078))</f>
        <v/>
      </c>
      <c r="AF1078" s="43">
        <f>AD1078+AE1078</f>
        <v/>
      </c>
      <c r="AG1078" s="42">
        <f>IF(UPPER(AC1078)="Y",1,IF(AF1078=0,0,IF(AND(Z1078="",Y1078&lt;&gt;""),IF(Y1078&gt;=0.999,1,0),IF(AF1078&gt;=U1078,1,0))))</f>
        <v/>
      </c>
      <c r="AH1078" s="44">
        <f>IF(AF1078&gt;0,(AD1078-AE1078)/AF1078,"")</f>
        <v/>
      </c>
      <c r="AI1078" s="45">
        <f>IF(AG1078=1,AH1078-O1078,"")</f>
        <v/>
      </c>
      <c r="AJ1078" s="44">
        <f>IF(AG1078=1,AH1078,MAX(-1,MIN(1,O1078+INDEX(Types!$H:$H,MATCH($A1078&amp;"|"&amp;$D1078,Types!$A:$A,0)))))</f>
        <v/>
      </c>
      <c r="AK1078" s="43">
        <f>IF(AG1078=1,AF1078,MAX(AQ1078*AS1078,AF1078))</f>
        <v/>
      </c>
      <c r="AL1078" s="43">
        <f>IF(AG1078=1,AD1078,AK1078*(1+AJ1078)/2)</f>
        <v/>
      </c>
      <c r="AM1078" s="43">
        <f>IF(AG1078=1,AE1078,AK1078*(1-AJ1078)/2)</f>
        <v/>
      </c>
      <c r="AN1078" s="45">
        <f>IF(AH1078="","",AH1078-T1078)</f>
        <v/>
      </c>
      <c r="AO1078" s="51">
        <f>IF(AG1078=1,1,IF(U1078&gt;0,MIN(AF1078/U1078,0.99),0))</f>
        <v/>
      </c>
      <c r="AP1078" s="43">
        <f>IF(AG1078=1,AI1078*AF1078,0)</f>
        <v/>
      </c>
      <c r="AQ1078" s="43">
        <f>N1078*(F1078+G1078)/H1078</f>
        <v/>
      </c>
      <c r="AR1078" s="43">
        <f>O1078*AQ1078</f>
        <v/>
      </c>
      <c r="AS1078" s="52">
        <f>IF(AG1078=1,IF(AQ1078&gt;0,AF1078/AQ1078,1),IFERROR(INDEX(Types!$K:$K,MATCH($A1078&amp;"|"&amp;$D1078,Types!$A:$A,0)),INDEX(Dashboard!$X$6:$X$22,MATCH($A1078,Dashboard!$A$6:$A$22,0))))</f>
        <v/>
      </c>
      <c r="AT1078" s="43">
        <f>AQ1078*INDEX(Dashboard!$Y$6:$Y$22,MATCH($A1078,Dashboard!$A$6:$A$22,0))</f>
        <v/>
      </c>
      <c r="AU1078" s="53">
        <f>IF(AND(AG1078=1,AT1078&gt;0,AF1078&gt;0),100*AF1078/AT1078,"")</f>
        <v/>
      </c>
      <c r="AV1078" s="44">
        <f>IF(AU1078="","",T1078/(AU1078/100))</f>
        <v/>
      </c>
      <c r="AW1078" s="53">
        <f>IF(AU1078="","",IF(AND(ABS(AH1078)&gt;=0.1,ABS(T1078)&gt;=0.05,SIGN(AH1078)=SIGN(T1078)),100*T1078/AH1078,""))</f>
        <v/>
      </c>
      <c r="AX1078" s="45">
        <f>IF(AU1078="","",T1078-AV1078)</f>
        <v/>
      </c>
      <c r="AY1078" s="45">
        <f>IF(AU1078="","",AH1078-AV1078)</f>
        <v/>
      </c>
      <c r="AZ1078" s="54">
        <f>(AL1078-AM1078)-T1078*AT1078</f>
        <v/>
      </c>
      <c r="BA1078" s="43">
        <f>IF(AU1078="",0,(AH1078-T1078)*AF1078)</f>
        <v/>
      </c>
      <c r="BB1078" s="43">
        <f>IF(AU1078="",0,T1078*(AF1078-AT1078))</f>
        <v/>
      </c>
      <c r="BC1078" s="51" t="n">
        <v>0.01722900215362527</v>
      </c>
      <c r="BD1078" s="51" t="n">
        <v>0.4967695620961953</v>
      </c>
      <c r="BE1078" s="51" t="n">
        <v>0.2592190889370933</v>
      </c>
      <c r="BF1078" s="43" t="n">
        <v>1393</v>
      </c>
    </row>
    <row r="1079">
      <c r="A1079" s="42" t="inlineStr">
        <is>
          <t>TX</t>
        </is>
      </c>
      <c r="B1079" s="42" t="inlineStr">
        <is>
          <t>48141</t>
        </is>
      </c>
      <c r="C1079" s="42" t="inlineStr">
        <is>
          <t>El Paso</t>
        </is>
      </c>
      <c r="D1079" s="42" t="inlineStr">
        <is>
          <t>Hispanic</t>
        </is>
      </c>
      <c r="E1079" s="42" t="inlineStr"/>
      <c r="F1079" s="43" t="n">
        <v>143156</v>
      </c>
      <c r="G1079" s="43" t="n">
        <v>105124</v>
      </c>
      <c r="H1079" s="43" t="n">
        <v>251371</v>
      </c>
      <c r="I1079" s="43" t="n">
        <v>178126</v>
      </c>
      <c r="J1079" s="43" t="n">
        <v>84331</v>
      </c>
      <c r="K1079" s="42" t="inlineStr">
        <is>
          <t>Governor</t>
        </is>
      </c>
      <c r="L1079" s="43" t="n">
        <v>105156</v>
      </c>
      <c r="M1079" s="43" t="n">
        <v>57573</v>
      </c>
      <c r="N1079" s="43" t="n">
        <v>165518</v>
      </c>
      <c r="O1079" s="44">
        <f>IFERROR((F1079-G1079)/(F1079+G1079),"")</f>
        <v/>
      </c>
      <c r="P1079" s="44">
        <f>IFERROR((I1079-J1079)/(I1079+J1079),"")</f>
        <v/>
      </c>
      <c r="Q1079" s="45">
        <f>IFERROR(O1079-P1079,"")</f>
        <v/>
      </c>
      <c r="R1079" s="44">
        <f>IFERROR((L1079-M1079)/(L1079+M1079),"")</f>
        <v/>
      </c>
      <c r="S1079" s="46">
        <f>H1079/SUMIFS(Counties!$H$2:$H$1583,Counties!$A$2:$A$1583,$A1079)</f>
        <v/>
      </c>
      <c r="T1079" s="44">
        <f>O1079+INDEX(Dashboard!$F$6:$F$22,MATCH($A1079,Dashboard!$A$6:$A$22,0))</f>
        <v/>
      </c>
      <c r="U1079" s="43">
        <f>AQ1079*INDEX(Dashboard!$G$6:$G$22,MATCH($A1079,Dashboard!$A$6:$A$22,0))</f>
        <v/>
      </c>
      <c r="V1079" s="47" t="n"/>
      <c r="W1079" s="47" t="n"/>
      <c r="X1079" s="47" t="n"/>
      <c r="Y1079" s="48" t="n"/>
      <c r="Z1079" s="49" t="n"/>
      <c r="AA1079" s="49" t="n"/>
      <c r="AB1079" s="49" t="n"/>
      <c r="AC1079" s="50" t="n"/>
      <c r="AD1079" s="43">
        <f>IF(Z1079&lt;&gt;"",Z1079,N(V1079))</f>
        <v/>
      </c>
      <c r="AE1079" s="43">
        <f>IF(AA1079&lt;&gt;"",AA1079,N(W1079))</f>
        <v/>
      </c>
      <c r="AF1079" s="43">
        <f>AD1079+AE1079</f>
        <v/>
      </c>
      <c r="AG1079" s="42">
        <f>IF(UPPER(AC1079)="Y",1,IF(AF1079=0,0,IF(AND(Z1079="",Y1079&lt;&gt;""),IF(Y1079&gt;=0.999,1,0),IF(AF1079&gt;=U1079,1,0))))</f>
        <v/>
      </c>
      <c r="AH1079" s="44">
        <f>IF(AF1079&gt;0,(AD1079-AE1079)/AF1079,"")</f>
        <v/>
      </c>
      <c r="AI1079" s="45">
        <f>IF(AG1079=1,AH1079-O1079,"")</f>
        <v/>
      </c>
      <c r="AJ1079" s="44">
        <f>IF(AG1079=1,AH1079,MAX(-1,MIN(1,O1079+INDEX(Types!$H:$H,MATCH($A1079&amp;"|"&amp;$D1079,Types!$A:$A,0)))))</f>
        <v/>
      </c>
      <c r="AK1079" s="43">
        <f>IF(AG1079=1,AF1079,MAX(AQ1079*AS1079,AF1079))</f>
        <v/>
      </c>
      <c r="AL1079" s="43">
        <f>IF(AG1079=1,AD1079,AK1079*(1+AJ1079)/2)</f>
        <v/>
      </c>
      <c r="AM1079" s="43">
        <f>IF(AG1079=1,AE1079,AK1079*(1-AJ1079)/2)</f>
        <v/>
      </c>
      <c r="AN1079" s="45">
        <f>IF(AH1079="","",AH1079-T1079)</f>
        <v/>
      </c>
      <c r="AO1079" s="51">
        <f>IF(AG1079=1,1,IF(U1079&gt;0,MIN(AF1079/U1079,0.99),0))</f>
        <v/>
      </c>
      <c r="AP1079" s="43">
        <f>IF(AG1079=1,AI1079*AF1079,0)</f>
        <v/>
      </c>
      <c r="AQ1079" s="43">
        <f>N1079*(F1079+G1079)/H1079</f>
        <v/>
      </c>
      <c r="AR1079" s="43">
        <f>O1079*AQ1079</f>
        <v/>
      </c>
      <c r="AS1079" s="52">
        <f>IF(AG1079=1,IF(AQ1079&gt;0,AF1079/AQ1079,1),IFERROR(INDEX(Types!$K:$K,MATCH($A1079&amp;"|"&amp;$D1079,Types!$A:$A,0)),INDEX(Dashboard!$X$6:$X$22,MATCH($A1079,Dashboard!$A$6:$A$22,0))))</f>
        <v/>
      </c>
      <c r="AT1079" s="43">
        <f>AQ1079*INDEX(Dashboard!$Y$6:$Y$22,MATCH($A1079,Dashboard!$A$6:$A$22,0))</f>
        <v/>
      </c>
      <c r="AU1079" s="53">
        <f>IF(AND(AG1079=1,AT1079&gt;0,AF1079&gt;0),100*AF1079/AT1079,"")</f>
        <v/>
      </c>
      <c r="AV1079" s="44">
        <f>IF(AU1079="","",T1079/(AU1079/100))</f>
        <v/>
      </c>
      <c r="AW1079" s="53">
        <f>IF(AU1079="","",IF(AND(ABS(AH1079)&gt;=0.1,ABS(T1079)&gt;=0.05,SIGN(AH1079)=SIGN(T1079)),100*T1079/AH1079,""))</f>
        <v/>
      </c>
      <c r="AX1079" s="45">
        <f>IF(AU1079="","",T1079-AV1079)</f>
        <v/>
      </c>
      <c r="AY1079" s="45">
        <f>IF(AU1079="","",AH1079-AV1079)</f>
        <v/>
      </c>
      <c r="AZ1079" s="54">
        <f>(AL1079-AM1079)-T1079*AT1079</f>
        <v/>
      </c>
      <c r="BA1079" s="43">
        <f>IF(AU1079="",0,(AH1079-T1079)*AF1079)</f>
        <v/>
      </c>
      <c r="BB1079" s="43">
        <f>IF(AU1079="",0,T1079*(AF1079-AT1079))</f>
        <v/>
      </c>
      <c r="BC1079" s="51" t="n">
        <v>0.03462201682990757</v>
      </c>
      <c r="BD1079" s="51" t="n">
        <v>0.8283464385892307</v>
      </c>
      <c r="BE1079" s="51" t="n">
        <v>0.2536119059771263</v>
      </c>
      <c r="BF1079" s="43" t="n">
        <v>869880</v>
      </c>
    </row>
    <row r="1080">
      <c r="A1080" s="42" t="inlineStr">
        <is>
          <t>TX</t>
        </is>
      </c>
      <c r="B1080" s="42" t="inlineStr">
        <is>
          <t>48139</t>
        </is>
      </c>
      <c r="C1080" s="42" t="inlineStr">
        <is>
          <t>Ellis</t>
        </is>
      </c>
      <c r="D1080" s="42" t="inlineStr">
        <is>
          <t>Mid-size/working metro</t>
        </is>
      </c>
      <c r="E1080" s="42" t="inlineStr"/>
      <c r="F1080" s="43" t="n">
        <v>33850</v>
      </c>
      <c r="G1080" s="43" t="n">
        <v>64763</v>
      </c>
      <c r="H1080" s="43" t="n">
        <v>99485</v>
      </c>
      <c r="I1080" s="43" t="n">
        <v>27565</v>
      </c>
      <c r="J1080" s="43" t="n">
        <v>56717</v>
      </c>
      <c r="K1080" s="42" t="inlineStr">
        <is>
          <t>Governor</t>
        </is>
      </c>
      <c r="L1080" s="43" t="n">
        <v>21338</v>
      </c>
      <c r="M1080" s="43" t="n">
        <v>45564</v>
      </c>
      <c r="N1080" s="43" t="n">
        <v>67807</v>
      </c>
      <c r="O1080" s="44">
        <f>IFERROR((F1080-G1080)/(F1080+G1080),"")</f>
        <v/>
      </c>
      <c r="P1080" s="44">
        <f>IFERROR((I1080-J1080)/(I1080+J1080),"")</f>
        <v/>
      </c>
      <c r="Q1080" s="45">
        <f>IFERROR(O1080-P1080,"")</f>
        <v/>
      </c>
      <c r="R1080" s="44">
        <f>IFERROR((L1080-M1080)/(L1080+M1080),"")</f>
        <v/>
      </c>
      <c r="S1080" s="46">
        <f>H1080/SUMIFS(Counties!$H$2:$H$1583,Counties!$A$2:$A$1583,$A1080)</f>
        <v/>
      </c>
      <c r="T1080" s="44">
        <f>O1080+INDEX(Dashboard!$F$6:$F$22,MATCH($A1080,Dashboard!$A$6:$A$22,0))</f>
        <v/>
      </c>
      <c r="U1080" s="43">
        <f>AQ1080*INDEX(Dashboard!$G$6:$G$22,MATCH($A1080,Dashboard!$A$6:$A$22,0))</f>
        <v/>
      </c>
      <c r="V1080" s="47" t="n"/>
      <c r="W1080" s="47" t="n"/>
      <c r="X1080" s="47" t="n"/>
      <c r="Y1080" s="48" t="n"/>
      <c r="Z1080" s="49" t="n"/>
      <c r="AA1080" s="49" t="n"/>
      <c r="AB1080" s="49" t="n"/>
      <c r="AC1080" s="50" t="n"/>
      <c r="AD1080" s="43">
        <f>IF(Z1080&lt;&gt;"",Z1080,N(V1080))</f>
        <v/>
      </c>
      <c r="AE1080" s="43">
        <f>IF(AA1080&lt;&gt;"",AA1080,N(W1080))</f>
        <v/>
      </c>
      <c r="AF1080" s="43">
        <f>AD1080+AE1080</f>
        <v/>
      </c>
      <c r="AG1080" s="42">
        <f>IF(UPPER(AC1080)="Y",1,IF(AF1080=0,0,IF(AND(Z1080="",Y1080&lt;&gt;""),IF(Y1080&gt;=0.999,1,0),IF(AF1080&gt;=U1080,1,0))))</f>
        <v/>
      </c>
      <c r="AH1080" s="44">
        <f>IF(AF1080&gt;0,(AD1080-AE1080)/AF1080,"")</f>
        <v/>
      </c>
      <c r="AI1080" s="45">
        <f>IF(AG1080=1,AH1080-O1080,"")</f>
        <v/>
      </c>
      <c r="AJ1080" s="44">
        <f>IF(AG1080=1,AH1080,MAX(-1,MIN(1,O1080+INDEX(Types!$H:$H,MATCH($A1080&amp;"|"&amp;$D1080,Types!$A:$A,0)))))</f>
        <v/>
      </c>
      <c r="AK1080" s="43">
        <f>IF(AG1080=1,AF1080,MAX(AQ1080*AS1080,AF1080))</f>
        <v/>
      </c>
      <c r="AL1080" s="43">
        <f>IF(AG1080=1,AD1080,AK1080*(1+AJ1080)/2)</f>
        <v/>
      </c>
      <c r="AM1080" s="43">
        <f>IF(AG1080=1,AE1080,AK1080*(1-AJ1080)/2)</f>
        <v/>
      </c>
      <c r="AN1080" s="45">
        <f>IF(AH1080="","",AH1080-T1080)</f>
        <v/>
      </c>
      <c r="AO1080" s="51">
        <f>IF(AG1080=1,1,IF(U1080&gt;0,MIN(AF1080/U1080,0.99),0))</f>
        <v/>
      </c>
      <c r="AP1080" s="43">
        <f>IF(AG1080=1,AI1080*AF1080,0)</f>
        <v/>
      </c>
      <c r="AQ1080" s="43">
        <f>N1080*(F1080+G1080)/H1080</f>
        <v/>
      </c>
      <c r="AR1080" s="43">
        <f>O1080*AQ1080</f>
        <v/>
      </c>
      <c r="AS1080" s="52">
        <f>IF(AG1080=1,IF(AQ1080&gt;0,AF1080/AQ1080,1),IFERROR(INDEX(Types!$K:$K,MATCH($A1080&amp;"|"&amp;$D1080,Types!$A:$A,0)),INDEX(Dashboard!$X$6:$X$22,MATCH($A1080,Dashboard!$A$6:$A$22,0))))</f>
        <v/>
      </c>
      <c r="AT1080" s="43">
        <f>AQ1080*INDEX(Dashboard!$Y$6:$Y$22,MATCH($A1080,Dashboard!$A$6:$A$22,0))</f>
        <v/>
      </c>
      <c r="AU1080" s="53">
        <f>IF(AND(AG1080=1,AT1080&gt;0,AF1080&gt;0),100*AF1080/AT1080,"")</f>
        <v/>
      </c>
      <c r="AV1080" s="44">
        <f>IF(AU1080="","",T1080/(AU1080/100))</f>
        <v/>
      </c>
      <c r="AW1080" s="53">
        <f>IF(AU1080="","",IF(AND(ABS(AH1080)&gt;=0.1,ABS(T1080)&gt;=0.05,SIGN(AH1080)=SIGN(T1080)),100*T1080/AH1080,""))</f>
        <v/>
      </c>
      <c r="AX1080" s="45">
        <f>IF(AU1080="","",T1080-AV1080)</f>
        <v/>
      </c>
      <c r="AY1080" s="45">
        <f>IF(AU1080="","",AH1080-AV1080)</f>
        <v/>
      </c>
      <c r="AZ1080" s="54">
        <f>(AL1080-AM1080)-T1080*AT1080</f>
        <v/>
      </c>
      <c r="BA1080" s="43">
        <f>IF(AU1080="",0,(AH1080-T1080)*AF1080)</f>
        <v/>
      </c>
      <c r="BB1080" s="43">
        <f>IF(AU1080="",0,T1080*(AF1080-AT1080))</f>
        <v/>
      </c>
      <c r="BC1080" s="51" t="n">
        <v>0.1652836928766004</v>
      </c>
      <c r="BD1080" s="51" t="n">
        <v>0.2841281879827132</v>
      </c>
      <c r="BE1080" s="51" t="n">
        <v>0.2860132225389701</v>
      </c>
      <c r="BF1080" s="43" t="n">
        <v>222829</v>
      </c>
    </row>
    <row r="1081">
      <c r="A1081" s="42" t="inlineStr">
        <is>
          <t>TX</t>
        </is>
      </c>
      <c r="B1081" s="42" t="inlineStr">
        <is>
          <t>48143</t>
        </is>
      </c>
      <c r="C1081" s="42" t="inlineStr">
        <is>
          <t>Erath</t>
        </is>
      </c>
      <c r="D1081" s="42" t="inlineStr">
        <is>
          <t>Small town &amp; rural</t>
        </is>
      </c>
      <c r="E1081" s="42" t="inlineStr"/>
      <c r="F1081" s="43" t="n">
        <v>2871</v>
      </c>
      <c r="G1081" s="43" t="n">
        <v>15349</v>
      </c>
      <c r="H1081" s="43" t="n">
        <v>18350</v>
      </c>
      <c r="I1081" s="43" t="n">
        <v>2916</v>
      </c>
      <c r="J1081" s="43" t="n">
        <v>13684</v>
      </c>
      <c r="K1081" s="42" t="inlineStr">
        <is>
          <t>Governor</t>
        </is>
      </c>
      <c r="L1081" s="43" t="n">
        <v>1976</v>
      </c>
      <c r="M1081" s="43" t="n">
        <v>10956</v>
      </c>
      <c r="N1081" s="43" t="n">
        <v>13124</v>
      </c>
      <c r="O1081" s="44">
        <f>IFERROR((F1081-G1081)/(F1081+G1081),"")</f>
        <v/>
      </c>
      <c r="P1081" s="44">
        <f>IFERROR((I1081-J1081)/(I1081+J1081),"")</f>
        <v/>
      </c>
      <c r="Q1081" s="45">
        <f>IFERROR(O1081-P1081,"")</f>
        <v/>
      </c>
      <c r="R1081" s="44">
        <f>IFERROR((L1081-M1081)/(L1081+M1081),"")</f>
        <v/>
      </c>
      <c r="S1081" s="46">
        <f>H1081/SUMIFS(Counties!$H$2:$H$1583,Counties!$A$2:$A$1583,$A1081)</f>
        <v/>
      </c>
      <c r="T1081" s="44">
        <f>O1081+INDEX(Dashboard!$F$6:$F$22,MATCH($A1081,Dashboard!$A$6:$A$22,0))</f>
        <v/>
      </c>
      <c r="U1081" s="43">
        <f>AQ1081*INDEX(Dashboard!$G$6:$G$22,MATCH($A1081,Dashboard!$A$6:$A$22,0))</f>
        <v/>
      </c>
      <c r="V1081" s="47" t="n"/>
      <c r="W1081" s="47" t="n"/>
      <c r="X1081" s="47" t="n"/>
      <c r="Y1081" s="48" t="n"/>
      <c r="Z1081" s="49" t="n"/>
      <c r="AA1081" s="49" t="n"/>
      <c r="AB1081" s="49" t="n"/>
      <c r="AC1081" s="50" t="n"/>
      <c r="AD1081" s="43">
        <f>IF(Z1081&lt;&gt;"",Z1081,N(V1081))</f>
        <v/>
      </c>
      <c r="AE1081" s="43">
        <f>IF(AA1081&lt;&gt;"",AA1081,N(W1081))</f>
        <v/>
      </c>
      <c r="AF1081" s="43">
        <f>AD1081+AE1081</f>
        <v/>
      </c>
      <c r="AG1081" s="42">
        <f>IF(UPPER(AC1081)="Y",1,IF(AF1081=0,0,IF(AND(Z1081="",Y1081&lt;&gt;""),IF(Y1081&gt;=0.999,1,0),IF(AF1081&gt;=U1081,1,0))))</f>
        <v/>
      </c>
      <c r="AH1081" s="44">
        <f>IF(AF1081&gt;0,(AD1081-AE1081)/AF1081,"")</f>
        <v/>
      </c>
      <c r="AI1081" s="45">
        <f>IF(AG1081=1,AH1081-O1081,"")</f>
        <v/>
      </c>
      <c r="AJ1081" s="44">
        <f>IF(AG1081=1,AH1081,MAX(-1,MIN(1,O1081+INDEX(Types!$H:$H,MATCH($A1081&amp;"|"&amp;$D1081,Types!$A:$A,0)))))</f>
        <v/>
      </c>
      <c r="AK1081" s="43">
        <f>IF(AG1081=1,AF1081,MAX(AQ1081*AS1081,AF1081))</f>
        <v/>
      </c>
      <c r="AL1081" s="43">
        <f>IF(AG1081=1,AD1081,AK1081*(1+AJ1081)/2)</f>
        <v/>
      </c>
      <c r="AM1081" s="43">
        <f>IF(AG1081=1,AE1081,AK1081*(1-AJ1081)/2)</f>
        <v/>
      </c>
      <c r="AN1081" s="45">
        <f>IF(AH1081="","",AH1081-T1081)</f>
        <v/>
      </c>
      <c r="AO1081" s="51">
        <f>IF(AG1081=1,1,IF(U1081&gt;0,MIN(AF1081/U1081,0.99),0))</f>
        <v/>
      </c>
      <c r="AP1081" s="43">
        <f>IF(AG1081=1,AI1081*AF1081,0)</f>
        <v/>
      </c>
      <c r="AQ1081" s="43">
        <f>N1081*(F1081+G1081)/H1081</f>
        <v/>
      </c>
      <c r="AR1081" s="43">
        <f>O1081*AQ1081</f>
        <v/>
      </c>
      <c r="AS1081" s="52">
        <f>IF(AG1081=1,IF(AQ1081&gt;0,AF1081/AQ1081,1),IFERROR(INDEX(Types!$K:$K,MATCH($A1081&amp;"|"&amp;$D1081,Types!$A:$A,0)),INDEX(Dashboard!$X$6:$X$22,MATCH($A1081,Dashboard!$A$6:$A$22,0))))</f>
        <v/>
      </c>
      <c r="AT1081" s="43">
        <f>AQ1081*INDEX(Dashboard!$Y$6:$Y$22,MATCH($A1081,Dashboard!$A$6:$A$22,0))</f>
        <v/>
      </c>
      <c r="AU1081" s="53">
        <f>IF(AND(AG1081=1,AT1081&gt;0,AF1081&gt;0),100*AF1081/AT1081,"")</f>
        <v/>
      </c>
      <c r="AV1081" s="44">
        <f>IF(AU1081="","",T1081/(AU1081/100))</f>
        <v/>
      </c>
      <c r="AW1081" s="53">
        <f>IF(AU1081="","",IF(AND(ABS(AH1081)&gt;=0.1,ABS(T1081)&gt;=0.05,SIGN(AH1081)=SIGN(T1081)),100*T1081/AH1081,""))</f>
        <v/>
      </c>
      <c r="AX1081" s="45">
        <f>IF(AU1081="","",T1081-AV1081)</f>
        <v/>
      </c>
      <c r="AY1081" s="45">
        <f>IF(AU1081="","",AH1081-AV1081)</f>
        <v/>
      </c>
      <c r="AZ1081" s="54">
        <f>(AL1081-AM1081)-T1081*AT1081</f>
        <v/>
      </c>
      <c r="BA1081" s="43">
        <f>IF(AU1081="",0,(AH1081-T1081)*AF1081)</f>
        <v/>
      </c>
      <c r="BB1081" s="43">
        <f>IF(AU1081="",0,T1081*(AF1081-AT1081))</f>
        <v/>
      </c>
      <c r="BC1081" s="51" t="n">
        <v>0.01916506392125806</v>
      </c>
      <c r="BD1081" s="51" t="n">
        <v>0.2240298676320851</v>
      </c>
      <c r="BE1081" s="51" t="n">
        <v>0.3249512670565302</v>
      </c>
      <c r="BF1081" s="43" t="n">
        <v>44195</v>
      </c>
    </row>
    <row r="1082">
      <c r="A1082" s="42" t="inlineStr">
        <is>
          <t>TX</t>
        </is>
      </c>
      <c r="B1082" s="42" t="inlineStr">
        <is>
          <t>48145</t>
        </is>
      </c>
      <c r="C1082" s="42" t="inlineStr">
        <is>
          <t>Falls</t>
        </is>
      </c>
      <c r="D1082" s="42" t="inlineStr">
        <is>
          <t>Small town &amp; rural</t>
        </is>
      </c>
      <c r="E1082" s="42" t="inlineStr"/>
      <c r="F1082" s="43" t="n">
        <v>1713</v>
      </c>
      <c r="G1082" s="43" t="n">
        <v>4520</v>
      </c>
      <c r="H1082" s="43" t="n">
        <v>6276</v>
      </c>
      <c r="I1082" s="43" t="n">
        <v>1899</v>
      </c>
      <c r="J1082" s="43" t="n">
        <v>4177</v>
      </c>
      <c r="K1082" s="42" t="inlineStr">
        <is>
          <t>Governor</t>
        </is>
      </c>
      <c r="L1082" s="43" t="n">
        <v>1168</v>
      </c>
      <c r="M1082" s="43" t="n">
        <v>3480</v>
      </c>
      <c r="N1082" s="43" t="n">
        <v>4703</v>
      </c>
      <c r="O1082" s="44">
        <f>IFERROR((F1082-G1082)/(F1082+G1082),"")</f>
        <v/>
      </c>
      <c r="P1082" s="44">
        <f>IFERROR((I1082-J1082)/(I1082+J1082),"")</f>
        <v/>
      </c>
      <c r="Q1082" s="45">
        <f>IFERROR(O1082-P1082,"")</f>
        <v/>
      </c>
      <c r="R1082" s="44">
        <f>IFERROR((L1082-M1082)/(L1082+M1082),"")</f>
        <v/>
      </c>
      <c r="S1082" s="46">
        <f>H1082/SUMIFS(Counties!$H$2:$H$1583,Counties!$A$2:$A$1583,$A1082)</f>
        <v/>
      </c>
      <c r="T1082" s="44">
        <f>O1082+INDEX(Dashboard!$F$6:$F$22,MATCH($A1082,Dashboard!$A$6:$A$22,0))</f>
        <v/>
      </c>
      <c r="U1082" s="43">
        <f>AQ1082*INDEX(Dashboard!$G$6:$G$22,MATCH($A1082,Dashboard!$A$6:$A$22,0))</f>
        <v/>
      </c>
      <c r="V1082" s="47" t="n"/>
      <c r="W1082" s="47" t="n"/>
      <c r="X1082" s="47" t="n"/>
      <c r="Y1082" s="48" t="n"/>
      <c r="Z1082" s="49" t="n"/>
      <c r="AA1082" s="49" t="n"/>
      <c r="AB1082" s="49" t="n"/>
      <c r="AC1082" s="50" t="n"/>
      <c r="AD1082" s="43">
        <f>IF(Z1082&lt;&gt;"",Z1082,N(V1082))</f>
        <v/>
      </c>
      <c r="AE1082" s="43">
        <f>IF(AA1082&lt;&gt;"",AA1082,N(W1082))</f>
        <v/>
      </c>
      <c r="AF1082" s="43">
        <f>AD1082+AE1082</f>
        <v/>
      </c>
      <c r="AG1082" s="42">
        <f>IF(UPPER(AC1082)="Y",1,IF(AF1082=0,0,IF(AND(Z1082="",Y1082&lt;&gt;""),IF(Y1082&gt;=0.999,1,0),IF(AF1082&gt;=U1082,1,0))))</f>
        <v/>
      </c>
      <c r="AH1082" s="44">
        <f>IF(AF1082&gt;0,(AD1082-AE1082)/AF1082,"")</f>
        <v/>
      </c>
      <c r="AI1082" s="45">
        <f>IF(AG1082=1,AH1082-O1082,"")</f>
        <v/>
      </c>
      <c r="AJ1082" s="44">
        <f>IF(AG1082=1,AH1082,MAX(-1,MIN(1,O1082+INDEX(Types!$H:$H,MATCH($A1082&amp;"|"&amp;$D1082,Types!$A:$A,0)))))</f>
        <v/>
      </c>
      <c r="AK1082" s="43">
        <f>IF(AG1082=1,AF1082,MAX(AQ1082*AS1082,AF1082))</f>
        <v/>
      </c>
      <c r="AL1082" s="43">
        <f>IF(AG1082=1,AD1082,AK1082*(1+AJ1082)/2)</f>
        <v/>
      </c>
      <c r="AM1082" s="43">
        <f>IF(AG1082=1,AE1082,AK1082*(1-AJ1082)/2)</f>
        <v/>
      </c>
      <c r="AN1082" s="45">
        <f>IF(AH1082="","",AH1082-T1082)</f>
        <v/>
      </c>
      <c r="AO1082" s="51">
        <f>IF(AG1082=1,1,IF(U1082&gt;0,MIN(AF1082/U1082,0.99),0))</f>
        <v/>
      </c>
      <c r="AP1082" s="43">
        <f>IF(AG1082=1,AI1082*AF1082,0)</f>
        <v/>
      </c>
      <c r="AQ1082" s="43">
        <f>N1082*(F1082+G1082)/H1082</f>
        <v/>
      </c>
      <c r="AR1082" s="43">
        <f>O1082*AQ1082</f>
        <v/>
      </c>
      <c r="AS1082" s="52">
        <f>IF(AG1082=1,IF(AQ1082&gt;0,AF1082/AQ1082,1),IFERROR(INDEX(Types!$K:$K,MATCH($A1082&amp;"|"&amp;$D1082,Types!$A:$A,0)),INDEX(Dashboard!$X$6:$X$22,MATCH($A1082,Dashboard!$A$6:$A$22,0))))</f>
        <v/>
      </c>
      <c r="AT1082" s="43">
        <f>AQ1082*INDEX(Dashboard!$Y$6:$Y$22,MATCH($A1082,Dashboard!$A$6:$A$22,0))</f>
        <v/>
      </c>
      <c r="AU1082" s="53">
        <f>IF(AND(AG1082=1,AT1082&gt;0,AF1082&gt;0),100*AF1082/AT1082,"")</f>
        <v/>
      </c>
      <c r="AV1082" s="44">
        <f>IF(AU1082="","",T1082/(AU1082/100))</f>
        <v/>
      </c>
      <c r="AW1082" s="53">
        <f>IF(AU1082="","",IF(AND(ABS(AH1082)&gt;=0.1,ABS(T1082)&gt;=0.05,SIGN(AH1082)=SIGN(T1082)),100*T1082/AH1082,""))</f>
        <v/>
      </c>
      <c r="AX1082" s="45">
        <f>IF(AU1082="","",T1082-AV1082)</f>
        <v/>
      </c>
      <c r="AY1082" s="45">
        <f>IF(AU1082="","",AH1082-AV1082)</f>
        <v/>
      </c>
      <c r="AZ1082" s="54">
        <f>(AL1082-AM1082)-T1082*AT1082</f>
        <v/>
      </c>
      <c r="BA1082" s="43">
        <f>IF(AU1082="",0,(AH1082-T1082)*AF1082)</f>
        <v/>
      </c>
      <c r="BB1082" s="43">
        <f>IF(AU1082="",0,T1082*(AF1082-AT1082))</f>
        <v/>
      </c>
      <c r="BC1082" s="51" t="n">
        <v>0.2136410968413745</v>
      </c>
      <c r="BD1082" s="51" t="n">
        <v>0.2585329168112924</v>
      </c>
      <c r="BE1082" s="51" t="n">
        <v>0.1495434728962738</v>
      </c>
      <c r="BF1082" s="43" t="n">
        <v>17286</v>
      </c>
    </row>
    <row r="1083">
      <c r="A1083" s="42" t="inlineStr">
        <is>
          <t>TX</t>
        </is>
      </c>
      <c r="B1083" s="42" t="inlineStr">
        <is>
          <t>48147</t>
        </is>
      </c>
      <c r="C1083" s="42" t="inlineStr">
        <is>
          <t>Fannin</t>
        </is>
      </c>
      <c r="D1083" s="42" t="inlineStr">
        <is>
          <t>Small town &amp; rural</t>
        </is>
      </c>
      <c r="E1083" s="42" t="inlineStr"/>
      <c r="F1083" s="43" t="n">
        <v>2607</v>
      </c>
      <c r="G1083" s="43" t="n">
        <v>13648</v>
      </c>
      <c r="H1083" s="43" t="n">
        <v>16385</v>
      </c>
      <c r="I1083" s="43" t="n">
        <v>2655</v>
      </c>
      <c r="J1083" s="43" t="n">
        <v>12171</v>
      </c>
      <c r="K1083" s="42" t="inlineStr">
        <is>
          <t>Governor</t>
        </is>
      </c>
      <c r="L1083" s="43" t="n">
        <v>1820</v>
      </c>
      <c r="M1083" s="43" t="n">
        <v>9667</v>
      </c>
      <c r="N1083" s="43" t="n">
        <v>11627</v>
      </c>
      <c r="O1083" s="44">
        <f>IFERROR((F1083-G1083)/(F1083+G1083),"")</f>
        <v/>
      </c>
      <c r="P1083" s="44">
        <f>IFERROR((I1083-J1083)/(I1083+J1083),"")</f>
        <v/>
      </c>
      <c r="Q1083" s="45">
        <f>IFERROR(O1083-P1083,"")</f>
        <v/>
      </c>
      <c r="R1083" s="44">
        <f>IFERROR((L1083-M1083)/(L1083+M1083),"")</f>
        <v/>
      </c>
      <c r="S1083" s="46">
        <f>H1083/SUMIFS(Counties!$H$2:$H$1583,Counties!$A$2:$A$1583,$A1083)</f>
        <v/>
      </c>
      <c r="T1083" s="44">
        <f>O1083+INDEX(Dashboard!$F$6:$F$22,MATCH($A1083,Dashboard!$A$6:$A$22,0))</f>
        <v/>
      </c>
      <c r="U1083" s="43">
        <f>AQ1083*INDEX(Dashboard!$G$6:$G$22,MATCH($A1083,Dashboard!$A$6:$A$22,0))</f>
        <v/>
      </c>
      <c r="V1083" s="47" t="n"/>
      <c r="W1083" s="47" t="n"/>
      <c r="X1083" s="47" t="n"/>
      <c r="Y1083" s="48" t="n"/>
      <c r="Z1083" s="49" t="n"/>
      <c r="AA1083" s="49" t="n"/>
      <c r="AB1083" s="49" t="n"/>
      <c r="AC1083" s="50" t="n"/>
      <c r="AD1083" s="43">
        <f>IF(Z1083&lt;&gt;"",Z1083,N(V1083))</f>
        <v/>
      </c>
      <c r="AE1083" s="43">
        <f>IF(AA1083&lt;&gt;"",AA1083,N(W1083))</f>
        <v/>
      </c>
      <c r="AF1083" s="43">
        <f>AD1083+AE1083</f>
        <v/>
      </c>
      <c r="AG1083" s="42">
        <f>IF(UPPER(AC1083)="Y",1,IF(AF1083=0,0,IF(AND(Z1083="",Y1083&lt;&gt;""),IF(Y1083&gt;=0.999,1,0),IF(AF1083&gt;=U1083,1,0))))</f>
        <v/>
      </c>
      <c r="AH1083" s="44">
        <f>IF(AF1083&gt;0,(AD1083-AE1083)/AF1083,"")</f>
        <v/>
      </c>
      <c r="AI1083" s="45">
        <f>IF(AG1083=1,AH1083-O1083,"")</f>
        <v/>
      </c>
      <c r="AJ1083" s="44">
        <f>IF(AG1083=1,AH1083,MAX(-1,MIN(1,O1083+INDEX(Types!$H:$H,MATCH($A1083&amp;"|"&amp;$D1083,Types!$A:$A,0)))))</f>
        <v/>
      </c>
      <c r="AK1083" s="43">
        <f>IF(AG1083=1,AF1083,MAX(AQ1083*AS1083,AF1083))</f>
        <v/>
      </c>
      <c r="AL1083" s="43">
        <f>IF(AG1083=1,AD1083,AK1083*(1+AJ1083)/2)</f>
        <v/>
      </c>
      <c r="AM1083" s="43">
        <f>IF(AG1083=1,AE1083,AK1083*(1-AJ1083)/2)</f>
        <v/>
      </c>
      <c r="AN1083" s="45">
        <f>IF(AH1083="","",AH1083-T1083)</f>
        <v/>
      </c>
      <c r="AO1083" s="51">
        <f>IF(AG1083=1,1,IF(U1083&gt;0,MIN(AF1083/U1083,0.99),0))</f>
        <v/>
      </c>
      <c r="AP1083" s="43">
        <f>IF(AG1083=1,AI1083*AF1083,0)</f>
        <v/>
      </c>
      <c r="AQ1083" s="43">
        <f>N1083*(F1083+G1083)/H1083</f>
        <v/>
      </c>
      <c r="AR1083" s="43">
        <f>O1083*AQ1083</f>
        <v/>
      </c>
      <c r="AS1083" s="52">
        <f>IF(AG1083=1,IF(AQ1083&gt;0,AF1083/AQ1083,1),IFERROR(INDEX(Types!$K:$K,MATCH($A1083&amp;"|"&amp;$D1083,Types!$A:$A,0)),INDEX(Dashboard!$X$6:$X$22,MATCH($A1083,Dashboard!$A$6:$A$22,0))))</f>
        <v/>
      </c>
      <c r="AT1083" s="43">
        <f>AQ1083*INDEX(Dashboard!$Y$6:$Y$22,MATCH($A1083,Dashboard!$A$6:$A$22,0))</f>
        <v/>
      </c>
      <c r="AU1083" s="53">
        <f>IF(AND(AG1083=1,AT1083&gt;0,AF1083&gt;0),100*AF1083/AT1083,"")</f>
        <v/>
      </c>
      <c r="AV1083" s="44">
        <f>IF(AU1083="","",T1083/(AU1083/100))</f>
        <v/>
      </c>
      <c r="AW1083" s="53">
        <f>IF(AU1083="","",IF(AND(ABS(AH1083)&gt;=0.1,ABS(T1083)&gt;=0.05,SIGN(AH1083)=SIGN(T1083)),100*T1083/AH1083,""))</f>
        <v/>
      </c>
      <c r="AX1083" s="45">
        <f>IF(AU1083="","",T1083-AV1083)</f>
        <v/>
      </c>
      <c r="AY1083" s="45">
        <f>IF(AU1083="","",AH1083-AV1083)</f>
        <v/>
      </c>
      <c r="AZ1083" s="54">
        <f>(AL1083-AM1083)-T1083*AT1083</f>
        <v/>
      </c>
      <c r="BA1083" s="43">
        <f>IF(AU1083="",0,(AH1083-T1083)*AF1083)</f>
        <v/>
      </c>
      <c r="BB1083" s="43">
        <f>IF(AU1083="",0,T1083*(AF1083-AT1083))</f>
        <v/>
      </c>
      <c r="BC1083" s="51" t="n">
        <v>0.06502355540177264</v>
      </c>
      <c r="BD1083" s="51" t="n">
        <v>0.1374464347502063</v>
      </c>
      <c r="BE1083" s="51" t="n">
        <v>0.2016627996906419</v>
      </c>
      <c r="BF1083" s="43" t="n">
        <v>37571</v>
      </c>
    </row>
    <row r="1084">
      <c r="A1084" s="42" t="inlineStr">
        <is>
          <t>TX</t>
        </is>
      </c>
      <c r="B1084" s="42" t="inlineStr">
        <is>
          <t>48149</t>
        </is>
      </c>
      <c r="C1084" s="42" t="inlineStr">
        <is>
          <t>Fayette</t>
        </is>
      </c>
      <c r="D1084" s="42" t="inlineStr">
        <is>
          <t>Small town &amp; rural</t>
        </is>
      </c>
      <c r="E1084" s="42" t="inlineStr"/>
      <c r="F1084" s="43" t="n">
        <v>2515</v>
      </c>
      <c r="G1084" s="43" t="n">
        <v>10699</v>
      </c>
      <c r="H1084" s="43" t="n">
        <v>13327</v>
      </c>
      <c r="I1084" s="43" t="n">
        <v>2661</v>
      </c>
      <c r="J1084" s="43" t="n">
        <v>10171</v>
      </c>
      <c r="K1084" s="42" t="inlineStr">
        <is>
          <t>Governor</t>
        </is>
      </c>
      <c r="L1084" s="43" t="n">
        <v>1748</v>
      </c>
      <c r="M1084" s="43" t="n">
        <v>8649</v>
      </c>
      <c r="N1084" s="43" t="n">
        <v>10505</v>
      </c>
      <c r="O1084" s="44">
        <f>IFERROR((F1084-G1084)/(F1084+G1084),"")</f>
        <v/>
      </c>
      <c r="P1084" s="44">
        <f>IFERROR((I1084-J1084)/(I1084+J1084),"")</f>
        <v/>
      </c>
      <c r="Q1084" s="45">
        <f>IFERROR(O1084-P1084,"")</f>
        <v/>
      </c>
      <c r="R1084" s="44">
        <f>IFERROR((L1084-M1084)/(L1084+M1084),"")</f>
        <v/>
      </c>
      <c r="S1084" s="46">
        <f>H1084/SUMIFS(Counties!$H$2:$H$1583,Counties!$A$2:$A$1583,$A1084)</f>
        <v/>
      </c>
      <c r="T1084" s="44">
        <f>O1084+INDEX(Dashboard!$F$6:$F$22,MATCH($A1084,Dashboard!$A$6:$A$22,0))</f>
        <v/>
      </c>
      <c r="U1084" s="43">
        <f>AQ1084*INDEX(Dashboard!$G$6:$G$22,MATCH($A1084,Dashboard!$A$6:$A$22,0))</f>
        <v/>
      </c>
      <c r="V1084" s="47" t="n"/>
      <c r="W1084" s="47" t="n"/>
      <c r="X1084" s="47" t="n"/>
      <c r="Y1084" s="48" t="n"/>
      <c r="Z1084" s="49" t="n"/>
      <c r="AA1084" s="49" t="n"/>
      <c r="AB1084" s="49" t="n"/>
      <c r="AC1084" s="50" t="n"/>
      <c r="AD1084" s="43">
        <f>IF(Z1084&lt;&gt;"",Z1084,N(V1084))</f>
        <v/>
      </c>
      <c r="AE1084" s="43">
        <f>IF(AA1084&lt;&gt;"",AA1084,N(W1084))</f>
        <v/>
      </c>
      <c r="AF1084" s="43">
        <f>AD1084+AE1084</f>
        <v/>
      </c>
      <c r="AG1084" s="42">
        <f>IF(UPPER(AC1084)="Y",1,IF(AF1084=0,0,IF(AND(Z1084="",Y1084&lt;&gt;""),IF(Y1084&gt;=0.999,1,0),IF(AF1084&gt;=U1084,1,0))))</f>
        <v/>
      </c>
      <c r="AH1084" s="44">
        <f>IF(AF1084&gt;0,(AD1084-AE1084)/AF1084,"")</f>
        <v/>
      </c>
      <c r="AI1084" s="45">
        <f>IF(AG1084=1,AH1084-O1084,"")</f>
        <v/>
      </c>
      <c r="AJ1084" s="44">
        <f>IF(AG1084=1,AH1084,MAX(-1,MIN(1,O1084+INDEX(Types!$H:$H,MATCH($A1084&amp;"|"&amp;$D1084,Types!$A:$A,0)))))</f>
        <v/>
      </c>
      <c r="AK1084" s="43">
        <f>IF(AG1084=1,AF1084,MAX(AQ1084*AS1084,AF1084))</f>
        <v/>
      </c>
      <c r="AL1084" s="43">
        <f>IF(AG1084=1,AD1084,AK1084*(1+AJ1084)/2)</f>
        <v/>
      </c>
      <c r="AM1084" s="43">
        <f>IF(AG1084=1,AE1084,AK1084*(1-AJ1084)/2)</f>
        <v/>
      </c>
      <c r="AN1084" s="45">
        <f>IF(AH1084="","",AH1084-T1084)</f>
        <v/>
      </c>
      <c r="AO1084" s="51">
        <f>IF(AG1084=1,1,IF(U1084&gt;0,MIN(AF1084/U1084,0.99),0))</f>
        <v/>
      </c>
      <c r="AP1084" s="43">
        <f>IF(AG1084=1,AI1084*AF1084,0)</f>
        <v/>
      </c>
      <c r="AQ1084" s="43">
        <f>N1084*(F1084+G1084)/H1084</f>
        <v/>
      </c>
      <c r="AR1084" s="43">
        <f>O1084*AQ1084</f>
        <v/>
      </c>
      <c r="AS1084" s="52">
        <f>IF(AG1084=1,IF(AQ1084&gt;0,AF1084/AQ1084,1),IFERROR(INDEX(Types!$K:$K,MATCH($A1084&amp;"|"&amp;$D1084,Types!$A:$A,0)),INDEX(Dashboard!$X$6:$X$22,MATCH($A1084,Dashboard!$A$6:$A$22,0))))</f>
        <v/>
      </c>
      <c r="AT1084" s="43">
        <f>AQ1084*INDEX(Dashboard!$Y$6:$Y$22,MATCH($A1084,Dashboard!$A$6:$A$22,0))</f>
        <v/>
      </c>
      <c r="AU1084" s="53">
        <f>IF(AND(AG1084=1,AT1084&gt;0,AF1084&gt;0),100*AF1084/AT1084,"")</f>
        <v/>
      </c>
      <c r="AV1084" s="44">
        <f>IF(AU1084="","",T1084/(AU1084/100))</f>
        <v/>
      </c>
      <c r="AW1084" s="53">
        <f>IF(AU1084="","",IF(AND(ABS(AH1084)&gt;=0.1,ABS(T1084)&gt;=0.05,SIGN(AH1084)=SIGN(T1084)),100*T1084/AH1084,""))</f>
        <v/>
      </c>
      <c r="AX1084" s="45">
        <f>IF(AU1084="","",T1084-AV1084)</f>
        <v/>
      </c>
      <c r="AY1084" s="45">
        <f>IF(AU1084="","",AH1084-AV1084)</f>
        <v/>
      </c>
      <c r="AZ1084" s="54">
        <f>(AL1084-AM1084)-T1084*AT1084</f>
        <v/>
      </c>
      <c r="BA1084" s="43">
        <f>IF(AU1084="",0,(AH1084-T1084)*AF1084)</f>
        <v/>
      </c>
      <c r="BB1084" s="43">
        <f>IF(AU1084="",0,T1084*(AF1084-AT1084))</f>
        <v/>
      </c>
      <c r="BC1084" s="51" t="n">
        <v>0.05676375912695297</v>
      </c>
      <c r="BD1084" s="51" t="n">
        <v>0.2217555154274947</v>
      </c>
      <c r="BE1084" s="51" t="n">
        <v>0.2715702479338843</v>
      </c>
      <c r="BF1084" s="43" t="n">
        <v>25474</v>
      </c>
    </row>
    <row r="1085">
      <c r="A1085" s="42" t="inlineStr">
        <is>
          <t>TX</t>
        </is>
      </c>
      <c r="B1085" s="42" t="inlineStr">
        <is>
          <t>48151</t>
        </is>
      </c>
      <c r="C1085" s="42" t="inlineStr">
        <is>
          <t>Fisher</t>
        </is>
      </c>
      <c r="D1085" s="42" t="inlineStr">
        <is>
          <t>Small town &amp; rural</t>
        </is>
      </c>
      <c r="E1085" s="42" t="inlineStr"/>
      <c r="F1085" s="43" t="n">
        <v>330</v>
      </c>
      <c r="G1085" s="43" t="n">
        <v>1487</v>
      </c>
      <c r="H1085" s="43" t="n">
        <v>1829</v>
      </c>
      <c r="I1085" s="43" t="n">
        <v>352</v>
      </c>
      <c r="J1085" s="43" t="n">
        <v>1448</v>
      </c>
      <c r="K1085" s="42" t="inlineStr">
        <is>
          <t>Governor</t>
        </is>
      </c>
      <c r="L1085" s="43" t="n">
        <v>210</v>
      </c>
      <c r="M1085" s="43" t="n">
        <v>1172</v>
      </c>
      <c r="N1085" s="43" t="n">
        <v>1401</v>
      </c>
      <c r="O1085" s="44">
        <f>IFERROR((F1085-G1085)/(F1085+G1085),"")</f>
        <v/>
      </c>
      <c r="P1085" s="44">
        <f>IFERROR((I1085-J1085)/(I1085+J1085),"")</f>
        <v/>
      </c>
      <c r="Q1085" s="45">
        <f>IFERROR(O1085-P1085,"")</f>
        <v/>
      </c>
      <c r="R1085" s="44">
        <f>IFERROR((L1085-M1085)/(L1085+M1085),"")</f>
        <v/>
      </c>
      <c r="S1085" s="46">
        <f>H1085/SUMIFS(Counties!$H$2:$H$1583,Counties!$A$2:$A$1583,$A1085)</f>
        <v/>
      </c>
      <c r="T1085" s="44">
        <f>O1085+INDEX(Dashboard!$F$6:$F$22,MATCH($A1085,Dashboard!$A$6:$A$22,0))</f>
        <v/>
      </c>
      <c r="U1085" s="43">
        <f>AQ1085*INDEX(Dashboard!$G$6:$G$22,MATCH($A1085,Dashboard!$A$6:$A$22,0))</f>
        <v/>
      </c>
      <c r="V1085" s="47" t="n"/>
      <c r="W1085" s="47" t="n"/>
      <c r="X1085" s="47" t="n"/>
      <c r="Y1085" s="48" t="n"/>
      <c r="Z1085" s="49" t="n"/>
      <c r="AA1085" s="49" t="n"/>
      <c r="AB1085" s="49" t="n"/>
      <c r="AC1085" s="50" t="n"/>
      <c r="AD1085" s="43">
        <f>IF(Z1085&lt;&gt;"",Z1085,N(V1085))</f>
        <v/>
      </c>
      <c r="AE1085" s="43">
        <f>IF(AA1085&lt;&gt;"",AA1085,N(W1085))</f>
        <v/>
      </c>
      <c r="AF1085" s="43">
        <f>AD1085+AE1085</f>
        <v/>
      </c>
      <c r="AG1085" s="42">
        <f>IF(UPPER(AC1085)="Y",1,IF(AF1085=0,0,IF(AND(Z1085="",Y1085&lt;&gt;""),IF(Y1085&gt;=0.999,1,0),IF(AF1085&gt;=U1085,1,0))))</f>
        <v/>
      </c>
      <c r="AH1085" s="44">
        <f>IF(AF1085&gt;0,(AD1085-AE1085)/AF1085,"")</f>
        <v/>
      </c>
      <c r="AI1085" s="45">
        <f>IF(AG1085=1,AH1085-O1085,"")</f>
        <v/>
      </c>
      <c r="AJ1085" s="44">
        <f>IF(AG1085=1,AH1085,MAX(-1,MIN(1,O1085+INDEX(Types!$H:$H,MATCH($A1085&amp;"|"&amp;$D1085,Types!$A:$A,0)))))</f>
        <v/>
      </c>
      <c r="AK1085" s="43">
        <f>IF(AG1085=1,AF1085,MAX(AQ1085*AS1085,AF1085))</f>
        <v/>
      </c>
      <c r="AL1085" s="43">
        <f>IF(AG1085=1,AD1085,AK1085*(1+AJ1085)/2)</f>
        <v/>
      </c>
      <c r="AM1085" s="43">
        <f>IF(AG1085=1,AE1085,AK1085*(1-AJ1085)/2)</f>
        <v/>
      </c>
      <c r="AN1085" s="45">
        <f>IF(AH1085="","",AH1085-T1085)</f>
        <v/>
      </c>
      <c r="AO1085" s="51">
        <f>IF(AG1085=1,1,IF(U1085&gt;0,MIN(AF1085/U1085,0.99),0))</f>
        <v/>
      </c>
      <c r="AP1085" s="43">
        <f>IF(AG1085=1,AI1085*AF1085,0)</f>
        <v/>
      </c>
      <c r="AQ1085" s="43">
        <f>N1085*(F1085+G1085)/H1085</f>
        <v/>
      </c>
      <c r="AR1085" s="43">
        <f>O1085*AQ1085</f>
        <v/>
      </c>
      <c r="AS1085" s="52">
        <f>IF(AG1085=1,IF(AQ1085&gt;0,AF1085/AQ1085,1),IFERROR(INDEX(Types!$K:$K,MATCH($A1085&amp;"|"&amp;$D1085,Types!$A:$A,0)),INDEX(Dashboard!$X$6:$X$22,MATCH($A1085,Dashboard!$A$6:$A$22,0))))</f>
        <v/>
      </c>
      <c r="AT1085" s="43">
        <f>AQ1085*INDEX(Dashboard!$Y$6:$Y$22,MATCH($A1085,Dashboard!$A$6:$A$22,0))</f>
        <v/>
      </c>
      <c r="AU1085" s="53">
        <f>IF(AND(AG1085=1,AT1085&gt;0,AF1085&gt;0),100*AF1085/AT1085,"")</f>
        <v/>
      </c>
      <c r="AV1085" s="44">
        <f>IF(AU1085="","",T1085/(AU1085/100))</f>
        <v/>
      </c>
      <c r="AW1085" s="53">
        <f>IF(AU1085="","",IF(AND(ABS(AH1085)&gt;=0.1,ABS(T1085)&gt;=0.05,SIGN(AH1085)=SIGN(T1085)),100*T1085/AH1085,""))</f>
        <v/>
      </c>
      <c r="AX1085" s="45">
        <f>IF(AU1085="","",T1085-AV1085)</f>
        <v/>
      </c>
      <c r="AY1085" s="45">
        <f>IF(AU1085="","",AH1085-AV1085)</f>
        <v/>
      </c>
      <c r="AZ1085" s="54">
        <f>(AL1085-AM1085)-T1085*AT1085</f>
        <v/>
      </c>
      <c r="BA1085" s="43">
        <f>IF(AU1085="",0,(AH1085-T1085)*AF1085)</f>
        <v/>
      </c>
      <c r="BB1085" s="43">
        <f>IF(AU1085="",0,T1085*(AF1085-AT1085))</f>
        <v/>
      </c>
      <c r="BC1085" s="51" t="n">
        <v>0.03959025470653377</v>
      </c>
      <c r="BD1085" s="51" t="n">
        <v>0.2729789590254706</v>
      </c>
      <c r="BE1085" s="51" t="n">
        <v>0.1822515584891823</v>
      </c>
      <c r="BF1085" s="43" t="n">
        <v>3612</v>
      </c>
    </row>
    <row r="1086">
      <c r="A1086" s="42" t="inlineStr">
        <is>
          <t>TX</t>
        </is>
      </c>
      <c r="B1086" s="42" t="inlineStr">
        <is>
          <t>48153</t>
        </is>
      </c>
      <c r="C1086" s="42" t="inlineStr">
        <is>
          <t>Floyd</t>
        </is>
      </c>
      <c r="D1086" s="42" t="inlineStr">
        <is>
          <t>Hispanic</t>
        </is>
      </c>
      <c r="E1086" s="42" t="inlineStr"/>
      <c r="F1086" s="43" t="n">
        <v>358</v>
      </c>
      <c r="G1086" s="43" t="n">
        <v>1715</v>
      </c>
      <c r="H1086" s="43" t="n">
        <v>2089</v>
      </c>
      <c r="I1086" s="43" t="n">
        <v>438</v>
      </c>
      <c r="J1086" s="43" t="n">
        <v>1584</v>
      </c>
      <c r="K1086" s="42" t="inlineStr">
        <is>
          <t>Governor</t>
        </is>
      </c>
      <c r="L1086" s="43" t="n">
        <v>201</v>
      </c>
      <c r="M1086" s="43" t="n">
        <v>1250</v>
      </c>
      <c r="N1086" s="43" t="n">
        <v>1468</v>
      </c>
      <c r="O1086" s="44">
        <f>IFERROR((F1086-G1086)/(F1086+G1086),"")</f>
        <v/>
      </c>
      <c r="P1086" s="44">
        <f>IFERROR((I1086-J1086)/(I1086+J1086),"")</f>
        <v/>
      </c>
      <c r="Q1086" s="45">
        <f>IFERROR(O1086-P1086,"")</f>
        <v/>
      </c>
      <c r="R1086" s="44">
        <f>IFERROR((L1086-M1086)/(L1086+M1086),"")</f>
        <v/>
      </c>
      <c r="S1086" s="46">
        <f>H1086/SUMIFS(Counties!$H$2:$H$1583,Counties!$A$2:$A$1583,$A1086)</f>
        <v/>
      </c>
      <c r="T1086" s="44">
        <f>O1086+INDEX(Dashboard!$F$6:$F$22,MATCH($A1086,Dashboard!$A$6:$A$22,0))</f>
        <v/>
      </c>
      <c r="U1086" s="43">
        <f>AQ1086*INDEX(Dashboard!$G$6:$G$22,MATCH($A1086,Dashboard!$A$6:$A$22,0))</f>
        <v/>
      </c>
      <c r="V1086" s="47" t="n"/>
      <c r="W1086" s="47" t="n"/>
      <c r="X1086" s="47" t="n"/>
      <c r="Y1086" s="48" t="n"/>
      <c r="Z1086" s="49" t="n"/>
      <c r="AA1086" s="49" t="n"/>
      <c r="AB1086" s="49" t="n"/>
      <c r="AC1086" s="50" t="n"/>
      <c r="AD1086" s="43">
        <f>IF(Z1086&lt;&gt;"",Z1086,N(V1086))</f>
        <v/>
      </c>
      <c r="AE1086" s="43">
        <f>IF(AA1086&lt;&gt;"",AA1086,N(W1086))</f>
        <v/>
      </c>
      <c r="AF1086" s="43">
        <f>AD1086+AE1086</f>
        <v/>
      </c>
      <c r="AG1086" s="42">
        <f>IF(UPPER(AC1086)="Y",1,IF(AF1086=0,0,IF(AND(Z1086="",Y1086&lt;&gt;""),IF(Y1086&gt;=0.999,1,0),IF(AF1086&gt;=U1086,1,0))))</f>
        <v/>
      </c>
      <c r="AH1086" s="44">
        <f>IF(AF1086&gt;0,(AD1086-AE1086)/AF1086,"")</f>
        <v/>
      </c>
      <c r="AI1086" s="45">
        <f>IF(AG1086=1,AH1086-O1086,"")</f>
        <v/>
      </c>
      <c r="AJ1086" s="44">
        <f>IF(AG1086=1,AH1086,MAX(-1,MIN(1,O1086+INDEX(Types!$H:$H,MATCH($A1086&amp;"|"&amp;$D1086,Types!$A:$A,0)))))</f>
        <v/>
      </c>
      <c r="AK1086" s="43">
        <f>IF(AG1086=1,AF1086,MAX(AQ1086*AS1086,AF1086))</f>
        <v/>
      </c>
      <c r="AL1086" s="43">
        <f>IF(AG1086=1,AD1086,AK1086*(1+AJ1086)/2)</f>
        <v/>
      </c>
      <c r="AM1086" s="43">
        <f>IF(AG1086=1,AE1086,AK1086*(1-AJ1086)/2)</f>
        <v/>
      </c>
      <c r="AN1086" s="45">
        <f>IF(AH1086="","",AH1086-T1086)</f>
        <v/>
      </c>
      <c r="AO1086" s="51">
        <f>IF(AG1086=1,1,IF(U1086&gt;0,MIN(AF1086/U1086,0.99),0))</f>
        <v/>
      </c>
      <c r="AP1086" s="43">
        <f>IF(AG1086=1,AI1086*AF1086,0)</f>
        <v/>
      </c>
      <c r="AQ1086" s="43">
        <f>N1086*(F1086+G1086)/H1086</f>
        <v/>
      </c>
      <c r="AR1086" s="43">
        <f>O1086*AQ1086</f>
        <v/>
      </c>
      <c r="AS1086" s="52">
        <f>IF(AG1086=1,IF(AQ1086&gt;0,AF1086/AQ1086,1),IFERROR(INDEX(Types!$K:$K,MATCH($A1086&amp;"|"&amp;$D1086,Types!$A:$A,0)),INDEX(Dashboard!$X$6:$X$22,MATCH($A1086,Dashboard!$A$6:$A$22,0))))</f>
        <v/>
      </c>
      <c r="AT1086" s="43">
        <f>AQ1086*INDEX(Dashboard!$Y$6:$Y$22,MATCH($A1086,Dashboard!$A$6:$A$22,0))</f>
        <v/>
      </c>
      <c r="AU1086" s="53">
        <f>IF(AND(AG1086=1,AT1086&gt;0,AF1086&gt;0),100*AF1086/AT1086,"")</f>
        <v/>
      </c>
      <c r="AV1086" s="44">
        <f>IF(AU1086="","",T1086/(AU1086/100))</f>
        <v/>
      </c>
      <c r="AW1086" s="53">
        <f>IF(AU1086="","",IF(AND(ABS(AH1086)&gt;=0.1,ABS(T1086)&gt;=0.05,SIGN(AH1086)=SIGN(T1086)),100*T1086/AH1086,""))</f>
        <v/>
      </c>
      <c r="AX1086" s="45">
        <f>IF(AU1086="","",T1086-AV1086)</f>
        <v/>
      </c>
      <c r="AY1086" s="45">
        <f>IF(AU1086="","",AH1086-AV1086)</f>
        <v/>
      </c>
      <c r="AZ1086" s="54">
        <f>(AL1086-AM1086)-T1086*AT1086</f>
        <v/>
      </c>
      <c r="BA1086" s="43">
        <f>IF(AU1086="",0,(AH1086-T1086)*AF1086)</f>
        <v/>
      </c>
      <c r="BB1086" s="43">
        <f>IF(AU1086="",0,T1086*(AF1086-AT1086))</f>
        <v/>
      </c>
      <c r="BC1086" s="51" t="n">
        <v>0.03673870333988212</v>
      </c>
      <c r="BD1086" s="51" t="n">
        <v>0.5868369351669941</v>
      </c>
      <c r="BE1086" s="51" t="n">
        <v>0.1671316964285714</v>
      </c>
      <c r="BF1086" s="43" t="n">
        <v>5090</v>
      </c>
    </row>
    <row r="1087">
      <c r="A1087" s="42" t="inlineStr">
        <is>
          <t>TX</t>
        </is>
      </c>
      <c r="B1087" s="42" t="inlineStr">
        <is>
          <t>48155</t>
        </is>
      </c>
      <c r="C1087" s="42" t="inlineStr">
        <is>
          <t>Foard</t>
        </is>
      </c>
      <c r="D1087" s="42" t="inlineStr">
        <is>
          <t>Small town &amp; rural</t>
        </is>
      </c>
      <c r="E1087" s="42" t="inlineStr"/>
      <c r="F1087" s="43" t="n">
        <v>92</v>
      </c>
      <c r="G1087" s="43" t="n">
        <v>448</v>
      </c>
      <c r="H1087" s="43" t="n">
        <v>545</v>
      </c>
      <c r="I1087" s="43" t="n">
        <v>99</v>
      </c>
      <c r="J1087" s="43" t="n">
        <v>445</v>
      </c>
      <c r="K1087" s="42" t="inlineStr">
        <is>
          <t>Governor</t>
        </is>
      </c>
      <c r="L1087" s="43" t="n">
        <v>69</v>
      </c>
      <c r="M1087" s="43" t="n">
        <v>452</v>
      </c>
      <c r="N1087" s="43" t="n">
        <v>529</v>
      </c>
      <c r="O1087" s="44">
        <f>IFERROR((F1087-G1087)/(F1087+G1087),"")</f>
        <v/>
      </c>
      <c r="P1087" s="44">
        <f>IFERROR((I1087-J1087)/(I1087+J1087),"")</f>
        <v/>
      </c>
      <c r="Q1087" s="45">
        <f>IFERROR(O1087-P1087,"")</f>
        <v/>
      </c>
      <c r="R1087" s="44">
        <f>IFERROR((L1087-M1087)/(L1087+M1087),"")</f>
        <v/>
      </c>
      <c r="S1087" s="46">
        <f>H1087/SUMIFS(Counties!$H$2:$H$1583,Counties!$A$2:$A$1583,$A1087)</f>
        <v/>
      </c>
      <c r="T1087" s="44">
        <f>O1087+INDEX(Dashboard!$F$6:$F$22,MATCH($A1087,Dashboard!$A$6:$A$22,0))</f>
        <v/>
      </c>
      <c r="U1087" s="43">
        <f>AQ1087*INDEX(Dashboard!$G$6:$G$22,MATCH($A1087,Dashboard!$A$6:$A$22,0))</f>
        <v/>
      </c>
      <c r="V1087" s="47" t="n"/>
      <c r="W1087" s="47" t="n"/>
      <c r="X1087" s="47" t="n"/>
      <c r="Y1087" s="48" t="n"/>
      <c r="Z1087" s="49" t="n"/>
      <c r="AA1087" s="49" t="n"/>
      <c r="AB1087" s="49" t="n"/>
      <c r="AC1087" s="50" t="n"/>
      <c r="AD1087" s="43">
        <f>IF(Z1087&lt;&gt;"",Z1087,N(V1087))</f>
        <v/>
      </c>
      <c r="AE1087" s="43">
        <f>IF(AA1087&lt;&gt;"",AA1087,N(W1087))</f>
        <v/>
      </c>
      <c r="AF1087" s="43">
        <f>AD1087+AE1087</f>
        <v/>
      </c>
      <c r="AG1087" s="42">
        <f>IF(UPPER(AC1087)="Y",1,IF(AF1087=0,0,IF(AND(Z1087="",Y1087&lt;&gt;""),IF(Y1087&gt;=0.999,1,0),IF(AF1087&gt;=U1087,1,0))))</f>
        <v/>
      </c>
      <c r="AH1087" s="44">
        <f>IF(AF1087&gt;0,(AD1087-AE1087)/AF1087,"")</f>
        <v/>
      </c>
      <c r="AI1087" s="45">
        <f>IF(AG1087=1,AH1087-O1087,"")</f>
        <v/>
      </c>
      <c r="AJ1087" s="44">
        <f>IF(AG1087=1,AH1087,MAX(-1,MIN(1,O1087+INDEX(Types!$H:$H,MATCH($A1087&amp;"|"&amp;$D1087,Types!$A:$A,0)))))</f>
        <v/>
      </c>
      <c r="AK1087" s="43">
        <f>IF(AG1087=1,AF1087,MAX(AQ1087*AS1087,AF1087))</f>
        <v/>
      </c>
      <c r="AL1087" s="43">
        <f>IF(AG1087=1,AD1087,AK1087*(1+AJ1087)/2)</f>
        <v/>
      </c>
      <c r="AM1087" s="43">
        <f>IF(AG1087=1,AE1087,AK1087*(1-AJ1087)/2)</f>
        <v/>
      </c>
      <c r="AN1087" s="45">
        <f>IF(AH1087="","",AH1087-T1087)</f>
        <v/>
      </c>
      <c r="AO1087" s="51">
        <f>IF(AG1087=1,1,IF(U1087&gt;0,MIN(AF1087/U1087,0.99),0))</f>
        <v/>
      </c>
      <c r="AP1087" s="43">
        <f>IF(AG1087=1,AI1087*AF1087,0)</f>
        <v/>
      </c>
      <c r="AQ1087" s="43">
        <f>N1087*(F1087+G1087)/H1087</f>
        <v/>
      </c>
      <c r="AR1087" s="43">
        <f>O1087*AQ1087</f>
        <v/>
      </c>
      <c r="AS1087" s="52">
        <f>IF(AG1087=1,IF(AQ1087&gt;0,AF1087/AQ1087,1),IFERROR(INDEX(Types!$K:$K,MATCH($A1087&amp;"|"&amp;$D1087,Types!$A:$A,0)),INDEX(Dashboard!$X$6:$X$22,MATCH($A1087,Dashboard!$A$6:$A$22,0))))</f>
        <v/>
      </c>
      <c r="AT1087" s="43">
        <f>AQ1087*INDEX(Dashboard!$Y$6:$Y$22,MATCH($A1087,Dashboard!$A$6:$A$22,0))</f>
        <v/>
      </c>
      <c r="AU1087" s="53">
        <f>IF(AND(AG1087=1,AT1087&gt;0,AF1087&gt;0),100*AF1087/AT1087,"")</f>
        <v/>
      </c>
      <c r="AV1087" s="44">
        <f>IF(AU1087="","",T1087/(AU1087/100))</f>
        <v/>
      </c>
      <c r="AW1087" s="53">
        <f>IF(AU1087="","",IF(AND(ABS(AH1087)&gt;=0.1,ABS(T1087)&gt;=0.05,SIGN(AH1087)=SIGN(T1087)),100*T1087/AH1087,""))</f>
        <v/>
      </c>
      <c r="AX1087" s="45">
        <f>IF(AU1087="","",T1087-AV1087)</f>
        <v/>
      </c>
      <c r="AY1087" s="45">
        <f>IF(AU1087="","",AH1087-AV1087)</f>
        <v/>
      </c>
      <c r="AZ1087" s="54">
        <f>(AL1087-AM1087)-T1087*AT1087</f>
        <v/>
      </c>
      <c r="BA1087" s="43">
        <f>IF(AU1087="",0,(AH1087-T1087)*AF1087)</f>
        <v/>
      </c>
      <c r="BB1087" s="43">
        <f>IF(AU1087="",0,T1087*(AF1087-AT1087))</f>
        <v/>
      </c>
      <c r="BC1087" s="51" t="n">
        <v>0.05838739573679333</v>
      </c>
      <c r="BD1087" s="51" t="n">
        <v>0.1927710843373494</v>
      </c>
      <c r="BE1087" s="51" t="n">
        <v>0.1447562776957164</v>
      </c>
      <c r="BF1087" s="43" t="n">
        <v>1079</v>
      </c>
    </row>
    <row r="1088">
      <c r="A1088" s="42" t="inlineStr">
        <is>
          <t>TX</t>
        </is>
      </c>
      <c r="B1088" s="42" t="inlineStr">
        <is>
          <t>48157</t>
        </is>
      </c>
      <c r="C1088" s="42" t="inlineStr">
        <is>
          <t>Fort Bend</t>
        </is>
      </c>
      <c r="D1088" s="42" t="inlineStr">
        <is>
          <t>Big metro core</t>
        </is>
      </c>
      <c r="E1088" s="42" t="inlineStr">
        <is>
          <t>★</t>
        </is>
      </c>
      <c r="F1088" s="43" t="n">
        <v>179310</v>
      </c>
      <c r="G1088" s="43" t="n">
        <v>173592</v>
      </c>
      <c r="H1088" s="43" t="n">
        <v>362259</v>
      </c>
      <c r="I1088" s="43" t="n">
        <v>195552</v>
      </c>
      <c r="J1088" s="43" t="n">
        <v>157718</v>
      </c>
      <c r="K1088" s="42" t="inlineStr">
        <is>
          <t>Governor</t>
        </is>
      </c>
      <c r="L1088" s="43" t="n">
        <v>129116</v>
      </c>
      <c r="M1088" s="43" t="n">
        <v>117249</v>
      </c>
      <c r="N1088" s="43" t="n">
        <v>250204</v>
      </c>
      <c r="O1088" s="44">
        <f>IFERROR((F1088-G1088)/(F1088+G1088),"")</f>
        <v/>
      </c>
      <c r="P1088" s="44">
        <f>IFERROR((I1088-J1088)/(I1088+J1088),"")</f>
        <v/>
      </c>
      <c r="Q1088" s="45">
        <f>IFERROR(O1088-P1088,"")</f>
        <v/>
      </c>
      <c r="R1088" s="44">
        <f>IFERROR((L1088-M1088)/(L1088+M1088),"")</f>
        <v/>
      </c>
      <c r="S1088" s="46">
        <f>H1088/SUMIFS(Counties!$H$2:$H$1583,Counties!$A$2:$A$1583,$A1088)</f>
        <v/>
      </c>
      <c r="T1088" s="44">
        <f>O1088+INDEX(Dashboard!$F$6:$F$22,MATCH($A1088,Dashboard!$A$6:$A$22,0))</f>
        <v/>
      </c>
      <c r="U1088" s="43">
        <f>AQ1088*INDEX(Dashboard!$G$6:$G$22,MATCH($A1088,Dashboard!$A$6:$A$22,0))</f>
        <v/>
      </c>
      <c r="V1088" s="47" t="n"/>
      <c r="W1088" s="47" t="n"/>
      <c r="X1088" s="47" t="n"/>
      <c r="Y1088" s="48" t="n"/>
      <c r="Z1088" s="49" t="n"/>
      <c r="AA1088" s="49" t="n"/>
      <c r="AB1088" s="49" t="n"/>
      <c r="AC1088" s="50" t="n"/>
      <c r="AD1088" s="43">
        <f>IF(Z1088&lt;&gt;"",Z1088,N(V1088))</f>
        <v/>
      </c>
      <c r="AE1088" s="43">
        <f>IF(AA1088&lt;&gt;"",AA1088,N(W1088))</f>
        <v/>
      </c>
      <c r="AF1088" s="43">
        <f>AD1088+AE1088</f>
        <v/>
      </c>
      <c r="AG1088" s="42">
        <f>IF(UPPER(AC1088)="Y",1,IF(AF1088=0,0,IF(AND(Z1088="",Y1088&lt;&gt;""),IF(Y1088&gt;=0.999,1,0),IF(AF1088&gt;=U1088,1,0))))</f>
        <v/>
      </c>
      <c r="AH1088" s="44">
        <f>IF(AF1088&gt;0,(AD1088-AE1088)/AF1088,"")</f>
        <v/>
      </c>
      <c r="AI1088" s="45">
        <f>IF(AG1088=1,AH1088-O1088,"")</f>
        <v/>
      </c>
      <c r="AJ1088" s="44">
        <f>IF(AG1088=1,AH1088,MAX(-1,MIN(1,O1088+INDEX(Types!$H:$H,MATCH($A1088&amp;"|"&amp;$D1088,Types!$A:$A,0)))))</f>
        <v/>
      </c>
      <c r="AK1088" s="43">
        <f>IF(AG1088=1,AF1088,MAX(AQ1088*AS1088,AF1088))</f>
        <v/>
      </c>
      <c r="AL1088" s="43">
        <f>IF(AG1088=1,AD1088,AK1088*(1+AJ1088)/2)</f>
        <v/>
      </c>
      <c r="AM1088" s="43">
        <f>IF(AG1088=1,AE1088,AK1088*(1-AJ1088)/2)</f>
        <v/>
      </c>
      <c r="AN1088" s="45">
        <f>IF(AH1088="","",AH1088-T1088)</f>
        <v/>
      </c>
      <c r="AO1088" s="51">
        <f>IF(AG1088=1,1,IF(U1088&gt;0,MIN(AF1088/U1088,0.99),0))</f>
        <v/>
      </c>
      <c r="AP1088" s="43">
        <f>IF(AG1088=1,AI1088*AF1088,0)</f>
        <v/>
      </c>
      <c r="AQ1088" s="43">
        <f>N1088*(F1088+G1088)/H1088</f>
        <v/>
      </c>
      <c r="AR1088" s="43">
        <f>O1088*AQ1088</f>
        <v/>
      </c>
      <c r="AS1088" s="52">
        <f>IF(AG1088=1,IF(AQ1088&gt;0,AF1088/AQ1088,1),IFERROR(INDEX(Types!$K:$K,MATCH($A1088&amp;"|"&amp;$D1088,Types!$A:$A,0)),INDEX(Dashboard!$X$6:$X$22,MATCH($A1088,Dashboard!$A$6:$A$22,0))))</f>
        <v/>
      </c>
      <c r="AT1088" s="43">
        <f>AQ1088*INDEX(Dashboard!$Y$6:$Y$22,MATCH($A1088,Dashboard!$A$6:$A$22,0))</f>
        <v/>
      </c>
      <c r="AU1088" s="53">
        <f>IF(AND(AG1088=1,AT1088&gt;0,AF1088&gt;0),100*AF1088/AT1088,"")</f>
        <v/>
      </c>
      <c r="AV1088" s="44">
        <f>IF(AU1088="","",T1088/(AU1088/100))</f>
        <v/>
      </c>
      <c r="AW1088" s="53">
        <f>IF(AU1088="","",IF(AND(ABS(AH1088)&gt;=0.1,ABS(T1088)&gt;=0.05,SIGN(AH1088)=SIGN(T1088)),100*T1088/AH1088,""))</f>
        <v/>
      </c>
      <c r="AX1088" s="45">
        <f>IF(AU1088="","",T1088-AV1088)</f>
        <v/>
      </c>
      <c r="AY1088" s="45">
        <f>IF(AU1088="","",AH1088-AV1088)</f>
        <v/>
      </c>
      <c r="AZ1088" s="54">
        <f>(AL1088-AM1088)-T1088*AT1088</f>
        <v/>
      </c>
      <c r="BA1088" s="43">
        <f>IF(AU1088="",0,(AH1088-T1088)*AF1088)</f>
        <v/>
      </c>
      <c r="BB1088" s="43">
        <f>IF(AU1088="",0,T1088*(AF1088-AT1088))</f>
        <v/>
      </c>
      <c r="BC1088" s="51" t="n">
        <v>0.2172717931713021</v>
      </c>
      <c r="BD1088" s="51" t="n">
        <v>0.2474884868528695</v>
      </c>
      <c r="BE1088" s="51" t="n">
        <v>0.492918376292549</v>
      </c>
      <c r="BF1088" s="43" t="n">
        <v>916778</v>
      </c>
    </row>
    <row r="1089">
      <c r="A1089" s="42" t="inlineStr">
        <is>
          <t>TX</t>
        </is>
      </c>
      <c r="B1089" s="42" t="inlineStr">
        <is>
          <t>48159</t>
        </is>
      </c>
      <c r="C1089" s="42" t="inlineStr">
        <is>
          <t>Franklin</t>
        </is>
      </c>
      <c r="D1089" s="42" t="inlineStr">
        <is>
          <t>Small town &amp; rural</t>
        </is>
      </c>
      <c r="E1089" s="42" t="inlineStr"/>
      <c r="F1089" s="43" t="n">
        <v>813</v>
      </c>
      <c r="G1089" s="43" t="n">
        <v>4473</v>
      </c>
      <c r="H1089" s="43" t="n">
        <v>5310</v>
      </c>
      <c r="I1089" s="43" t="n">
        <v>804</v>
      </c>
      <c r="J1089" s="43" t="n">
        <v>4161</v>
      </c>
      <c r="K1089" s="42" t="inlineStr">
        <is>
          <t>Governor</t>
        </is>
      </c>
      <c r="L1089" s="43" t="n">
        <v>512</v>
      </c>
      <c r="M1089" s="43" t="n">
        <v>3369</v>
      </c>
      <c r="N1089" s="43" t="n">
        <v>3917</v>
      </c>
      <c r="O1089" s="44">
        <f>IFERROR((F1089-G1089)/(F1089+G1089),"")</f>
        <v/>
      </c>
      <c r="P1089" s="44">
        <f>IFERROR((I1089-J1089)/(I1089+J1089),"")</f>
        <v/>
      </c>
      <c r="Q1089" s="45">
        <f>IFERROR(O1089-P1089,"")</f>
        <v/>
      </c>
      <c r="R1089" s="44">
        <f>IFERROR((L1089-M1089)/(L1089+M1089),"")</f>
        <v/>
      </c>
      <c r="S1089" s="46">
        <f>H1089/SUMIFS(Counties!$H$2:$H$1583,Counties!$A$2:$A$1583,$A1089)</f>
        <v/>
      </c>
      <c r="T1089" s="44">
        <f>O1089+INDEX(Dashboard!$F$6:$F$22,MATCH($A1089,Dashboard!$A$6:$A$22,0))</f>
        <v/>
      </c>
      <c r="U1089" s="43">
        <f>AQ1089*INDEX(Dashboard!$G$6:$G$22,MATCH($A1089,Dashboard!$A$6:$A$22,0))</f>
        <v/>
      </c>
      <c r="V1089" s="47" t="n"/>
      <c r="W1089" s="47" t="n"/>
      <c r="X1089" s="47" t="n"/>
      <c r="Y1089" s="48" t="n"/>
      <c r="Z1089" s="49" t="n"/>
      <c r="AA1089" s="49" t="n"/>
      <c r="AB1089" s="49" t="n"/>
      <c r="AC1089" s="50" t="n"/>
      <c r="AD1089" s="43">
        <f>IF(Z1089&lt;&gt;"",Z1089,N(V1089))</f>
        <v/>
      </c>
      <c r="AE1089" s="43">
        <f>IF(AA1089&lt;&gt;"",AA1089,N(W1089))</f>
        <v/>
      </c>
      <c r="AF1089" s="43">
        <f>AD1089+AE1089</f>
        <v/>
      </c>
      <c r="AG1089" s="42">
        <f>IF(UPPER(AC1089)="Y",1,IF(AF1089=0,0,IF(AND(Z1089="",Y1089&lt;&gt;""),IF(Y1089&gt;=0.999,1,0),IF(AF1089&gt;=U1089,1,0))))</f>
        <v/>
      </c>
      <c r="AH1089" s="44">
        <f>IF(AF1089&gt;0,(AD1089-AE1089)/AF1089,"")</f>
        <v/>
      </c>
      <c r="AI1089" s="45">
        <f>IF(AG1089=1,AH1089-O1089,"")</f>
        <v/>
      </c>
      <c r="AJ1089" s="44">
        <f>IF(AG1089=1,AH1089,MAX(-1,MIN(1,O1089+INDEX(Types!$H:$H,MATCH($A1089&amp;"|"&amp;$D1089,Types!$A:$A,0)))))</f>
        <v/>
      </c>
      <c r="AK1089" s="43">
        <f>IF(AG1089=1,AF1089,MAX(AQ1089*AS1089,AF1089))</f>
        <v/>
      </c>
      <c r="AL1089" s="43">
        <f>IF(AG1089=1,AD1089,AK1089*(1+AJ1089)/2)</f>
        <v/>
      </c>
      <c r="AM1089" s="43">
        <f>IF(AG1089=1,AE1089,AK1089*(1-AJ1089)/2)</f>
        <v/>
      </c>
      <c r="AN1089" s="45">
        <f>IF(AH1089="","",AH1089-T1089)</f>
        <v/>
      </c>
      <c r="AO1089" s="51">
        <f>IF(AG1089=1,1,IF(U1089&gt;0,MIN(AF1089/U1089,0.99),0))</f>
        <v/>
      </c>
      <c r="AP1089" s="43">
        <f>IF(AG1089=1,AI1089*AF1089,0)</f>
        <v/>
      </c>
      <c r="AQ1089" s="43">
        <f>N1089*(F1089+G1089)/H1089</f>
        <v/>
      </c>
      <c r="AR1089" s="43">
        <f>O1089*AQ1089</f>
        <v/>
      </c>
      <c r="AS1089" s="52">
        <f>IF(AG1089=1,IF(AQ1089&gt;0,AF1089/AQ1089,1),IFERROR(INDEX(Types!$K:$K,MATCH($A1089&amp;"|"&amp;$D1089,Types!$A:$A,0)),INDEX(Dashboard!$X$6:$X$22,MATCH($A1089,Dashboard!$A$6:$A$22,0))))</f>
        <v/>
      </c>
      <c r="AT1089" s="43">
        <f>AQ1089*INDEX(Dashboard!$Y$6:$Y$22,MATCH($A1089,Dashboard!$A$6:$A$22,0))</f>
        <v/>
      </c>
      <c r="AU1089" s="53">
        <f>IF(AND(AG1089=1,AT1089&gt;0,AF1089&gt;0),100*AF1089/AT1089,"")</f>
        <v/>
      </c>
      <c r="AV1089" s="44">
        <f>IF(AU1089="","",T1089/(AU1089/100))</f>
        <v/>
      </c>
      <c r="AW1089" s="53">
        <f>IF(AU1089="","",IF(AND(ABS(AH1089)&gt;=0.1,ABS(T1089)&gt;=0.05,SIGN(AH1089)=SIGN(T1089)),100*T1089/AH1089,""))</f>
        <v/>
      </c>
      <c r="AX1089" s="45">
        <f>IF(AU1089="","",T1089-AV1089)</f>
        <v/>
      </c>
      <c r="AY1089" s="45">
        <f>IF(AU1089="","",AH1089-AV1089)</f>
        <v/>
      </c>
      <c r="AZ1089" s="54">
        <f>(AL1089-AM1089)-T1089*AT1089</f>
        <v/>
      </c>
      <c r="BA1089" s="43">
        <f>IF(AU1089="",0,(AH1089-T1089)*AF1089)</f>
        <v/>
      </c>
      <c r="BB1089" s="43">
        <f>IF(AU1089="",0,T1089*(AF1089-AT1089))</f>
        <v/>
      </c>
      <c r="BC1089" s="51" t="n">
        <v>0.04601769911504425</v>
      </c>
      <c r="BD1089" s="51" t="n">
        <v>0.144201210992082</v>
      </c>
      <c r="BE1089" s="51" t="n">
        <v>0.293119698397738</v>
      </c>
      <c r="BF1089" s="43" t="n">
        <v>10735</v>
      </c>
    </row>
    <row r="1090">
      <c r="A1090" s="42" t="inlineStr">
        <is>
          <t>TX</t>
        </is>
      </c>
      <c r="B1090" s="42" t="inlineStr">
        <is>
          <t>48161</t>
        </is>
      </c>
      <c r="C1090" s="42" t="inlineStr">
        <is>
          <t>Freestone</t>
        </is>
      </c>
      <c r="D1090" s="42" t="inlineStr">
        <is>
          <t>Small town &amp; rural</t>
        </is>
      </c>
      <c r="E1090" s="42" t="inlineStr"/>
      <c r="F1090" s="43" t="n">
        <v>1499</v>
      </c>
      <c r="G1090" s="43" t="n">
        <v>7500</v>
      </c>
      <c r="H1090" s="43" t="n">
        <v>9045</v>
      </c>
      <c r="I1090" s="43" t="n">
        <v>1635</v>
      </c>
      <c r="J1090" s="43" t="n">
        <v>6991</v>
      </c>
      <c r="K1090" s="42" t="inlineStr">
        <is>
          <t>Governor</t>
        </is>
      </c>
      <c r="L1090" s="43" t="n">
        <v>991</v>
      </c>
      <c r="M1090" s="43" t="n">
        <v>5600</v>
      </c>
      <c r="N1090" s="43" t="n">
        <v>6661</v>
      </c>
      <c r="O1090" s="44">
        <f>IFERROR((F1090-G1090)/(F1090+G1090),"")</f>
        <v/>
      </c>
      <c r="P1090" s="44">
        <f>IFERROR((I1090-J1090)/(I1090+J1090),"")</f>
        <v/>
      </c>
      <c r="Q1090" s="45">
        <f>IFERROR(O1090-P1090,"")</f>
        <v/>
      </c>
      <c r="R1090" s="44">
        <f>IFERROR((L1090-M1090)/(L1090+M1090),"")</f>
        <v/>
      </c>
      <c r="S1090" s="46">
        <f>H1090/SUMIFS(Counties!$H$2:$H$1583,Counties!$A$2:$A$1583,$A1090)</f>
        <v/>
      </c>
      <c r="T1090" s="44">
        <f>O1090+INDEX(Dashboard!$F$6:$F$22,MATCH($A1090,Dashboard!$A$6:$A$22,0))</f>
        <v/>
      </c>
      <c r="U1090" s="43">
        <f>AQ1090*INDEX(Dashboard!$G$6:$G$22,MATCH($A1090,Dashboard!$A$6:$A$22,0))</f>
        <v/>
      </c>
      <c r="V1090" s="47" t="n"/>
      <c r="W1090" s="47" t="n"/>
      <c r="X1090" s="47" t="n"/>
      <c r="Y1090" s="48" t="n"/>
      <c r="Z1090" s="49" t="n"/>
      <c r="AA1090" s="49" t="n"/>
      <c r="AB1090" s="49" t="n"/>
      <c r="AC1090" s="50" t="n"/>
      <c r="AD1090" s="43">
        <f>IF(Z1090&lt;&gt;"",Z1090,N(V1090))</f>
        <v/>
      </c>
      <c r="AE1090" s="43">
        <f>IF(AA1090&lt;&gt;"",AA1090,N(W1090))</f>
        <v/>
      </c>
      <c r="AF1090" s="43">
        <f>AD1090+AE1090</f>
        <v/>
      </c>
      <c r="AG1090" s="42">
        <f>IF(UPPER(AC1090)="Y",1,IF(AF1090=0,0,IF(AND(Z1090="",Y1090&lt;&gt;""),IF(Y1090&gt;=0.999,1,0),IF(AF1090&gt;=U1090,1,0))))</f>
        <v/>
      </c>
      <c r="AH1090" s="44">
        <f>IF(AF1090&gt;0,(AD1090-AE1090)/AF1090,"")</f>
        <v/>
      </c>
      <c r="AI1090" s="45">
        <f>IF(AG1090=1,AH1090-O1090,"")</f>
        <v/>
      </c>
      <c r="AJ1090" s="44">
        <f>IF(AG1090=1,AH1090,MAX(-1,MIN(1,O1090+INDEX(Types!$H:$H,MATCH($A1090&amp;"|"&amp;$D1090,Types!$A:$A,0)))))</f>
        <v/>
      </c>
      <c r="AK1090" s="43">
        <f>IF(AG1090=1,AF1090,MAX(AQ1090*AS1090,AF1090))</f>
        <v/>
      </c>
      <c r="AL1090" s="43">
        <f>IF(AG1090=1,AD1090,AK1090*(1+AJ1090)/2)</f>
        <v/>
      </c>
      <c r="AM1090" s="43">
        <f>IF(AG1090=1,AE1090,AK1090*(1-AJ1090)/2)</f>
        <v/>
      </c>
      <c r="AN1090" s="45">
        <f>IF(AH1090="","",AH1090-T1090)</f>
        <v/>
      </c>
      <c r="AO1090" s="51">
        <f>IF(AG1090=1,1,IF(U1090&gt;0,MIN(AF1090/U1090,0.99),0))</f>
        <v/>
      </c>
      <c r="AP1090" s="43">
        <f>IF(AG1090=1,AI1090*AF1090,0)</f>
        <v/>
      </c>
      <c r="AQ1090" s="43">
        <f>N1090*(F1090+G1090)/H1090</f>
        <v/>
      </c>
      <c r="AR1090" s="43">
        <f>O1090*AQ1090</f>
        <v/>
      </c>
      <c r="AS1090" s="52">
        <f>IF(AG1090=1,IF(AQ1090&gt;0,AF1090/AQ1090,1),IFERROR(INDEX(Types!$K:$K,MATCH($A1090&amp;"|"&amp;$D1090,Types!$A:$A,0)),INDEX(Dashboard!$X$6:$X$22,MATCH($A1090,Dashboard!$A$6:$A$22,0))))</f>
        <v/>
      </c>
      <c r="AT1090" s="43">
        <f>AQ1090*INDEX(Dashboard!$Y$6:$Y$22,MATCH($A1090,Dashboard!$A$6:$A$22,0))</f>
        <v/>
      </c>
      <c r="AU1090" s="53">
        <f>IF(AND(AG1090=1,AT1090&gt;0,AF1090&gt;0),100*AF1090/AT1090,"")</f>
        <v/>
      </c>
      <c r="AV1090" s="44">
        <f>IF(AU1090="","",T1090/(AU1090/100))</f>
        <v/>
      </c>
      <c r="AW1090" s="53">
        <f>IF(AU1090="","",IF(AND(ABS(AH1090)&gt;=0.1,ABS(T1090)&gt;=0.05,SIGN(AH1090)=SIGN(T1090)),100*T1090/AH1090,""))</f>
        <v/>
      </c>
      <c r="AX1090" s="45">
        <f>IF(AU1090="","",T1090-AV1090)</f>
        <v/>
      </c>
      <c r="AY1090" s="45">
        <f>IF(AU1090="","",AH1090-AV1090)</f>
        <v/>
      </c>
      <c r="AZ1090" s="54">
        <f>(AL1090-AM1090)-T1090*AT1090</f>
        <v/>
      </c>
      <c r="BA1090" s="43">
        <f>IF(AU1090="",0,(AH1090-T1090)*AF1090)</f>
        <v/>
      </c>
      <c r="BB1090" s="43">
        <f>IF(AU1090="",0,T1090*(AF1090-AT1090))</f>
        <v/>
      </c>
      <c r="BC1090" s="51" t="n">
        <v>0.1409422239616457</v>
      </c>
      <c r="BD1090" s="51" t="n">
        <v>0.1742086982045888</v>
      </c>
      <c r="BE1090" s="51" t="n">
        <v>0.1588724716683403</v>
      </c>
      <c r="BF1090" s="43" t="n">
        <v>20441</v>
      </c>
    </row>
    <row r="1091">
      <c r="A1091" s="42" t="inlineStr">
        <is>
          <t>TX</t>
        </is>
      </c>
      <c r="B1091" s="42" t="inlineStr">
        <is>
          <t>48163</t>
        </is>
      </c>
      <c r="C1091" s="42" t="inlineStr">
        <is>
          <t>Frio</t>
        </is>
      </c>
      <c r="D1091" s="42" t="inlineStr">
        <is>
          <t>Hispanic</t>
        </is>
      </c>
      <c r="E1091" s="42" t="inlineStr"/>
      <c r="F1091" s="43" t="n">
        <v>1848</v>
      </c>
      <c r="G1091" s="43" t="n">
        <v>3060</v>
      </c>
      <c r="H1091" s="43" t="n">
        <v>4933</v>
      </c>
      <c r="I1091" s="43" t="n">
        <v>2422</v>
      </c>
      <c r="J1091" s="43" t="n">
        <v>2823</v>
      </c>
      <c r="K1091" s="42" t="inlineStr">
        <is>
          <t>Governor</t>
        </is>
      </c>
      <c r="L1091" s="43" t="n">
        <v>1791</v>
      </c>
      <c r="M1091" s="43" t="n">
        <v>1872</v>
      </c>
      <c r="N1091" s="43" t="n">
        <v>3722</v>
      </c>
      <c r="O1091" s="44">
        <f>IFERROR((F1091-G1091)/(F1091+G1091),"")</f>
        <v/>
      </c>
      <c r="P1091" s="44">
        <f>IFERROR((I1091-J1091)/(I1091+J1091),"")</f>
        <v/>
      </c>
      <c r="Q1091" s="45">
        <f>IFERROR(O1091-P1091,"")</f>
        <v/>
      </c>
      <c r="R1091" s="44">
        <f>IFERROR((L1091-M1091)/(L1091+M1091),"")</f>
        <v/>
      </c>
      <c r="S1091" s="46">
        <f>H1091/SUMIFS(Counties!$H$2:$H$1583,Counties!$A$2:$A$1583,$A1091)</f>
        <v/>
      </c>
      <c r="T1091" s="44">
        <f>O1091+INDEX(Dashboard!$F$6:$F$22,MATCH($A1091,Dashboard!$A$6:$A$22,0))</f>
        <v/>
      </c>
      <c r="U1091" s="43">
        <f>AQ1091*INDEX(Dashboard!$G$6:$G$22,MATCH($A1091,Dashboard!$A$6:$A$22,0))</f>
        <v/>
      </c>
      <c r="V1091" s="47" t="n"/>
      <c r="W1091" s="47" t="n"/>
      <c r="X1091" s="47" t="n"/>
      <c r="Y1091" s="48" t="n"/>
      <c r="Z1091" s="49" t="n"/>
      <c r="AA1091" s="49" t="n"/>
      <c r="AB1091" s="49" t="n"/>
      <c r="AC1091" s="50" t="n"/>
      <c r="AD1091" s="43">
        <f>IF(Z1091&lt;&gt;"",Z1091,N(V1091))</f>
        <v/>
      </c>
      <c r="AE1091" s="43">
        <f>IF(AA1091&lt;&gt;"",AA1091,N(W1091))</f>
        <v/>
      </c>
      <c r="AF1091" s="43">
        <f>AD1091+AE1091</f>
        <v/>
      </c>
      <c r="AG1091" s="42">
        <f>IF(UPPER(AC1091)="Y",1,IF(AF1091=0,0,IF(AND(Z1091="",Y1091&lt;&gt;""),IF(Y1091&gt;=0.999,1,0),IF(AF1091&gt;=U1091,1,0))))</f>
        <v/>
      </c>
      <c r="AH1091" s="44">
        <f>IF(AF1091&gt;0,(AD1091-AE1091)/AF1091,"")</f>
        <v/>
      </c>
      <c r="AI1091" s="45">
        <f>IF(AG1091=1,AH1091-O1091,"")</f>
        <v/>
      </c>
      <c r="AJ1091" s="44">
        <f>IF(AG1091=1,AH1091,MAX(-1,MIN(1,O1091+INDEX(Types!$H:$H,MATCH($A1091&amp;"|"&amp;$D1091,Types!$A:$A,0)))))</f>
        <v/>
      </c>
      <c r="AK1091" s="43">
        <f>IF(AG1091=1,AF1091,MAX(AQ1091*AS1091,AF1091))</f>
        <v/>
      </c>
      <c r="AL1091" s="43">
        <f>IF(AG1091=1,AD1091,AK1091*(1+AJ1091)/2)</f>
        <v/>
      </c>
      <c r="AM1091" s="43">
        <f>IF(AG1091=1,AE1091,AK1091*(1-AJ1091)/2)</f>
        <v/>
      </c>
      <c r="AN1091" s="45">
        <f>IF(AH1091="","",AH1091-T1091)</f>
        <v/>
      </c>
      <c r="AO1091" s="51">
        <f>IF(AG1091=1,1,IF(U1091&gt;0,MIN(AF1091/U1091,0.99),0))</f>
        <v/>
      </c>
      <c r="AP1091" s="43">
        <f>IF(AG1091=1,AI1091*AF1091,0)</f>
        <v/>
      </c>
      <c r="AQ1091" s="43">
        <f>N1091*(F1091+G1091)/H1091</f>
        <v/>
      </c>
      <c r="AR1091" s="43">
        <f>O1091*AQ1091</f>
        <v/>
      </c>
      <c r="AS1091" s="52">
        <f>IF(AG1091=1,IF(AQ1091&gt;0,AF1091/AQ1091,1),IFERROR(INDEX(Types!$K:$K,MATCH($A1091&amp;"|"&amp;$D1091,Types!$A:$A,0)),INDEX(Dashboard!$X$6:$X$22,MATCH($A1091,Dashboard!$A$6:$A$22,0))))</f>
        <v/>
      </c>
      <c r="AT1091" s="43">
        <f>AQ1091*INDEX(Dashboard!$Y$6:$Y$22,MATCH($A1091,Dashboard!$A$6:$A$22,0))</f>
        <v/>
      </c>
      <c r="AU1091" s="53">
        <f>IF(AND(AG1091=1,AT1091&gt;0,AF1091&gt;0),100*AF1091/AT1091,"")</f>
        <v/>
      </c>
      <c r="AV1091" s="44">
        <f>IF(AU1091="","",T1091/(AU1091/100))</f>
        <v/>
      </c>
      <c r="AW1091" s="53">
        <f>IF(AU1091="","",IF(AND(ABS(AH1091)&gt;=0.1,ABS(T1091)&gt;=0.05,SIGN(AH1091)=SIGN(T1091)),100*T1091/AH1091,""))</f>
        <v/>
      </c>
      <c r="AX1091" s="45">
        <f>IF(AU1091="","",T1091-AV1091)</f>
        <v/>
      </c>
      <c r="AY1091" s="45">
        <f>IF(AU1091="","",AH1091-AV1091)</f>
        <v/>
      </c>
      <c r="AZ1091" s="54">
        <f>(AL1091-AM1091)-T1091*AT1091</f>
        <v/>
      </c>
      <c r="BA1091" s="43">
        <f>IF(AU1091="",0,(AH1091-T1091)*AF1091)</f>
        <v/>
      </c>
      <c r="BB1091" s="43">
        <f>IF(AU1091="",0,T1091*(AF1091-AT1091))</f>
        <v/>
      </c>
      <c r="BC1091" s="51" t="n">
        <v>0.03847222994384834</v>
      </c>
      <c r="BD1091" s="51" t="n">
        <v>0.7765608495024184</v>
      </c>
      <c r="BE1091" s="51" t="n">
        <v>0.113919575784357</v>
      </c>
      <c r="BF1091" s="43" t="n">
        <v>17987</v>
      </c>
    </row>
    <row r="1092">
      <c r="A1092" s="42" t="inlineStr">
        <is>
          <t>TX</t>
        </is>
      </c>
      <c r="B1092" s="42" t="inlineStr">
        <is>
          <t>48165</t>
        </is>
      </c>
      <c r="C1092" s="42" t="inlineStr">
        <is>
          <t>Gaines</t>
        </is>
      </c>
      <c r="D1092" s="42" t="inlineStr">
        <is>
          <t>Hispanic</t>
        </is>
      </c>
      <c r="E1092" s="42" t="inlineStr"/>
      <c r="F1092" s="43" t="n">
        <v>538</v>
      </c>
      <c r="G1092" s="43" t="n">
        <v>5840</v>
      </c>
      <c r="H1092" s="43" t="n">
        <v>6416</v>
      </c>
      <c r="I1092" s="43" t="n">
        <v>576</v>
      </c>
      <c r="J1092" s="43" t="n">
        <v>5355</v>
      </c>
      <c r="K1092" s="42" t="inlineStr">
        <is>
          <t>Governor</t>
        </is>
      </c>
      <c r="L1092" s="43" t="n">
        <v>311</v>
      </c>
      <c r="M1092" s="43" t="n">
        <v>3761</v>
      </c>
      <c r="N1092" s="43" t="n">
        <v>4116</v>
      </c>
      <c r="O1092" s="44">
        <f>IFERROR((F1092-G1092)/(F1092+G1092),"")</f>
        <v/>
      </c>
      <c r="P1092" s="44">
        <f>IFERROR((I1092-J1092)/(I1092+J1092),"")</f>
        <v/>
      </c>
      <c r="Q1092" s="45">
        <f>IFERROR(O1092-P1092,"")</f>
        <v/>
      </c>
      <c r="R1092" s="44">
        <f>IFERROR((L1092-M1092)/(L1092+M1092),"")</f>
        <v/>
      </c>
      <c r="S1092" s="46">
        <f>H1092/SUMIFS(Counties!$H$2:$H$1583,Counties!$A$2:$A$1583,$A1092)</f>
        <v/>
      </c>
      <c r="T1092" s="44">
        <f>O1092+INDEX(Dashboard!$F$6:$F$22,MATCH($A1092,Dashboard!$A$6:$A$22,0))</f>
        <v/>
      </c>
      <c r="U1092" s="43">
        <f>AQ1092*INDEX(Dashboard!$G$6:$G$22,MATCH($A1092,Dashboard!$A$6:$A$22,0))</f>
        <v/>
      </c>
      <c r="V1092" s="47" t="n"/>
      <c r="W1092" s="47" t="n"/>
      <c r="X1092" s="47" t="n"/>
      <c r="Y1092" s="48" t="n"/>
      <c r="Z1092" s="49" t="n"/>
      <c r="AA1092" s="49" t="n"/>
      <c r="AB1092" s="49" t="n"/>
      <c r="AC1092" s="50" t="n"/>
      <c r="AD1092" s="43">
        <f>IF(Z1092&lt;&gt;"",Z1092,N(V1092))</f>
        <v/>
      </c>
      <c r="AE1092" s="43">
        <f>IF(AA1092&lt;&gt;"",AA1092,N(W1092))</f>
        <v/>
      </c>
      <c r="AF1092" s="43">
        <f>AD1092+AE1092</f>
        <v/>
      </c>
      <c r="AG1092" s="42">
        <f>IF(UPPER(AC1092)="Y",1,IF(AF1092=0,0,IF(AND(Z1092="",Y1092&lt;&gt;""),IF(Y1092&gt;=0.999,1,0),IF(AF1092&gt;=U1092,1,0))))</f>
        <v/>
      </c>
      <c r="AH1092" s="44">
        <f>IF(AF1092&gt;0,(AD1092-AE1092)/AF1092,"")</f>
        <v/>
      </c>
      <c r="AI1092" s="45">
        <f>IF(AG1092=1,AH1092-O1092,"")</f>
        <v/>
      </c>
      <c r="AJ1092" s="44">
        <f>IF(AG1092=1,AH1092,MAX(-1,MIN(1,O1092+INDEX(Types!$H:$H,MATCH($A1092&amp;"|"&amp;$D1092,Types!$A:$A,0)))))</f>
        <v/>
      </c>
      <c r="AK1092" s="43">
        <f>IF(AG1092=1,AF1092,MAX(AQ1092*AS1092,AF1092))</f>
        <v/>
      </c>
      <c r="AL1092" s="43">
        <f>IF(AG1092=1,AD1092,AK1092*(1+AJ1092)/2)</f>
        <v/>
      </c>
      <c r="AM1092" s="43">
        <f>IF(AG1092=1,AE1092,AK1092*(1-AJ1092)/2)</f>
        <v/>
      </c>
      <c r="AN1092" s="45">
        <f>IF(AH1092="","",AH1092-T1092)</f>
        <v/>
      </c>
      <c r="AO1092" s="51">
        <f>IF(AG1092=1,1,IF(U1092&gt;0,MIN(AF1092/U1092,0.99),0))</f>
        <v/>
      </c>
      <c r="AP1092" s="43">
        <f>IF(AG1092=1,AI1092*AF1092,0)</f>
        <v/>
      </c>
      <c r="AQ1092" s="43">
        <f>N1092*(F1092+G1092)/H1092</f>
        <v/>
      </c>
      <c r="AR1092" s="43">
        <f>O1092*AQ1092</f>
        <v/>
      </c>
      <c r="AS1092" s="52">
        <f>IF(AG1092=1,IF(AQ1092&gt;0,AF1092/AQ1092,1),IFERROR(INDEX(Types!$K:$K,MATCH($A1092&amp;"|"&amp;$D1092,Types!$A:$A,0)),INDEX(Dashboard!$X$6:$X$22,MATCH($A1092,Dashboard!$A$6:$A$22,0))))</f>
        <v/>
      </c>
      <c r="AT1092" s="43">
        <f>AQ1092*INDEX(Dashboard!$Y$6:$Y$22,MATCH($A1092,Dashboard!$A$6:$A$22,0))</f>
        <v/>
      </c>
      <c r="AU1092" s="53">
        <f>IF(AND(AG1092=1,AT1092&gt;0,AF1092&gt;0),100*AF1092/AT1092,"")</f>
        <v/>
      </c>
      <c r="AV1092" s="44">
        <f>IF(AU1092="","",T1092/(AU1092/100))</f>
        <v/>
      </c>
      <c r="AW1092" s="53">
        <f>IF(AU1092="","",IF(AND(ABS(AH1092)&gt;=0.1,ABS(T1092)&gt;=0.05,SIGN(AH1092)=SIGN(T1092)),100*T1092/AH1092,""))</f>
        <v/>
      </c>
      <c r="AX1092" s="45">
        <f>IF(AU1092="","",T1092-AV1092)</f>
        <v/>
      </c>
      <c r="AY1092" s="45">
        <f>IF(AU1092="","",AH1092-AV1092)</f>
        <v/>
      </c>
      <c r="AZ1092" s="54">
        <f>(AL1092-AM1092)-T1092*AT1092</f>
        <v/>
      </c>
      <c r="BA1092" s="43">
        <f>IF(AU1092="",0,(AH1092-T1092)*AF1092)</f>
        <v/>
      </c>
      <c r="BB1092" s="43">
        <f>IF(AU1092="",0,T1092*(AF1092-AT1092))</f>
        <v/>
      </c>
      <c r="BC1092" s="51" t="n">
        <v>0.01571726679394397</v>
      </c>
      <c r="BD1092" s="51" t="n">
        <v>0.4067841761754651</v>
      </c>
      <c r="BE1092" s="51" t="n">
        <v>0.08054943191453282</v>
      </c>
      <c r="BF1092" s="43" t="n">
        <v>22523</v>
      </c>
    </row>
    <row r="1093">
      <c r="A1093" s="42" t="inlineStr">
        <is>
          <t>TX</t>
        </is>
      </c>
      <c r="B1093" s="42" t="inlineStr">
        <is>
          <t>48167</t>
        </is>
      </c>
      <c r="C1093" s="42" t="inlineStr">
        <is>
          <t>Galveston</t>
        </is>
      </c>
      <c r="D1093" s="42" t="inlineStr">
        <is>
          <t>Mid-size/working metro</t>
        </is>
      </c>
      <c r="E1093" s="42" t="inlineStr"/>
      <c r="F1093" s="43" t="n">
        <v>56732</v>
      </c>
      <c r="G1093" s="43" t="n">
        <v>100295</v>
      </c>
      <c r="H1093" s="43" t="n">
        <v>158933</v>
      </c>
      <c r="I1093" s="43" t="n">
        <v>58842</v>
      </c>
      <c r="J1093" s="43" t="n">
        <v>93911</v>
      </c>
      <c r="K1093" s="42" t="inlineStr">
        <is>
          <t>Governor</t>
        </is>
      </c>
      <c r="L1093" s="43" t="n">
        <v>40229</v>
      </c>
      <c r="M1093" s="43" t="n">
        <v>68822</v>
      </c>
      <c r="N1093" s="43" t="n">
        <v>110734</v>
      </c>
      <c r="O1093" s="44">
        <f>IFERROR((F1093-G1093)/(F1093+G1093),"")</f>
        <v/>
      </c>
      <c r="P1093" s="44">
        <f>IFERROR((I1093-J1093)/(I1093+J1093),"")</f>
        <v/>
      </c>
      <c r="Q1093" s="45">
        <f>IFERROR(O1093-P1093,"")</f>
        <v/>
      </c>
      <c r="R1093" s="44">
        <f>IFERROR((L1093-M1093)/(L1093+M1093),"")</f>
        <v/>
      </c>
      <c r="S1093" s="46">
        <f>H1093/SUMIFS(Counties!$H$2:$H$1583,Counties!$A$2:$A$1583,$A1093)</f>
        <v/>
      </c>
      <c r="T1093" s="44">
        <f>O1093+INDEX(Dashboard!$F$6:$F$22,MATCH($A1093,Dashboard!$A$6:$A$22,0))</f>
        <v/>
      </c>
      <c r="U1093" s="43">
        <f>AQ1093*INDEX(Dashboard!$G$6:$G$22,MATCH($A1093,Dashboard!$A$6:$A$22,0))</f>
        <v/>
      </c>
      <c r="V1093" s="47" t="n"/>
      <c r="W1093" s="47" t="n"/>
      <c r="X1093" s="47" t="n"/>
      <c r="Y1093" s="48" t="n"/>
      <c r="Z1093" s="49" t="n"/>
      <c r="AA1093" s="49" t="n"/>
      <c r="AB1093" s="49" t="n"/>
      <c r="AC1093" s="50" t="n"/>
      <c r="AD1093" s="43">
        <f>IF(Z1093&lt;&gt;"",Z1093,N(V1093))</f>
        <v/>
      </c>
      <c r="AE1093" s="43">
        <f>IF(AA1093&lt;&gt;"",AA1093,N(W1093))</f>
        <v/>
      </c>
      <c r="AF1093" s="43">
        <f>AD1093+AE1093</f>
        <v/>
      </c>
      <c r="AG1093" s="42">
        <f>IF(UPPER(AC1093)="Y",1,IF(AF1093=0,0,IF(AND(Z1093="",Y1093&lt;&gt;""),IF(Y1093&gt;=0.999,1,0),IF(AF1093&gt;=U1093,1,0))))</f>
        <v/>
      </c>
      <c r="AH1093" s="44">
        <f>IF(AF1093&gt;0,(AD1093-AE1093)/AF1093,"")</f>
        <v/>
      </c>
      <c r="AI1093" s="45">
        <f>IF(AG1093=1,AH1093-O1093,"")</f>
        <v/>
      </c>
      <c r="AJ1093" s="44">
        <f>IF(AG1093=1,AH1093,MAX(-1,MIN(1,O1093+INDEX(Types!$H:$H,MATCH($A1093&amp;"|"&amp;$D1093,Types!$A:$A,0)))))</f>
        <v/>
      </c>
      <c r="AK1093" s="43">
        <f>IF(AG1093=1,AF1093,MAX(AQ1093*AS1093,AF1093))</f>
        <v/>
      </c>
      <c r="AL1093" s="43">
        <f>IF(AG1093=1,AD1093,AK1093*(1+AJ1093)/2)</f>
        <v/>
      </c>
      <c r="AM1093" s="43">
        <f>IF(AG1093=1,AE1093,AK1093*(1-AJ1093)/2)</f>
        <v/>
      </c>
      <c r="AN1093" s="45">
        <f>IF(AH1093="","",AH1093-T1093)</f>
        <v/>
      </c>
      <c r="AO1093" s="51">
        <f>IF(AG1093=1,1,IF(U1093&gt;0,MIN(AF1093/U1093,0.99),0))</f>
        <v/>
      </c>
      <c r="AP1093" s="43">
        <f>IF(AG1093=1,AI1093*AF1093,0)</f>
        <v/>
      </c>
      <c r="AQ1093" s="43">
        <f>N1093*(F1093+G1093)/H1093</f>
        <v/>
      </c>
      <c r="AR1093" s="43">
        <f>O1093*AQ1093</f>
        <v/>
      </c>
      <c r="AS1093" s="52">
        <f>IF(AG1093=1,IF(AQ1093&gt;0,AF1093/AQ1093,1),IFERROR(INDEX(Types!$K:$K,MATCH($A1093&amp;"|"&amp;$D1093,Types!$A:$A,0)),INDEX(Dashboard!$X$6:$X$22,MATCH($A1093,Dashboard!$A$6:$A$22,0))))</f>
        <v/>
      </c>
      <c r="AT1093" s="43">
        <f>AQ1093*INDEX(Dashboard!$Y$6:$Y$22,MATCH($A1093,Dashboard!$A$6:$A$22,0))</f>
        <v/>
      </c>
      <c r="AU1093" s="53">
        <f>IF(AND(AG1093=1,AT1093&gt;0,AF1093&gt;0),100*AF1093/AT1093,"")</f>
        <v/>
      </c>
      <c r="AV1093" s="44">
        <f>IF(AU1093="","",T1093/(AU1093/100))</f>
        <v/>
      </c>
      <c r="AW1093" s="53">
        <f>IF(AU1093="","",IF(AND(ABS(AH1093)&gt;=0.1,ABS(T1093)&gt;=0.05,SIGN(AH1093)=SIGN(T1093)),100*T1093/AH1093,""))</f>
        <v/>
      </c>
      <c r="AX1093" s="45">
        <f>IF(AU1093="","",T1093-AV1093)</f>
        <v/>
      </c>
      <c r="AY1093" s="45">
        <f>IF(AU1093="","",AH1093-AV1093)</f>
        <v/>
      </c>
      <c r="AZ1093" s="54">
        <f>(AL1093-AM1093)-T1093*AT1093</f>
        <v/>
      </c>
      <c r="BA1093" s="43">
        <f>IF(AU1093="",0,(AH1093-T1093)*AF1093)</f>
        <v/>
      </c>
      <c r="BB1093" s="43">
        <f>IF(AU1093="",0,T1093*(AF1093-AT1093))</f>
        <v/>
      </c>
      <c r="BC1093" s="51" t="n">
        <v>0.127200451147773</v>
      </c>
      <c r="BD1093" s="51" t="n">
        <v>0.2673354637533725</v>
      </c>
      <c r="BE1093" s="51" t="n">
        <v>0.342582586576668</v>
      </c>
      <c r="BF1093" s="43" t="n">
        <v>361744</v>
      </c>
    </row>
    <row r="1094">
      <c r="A1094" s="42" t="inlineStr">
        <is>
          <t>TX</t>
        </is>
      </c>
      <c r="B1094" s="42" t="inlineStr">
        <is>
          <t>48169</t>
        </is>
      </c>
      <c r="C1094" s="42" t="inlineStr">
        <is>
          <t>Garza</t>
        </is>
      </c>
      <c r="D1094" s="42" t="inlineStr">
        <is>
          <t>Hispanic</t>
        </is>
      </c>
      <c r="E1094" s="42" t="inlineStr"/>
      <c r="F1094" s="43" t="n">
        <v>213</v>
      </c>
      <c r="G1094" s="43" t="n">
        <v>1374</v>
      </c>
      <c r="H1094" s="43" t="n">
        <v>1599</v>
      </c>
      <c r="I1094" s="43" t="n">
        <v>231</v>
      </c>
      <c r="J1094" s="43" t="n">
        <v>1413</v>
      </c>
      <c r="K1094" s="42" t="inlineStr">
        <is>
          <t>Governor</t>
        </is>
      </c>
      <c r="L1094" s="43" t="n">
        <v>135</v>
      </c>
      <c r="M1094" s="43" t="n">
        <v>1056</v>
      </c>
      <c r="N1094" s="43" t="n">
        <v>1200</v>
      </c>
      <c r="O1094" s="44">
        <f>IFERROR((F1094-G1094)/(F1094+G1094),"")</f>
        <v/>
      </c>
      <c r="P1094" s="44">
        <f>IFERROR((I1094-J1094)/(I1094+J1094),"")</f>
        <v/>
      </c>
      <c r="Q1094" s="45">
        <f>IFERROR(O1094-P1094,"")</f>
        <v/>
      </c>
      <c r="R1094" s="44">
        <f>IFERROR((L1094-M1094)/(L1094+M1094),"")</f>
        <v/>
      </c>
      <c r="S1094" s="46">
        <f>H1094/SUMIFS(Counties!$H$2:$H$1583,Counties!$A$2:$A$1583,$A1094)</f>
        <v/>
      </c>
      <c r="T1094" s="44">
        <f>O1094+INDEX(Dashboard!$F$6:$F$22,MATCH($A1094,Dashboard!$A$6:$A$22,0))</f>
        <v/>
      </c>
      <c r="U1094" s="43">
        <f>AQ1094*INDEX(Dashboard!$G$6:$G$22,MATCH($A1094,Dashboard!$A$6:$A$22,0))</f>
        <v/>
      </c>
      <c r="V1094" s="47" t="n"/>
      <c r="W1094" s="47" t="n"/>
      <c r="X1094" s="47" t="n"/>
      <c r="Y1094" s="48" t="n"/>
      <c r="Z1094" s="49" t="n"/>
      <c r="AA1094" s="49" t="n"/>
      <c r="AB1094" s="49" t="n"/>
      <c r="AC1094" s="50" t="n"/>
      <c r="AD1094" s="43">
        <f>IF(Z1094&lt;&gt;"",Z1094,N(V1094))</f>
        <v/>
      </c>
      <c r="AE1094" s="43">
        <f>IF(AA1094&lt;&gt;"",AA1094,N(W1094))</f>
        <v/>
      </c>
      <c r="AF1094" s="43">
        <f>AD1094+AE1094</f>
        <v/>
      </c>
      <c r="AG1094" s="42">
        <f>IF(UPPER(AC1094)="Y",1,IF(AF1094=0,0,IF(AND(Z1094="",Y1094&lt;&gt;""),IF(Y1094&gt;=0.999,1,0),IF(AF1094&gt;=U1094,1,0))))</f>
        <v/>
      </c>
      <c r="AH1094" s="44">
        <f>IF(AF1094&gt;0,(AD1094-AE1094)/AF1094,"")</f>
        <v/>
      </c>
      <c r="AI1094" s="45">
        <f>IF(AG1094=1,AH1094-O1094,"")</f>
        <v/>
      </c>
      <c r="AJ1094" s="44">
        <f>IF(AG1094=1,AH1094,MAX(-1,MIN(1,O1094+INDEX(Types!$H:$H,MATCH($A1094&amp;"|"&amp;$D1094,Types!$A:$A,0)))))</f>
        <v/>
      </c>
      <c r="AK1094" s="43">
        <f>IF(AG1094=1,AF1094,MAX(AQ1094*AS1094,AF1094))</f>
        <v/>
      </c>
      <c r="AL1094" s="43">
        <f>IF(AG1094=1,AD1094,AK1094*(1+AJ1094)/2)</f>
        <v/>
      </c>
      <c r="AM1094" s="43">
        <f>IF(AG1094=1,AE1094,AK1094*(1-AJ1094)/2)</f>
        <v/>
      </c>
      <c r="AN1094" s="45">
        <f>IF(AH1094="","",AH1094-T1094)</f>
        <v/>
      </c>
      <c r="AO1094" s="51">
        <f>IF(AG1094=1,1,IF(U1094&gt;0,MIN(AF1094/U1094,0.99),0))</f>
        <v/>
      </c>
      <c r="AP1094" s="43">
        <f>IF(AG1094=1,AI1094*AF1094,0)</f>
        <v/>
      </c>
      <c r="AQ1094" s="43">
        <f>N1094*(F1094+G1094)/H1094</f>
        <v/>
      </c>
      <c r="AR1094" s="43">
        <f>O1094*AQ1094</f>
        <v/>
      </c>
      <c r="AS1094" s="52">
        <f>IF(AG1094=1,IF(AQ1094&gt;0,AF1094/AQ1094,1),IFERROR(INDEX(Types!$K:$K,MATCH($A1094&amp;"|"&amp;$D1094,Types!$A:$A,0)),INDEX(Dashboard!$X$6:$X$22,MATCH($A1094,Dashboard!$A$6:$A$22,0))))</f>
        <v/>
      </c>
      <c r="AT1094" s="43">
        <f>AQ1094*INDEX(Dashboard!$Y$6:$Y$22,MATCH($A1094,Dashboard!$A$6:$A$22,0))</f>
        <v/>
      </c>
      <c r="AU1094" s="53">
        <f>IF(AND(AG1094=1,AT1094&gt;0,AF1094&gt;0),100*AF1094/AT1094,"")</f>
        <v/>
      </c>
      <c r="AV1094" s="44">
        <f>IF(AU1094="","",T1094/(AU1094/100))</f>
        <v/>
      </c>
      <c r="AW1094" s="53">
        <f>IF(AU1094="","",IF(AND(ABS(AH1094)&gt;=0.1,ABS(T1094)&gt;=0.05,SIGN(AH1094)=SIGN(T1094)),100*T1094/AH1094,""))</f>
        <v/>
      </c>
      <c r="AX1094" s="45">
        <f>IF(AU1094="","",T1094-AV1094)</f>
        <v/>
      </c>
      <c r="AY1094" s="45">
        <f>IF(AU1094="","",AH1094-AV1094)</f>
        <v/>
      </c>
      <c r="AZ1094" s="54">
        <f>(AL1094-AM1094)-T1094*AT1094</f>
        <v/>
      </c>
      <c r="BA1094" s="43">
        <f>IF(AU1094="",0,(AH1094-T1094)*AF1094)</f>
        <v/>
      </c>
      <c r="BB1094" s="43">
        <f>IF(AU1094="",0,T1094*(AF1094-AT1094))</f>
        <v/>
      </c>
      <c r="BC1094" s="51" t="n">
        <v>0.05733894177551472</v>
      </c>
      <c r="BD1094" s="51" t="n">
        <v>0.5344255036528669</v>
      </c>
      <c r="BE1094" s="51" t="n">
        <v>0.1061899679829242</v>
      </c>
      <c r="BF1094" s="43" t="n">
        <v>4517</v>
      </c>
    </row>
    <row r="1095">
      <c r="A1095" s="42" t="inlineStr">
        <is>
          <t>TX</t>
        </is>
      </c>
      <c r="B1095" s="42" t="inlineStr">
        <is>
          <t>48171</t>
        </is>
      </c>
      <c r="C1095" s="42" t="inlineStr">
        <is>
          <t>Gillespie</t>
        </is>
      </c>
      <c r="D1095" s="42" t="inlineStr">
        <is>
          <t>Small town &amp; rural</t>
        </is>
      </c>
      <c r="E1095" s="42" t="inlineStr"/>
      <c r="F1095" s="43" t="n">
        <v>3160</v>
      </c>
      <c r="G1095" s="43" t="n">
        <v>13202</v>
      </c>
      <c r="H1095" s="43" t="n">
        <v>16482</v>
      </c>
      <c r="I1095" s="43" t="n">
        <v>3176</v>
      </c>
      <c r="J1095" s="43" t="n">
        <v>12514</v>
      </c>
      <c r="K1095" s="42" t="inlineStr">
        <is>
          <t>Governor</t>
        </is>
      </c>
      <c r="L1095" s="43" t="n">
        <v>2421</v>
      </c>
      <c r="M1095" s="43" t="n">
        <v>10801</v>
      </c>
      <c r="N1095" s="43" t="n">
        <v>13389</v>
      </c>
      <c r="O1095" s="44">
        <f>IFERROR((F1095-G1095)/(F1095+G1095),"")</f>
        <v/>
      </c>
      <c r="P1095" s="44">
        <f>IFERROR((I1095-J1095)/(I1095+J1095),"")</f>
        <v/>
      </c>
      <c r="Q1095" s="45">
        <f>IFERROR(O1095-P1095,"")</f>
        <v/>
      </c>
      <c r="R1095" s="44">
        <f>IFERROR((L1095-M1095)/(L1095+M1095),"")</f>
        <v/>
      </c>
      <c r="S1095" s="46">
        <f>H1095/SUMIFS(Counties!$H$2:$H$1583,Counties!$A$2:$A$1583,$A1095)</f>
        <v/>
      </c>
      <c r="T1095" s="44">
        <f>O1095+INDEX(Dashboard!$F$6:$F$22,MATCH($A1095,Dashboard!$A$6:$A$22,0))</f>
        <v/>
      </c>
      <c r="U1095" s="43">
        <f>AQ1095*INDEX(Dashboard!$G$6:$G$22,MATCH($A1095,Dashboard!$A$6:$A$22,0))</f>
        <v/>
      </c>
      <c r="V1095" s="47" t="n"/>
      <c r="W1095" s="47" t="n"/>
      <c r="X1095" s="47" t="n"/>
      <c r="Y1095" s="48" t="n"/>
      <c r="Z1095" s="49" t="n"/>
      <c r="AA1095" s="49" t="n"/>
      <c r="AB1095" s="49" t="n"/>
      <c r="AC1095" s="50" t="n"/>
      <c r="AD1095" s="43">
        <f>IF(Z1095&lt;&gt;"",Z1095,N(V1095))</f>
        <v/>
      </c>
      <c r="AE1095" s="43">
        <f>IF(AA1095&lt;&gt;"",AA1095,N(W1095))</f>
        <v/>
      </c>
      <c r="AF1095" s="43">
        <f>AD1095+AE1095</f>
        <v/>
      </c>
      <c r="AG1095" s="42">
        <f>IF(UPPER(AC1095)="Y",1,IF(AF1095=0,0,IF(AND(Z1095="",Y1095&lt;&gt;""),IF(Y1095&gt;=0.999,1,0),IF(AF1095&gt;=U1095,1,0))))</f>
        <v/>
      </c>
      <c r="AH1095" s="44">
        <f>IF(AF1095&gt;0,(AD1095-AE1095)/AF1095,"")</f>
        <v/>
      </c>
      <c r="AI1095" s="45">
        <f>IF(AG1095=1,AH1095-O1095,"")</f>
        <v/>
      </c>
      <c r="AJ1095" s="44">
        <f>IF(AG1095=1,AH1095,MAX(-1,MIN(1,O1095+INDEX(Types!$H:$H,MATCH($A1095&amp;"|"&amp;$D1095,Types!$A:$A,0)))))</f>
        <v/>
      </c>
      <c r="AK1095" s="43">
        <f>IF(AG1095=1,AF1095,MAX(AQ1095*AS1095,AF1095))</f>
        <v/>
      </c>
      <c r="AL1095" s="43">
        <f>IF(AG1095=1,AD1095,AK1095*(1+AJ1095)/2)</f>
        <v/>
      </c>
      <c r="AM1095" s="43">
        <f>IF(AG1095=1,AE1095,AK1095*(1-AJ1095)/2)</f>
        <v/>
      </c>
      <c r="AN1095" s="45">
        <f>IF(AH1095="","",AH1095-T1095)</f>
        <v/>
      </c>
      <c r="AO1095" s="51">
        <f>IF(AG1095=1,1,IF(U1095&gt;0,MIN(AF1095/U1095,0.99),0))</f>
        <v/>
      </c>
      <c r="AP1095" s="43">
        <f>IF(AG1095=1,AI1095*AF1095,0)</f>
        <v/>
      </c>
      <c r="AQ1095" s="43">
        <f>N1095*(F1095+G1095)/H1095</f>
        <v/>
      </c>
      <c r="AR1095" s="43">
        <f>O1095*AQ1095</f>
        <v/>
      </c>
      <c r="AS1095" s="52">
        <f>IF(AG1095=1,IF(AQ1095&gt;0,AF1095/AQ1095,1),IFERROR(INDEX(Types!$K:$K,MATCH($A1095&amp;"|"&amp;$D1095,Types!$A:$A,0)),INDEX(Dashboard!$X$6:$X$22,MATCH($A1095,Dashboard!$A$6:$A$22,0))))</f>
        <v/>
      </c>
      <c r="AT1095" s="43">
        <f>AQ1095*INDEX(Dashboard!$Y$6:$Y$22,MATCH($A1095,Dashboard!$A$6:$A$22,0))</f>
        <v/>
      </c>
      <c r="AU1095" s="53">
        <f>IF(AND(AG1095=1,AT1095&gt;0,AF1095&gt;0),100*AF1095/AT1095,"")</f>
        <v/>
      </c>
      <c r="AV1095" s="44">
        <f>IF(AU1095="","",T1095/(AU1095/100))</f>
        <v/>
      </c>
      <c r="AW1095" s="53">
        <f>IF(AU1095="","",IF(AND(ABS(AH1095)&gt;=0.1,ABS(T1095)&gt;=0.05,SIGN(AH1095)=SIGN(T1095)),100*T1095/AH1095,""))</f>
        <v/>
      </c>
      <c r="AX1095" s="45">
        <f>IF(AU1095="","",T1095-AV1095)</f>
        <v/>
      </c>
      <c r="AY1095" s="45">
        <f>IF(AU1095="","",AH1095-AV1095)</f>
        <v/>
      </c>
      <c r="AZ1095" s="54">
        <f>(AL1095-AM1095)-T1095*AT1095</f>
        <v/>
      </c>
      <c r="BA1095" s="43">
        <f>IF(AU1095="",0,(AH1095-T1095)*AF1095)</f>
        <v/>
      </c>
      <c r="BB1095" s="43">
        <f>IF(AU1095="",0,T1095*(AF1095-AT1095))</f>
        <v/>
      </c>
      <c r="BC1095" s="51" t="n">
        <v>0.006129881368766452</v>
      </c>
      <c r="BD1095" s="51" t="n">
        <v>0.2331518407673169</v>
      </c>
      <c r="BE1095" s="51" t="n">
        <v>0.3533549783549784</v>
      </c>
      <c r="BF1095" s="43" t="n">
        <v>27733</v>
      </c>
    </row>
    <row r="1096">
      <c r="A1096" s="42" t="inlineStr">
        <is>
          <t>TX</t>
        </is>
      </c>
      <c r="B1096" s="42" t="inlineStr">
        <is>
          <t>48173</t>
        </is>
      </c>
      <c r="C1096" s="42" t="inlineStr">
        <is>
          <t>Glasscock</t>
        </is>
      </c>
      <c r="D1096" s="42" t="inlineStr">
        <is>
          <t>Small town &amp; rural</t>
        </is>
      </c>
      <c r="E1096" s="42" t="inlineStr"/>
      <c r="F1096" s="43" t="n">
        <v>38</v>
      </c>
      <c r="G1096" s="43" t="n">
        <v>623</v>
      </c>
      <c r="H1096" s="43" t="n">
        <v>663</v>
      </c>
      <c r="I1096" s="43" t="n">
        <v>39</v>
      </c>
      <c r="J1096" s="43" t="n">
        <v>611</v>
      </c>
      <c r="K1096" s="42" t="inlineStr">
        <is>
          <t>Governor</t>
        </is>
      </c>
      <c r="L1096" s="43" t="n">
        <v>27</v>
      </c>
      <c r="M1096" s="43" t="n">
        <v>542</v>
      </c>
      <c r="N1096" s="43" t="n">
        <v>572</v>
      </c>
      <c r="O1096" s="44">
        <f>IFERROR((F1096-G1096)/(F1096+G1096),"")</f>
        <v/>
      </c>
      <c r="P1096" s="44">
        <f>IFERROR((I1096-J1096)/(I1096+J1096),"")</f>
        <v/>
      </c>
      <c r="Q1096" s="45">
        <f>IFERROR(O1096-P1096,"")</f>
        <v/>
      </c>
      <c r="R1096" s="44">
        <f>IFERROR((L1096-M1096)/(L1096+M1096),"")</f>
        <v/>
      </c>
      <c r="S1096" s="46">
        <f>H1096/SUMIFS(Counties!$H$2:$H$1583,Counties!$A$2:$A$1583,$A1096)</f>
        <v/>
      </c>
      <c r="T1096" s="44">
        <f>O1096+INDEX(Dashboard!$F$6:$F$22,MATCH($A1096,Dashboard!$A$6:$A$22,0))</f>
        <v/>
      </c>
      <c r="U1096" s="43">
        <f>AQ1096*INDEX(Dashboard!$G$6:$G$22,MATCH($A1096,Dashboard!$A$6:$A$22,0))</f>
        <v/>
      </c>
      <c r="V1096" s="47" t="n"/>
      <c r="W1096" s="47" t="n"/>
      <c r="X1096" s="47" t="n"/>
      <c r="Y1096" s="48" t="n"/>
      <c r="Z1096" s="49" t="n"/>
      <c r="AA1096" s="49" t="n"/>
      <c r="AB1096" s="49" t="n"/>
      <c r="AC1096" s="50" t="n"/>
      <c r="AD1096" s="43">
        <f>IF(Z1096&lt;&gt;"",Z1096,N(V1096))</f>
        <v/>
      </c>
      <c r="AE1096" s="43">
        <f>IF(AA1096&lt;&gt;"",AA1096,N(W1096))</f>
        <v/>
      </c>
      <c r="AF1096" s="43">
        <f>AD1096+AE1096</f>
        <v/>
      </c>
      <c r="AG1096" s="42">
        <f>IF(UPPER(AC1096)="Y",1,IF(AF1096=0,0,IF(AND(Z1096="",Y1096&lt;&gt;""),IF(Y1096&gt;=0.999,1,0),IF(AF1096&gt;=U1096,1,0))))</f>
        <v/>
      </c>
      <c r="AH1096" s="44">
        <f>IF(AF1096&gt;0,(AD1096-AE1096)/AF1096,"")</f>
        <v/>
      </c>
      <c r="AI1096" s="45">
        <f>IF(AG1096=1,AH1096-O1096,"")</f>
        <v/>
      </c>
      <c r="AJ1096" s="44">
        <f>IF(AG1096=1,AH1096,MAX(-1,MIN(1,O1096+INDEX(Types!$H:$H,MATCH($A1096&amp;"|"&amp;$D1096,Types!$A:$A,0)))))</f>
        <v/>
      </c>
      <c r="AK1096" s="43">
        <f>IF(AG1096=1,AF1096,MAX(AQ1096*AS1096,AF1096))</f>
        <v/>
      </c>
      <c r="AL1096" s="43">
        <f>IF(AG1096=1,AD1096,AK1096*(1+AJ1096)/2)</f>
        <v/>
      </c>
      <c r="AM1096" s="43">
        <f>IF(AG1096=1,AE1096,AK1096*(1-AJ1096)/2)</f>
        <v/>
      </c>
      <c r="AN1096" s="45">
        <f>IF(AH1096="","",AH1096-T1096)</f>
        <v/>
      </c>
      <c r="AO1096" s="51">
        <f>IF(AG1096=1,1,IF(U1096&gt;0,MIN(AF1096/U1096,0.99),0))</f>
        <v/>
      </c>
      <c r="AP1096" s="43">
        <f>IF(AG1096=1,AI1096*AF1096,0)</f>
        <v/>
      </c>
      <c r="AQ1096" s="43">
        <f>N1096*(F1096+G1096)/H1096</f>
        <v/>
      </c>
      <c r="AR1096" s="43">
        <f>O1096*AQ1096</f>
        <v/>
      </c>
      <c r="AS1096" s="52">
        <f>IF(AG1096=1,IF(AQ1096&gt;0,AF1096/AQ1096,1),IFERROR(INDEX(Types!$K:$K,MATCH($A1096&amp;"|"&amp;$D1096,Types!$A:$A,0)),INDEX(Dashboard!$X$6:$X$22,MATCH($A1096,Dashboard!$A$6:$A$22,0))))</f>
        <v/>
      </c>
      <c r="AT1096" s="43">
        <f>AQ1096*INDEX(Dashboard!$Y$6:$Y$22,MATCH($A1096,Dashboard!$A$6:$A$22,0))</f>
        <v/>
      </c>
      <c r="AU1096" s="53">
        <f>IF(AND(AG1096=1,AT1096&gt;0,AF1096&gt;0),100*AF1096/AT1096,"")</f>
        <v/>
      </c>
      <c r="AV1096" s="44">
        <f>IF(AU1096="","",T1096/(AU1096/100))</f>
        <v/>
      </c>
      <c r="AW1096" s="53">
        <f>IF(AU1096="","",IF(AND(ABS(AH1096)&gt;=0.1,ABS(T1096)&gt;=0.05,SIGN(AH1096)=SIGN(T1096)),100*T1096/AH1096,""))</f>
        <v/>
      </c>
      <c r="AX1096" s="45">
        <f>IF(AU1096="","",T1096-AV1096)</f>
        <v/>
      </c>
      <c r="AY1096" s="45">
        <f>IF(AU1096="","",AH1096-AV1096)</f>
        <v/>
      </c>
      <c r="AZ1096" s="54">
        <f>(AL1096-AM1096)-T1096*AT1096</f>
        <v/>
      </c>
      <c r="BA1096" s="43">
        <f>IF(AU1096="",0,(AH1096-T1096)*AF1096)</f>
        <v/>
      </c>
      <c r="BB1096" s="43">
        <f>IF(AU1096="",0,T1096*(AF1096-AT1096))</f>
        <v/>
      </c>
      <c r="BC1096" s="51" t="n">
        <v>0.02629272567922875</v>
      </c>
      <c r="BD1096" s="51" t="n">
        <v>0.343558282208589</v>
      </c>
      <c r="BE1096" s="51" t="n">
        <v>0.3987179487179487</v>
      </c>
      <c r="BF1096" s="43" t="n">
        <v>1141</v>
      </c>
    </row>
    <row r="1097">
      <c r="A1097" s="42" t="inlineStr">
        <is>
          <t>TX</t>
        </is>
      </c>
      <c r="B1097" s="42" t="inlineStr">
        <is>
          <t>48175</t>
        </is>
      </c>
      <c r="C1097" s="42" t="inlineStr">
        <is>
          <t>Goliad</t>
        </is>
      </c>
      <c r="D1097" s="42" t="inlineStr">
        <is>
          <t>Small town &amp; rural</t>
        </is>
      </c>
      <c r="E1097" s="42" t="inlineStr"/>
      <c r="F1097" s="43" t="n">
        <v>778</v>
      </c>
      <c r="G1097" s="43" t="n">
        <v>3178</v>
      </c>
      <c r="H1097" s="43" t="n">
        <v>3984</v>
      </c>
      <c r="I1097" s="43" t="n">
        <v>877</v>
      </c>
      <c r="J1097" s="43" t="n">
        <v>3085</v>
      </c>
      <c r="K1097" s="42" t="inlineStr">
        <is>
          <t>Governor</t>
        </is>
      </c>
      <c r="L1097" s="43" t="n">
        <v>663</v>
      </c>
      <c r="M1097" s="43" t="n">
        <v>2664</v>
      </c>
      <c r="N1097" s="43" t="n">
        <v>3370</v>
      </c>
      <c r="O1097" s="44">
        <f>IFERROR((F1097-G1097)/(F1097+G1097),"")</f>
        <v/>
      </c>
      <c r="P1097" s="44">
        <f>IFERROR((I1097-J1097)/(I1097+J1097),"")</f>
        <v/>
      </c>
      <c r="Q1097" s="45">
        <f>IFERROR(O1097-P1097,"")</f>
        <v/>
      </c>
      <c r="R1097" s="44">
        <f>IFERROR((L1097-M1097)/(L1097+M1097),"")</f>
        <v/>
      </c>
      <c r="S1097" s="46">
        <f>H1097/SUMIFS(Counties!$H$2:$H$1583,Counties!$A$2:$A$1583,$A1097)</f>
        <v/>
      </c>
      <c r="T1097" s="44">
        <f>O1097+INDEX(Dashboard!$F$6:$F$22,MATCH($A1097,Dashboard!$A$6:$A$22,0))</f>
        <v/>
      </c>
      <c r="U1097" s="43">
        <f>AQ1097*INDEX(Dashboard!$G$6:$G$22,MATCH($A1097,Dashboard!$A$6:$A$22,0))</f>
        <v/>
      </c>
      <c r="V1097" s="47" t="n"/>
      <c r="W1097" s="47" t="n"/>
      <c r="X1097" s="47" t="n"/>
      <c r="Y1097" s="48" t="n"/>
      <c r="Z1097" s="49" t="n"/>
      <c r="AA1097" s="49" t="n"/>
      <c r="AB1097" s="49" t="n"/>
      <c r="AC1097" s="50" t="n"/>
      <c r="AD1097" s="43">
        <f>IF(Z1097&lt;&gt;"",Z1097,N(V1097))</f>
        <v/>
      </c>
      <c r="AE1097" s="43">
        <f>IF(AA1097&lt;&gt;"",AA1097,N(W1097))</f>
        <v/>
      </c>
      <c r="AF1097" s="43">
        <f>AD1097+AE1097</f>
        <v/>
      </c>
      <c r="AG1097" s="42">
        <f>IF(UPPER(AC1097)="Y",1,IF(AF1097=0,0,IF(AND(Z1097="",Y1097&lt;&gt;""),IF(Y1097&gt;=0.999,1,0),IF(AF1097&gt;=U1097,1,0))))</f>
        <v/>
      </c>
      <c r="AH1097" s="44">
        <f>IF(AF1097&gt;0,(AD1097-AE1097)/AF1097,"")</f>
        <v/>
      </c>
      <c r="AI1097" s="45">
        <f>IF(AG1097=1,AH1097-O1097,"")</f>
        <v/>
      </c>
      <c r="AJ1097" s="44">
        <f>IF(AG1097=1,AH1097,MAX(-1,MIN(1,O1097+INDEX(Types!$H:$H,MATCH($A1097&amp;"|"&amp;$D1097,Types!$A:$A,0)))))</f>
        <v/>
      </c>
      <c r="AK1097" s="43">
        <f>IF(AG1097=1,AF1097,MAX(AQ1097*AS1097,AF1097))</f>
        <v/>
      </c>
      <c r="AL1097" s="43">
        <f>IF(AG1097=1,AD1097,AK1097*(1+AJ1097)/2)</f>
        <v/>
      </c>
      <c r="AM1097" s="43">
        <f>IF(AG1097=1,AE1097,AK1097*(1-AJ1097)/2)</f>
        <v/>
      </c>
      <c r="AN1097" s="45">
        <f>IF(AH1097="","",AH1097-T1097)</f>
        <v/>
      </c>
      <c r="AO1097" s="51">
        <f>IF(AG1097=1,1,IF(U1097&gt;0,MIN(AF1097/U1097,0.99),0))</f>
        <v/>
      </c>
      <c r="AP1097" s="43">
        <f>IF(AG1097=1,AI1097*AF1097,0)</f>
        <v/>
      </c>
      <c r="AQ1097" s="43">
        <f>N1097*(F1097+G1097)/H1097</f>
        <v/>
      </c>
      <c r="AR1097" s="43">
        <f>O1097*AQ1097</f>
        <v/>
      </c>
      <c r="AS1097" s="52">
        <f>IF(AG1097=1,IF(AQ1097&gt;0,AF1097/AQ1097,1),IFERROR(INDEX(Types!$K:$K,MATCH($A1097&amp;"|"&amp;$D1097,Types!$A:$A,0)),INDEX(Dashboard!$X$6:$X$22,MATCH($A1097,Dashboard!$A$6:$A$22,0))))</f>
        <v/>
      </c>
      <c r="AT1097" s="43">
        <f>AQ1097*INDEX(Dashboard!$Y$6:$Y$22,MATCH($A1097,Dashboard!$A$6:$A$22,0))</f>
        <v/>
      </c>
      <c r="AU1097" s="53">
        <f>IF(AND(AG1097=1,AT1097&gt;0,AF1097&gt;0),100*AF1097/AT1097,"")</f>
        <v/>
      </c>
      <c r="AV1097" s="44">
        <f>IF(AU1097="","",T1097/(AU1097/100))</f>
        <v/>
      </c>
      <c r="AW1097" s="53">
        <f>IF(AU1097="","",IF(AND(ABS(AH1097)&gt;=0.1,ABS(T1097)&gt;=0.05,SIGN(AH1097)=SIGN(T1097)),100*T1097/AH1097,""))</f>
        <v/>
      </c>
      <c r="AX1097" s="45">
        <f>IF(AU1097="","",T1097-AV1097)</f>
        <v/>
      </c>
      <c r="AY1097" s="45">
        <f>IF(AU1097="","",AH1097-AV1097)</f>
        <v/>
      </c>
      <c r="AZ1097" s="54">
        <f>(AL1097-AM1097)-T1097*AT1097</f>
        <v/>
      </c>
      <c r="BA1097" s="43">
        <f>IF(AU1097="",0,(AH1097-T1097)*AF1097)</f>
        <v/>
      </c>
      <c r="BB1097" s="43">
        <f>IF(AU1097="",0,T1097*(AF1097-AT1097))</f>
        <v/>
      </c>
      <c r="BC1097" s="51" t="n">
        <v>0.04059350503919373</v>
      </c>
      <c r="BD1097" s="51" t="n">
        <v>0.3149496080627099</v>
      </c>
      <c r="BE1097" s="51" t="n">
        <v>0.1898076923076923</v>
      </c>
      <c r="BF1097" s="43" t="n">
        <v>7144</v>
      </c>
    </row>
    <row r="1098">
      <c r="A1098" s="42" t="inlineStr">
        <is>
          <t>TX</t>
        </is>
      </c>
      <c r="B1098" s="42" t="inlineStr">
        <is>
          <t>48177</t>
        </is>
      </c>
      <c r="C1098" s="42" t="inlineStr">
        <is>
          <t>Gonzales</t>
        </is>
      </c>
      <c r="D1098" s="42" t="inlineStr">
        <is>
          <t>Hispanic</t>
        </is>
      </c>
      <c r="E1098" s="42" t="inlineStr"/>
      <c r="F1098" s="43" t="n">
        <v>1729</v>
      </c>
      <c r="G1098" s="43" t="n">
        <v>5981</v>
      </c>
      <c r="H1098" s="43" t="n">
        <v>7755</v>
      </c>
      <c r="I1098" s="43" t="n">
        <v>1948</v>
      </c>
      <c r="J1098" s="43" t="n">
        <v>5627</v>
      </c>
      <c r="K1098" s="42" t="inlineStr">
        <is>
          <t>Governor</t>
        </is>
      </c>
      <c r="L1098" s="43" t="n">
        <v>1129</v>
      </c>
      <c r="M1098" s="43" t="n">
        <v>4369</v>
      </c>
      <c r="N1098" s="43" t="n">
        <v>5566</v>
      </c>
      <c r="O1098" s="44">
        <f>IFERROR((F1098-G1098)/(F1098+G1098),"")</f>
        <v/>
      </c>
      <c r="P1098" s="44">
        <f>IFERROR((I1098-J1098)/(I1098+J1098),"")</f>
        <v/>
      </c>
      <c r="Q1098" s="45">
        <f>IFERROR(O1098-P1098,"")</f>
        <v/>
      </c>
      <c r="R1098" s="44">
        <f>IFERROR((L1098-M1098)/(L1098+M1098),"")</f>
        <v/>
      </c>
      <c r="S1098" s="46">
        <f>H1098/SUMIFS(Counties!$H$2:$H$1583,Counties!$A$2:$A$1583,$A1098)</f>
        <v/>
      </c>
      <c r="T1098" s="44">
        <f>O1098+INDEX(Dashboard!$F$6:$F$22,MATCH($A1098,Dashboard!$A$6:$A$22,0))</f>
        <v/>
      </c>
      <c r="U1098" s="43">
        <f>AQ1098*INDEX(Dashboard!$G$6:$G$22,MATCH($A1098,Dashboard!$A$6:$A$22,0))</f>
        <v/>
      </c>
      <c r="V1098" s="47" t="n"/>
      <c r="W1098" s="47" t="n"/>
      <c r="X1098" s="47" t="n"/>
      <c r="Y1098" s="48" t="n"/>
      <c r="Z1098" s="49" t="n"/>
      <c r="AA1098" s="49" t="n"/>
      <c r="AB1098" s="49" t="n"/>
      <c r="AC1098" s="50" t="n"/>
      <c r="AD1098" s="43">
        <f>IF(Z1098&lt;&gt;"",Z1098,N(V1098))</f>
        <v/>
      </c>
      <c r="AE1098" s="43">
        <f>IF(AA1098&lt;&gt;"",AA1098,N(W1098))</f>
        <v/>
      </c>
      <c r="AF1098" s="43">
        <f>AD1098+AE1098</f>
        <v/>
      </c>
      <c r="AG1098" s="42">
        <f>IF(UPPER(AC1098)="Y",1,IF(AF1098=0,0,IF(AND(Z1098="",Y1098&lt;&gt;""),IF(Y1098&gt;=0.999,1,0),IF(AF1098&gt;=U1098,1,0))))</f>
        <v/>
      </c>
      <c r="AH1098" s="44">
        <f>IF(AF1098&gt;0,(AD1098-AE1098)/AF1098,"")</f>
        <v/>
      </c>
      <c r="AI1098" s="45">
        <f>IF(AG1098=1,AH1098-O1098,"")</f>
        <v/>
      </c>
      <c r="AJ1098" s="44">
        <f>IF(AG1098=1,AH1098,MAX(-1,MIN(1,O1098+INDEX(Types!$H:$H,MATCH($A1098&amp;"|"&amp;$D1098,Types!$A:$A,0)))))</f>
        <v/>
      </c>
      <c r="AK1098" s="43">
        <f>IF(AG1098=1,AF1098,MAX(AQ1098*AS1098,AF1098))</f>
        <v/>
      </c>
      <c r="AL1098" s="43">
        <f>IF(AG1098=1,AD1098,AK1098*(1+AJ1098)/2)</f>
        <v/>
      </c>
      <c r="AM1098" s="43">
        <f>IF(AG1098=1,AE1098,AK1098*(1-AJ1098)/2)</f>
        <v/>
      </c>
      <c r="AN1098" s="45">
        <f>IF(AH1098="","",AH1098-T1098)</f>
        <v/>
      </c>
      <c r="AO1098" s="51">
        <f>IF(AG1098=1,1,IF(U1098&gt;0,MIN(AF1098/U1098,0.99),0))</f>
        <v/>
      </c>
      <c r="AP1098" s="43">
        <f>IF(AG1098=1,AI1098*AF1098,0)</f>
        <v/>
      </c>
      <c r="AQ1098" s="43">
        <f>N1098*(F1098+G1098)/H1098</f>
        <v/>
      </c>
      <c r="AR1098" s="43">
        <f>O1098*AQ1098</f>
        <v/>
      </c>
      <c r="AS1098" s="52">
        <f>IF(AG1098=1,IF(AQ1098&gt;0,AF1098/AQ1098,1),IFERROR(INDEX(Types!$K:$K,MATCH($A1098&amp;"|"&amp;$D1098,Types!$A:$A,0)),INDEX(Dashboard!$X$6:$X$22,MATCH($A1098,Dashboard!$A$6:$A$22,0))))</f>
        <v/>
      </c>
      <c r="AT1098" s="43">
        <f>AQ1098*INDEX(Dashboard!$Y$6:$Y$22,MATCH($A1098,Dashboard!$A$6:$A$22,0))</f>
        <v/>
      </c>
      <c r="AU1098" s="53">
        <f>IF(AND(AG1098=1,AT1098&gt;0,AF1098&gt;0),100*AF1098/AT1098,"")</f>
        <v/>
      </c>
      <c r="AV1098" s="44">
        <f>IF(AU1098="","",T1098/(AU1098/100))</f>
        <v/>
      </c>
      <c r="AW1098" s="53">
        <f>IF(AU1098="","",IF(AND(ABS(AH1098)&gt;=0.1,ABS(T1098)&gt;=0.05,SIGN(AH1098)=SIGN(T1098)),100*T1098/AH1098,""))</f>
        <v/>
      </c>
      <c r="AX1098" s="45">
        <f>IF(AU1098="","",T1098-AV1098)</f>
        <v/>
      </c>
      <c r="AY1098" s="45">
        <f>IF(AU1098="","",AH1098-AV1098)</f>
        <v/>
      </c>
      <c r="AZ1098" s="54">
        <f>(AL1098-AM1098)-T1098*AT1098</f>
        <v/>
      </c>
      <c r="BA1098" s="43">
        <f>IF(AU1098="",0,(AH1098-T1098)*AF1098)</f>
        <v/>
      </c>
      <c r="BB1098" s="43">
        <f>IF(AU1098="",0,T1098*(AF1098-AT1098))</f>
        <v/>
      </c>
      <c r="BC1098" s="51" t="n">
        <v>0.05725037631710989</v>
      </c>
      <c r="BD1098" s="51" t="n">
        <v>0.5116407425990969</v>
      </c>
      <c r="BE1098" s="51" t="n">
        <v>0.1264226391879422</v>
      </c>
      <c r="BF1098" s="43" t="n">
        <v>19930</v>
      </c>
    </row>
    <row r="1099">
      <c r="A1099" s="42" t="inlineStr">
        <is>
          <t>TX</t>
        </is>
      </c>
      <c r="B1099" s="42" t="inlineStr">
        <is>
          <t>48179</t>
        </is>
      </c>
      <c r="C1099" s="42" t="inlineStr">
        <is>
          <t>Gray</t>
        </is>
      </c>
      <c r="D1099" s="42" t="inlineStr">
        <is>
          <t>Small town &amp; rural</t>
        </is>
      </c>
      <c r="E1099" s="42" t="inlineStr"/>
      <c r="F1099" s="43" t="n">
        <v>845</v>
      </c>
      <c r="G1099" s="43" t="n">
        <v>6691</v>
      </c>
      <c r="H1099" s="43" t="n">
        <v>7580</v>
      </c>
      <c r="I1099" s="43" t="n">
        <v>829</v>
      </c>
      <c r="J1099" s="43" t="n">
        <v>6840</v>
      </c>
      <c r="K1099" s="42" t="inlineStr">
        <is>
          <t>Governor</t>
        </is>
      </c>
      <c r="L1099" s="43" t="n">
        <v>478</v>
      </c>
      <c r="M1099" s="43" t="n">
        <v>5013</v>
      </c>
      <c r="N1099" s="43" t="n">
        <v>5559</v>
      </c>
      <c r="O1099" s="44">
        <f>IFERROR((F1099-G1099)/(F1099+G1099),"")</f>
        <v/>
      </c>
      <c r="P1099" s="44">
        <f>IFERROR((I1099-J1099)/(I1099+J1099),"")</f>
        <v/>
      </c>
      <c r="Q1099" s="45">
        <f>IFERROR(O1099-P1099,"")</f>
        <v/>
      </c>
      <c r="R1099" s="44">
        <f>IFERROR((L1099-M1099)/(L1099+M1099),"")</f>
        <v/>
      </c>
      <c r="S1099" s="46">
        <f>H1099/SUMIFS(Counties!$H$2:$H$1583,Counties!$A$2:$A$1583,$A1099)</f>
        <v/>
      </c>
      <c r="T1099" s="44">
        <f>O1099+INDEX(Dashboard!$F$6:$F$22,MATCH($A1099,Dashboard!$A$6:$A$22,0))</f>
        <v/>
      </c>
      <c r="U1099" s="43">
        <f>AQ1099*INDEX(Dashboard!$G$6:$G$22,MATCH($A1099,Dashboard!$A$6:$A$22,0))</f>
        <v/>
      </c>
      <c r="V1099" s="47" t="n"/>
      <c r="W1099" s="47" t="n"/>
      <c r="X1099" s="47" t="n"/>
      <c r="Y1099" s="48" t="n"/>
      <c r="Z1099" s="49" t="n"/>
      <c r="AA1099" s="49" t="n"/>
      <c r="AB1099" s="49" t="n"/>
      <c r="AC1099" s="50" t="n"/>
      <c r="AD1099" s="43">
        <f>IF(Z1099&lt;&gt;"",Z1099,N(V1099))</f>
        <v/>
      </c>
      <c r="AE1099" s="43">
        <f>IF(AA1099&lt;&gt;"",AA1099,N(W1099))</f>
        <v/>
      </c>
      <c r="AF1099" s="43">
        <f>AD1099+AE1099</f>
        <v/>
      </c>
      <c r="AG1099" s="42">
        <f>IF(UPPER(AC1099)="Y",1,IF(AF1099=0,0,IF(AND(Z1099="",Y1099&lt;&gt;""),IF(Y1099&gt;=0.999,1,0),IF(AF1099&gt;=U1099,1,0))))</f>
        <v/>
      </c>
      <c r="AH1099" s="44">
        <f>IF(AF1099&gt;0,(AD1099-AE1099)/AF1099,"")</f>
        <v/>
      </c>
      <c r="AI1099" s="45">
        <f>IF(AG1099=1,AH1099-O1099,"")</f>
        <v/>
      </c>
      <c r="AJ1099" s="44">
        <f>IF(AG1099=1,AH1099,MAX(-1,MIN(1,O1099+INDEX(Types!$H:$H,MATCH($A1099&amp;"|"&amp;$D1099,Types!$A:$A,0)))))</f>
        <v/>
      </c>
      <c r="AK1099" s="43">
        <f>IF(AG1099=1,AF1099,MAX(AQ1099*AS1099,AF1099))</f>
        <v/>
      </c>
      <c r="AL1099" s="43">
        <f>IF(AG1099=1,AD1099,AK1099*(1+AJ1099)/2)</f>
        <v/>
      </c>
      <c r="AM1099" s="43">
        <f>IF(AG1099=1,AE1099,AK1099*(1-AJ1099)/2)</f>
        <v/>
      </c>
      <c r="AN1099" s="45">
        <f>IF(AH1099="","",AH1099-T1099)</f>
        <v/>
      </c>
      <c r="AO1099" s="51">
        <f>IF(AG1099=1,1,IF(U1099&gt;0,MIN(AF1099/U1099,0.99),0))</f>
        <v/>
      </c>
      <c r="AP1099" s="43">
        <f>IF(AG1099=1,AI1099*AF1099,0)</f>
        <v/>
      </c>
      <c r="AQ1099" s="43">
        <f>N1099*(F1099+G1099)/H1099</f>
        <v/>
      </c>
      <c r="AR1099" s="43">
        <f>O1099*AQ1099</f>
        <v/>
      </c>
      <c r="AS1099" s="52">
        <f>IF(AG1099=1,IF(AQ1099&gt;0,AF1099/AQ1099,1),IFERROR(INDEX(Types!$K:$K,MATCH($A1099&amp;"|"&amp;$D1099,Types!$A:$A,0)),INDEX(Dashboard!$X$6:$X$22,MATCH($A1099,Dashboard!$A$6:$A$22,0))))</f>
        <v/>
      </c>
      <c r="AT1099" s="43">
        <f>AQ1099*INDEX(Dashboard!$Y$6:$Y$22,MATCH($A1099,Dashboard!$A$6:$A$22,0))</f>
        <v/>
      </c>
      <c r="AU1099" s="53">
        <f>IF(AND(AG1099=1,AT1099&gt;0,AF1099&gt;0),100*AF1099/AT1099,"")</f>
        <v/>
      </c>
      <c r="AV1099" s="44">
        <f>IF(AU1099="","",T1099/(AU1099/100))</f>
        <v/>
      </c>
      <c r="AW1099" s="53">
        <f>IF(AU1099="","",IF(AND(ABS(AH1099)&gt;=0.1,ABS(T1099)&gt;=0.05,SIGN(AH1099)=SIGN(T1099)),100*T1099/AH1099,""))</f>
        <v/>
      </c>
      <c r="AX1099" s="45">
        <f>IF(AU1099="","",T1099-AV1099)</f>
        <v/>
      </c>
      <c r="AY1099" s="45">
        <f>IF(AU1099="","",AH1099-AV1099)</f>
        <v/>
      </c>
      <c r="AZ1099" s="54">
        <f>(AL1099-AM1099)-T1099*AT1099</f>
        <v/>
      </c>
      <c r="BA1099" s="43">
        <f>IF(AU1099="",0,(AH1099-T1099)*AF1099)</f>
        <v/>
      </c>
      <c r="BB1099" s="43">
        <f>IF(AU1099="",0,T1099*(AF1099-AT1099))</f>
        <v/>
      </c>
      <c r="BC1099" s="51" t="n">
        <v>0.04690189328743546</v>
      </c>
      <c r="BD1099" s="51" t="n">
        <v>0.3225760183591509</v>
      </c>
      <c r="BE1099" s="51" t="n">
        <v>0.1539952616842559</v>
      </c>
      <c r="BF1099" s="43" t="n">
        <v>20916</v>
      </c>
    </row>
    <row r="1100">
      <c r="A1100" s="42" t="inlineStr">
        <is>
          <t>TX</t>
        </is>
      </c>
      <c r="B1100" s="42" t="inlineStr">
        <is>
          <t>48181</t>
        </is>
      </c>
      <c r="C1100" s="42" t="inlineStr">
        <is>
          <t>Grayson</t>
        </is>
      </c>
      <c r="D1100" s="42" t="inlineStr">
        <is>
          <t>Mid-size/working metro</t>
        </is>
      </c>
      <c r="E1100" s="42" t="inlineStr"/>
      <c r="F1100" s="43" t="n">
        <v>14800</v>
      </c>
      <c r="G1100" s="43" t="n">
        <v>50556</v>
      </c>
      <c r="H1100" s="43" t="n">
        <v>65888</v>
      </c>
      <c r="I1100" s="43" t="n">
        <v>14506</v>
      </c>
      <c r="J1100" s="43" t="n">
        <v>44163</v>
      </c>
      <c r="K1100" s="42" t="inlineStr">
        <is>
          <t>Governor</t>
        </is>
      </c>
      <c r="L1100" s="43" t="n">
        <v>9581</v>
      </c>
      <c r="M1100" s="43" t="n">
        <v>34948</v>
      </c>
      <c r="N1100" s="43" t="n">
        <v>45049</v>
      </c>
      <c r="O1100" s="44">
        <f>IFERROR((F1100-G1100)/(F1100+G1100),"")</f>
        <v/>
      </c>
      <c r="P1100" s="44">
        <f>IFERROR((I1100-J1100)/(I1100+J1100),"")</f>
        <v/>
      </c>
      <c r="Q1100" s="45">
        <f>IFERROR(O1100-P1100,"")</f>
        <v/>
      </c>
      <c r="R1100" s="44">
        <f>IFERROR((L1100-M1100)/(L1100+M1100),"")</f>
        <v/>
      </c>
      <c r="S1100" s="46">
        <f>H1100/SUMIFS(Counties!$H$2:$H$1583,Counties!$A$2:$A$1583,$A1100)</f>
        <v/>
      </c>
      <c r="T1100" s="44">
        <f>O1100+INDEX(Dashboard!$F$6:$F$22,MATCH($A1100,Dashboard!$A$6:$A$22,0))</f>
        <v/>
      </c>
      <c r="U1100" s="43">
        <f>AQ1100*INDEX(Dashboard!$G$6:$G$22,MATCH($A1100,Dashboard!$A$6:$A$22,0))</f>
        <v/>
      </c>
      <c r="V1100" s="47" t="n"/>
      <c r="W1100" s="47" t="n"/>
      <c r="X1100" s="47" t="n"/>
      <c r="Y1100" s="48" t="n"/>
      <c r="Z1100" s="49" t="n"/>
      <c r="AA1100" s="49" t="n"/>
      <c r="AB1100" s="49" t="n"/>
      <c r="AC1100" s="50" t="n"/>
      <c r="AD1100" s="43">
        <f>IF(Z1100&lt;&gt;"",Z1100,N(V1100))</f>
        <v/>
      </c>
      <c r="AE1100" s="43">
        <f>IF(AA1100&lt;&gt;"",AA1100,N(W1100))</f>
        <v/>
      </c>
      <c r="AF1100" s="43">
        <f>AD1100+AE1100</f>
        <v/>
      </c>
      <c r="AG1100" s="42">
        <f>IF(UPPER(AC1100)="Y",1,IF(AF1100=0,0,IF(AND(Z1100="",Y1100&lt;&gt;""),IF(Y1100&gt;=0.999,1,0),IF(AF1100&gt;=U1100,1,0))))</f>
        <v/>
      </c>
      <c r="AH1100" s="44">
        <f>IF(AF1100&gt;0,(AD1100-AE1100)/AF1100,"")</f>
        <v/>
      </c>
      <c r="AI1100" s="45">
        <f>IF(AG1100=1,AH1100-O1100,"")</f>
        <v/>
      </c>
      <c r="AJ1100" s="44">
        <f>IF(AG1100=1,AH1100,MAX(-1,MIN(1,O1100+INDEX(Types!$H:$H,MATCH($A1100&amp;"|"&amp;$D1100,Types!$A:$A,0)))))</f>
        <v/>
      </c>
      <c r="AK1100" s="43">
        <f>IF(AG1100=1,AF1100,MAX(AQ1100*AS1100,AF1100))</f>
        <v/>
      </c>
      <c r="AL1100" s="43">
        <f>IF(AG1100=1,AD1100,AK1100*(1+AJ1100)/2)</f>
        <v/>
      </c>
      <c r="AM1100" s="43">
        <f>IF(AG1100=1,AE1100,AK1100*(1-AJ1100)/2)</f>
        <v/>
      </c>
      <c r="AN1100" s="45">
        <f>IF(AH1100="","",AH1100-T1100)</f>
        <v/>
      </c>
      <c r="AO1100" s="51">
        <f>IF(AG1100=1,1,IF(U1100&gt;0,MIN(AF1100/U1100,0.99),0))</f>
        <v/>
      </c>
      <c r="AP1100" s="43">
        <f>IF(AG1100=1,AI1100*AF1100,0)</f>
        <v/>
      </c>
      <c r="AQ1100" s="43">
        <f>N1100*(F1100+G1100)/H1100</f>
        <v/>
      </c>
      <c r="AR1100" s="43">
        <f>O1100*AQ1100</f>
        <v/>
      </c>
      <c r="AS1100" s="52">
        <f>IF(AG1100=1,IF(AQ1100&gt;0,AF1100/AQ1100,1),IFERROR(INDEX(Types!$K:$K,MATCH($A1100&amp;"|"&amp;$D1100,Types!$A:$A,0)),INDEX(Dashboard!$X$6:$X$22,MATCH($A1100,Dashboard!$A$6:$A$22,0))))</f>
        <v/>
      </c>
      <c r="AT1100" s="43">
        <f>AQ1100*INDEX(Dashboard!$Y$6:$Y$22,MATCH($A1100,Dashboard!$A$6:$A$22,0))</f>
        <v/>
      </c>
      <c r="AU1100" s="53">
        <f>IF(AND(AG1100=1,AT1100&gt;0,AF1100&gt;0),100*AF1100/AT1100,"")</f>
        <v/>
      </c>
      <c r="AV1100" s="44">
        <f>IF(AU1100="","",T1100/(AU1100/100))</f>
        <v/>
      </c>
      <c r="AW1100" s="53">
        <f>IF(AU1100="","",IF(AND(ABS(AH1100)&gt;=0.1,ABS(T1100)&gt;=0.05,SIGN(AH1100)=SIGN(T1100)),100*T1100/AH1100,""))</f>
        <v/>
      </c>
      <c r="AX1100" s="45">
        <f>IF(AU1100="","",T1100-AV1100)</f>
        <v/>
      </c>
      <c r="AY1100" s="45">
        <f>IF(AU1100="","",AH1100-AV1100)</f>
        <v/>
      </c>
      <c r="AZ1100" s="54">
        <f>(AL1100-AM1100)-T1100*AT1100</f>
        <v/>
      </c>
      <c r="BA1100" s="43">
        <f>IF(AU1100="",0,(AH1100-T1100)*AF1100)</f>
        <v/>
      </c>
      <c r="BB1100" s="43">
        <f>IF(AU1100="",0,T1100*(AF1100-AT1100))</f>
        <v/>
      </c>
      <c r="BC1100" s="51" t="n">
        <v>0.05862212147821411</v>
      </c>
      <c r="BD1100" s="51" t="n">
        <v>0.1672350534692016</v>
      </c>
      <c r="BE1100" s="51" t="n">
        <v>0.2373325999111431</v>
      </c>
      <c r="BF1100" s="43" t="n">
        <v>146907</v>
      </c>
    </row>
    <row r="1101">
      <c r="A1101" s="42" t="inlineStr">
        <is>
          <t>TX</t>
        </is>
      </c>
      <c r="B1101" s="42" t="inlineStr">
        <is>
          <t>48183</t>
        </is>
      </c>
      <c r="C1101" s="42" t="inlineStr">
        <is>
          <t>Gregg</t>
        </is>
      </c>
      <c r="D1101" s="42" t="inlineStr">
        <is>
          <t>Mid-size/working metro</t>
        </is>
      </c>
      <c r="E1101" s="42" t="inlineStr"/>
      <c r="F1101" s="43" t="n">
        <v>13294</v>
      </c>
      <c r="G1101" s="43" t="n">
        <v>33026</v>
      </c>
      <c r="H1101" s="43" t="n">
        <v>46699</v>
      </c>
      <c r="I1101" s="43" t="n">
        <v>14796</v>
      </c>
      <c r="J1101" s="43" t="n">
        <v>32493</v>
      </c>
      <c r="K1101" s="42" t="inlineStr">
        <is>
          <t>Governor</t>
        </is>
      </c>
      <c r="L1101" s="43" t="n">
        <v>8662</v>
      </c>
      <c r="M1101" s="43" t="n">
        <v>24223</v>
      </c>
      <c r="N1101" s="43" t="n">
        <v>33223</v>
      </c>
      <c r="O1101" s="44">
        <f>IFERROR((F1101-G1101)/(F1101+G1101),"")</f>
        <v/>
      </c>
      <c r="P1101" s="44">
        <f>IFERROR((I1101-J1101)/(I1101+J1101),"")</f>
        <v/>
      </c>
      <c r="Q1101" s="45">
        <f>IFERROR(O1101-P1101,"")</f>
        <v/>
      </c>
      <c r="R1101" s="44">
        <f>IFERROR((L1101-M1101)/(L1101+M1101),"")</f>
        <v/>
      </c>
      <c r="S1101" s="46">
        <f>H1101/SUMIFS(Counties!$H$2:$H$1583,Counties!$A$2:$A$1583,$A1101)</f>
        <v/>
      </c>
      <c r="T1101" s="44">
        <f>O1101+INDEX(Dashboard!$F$6:$F$22,MATCH($A1101,Dashboard!$A$6:$A$22,0))</f>
        <v/>
      </c>
      <c r="U1101" s="43">
        <f>AQ1101*INDEX(Dashboard!$G$6:$G$22,MATCH($A1101,Dashboard!$A$6:$A$22,0))</f>
        <v/>
      </c>
      <c r="V1101" s="47" t="n"/>
      <c r="W1101" s="47" t="n"/>
      <c r="X1101" s="47" t="n"/>
      <c r="Y1101" s="48" t="n"/>
      <c r="Z1101" s="49" t="n"/>
      <c r="AA1101" s="49" t="n"/>
      <c r="AB1101" s="49" t="n"/>
      <c r="AC1101" s="50" t="n"/>
      <c r="AD1101" s="43">
        <f>IF(Z1101&lt;&gt;"",Z1101,N(V1101))</f>
        <v/>
      </c>
      <c r="AE1101" s="43">
        <f>IF(AA1101&lt;&gt;"",AA1101,N(W1101))</f>
        <v/>
      </c>
      <c r="AF1101" s="43">
        <f>AD1101+AE1101</f>
        <v/>
      </c>
      <c r="AG1101" s="42">
        <f>IF(UPPER(AC1101)="Y",1,IF(AF1101=0,0,IF(AND(Z1101="",Y1101&lt;&gt;""),IF(Y1101&gt;=0.999,1,0),IF(AF1101&gt;=U1101,1,0))))</f>
        <v/>
      </c>
      <c r="AH1101" s="44">
        <f>IF(AF1101&gt;0,(AD1101-AE1101)/AF1101,"")</f>
        <v/>
      </c>
      <c r="AI1101" s="45">
        <f>IF(AG1101=1,AH1101-O1101,"")</f>
        <v/>
      </c>
      <c r="AJ1101" s="44">
        <f>IF(AG1101=1,AH1101,MAX(-1,MIN(1,O1101+INDEX(Types!$H:$H,MATCH($A1101&amp;"|"&amp;$D1101,Types!$A:$A,0)))))</f>
        <v/>
      </c>
      <c r="AK1101" s="43">
        <f>IF(AG1101=1,AF1101,MAX(AQ1101*AS1101,AF1101))</f>
        <v/>
      </c>
      <c r="AL1101" s="43">
        <f>IF(AG1101=1,AD1101,AK1101*(1+AJ1101)/2)</f>
        <v/>
      </c>
      <c r="AM1101" s="43">
        <f>IF(AG1101=1,AE1101,AK1101*(1-AJ1101)/2)</f>
        <v/>
      </c>
      <c r="AN1101" s="45">
        <f>IF(AH1101="","",AH1101-T1101)</f>
        <v/>
      </c>
      <c r="AO1101" s="51">
        <f>IF(AG1101=1,1,IF(U1101&gt;0,MIN(AF1101/U1101,0.99),0))</f>
        <v/>
      </c>
      <c r="AP1101" s="43">
        <f>IF(AG1101=1,AI1101*AF1101,0)</f>
        <v/>
      </c>
      <c r="AQ1101" s="43">
        <f>N1101*(F1101+G1101)/H1101</f>
        <v/>
      </c>
      <c r="AR1101" s="43">
        <f>O1101*AQ1101</f>
        <v/>
      </c>
      <c r="AS1101" s="52">
        <f>IF(AG1101=1,IF(AQ1101&gt;0,AF1101/AQ1101,1),IFERROR(INDEX(Types!$K:$K,MATCH($A1101&amp;"|"&amp;$D1101,Types!$A:$A,0)),INDEX(Dashboard!$X$6:$X$22,MATCH($A1101,Dashboard!$A$6:$A$22,0))))</f>
        <v/>
      </c>
      <c r="AT1101" s="43">
        <f>AQ1101*INDEX(Dashboard!$Y$6:$Y$22,MATCH($A1101,Dashboard!$A$6:$A$22,0))</f>
        <v/>
      </c>
      <c r="AU1101" s="53">
        <f>IF(AND(AG1101=1,AT1101&gt;0,AF1101&gt;0),100*AF1101/AT1101,"")</f>
        <v/>
      </c>
      <c r="AV1101" s="44">
        <f>IF(AU1101="","",T1101/(AU1101/100))</f>
        <v/>
      </c>
      <c r="AW1101" s="53">
        <f>IF(AU1101="","",IF(AND(ABS(AH1101)&gt;=0.1,ABS(T1101)&gt;=0.05,SIGN(AH1101)=SIGN(T1101)),100*T1101/AH1101,""))</f>
        <v/>
      </c>
      <c r="AX1101" s="45">
        <f>IF(AU1101="","",T1101-AV1101)</f>
        <v/>
      </c>
      <c r="AY1101" s="45">
        <f>IF(AU1101="","",AH1101-AV1101)</f>
        <v/>
      </c>
      <c r="AZ1101" s="54">
        <f>(AL1101-AM1101)-T1101*AT1101</f>
        <v/>
      </c>
      <c r="BA1101" s="43">
        <f>IF(AU1101="",0,(AH1101-T1101)*AF1101)</f>
        <v/>
      </c>
      <c r="BB1101" s="43">
        <f>IF(AU1101="",0,T1101*(AF1101-AT1101))</f>
        <v/>
      </c>
      <c r="BC1101" s="51" t="n">
        <v>0.2036152499544529</v>
      </c>
      <c r="BD1101" s="51" t="n">
        <v>0.2046846161767385</v>
      </c>
      <c r="BE1101" s="51" t="n">
        <v>0.2235810676721572</v>
      </c>
      <c r="BF1101" s="43" t="n">
        <v>126243</v>
      </c>
    </row>
    <row r="1102">
      <c r="A1102" s="42" t="inlineStr">
        <is>
          <t>TX</t>
        </is>
      </c>
      <c r="B1102" s="42" t="inlineStr">
        <is>
          <t>48185</t>
        </is>
      </c>
      <c r="C1102" s="42" t="inlineStr">
        <is>
          <t>Grimes</t>
        </is>
      </c>
      <c r="D1102" s="42" t="inlineStr">
        <is>
          <t>Small town &amp; rural</t>
        </is>
      </c>
      <c r="E1102" s="42" t="inlineStr"/>
      <c r="F1102" s="43" t="n">
        <v>2734</v>
      </c>
      <c r="G1102" s="43" t="n">
        <v>11197</v>
      </c>
      <c r="H1102" s="43" t="n">
        <v>14043</v>
      </c>
      <c r="I1102" s="43" t="n">
        <v>2833</v>
      </c>
      <c r="J1102" s="43" t="n">
        <v>9432</v>
      </c>
      <c r="K1102" s="42" t="inlineStr">
        <is>
          <t>Governor</t>
        </is>
      </c>
      <c r="L1102" s="43" t="n">
        <v>1732</v>
      </c>
      <c r="M1102" s="43" t="n">
        <v>7607</v>
      </c>
      <c r="N1102" s="43" t="n">
        <v>9432</v>
      </c>
      <c r="O1102" s="44">
        <f>IFERROR((F1102-G1102)/(F1102+G1102),"")</f>
        <v/>
      </c>
      <c r="P1102" s="44">
        <f>IFERROR((I1102-J1102)/(I1102+J1102),"")</f>
        <v/>
      </c>
      <c r="Q1102" s="45">
        <f>IFERROR(O1102-P1102,"")</f>
        <v/>
      </c>
      <c r="R1102" s="44">
        <f>IFERROR((L1102-M1102)/(L1102+M1102),"")</f>
        <v/>
      </c>
      <c r="S1102" s="46">
        <f>H1102/SUMIFS(Counties!$H$2:$H$1583,Counties!$A$2:$A$1583,$A1102)</f>
        <v/>
      </c>
      <c r="T1102" s="44">
        <f>O1102+INDEX(Dashboard!$F$6:$F$22,MATCH($A1102,Dashboard!$A$6:$A$22,0))</f>
        <v/>
      </c>
      <c r="U1102" s="43">
        <f>AQ1102*INDEX(Dashboard!$G$6:$G$22,MATCH($A1102,Dashboard!$A$6:$A$22,0))</f>
        <v/>
      </c>
      <c r="V1102" s="47" t="n"/>
      <c r="W1102" s="47" t="n"/>
      <c r="X1102" s="47" t="n"/>
      <c r="Y1102" s="48" t="n"/>
      <c r="Z1102" s="49" t="n"/>
      <c r="AA1102" s="49" t="n"/>
      <c r="AB1102" s="49" t="n"/>
      <c r="AC1102" s="50" t="n"/>
      <c r="AD1102" s="43">
        <f>IF(Z1102&lt;&gt;"",Z1102,N(V1102))</f>
        <v/>
      </c>
      <c r="AE1102" s="43">
        <f>IF(AA1102&lt;&gt;"",AA1102,N(W1102))</f>
        <v/>
      </c>
      <c r="AF1102" s="43">
        <f>AD1102+AE1102</f>
        <v/>
      </c>
      <c r="AG1102" s="42">
        <f>IF(UPPER(AC1102)="Y",1,IF(AF1102=0,0,IF(AND(Z1102="",Y1102&lt;&gt;""),IF(Y1102&gt;=0.999,1,0),IF(AF1102&gt;=U1102,1,0))))</f>
        <v/>
      </c>
      <c r="AH1102" s="44">
        <f>IF(AF1102&gt;0,(AD1102-AE1102)/AF1102,"")</f>
        <v/>
      </c>
      <c r="AI1102" s="45">
        <f>IF(AG1102=1,AH1102-O1102,"")</f>
        <v/>
      </c>
      <c r="AJ1102" s="44">
        <f>IF(AG1102=1,AH1102,MAX(-1,MIN(1,O1102+INDEX(Types!$H:$H,MATCH($A1102&amp;"|"&amp;$D1102,Types!$A:$A,0)))))</f>
        <v/>
      </c>
      <c r="AK1102" s="43">
        <f>IF(AG1102=1,AF1102,MAX(AQ1102*AS1102,AF1102))</f>
        <v/>
      </c>
      <c r="AL1102" s="43">
        <f>IF(AG1102=1,AD1102,AK1102*(1+AJ1102)/2)</f>
        <v/>
      </c>
      <c r="AM1102" s="43">
        <f>IF(AG1102=1,AE1102,AK1102*(1-AJ1102)/2)</f>
        <v/>
      </c>
      <c r="AN1102" s="45">
        <f>IF(AH1102="","",AH1102-T1102)</f>
        <v/>
      </c>
      <c r="AO1102" s="51">
        <f>IF(AG1102=1,1,IF(U1102&gt;0,MIN(AF1102/U1102,0.99),0))</f>
        <v/>
      </c>
      <c r="AP1102" s="43">
        <f>IF(AG1102=1,AI1102*AF1102,0)</f>
        <v/>
      </c>
      <c r="AQ1102" s="43">
        <f>N1102*(F1102+G1102)/H1102</f>
        <v/>
      </c>
      <c r="AR1102" s="43">
        <f>O1102*AQ1102</f>
        <v/>
      </c>
      <c r="AS1102" s="52">
        <f>IF(AG1102=1,IF(AQ1102&gt;0,AF1102/AQ1102,1),IFERROR(INDEX(Types!$K:$K,MATCH($A1102&amp;"|"&amp;$D1102,Types!$A:$A,0)),INDEX(Dashboard!$X$6:$X$22,MATCH($A1102,Dashboard!$A$6:$A$22,0))))</f>
        <v/>
      </c>
      <c r="AT1102" s="43">
        <f>AQ1102*INDEX(Dashboard!$Y$6:$Y$22,MATCH($A1102,Dashboard!$A$6:$A$22,0))</f>
        <v/>
      </c>
      <c r="AU1102" s="53">
        <f>IF(AND(AG1102=1,AT1102&gt;0,AF1102&gt;0),100*AF1102/AT1102,"")</f>
        <v/>
      </c>
      <c r="AV1102" s="44">
        <f>IF(AU1102="","",T1102/(AU1102/100))</f>
        <v/>
      </c>
      <c r="AW1102" s="53">
        <f>IF(AU1102="","",IF(AND(ABS(AH1102)&gt;=0.1,ABS(T1102)&gt;=0.05,SIGN(AH1102)=SIGN(T1102)),100*T1102/AH1102,""))</f>
        <v/>
      </c>
      <c r="AX1102" s="45">
        <f>IF(AU1102="","",T1102-AV1102)</f>
        <v/>
      </c>
      <c r="AY1102" s="45">
        <f>IF(AU1102="","",AH1102-AV1102)</f>
        <v/>
      </c>
      <c r="AZ1102" s="54">
        <f>(AL1102-AM1102)-T1102*AT1102</f>
        <v/>
      </c>
      <c r="BA1102" s="43">
        <f>IF(AU1102="",0,(AH1102-T1102)*AF1102)</f>
        <v/>
      </c>
      <c r="BB1102" s="43">
        <f>IF(AU1102="",0,T1102*(AF1102-AT1102))</f>
        <v/>
      </c>
      <c r="BC1102" s="51" t="n">
        <v>0.1319478754940711</v>
      </c>
      <c r="BD1102" s="51" t="n">
        <v>0.2571949110671937</v>
      </c>
      <c r="BE1102" s="51" t="n">
        <v>0.1946084968565441</v>
      </c>
      <c r="BF1102" s="43" t="n">
        <v>32384</v>
      </c>
    </row>
    <row r="1103">
      <c r="A1103" s="42" t="inlineStr">
        <is>
          <t>TX</t>
        </is>
      </c>
      <c r="B1103" s="42" t="inlineStr">
        <is>
          <t>48187</t>
        </is>
      </c>
      <c r="C1103" s="42" t="inlineStr">
        <is>
          <t>Guadalupe</t>
        </is>
      </c>
      <c r="D1103" s="42" t="inlineStr">
        <is>
          <t>Mid-size/working metro</t>
        </is>
      </c>
      <c r="E1103" s="42" t="inlineStr"/>
      <c r="F1103" s="43" t="n">
        <v>29573</v>
      </c>
      <c r="G1103" s="43" t="n">
        <v>54691</v>
      </c>
      <c r="H1103" s="43" t="n">
        <v>85097</v>
      </c>
      <c r="I1103" s="43" t="n">
        <v>28805</v>
      </c>
      <c r="J1103" s="43" t="n">
        <v>47553</v>
      </c>
      <c r="K1103" s="42" t="inlineStr">
        <is>
          <t>Governor</t>
        </is>
      </c>
      <c r="L1103" s="43" t="n">
        <v>19356</v>
      </c>
      <c r="M1103" s="43" t="n">
        <v>36882</v>
      </c>
      <c r="N1103" s="43" t="n">
        <v>57242</v>
      </c>
      <c r="O1103" s="44">
        <f>IFERROR((F1103-G1103)/(F1103+G1103),"")</f>
        <v/>
      </c>
      <c r="P1103" s="44">
        <f>IFERROR((I1103-J1103)/(I1103+J1103),"")</f>
        <v/>
      </c>
      <c r="Q1103" s="45">
        <f>IFERROR(O1103-P1103,"")</f>
        <v/>
      </c>
      <c r="R1103" s="44">
        <f>IFERROR((L1103-M1103)/(L1103+M1103),"")</f>
        <v/>
      </c>
      <c r="S1103" s="46">
        <f>H1103/SUMIFS(Counties!$H$2:$H$1583,Counties!$A$2:$A$1583,$A1103)</f>
        <v/>
      </c>
      <c r="T1103" s="44">
        <f>O1103+INDEX(Dashboard!$F$6:$F$22,MATCH($A1103,Dashboard!$A$6:$A$22,0))</f>
        <v/>
      </c>
      <c r="U1103" s="43">
        <f>AQ1103*INDEX(Dashboard!$G$6:$G$22,MATCH($A1103,Dashboard!$A$6:$A$22,0))</f>
        <v/>
      </c>
      <c r="V1103" s="47" t="n"/>
      <c r="W1103" s="47" t="n"/>
      <c r="X1103" s="47" t="n"/>
      <c r="Y1103" s="48" t="n"/>
      <c r="Z1103" s="49" t="n"/>
      <c r="AA1103" s="49" t="n"/>
      <c r="AB1103" s="49" t="n"/>
      <c r="AC1103" s="50" t="n"/>
      <c r="AD1103" s="43">
        <f>IF(Z1103&lt;&gt;"",Z1103,N(V1103))</f>
        <v/>
      </c>
      <c r="AE1103" s="43">
        <f>IF(AA1103&lt;&gt;"",AA1103,N(W1103))</f>
        <v/>
      </c>
      <c r="AF1103" s="43">
        <f>AD1103+AE1103</f>
        <v/>
      </c>
      <c r="AG1103" s="42">
        <f>IF(UPPER(AC1103)="Y",1,IF(AF1103=0,0,IF(AND(Z1103="",Y1103&lt;&gt;""),IF(Y1103&gt;=0.999,1,0),IF(AF1103&gt;=U1103,1,0))))</f>
        <v/>
      </c>
      <c r="AH1103" s="44">
        <f>IF(AF1103&gt;0,(AD1103-AE1103)/AF1103,"")</f>
        <v/>
      </c>
      <c r="AI1103" s="45">
        <f>IF(AG1103=1,AH1103-O1103,"")</f>
        <v/>
      </c>
      <c r="AJ1103" s="44">
        <f>IF(AG1103=1,AH1103,MAX(-1,MIN(1,O1103+INDEX(Types!$H:$H,MATCH($A1103&amp;"|"&amp;$D1103,Types!$A:$A,0)))))</f>
        <v/>
      </c>
      <c r="AK1103" s="43">
        <f>IF(AG1103=1,AF1103,MAX(AQ1103*AS1103,AF1103))</f>
        <v/>
      </c>
      <c r="AL1103" s="43">
        <f>IF(AG1103=1,AD1103,AK1103*(1+AJ1103)/2)</f>
        <v/>
      </c>
      <c r="AM1103" s="43">
        <f>IF(AG1103=1,AE1103,AK1103*(1-AJ1103)/2)</f>
        <v/>
      </c>
      <c r="AN1103" s="45">
        <f>IF(AH1103="","",AH1103-T1103)</f>
        <v/>
      </c>
      <c r="AO1103" s="51">
        <f>IF(AG1103=1,1,IF(U1103&gt;0,MIN(AF1103/U1103,0.99),0))</f>
        <v/>
      </c>
      <c r="AP1103" s="43">
        <f>IF(AG1103=1,AI1103*AF1103,0)</f>
        <v/>
      </c>
      <c r="AQ1103" s="43">
        <f>N1103*(F1103+G1103)/H1103</f>
        <v/>
      </c>
      <c r="AR1103" s="43">
        <f>O1103*AQ1103</f>
        <v/>
      </c>
      <c r="AS1103" s="52">
        <f>IF(AG1103=1,IF(AQ1103&gt;0,AF1103/AQ1103,1),IFERROR(INDEX(Types!$K:$K,MATCH($A1103&amp;"|"&amp;$D1103,Types!$A:$A,0)),INDEX(Dashboard!$X$6:$X$22,MATCH($A1103,Dashboard!$A$6:$A$22,0))))</f>
        <v/>
      </c>
      <c r="AT1103" s="43">
        <f>AQ1103*INDEX(Dashboard!$Y$6:$Y$22,MATCH($A1103,Dashboard!$A$6:$A$22,0))</f>
        <v/>
      </c>
      <c r="AU1103" s="53">
        <f>IF(AND(AG1103=1,AT1103&gt;0,AF1103&gt;0),100*AF1103/AT1103,"")</f>
        <v/>
      </c>
      <c r="AV1103" s="44">
        <f>IF(AU1103="","",T1103/(AU1103/100))</f>
        <v/>
      </c>
      <c r="AW1103" s="53">
        <f>IF(AU1103="","",IF(AND(ABS(AH1103)&gt;=0.1,ABS(T1103)&gt;=0.05,SIGN(AH1103)=SIGN(T1103)),100*T1103/AH1103,""))</f>
        <v/>
      </c>
      <c r="AX1103" s="45">
        <f>IF(AU1103="","",T1103-AV1103)</f>
        <v/>
      </c>
      <c r="AY1103" s="45">
        <f>IF(AU1103="","",AH1103-AV1103)</f>
        <v/>
      </c>
      <c r="AZ1103" s="54">
        <f>(AL1103-AM1103)-T1103*AT1103</f>
        <v/>
      </c>
      <c r="BA1103" s="43">
        <f>IF(AU1103="",0,(AH1103-T1103)*AF1103)</f>
        <v/>
      </c>
      <c r="BB1103" s="43">
        <f>IF(AU1103="",0,T1103*(AF1103-AT1103))</f>
        <v/>
      </c>
      <c r="BC1103" s="51" t="n">
        <v>0.08047587209610833</v>
      </c>
      <c r="BD1103" s="51" t="n">
        <v>0.3946586434885967</v>
      </c>
      <c r="BE1103" s="51" t="n">
        <v>0.3092277869688007</v>
      </c>
      <c r="BF1103" s="43" t="n">
        <v>188454</v>
      </c>
    </row>
    <row r="1104">
      <c r="A1104" s="42" t="inlineStr">
        <is>
          <t>TX</t>
        </is>
      </c>
      <c r="B1104" s="42" t="inlineStr">
        <is>
          <t>48189</t>
        </is>
      </c>
      <c r="C1104" s="42" t="inlineStr">
        <is>
          <t>Hale</t>
        </is>
      </c>
      <c r="D1104" s="42" t="inlineStr">
        <is>
          <t>Hispanic</t>
        </is>
      </c>
      <c r="E1104" s="42" t="inlineStr"/>
      <c r="F1104" s="43" t="n">
        <v>1903</v>
      </c>
      <c r="G1104" s="43" t="n">
        <v>7283</v>
      </c>
      <c r="H1104" s="43" t="n">
        <v>9278</v>
      </c>
      <c r="I1104" s="43" t="n">
        <v>2279</v>
      </c>
      <c r="J1104" s="43" t="n">
        <v>7177</v>
      </c>
      <c r="K1104" s="42" t="inlineStr">
        <is>
          <t>Governor</t>
        </is>
      </c>
      <c r="L1104" s="43" t="n">
        <v>1165</v>
      </c>
      <c r="M1104" s="43" t="n">
        <v>5094</v>
      </c>
      <c r="N1104" s="43" t="n">
        <v>6332</v>
      </c>
      <c r="O1104" s="44">
        <f>IFERROR((F1104-G1104)/(F1104+G1104),"")</f>
        <v/>
      </c>
      <c r="P1104" s="44">
        <f>IFERROR((I1104-J1104)/(I1104+J1104),"")</f>
        <v/>
      </c>
      <c r="Q1104" s="45">
        <f>IFERROR(O1104-P1104,"")</f>
        <v/>
      </c>
      <c r="R1104" s="44">
        <f>IFERROR((L1104-M1104)/(L1104+M1104),"")</f>
        <v/>
      </c>
      <c r="S1104" s="46">
        <f>H1104/SUMIFS(Counties!$H$2:$H$1583,Counties!$A$2:$A$1583,$A1104)</f>
        <v/>
      </c>
      <c r="T1104" s="44">
        <f>O1104+INDEX(Dashboard!$F$6:$F$22,MATCH($A1104,Dashboard!$A$6:$A$22,0))</f>
        <v/>
      </c>
      <c r="U1104" s="43">
        <f>AQ1104*INDEX(Dashboard!$G$6:$G$22,MATCH($A1104,Dashboard!$A$6:$A$22,0))</f>
        <v/>
      </c>
      <c r="V1104" s="47" t="n"/>
      <c r="W1104" s="47" t="n"/>
      <c r="X1104" s="47" t="n"/>
      <c r="Y1104" s="48" t="n"/>
      <c r="Z1104" s="49" t="n"/>
      <c r="AA1104" s="49" t="n"/>
      <c r="AB1104" s="49" t="n"/>
      <c r="AC1104" s="50" t="n"/>
      <c r="AD1104" s="43">
        <f>IF(Z1104&lt;&gt;"",Z1104,N(V1104))</f>
        <v/>
      </c>
      <c r="AE1104" s="43">
        <f>IF(AA1104&lt;&gt;"",AA1104,N(W1104))</f>
        <v/>
      </c>
      <c r="AF1104" s="43">
        <f>AD1104+AE1104</f>
        <v/>
      </c>
      <c r="AG1104" s="42">
        <f>IF(UPPER(AC1104)="Y",1,IF(AF1104=0,0,IF(AND(Z1104="",Y1104&lt;&gt;""),IF(Y1104&gt;=0.999,1,0),IF(AF1104&gt;=U1104,1,0))))</f>
        <v/>
      </c>
      <c r="AH1104" s="44">
        <f>IF(AF1104&gt;0,(AD1104-AE1104)/AF1104,"")</f>
        <v/>
      </c>
      <c r="AI1104" s="45">
        <f>IF(AG1104=1,AH1104-O1104,"")</f>
        <v/>
      </c>
      <c r="AJ1104" s="44">
        <f>IF(AG1104=1,AH1104,MAX(-1,MIN(1,O1104+INDEX(Types!$H:$H,MATCH($A1104&amp;"|"&amp;$D1104,Types!$A:$A,0)))))</f>
        <v/>
      </c>
      <c r="AK1104" s="43">
        <f>IF(AG1104=1,AF1104,MAX(AQ1104*AS1104,AF1104))</f>
        <v/>
      </c>
      <c r="AL1104" s="43">
        <f>IF(AG1104=1,AD1104,AK1104*(1+AJ1104)/2)</f>
        <v/>
      </c>
      <c r="AM1104" s="43">
        <f>IF(AG1104=1,AE1104,AK1104*(1-AJ1104)/2)</f>
        <v/>
      </c>
      <c r="AN1104" s="45">
        <f>IF(AH1104="","",AH1104-T1104)</f>
        <v/>
      </c>
      <c r="AO1104" s="51">
        <f>IF(AG1104=1,1,IF(U1104&gt;0,MIN(AF1104/U1104,0.99),0))</f>
        <v/>
      </c>
      <c r="AP1104" s="43">
        <f>IF(AG1104=1,AI1104*AF1104,0)</f>
        <v/>
      </c>
      <c r="AQ1104" s="43">
        <f>N1104*(F1104+G1104)/H1104</f>
        <v/>
      </c>
      <c r="AR1104" s="43">
        <f>O1104*AQ1104</f>
        <v/>
      </c>
      <c r="AS1104" s="52">
        <f>IF(AG1104=1,IF(AQ1104&gt;0,AF1104/AQ1104,1),IFERROR(INDEX(Types!$K:$K,MATCH($A1104&amp;"|"&amp;$D1104,Types!$A:$A,0)),INDEX(Dashboard!$X$6:$X$22,MATCH($A1104,Dashboard!$A$6:$A$22,0))))</f>
        <v/>
      </c>
      <c r="AT1104" s="43">
        <f>AQ1104*INDEX(Dashboard!$Y$6:$Y$22,MATCH($A1104,Dashboard!$A$6:$A$22,0))</f>
        <v/>
      </c>
      <c r="AU1104" s="53">
        <f>IF(AND(AG1104=1,AT1104&gt;0,AF1104&gt;0),100*AF1104/AT1104,"")</f>
        <v/>
      </c>
      <c r="AV1104" s="44">
        <f>IF(AU1104="","",T1104/(AU1104/100))</f>
        <v/>
      </c>
      <c r="AW1104" s="53">
        <f>IF(AU1104="","",IF(AND(ABS(AH1104)&gt;=0.1,ABS(T1104)&gt;=0.05,SIGN(AH1104)=SIGN(T1104)),100*T1104/AH1104,""))</f>
        <v/>
      </c>
      <c r="AX1104" s="45">
        <f>IF(AU1104="","",T1104-AV1104)</f>
        <v/>
      </c>
      <c r="AY1104" s="45">
        <f>IF(AU1104="","",AH1104-AV1104)</f>
        <v/>
      </c>
      <c r="AZ1104" s="54">
        <f>(AL1104-AM1104)-T1104*AT1104</f>
        <v/>
      </c>
      <c r="BA1104" s="43">
        <f>IF(AU1104="",0,(AH1104-T1104)*AF1104)</f>
        <v/>
      </c>
      <c r="BB1104" s="43">
        <f>IF(AU1104="",0,T1104*(AF1104-AT1104))</f>
        <v/>
      </c>
      <c r="BC1104" s="51" t="n">
        <v>0.04754258367179875</v>
      </c>
      <c r="BD1104" s="51" t="n">
        <v>0.6195019048518623</v>
      </c>
      <c r="BE1104" s="51" t="n">
        <v>0.1563188463849389</v>
      </c>
      <c r="BF1104" s="43" t="n">
        <v>31761</v>
      </c>
    </row>
    <row r="1105">
      <c r="A1105" s="42" t="inlineStr">
        <is>
          <t>TX</t>
        </is>
      </c>
      <c r="B1105" s="42" t="inlineStr">
        <is>
          <t>48191</t>
        </is>
      </c>
      <c r="C1105" s="42" t="inlineStr">
        <is>
          <t>Hall</t>
        </is>
      </c>
      <c r="D1105" s="42" t="inlineStr">
        <is>
          <t>Small town &amp; rural</t>
        </is>
      </c>
      <c r="E1105" s="42" t="inlineStr"/>
      <c r="F1105" s="43" t="n">
        <v>149</v>
      </c>
      <c r="G1105" s="43" t="n">
        <v>992</v>
      </c>
      <c r="H1105" s="43" t="n">
        <v>1149</v>
      </c>
      <c r="I1105" s="43" t="n">
        <v>168</v>
      </c>
      <c r="J1105" s="43" t="n">
        <v>995</v>
      </c>
      <c r="K1105" s="42" t="inlineStr">
        <is>
          <t>Governor</t>
        </is>
      </c>
      <c r="L1105" s="43" t="n">
        <v>94</v>
      </c>
      <c r="M1105" s="43" t="n">
        <v>774</v>
      </c>
      <c r="N1105" s="43" t="n">
        <v>879</v>
      </c>
      <c r="O1105" s="44">
        <f>IFERROR((F1105-G1105)/(F1105+G1105),"")</f>
        <v/>
      </c>
      <c r="P1105" s="44">
        <f>IFERROR((I1105-J1105)/(I1105+J1105),"")</f>
        <v/>
      </c>
      <c r="Q1105" s="45">
        <f>IFERROR(O1105-P1105,"")</f>
        <v/>
      </c>
      <c r="R1105" s="44">
        <f>IFERROR((L1105-M1105)/(L1105+M1105),"")</f>
        <v/>
      </c>
      <c r="S1105" s="46">
        <f>H1105/SUMIFS(Counties!$H$2:$H$1583,Counties!$A$2:$A$1583,$A1105)</f>
        <v/>
      </c>
      <c r="T1105" s="44">
        <f>O1105+INDEX(Dashboard!$F$6:$F$22,MATCH($A1105,Dashboard!$A$6:$A$22,0))</f>
        <v/>
      </c>
      <c r="U1105" s="43">
        <f>AQ1105*INDEX(Dashboard!$G$6:$G$22,MATCH($A1105,Dashboard!$A$6:$A$22,0))</f>
        <v/>
      </c>
      <c r="V1105" s="47" t="n"/>
      <c r="W1105" s="47" t="n"/>
      <c r="X1105" s="47" t="n"/>
      <c r="Y1105" s="48" t="n"/>
      <c r="Z1105" s="49" t="n"/>
      <c r="AA1105" s="49" t="n"/>
      <c r="AB1105" s="49" t="n"/>
      <c r="AC1105" s="50" t="n"/>
      <c r="AD1105" s="43">
        <f>IF(Z1105&lt;&gt;"",Z1105,N(V1105))</f>
        <v/>
      </c>
      <c r="AE1105" s="43">
        <f>IF(AA1105&lt;&gt;"",AA1105,N(W1105))</f>
        <v/>
      </c>
      <c r="AF1105" s="43">
        <f>AD1105+AE1105</f>
        <v/>
      </c>
      <c r="AG1105" s="42">
        <f>IF(UPPER(AC1105)="Y",1,IF(AF1105=0,0,IF(AND(Z1105="",Y1105&lt;&gt;""),IF(Y1105&gt;=0.999,1,0),IF(AF1105&gt;=U1105,1,0))))</f>
        <v/>
      </c>
      <c r="AH1105" s="44">
        <f>IF(AF1105&gt;0,(AD1105-AE1105)/AF1105,"")</f>
        <v/>
      </c>
      <c r="AI1105" s="45">
        <f>IF(AG1105=1,AH1105-O1105,"")</f>
        <v/>
      </c>
      <c r="AJ1105" s="44">
        <f>IF(AG1105=1,AH1105,MAX(-1,MIN(1,O1105+INDEX(Types!$H:$H,MATCH($A1105&amp;"|"&amp;$D1105,Types!$A:$A,0)))))</f>
        <v/>
      </c>
      <c r="AK1105" s="43">
        <f>IF(AG1105=1,AF1105,MAX(AQ1105*AS1105,AF1105))</f>
        <v/>
      </c>
      <c r="AL1105" s="43">
        <f>IF(AG1105=1,AD1105,AK1105*(1+AJ1105)/2)</f>
        <v/>
      </c>
      <c r="AM1105" s="43">
        <f>IF(AG1105=1,AE1105,AK1105*(1-AJ1105)/2)</f>
        <v/>
      </c>
      <c r="AN1105" s="45">
        <f>IF(AH1105="","",AH1105-T1105)</f>
        <v/>
      </c>
      <c r="AO1105" s="51">
        <f>IF(AG1105=1,1,IF(U1105&gt;0,MIN(AF1105/U1105,0.99),0))</f>
        <v/>
      </c>
      <c r="AP1105" s="43">
        <f>IF(AG1105=1,AI1105*AF1105,0)</f>
        <v/>
      </c>
      <c r="AQ1105" s="43">
        <f>N1105*(F1105+G1105)/H1105</f>
        <v/>
      </c>
      <c r="AR1105" s="43">
        <f>O1105*AQ1105</f>
        <v/>
      </c>
      <c r="AS1105" s="52">
        <f>IF(AG1105=1,IF(AQ1105&gt;0,AF1105/AQ1105,1),IFERROR(INDEX(Types!$K:$K,MATCH($A1105&amp;"|"&amp;$D1105,Types!$A:$A,0)),INDEX(Dashboard!$X$6:$X$22,MATCH($A1105,Dashboard!$A$6:$A$22,0))))</f>
        <v/>
      </c>
      <c r="AT1105" s="43">
        <f>AQ1105*INDEX(Dashboard!$Y$6:$Y$22,MATCH($A1105,Dashboard!$A$6:$A$22,0))</f>
        <v/>
      </c>
      <c r="AU1105" s="53">
        <f>IF(AND(AG1105=1,AT1105&gt;0,AF1105&gt;0),100*AF1105/AT1105,"")</f>
        <v/>
      </c>
      <c r="AV1105" s="44">
        <f>IF(AU1105="","",T1105/(AU1105/100))</f>
        <v/>
      </c>
      <c r="AW1105" s="53">
        <f>IF(AU1105="","",IF(AND(ABS(AH1105)&gt;=0.1,ABS(T1105)&gt;=0.05,SIGN(AH1105)=SIGN(T1105)),100*T1105/AH1105,""))</f>
        <v/>
      </c>
      <c r="AX1105" s="45">
        <f>IF(AU1105="","",T1105-AV1105)</f>
        <v/>
      </c>
      <c r="AY1105" s="45">
        <f>IF(AU1105="","",AH1105-AV1105)</f>
        <v/>
      </c>
      <c r="AZ1105" s="54">
        <f>(AL1105-AM1105)-T1105*AT1105</f>
        <v/>
      </c>
      <c r="BA1105" s="43">
        <f>IF(AU1105="",0,(AH1105-T1105)*AF1105)</f>
        <v/>
      </c>
      <c r="BB1105" s="43">
        <f>IF(AU1105="",0,T1105*(AF1105-AT1105))</f>
        <v/>
      </c>
      <c r="BC1105" s="51" t="n">
        <v>0.08623136976579134</v>
      </c>
      <c r="BD1105" s="51" t="n">
        <v>0.3587650816181689</v>
      </c>
      <c r="BE1105" s="51" t="n">
        <v>0.178188899707887</v>
      </c>
      <c r="BF1105" s="43" t="n">
        <v>2818</v>
      </c>
    </row>
    <row r="1106">
      <c r="A1106" s="42" t="inlineStr">
        <is>
          <t>TX</t>
        </is>
      </c>
      <c r="B1106" s="42" t="inlineStr">
        <is>
          <t>48193</t>
        </is>
      </c>
      <c r="C1106" s="42" t="inlineStr">
        <is>
          <t>Hamilton</t>
        </is>
      </c>
      <c r="D1106" s="42" t="inlineStr">
        <is>
          <t>Small town &amp; rural</t>
        </is>
      </c>
      <c r="E1106" s="42" t="inlineStr"/>
      <c r="F1106" s="43" t="n">
        <v>625</v>
      </c>
      <c r="G1106" s="43" t="n">
        <v>3809</v>
      </c>
      <c r="H1106" s="43" t="n">
        <v>4464</v>
      </c>
      <c r="I1106" s="43" t="n">
        <v>641</v>
      </c>
      <c r="J1106" s="43" t="n">
        <v>3616</v>
      </c>
      <c r="K1106" s="42" t="inlineStr">
        <is>
          <t>Governor</t>
        </is>
      </c>
      <c r="L1106" s="43" t="n">
        <v>433</v>
      </c>
      <c r="M1106" s="43" t="n">
        <v>3006</v>
      </c>
      <c r="N1106" s="43" t="n">
        <v>3476</v>
      </c>
      <c r="O1106" s="44">
        <f>IFERROR((F1106-G1106)/(F1106+G1106),"")</f>
        <v/>
      </c>
      <c r="P1106" s="44">
        <f>IFERROR((I1106-J1106)/(I1106+J1106),"")</f>
        <v/>
      </c>
      <c r="Q1106" s="45">
        <f>IFERROR(O1106-P1106,"")</f>
        <v/>
      </c>
      <c r="R1106" s="44">
        <f>IFERROR((L1106-M1106)/(L1106+M1106),"")</f>
        <v/>
      </c>
      <c r="S1106" s="46">
        <f>H1106/SUMIFS(Counties!$H$2:$H$1583,Counties!$A$2:$A$1583,$A1106)</f>
        <v/>
      </c>
      <c r="T1106" s="44">
        <f>O1106+INDEX(Dashboard!$F$6:$F$22,MATCH($A1106,Dashboard!$A$6:$A$22,0))</f>
        <v/>
      </c>
      <c r="U1106" s="43">
        <f>AQ1106*INDEX(Dashboard!$G$6:$G$22,MATCH($A1106,Dashboard!$A$6:$A$22,0))</f>
        <v/>
      </c>
      <c r="V1106" s="47" t="n"/>
      <c r="W1106" s="47" t="n"/>
      <c r="X1106" s="47" t="n"/>
      <c r="Y1106" s="48" t="n"/>
      <c r="Z1106" s="49" t="n"/>
      <c r="AA1106" s="49" t="n"/>
      <c r="AB1106" s="49" t="n"/>
      <c r="AC1106" s="50" t="n"/>
      <c r="AD1106" s="43">
        <f>IF(Z1106&lt;&gt;"",Z1106,N(V1106))</f>
        <v/>
      </c>
      <c r="AE1106" s="43">
        <f>IF(AA1106&lt;&gt;"",AA1106,N(W1106))</f>
        <v/>
      </c>
      <c r="AF1106" s="43">
        <f>AD1106+AE1106</f>
        <v/>
      </c>
      <c r="AG1106" s="42">
        <f>IF(UPPER(AC1106)="Y",1,IF(AF1106=0,0,IF(AND(Z1106="",Y1106&lt;&gt;""),IF(Y1106&gt;=0.999,1,0),IF(AF1106&gt;=U1106,1,0))))</f>
        <v/>
      </c>
      <c r="AH1106" s="44">
        <f>IF(AF1106&gt;0,(AD1106-AE1106)/AF1106,"")</f>
        <v/>
      </c>
      <c r="AI1106" s="45">
        <f>IF(AG1106=1,AH1106-O1106,"")</f>
        <v/>
      </c>
      <c r="AJ1106" s="44">
        <f>IF(AG1106=1,AH1106,MAX(-1,MIN(1,O1106+INDEX(Types!$H:$H,MATCH($A1106&amp;"|"&amp;$D1106,Types!$A:$A,0)))))</f>
        <v/>
      </c>
      <c r="AK1106" s="43">
        <f>IF(AG1106=1,AF1106,MAX(AQ1106*AS1106,AF1106))</f>
        <v/>
      </c>
      <c r="AL1106" s="43">
        <f>IF(AG1106=1,AD1106,AK1106*(1+AJ1106)/2)</f>
        <v/>
      </c>
      <c r="AM1106" s="43">
        <f>IF(AG1106=1,AE1106,AK1106*(1-AJ1106)/2)</f>
        <v/>
      </c>
      <c r="AN1106" s="45">
        <f>IF(AH1106="","",AH1106-T1106)</f>
        <v/>
      </c>
      <c r="AO1106" s="51">
        <f>IF(AG1106=1,1,IF(U1106&gt;0,MIN(AF1106/U1106,0.99),0))</f>
        <v/>
      </c>
      <c r="AP1106" s="43">
        <f>IF(AG1106=1,AI1106*AF1106,0)</f>
        <v/>
      </c>
      <c r="AQ1106" s="43">
        <f>N1106*(F1106+G1106)/H1106</f>
        <v/>
      </c>
      <c r="AR1106" s="43">
        <f>O1106*AQ1106</f>
        <v/>
      </c>
      <c r="AS1106" s="52">
        <f>IF(AG1106=1,IF(AQ1106&gt;0,AF1106/AQ1106,1),IFERROR(INDEX(Types!$K:$K,MATCH($A1106&amp;"|"&amp;$D1106,Types!$A:$A,0)),INDEX(Dashboard!$X$6:$X$22,MATCH($A1106,Dashboard!$A$6:$A$22,0))))</f>
        <v/>
      </c>
      <c r="AT1106" s="43">
        <f>AQ1106*INDEX(Dashboard!$Y$6:$Y$22,MATCH($A1106,Dashboard!$A$6:$A$22,0))</f>
        <v/>
      </c>
      <c r="AU1106" s="53">
        <f>IF(AND(AG1106=1,AT1106&gt;0,AF1106&gt;0),100*AF1106/AT1106,"")</f>
        <v/>
      </c>
      <c r="AV1106" s="44">
        <f>IF(AU1106="","",T1106/(AU1106/100))</f>
        <v/>
      </c>
      <c r="AW1106" s="53">
        <f>IF(AU1106="","",IF(AND(ABS(AH1106)&gt;=0.1,ABS(T1106)&gt;=0.05,SIGN(AH1106)=SIGN(T1106)),100*T1106/AH1106,""))</f>
        <v/>
      </c>
      <c r="AX1106" s="45">
        <f>IF(AU1106="","",T1106-AV1106)</f>
        <v/>
      </c>
      <c r="AY1106" s="45">
        <f>IF(AU1106="","",AH1106-AV1106)</f>
        <v/>
      </c>
      <c r="AZ1106" s="54">
        <f>(AL1106-AM1106)-T1106*AT1106</f>
        <v/>
      </c>
      <c r="BA1106" s="43">
        <f>IF(AU1106="",0,(AH1106-T1106)*AF1106)</f>
        <v/>
      </c>
      <c r="BB1106" s="43">
        <f>IF(AU1106="",0,T1106*(AF1106-AT1106))</f>
        <v/>
      </c>
      <c r="BC1106" s="51" t="n">
        <v>0.01055806938159879</v>
      </c>
      <c r="BD1106" s="51" t="n">
        <v>0.1453764937927834</v>
      </c>
      <c r="BE1106" s="51" t="n">
        <v>0.2427715996578272</v>
      </c>
      <c r="BF1106" s="43" t="n">
        <v>8619</v>
      </c>
    </row>
    <row r="1107">
      <c r="A1107" s="42" t="inlineStr">
        <is>
          <t>TX</t>
        </is>
      </c>
      <c r="B1107" s="42" t="inlineStr">
        <is>
          <t>48195</t>
        </is>
      </c>
      <c r="C1107" s="42" t="inlineStr">
        <is>
          <t>Hansford</t>
        </is>
      </c>
      <c r="D1107" s="42" t="inlineStr">
        <is>
          <t>Hispanic</t>
        </is>
      </c>
      <c r="E1107" s="42" t="inlineStr"/>
      <c r="F1107" s="43" t="n">
        <v>146</v>
      </c>
      <c r="G1107" s="43" t="n">
        <v>1842</v>
      </c>
      <c r="H1107" s="43" t="n">
        <v>1999</v>
      </c>
      <c r="I1107" s="43" t="n">
        <v>166</v>
      </c>
      <c r="J1107" s="43" t="n">
        <v>1849</v>
      </c>
      <c r="K1107" s="42" t="inlineStr">
        <is>
          <t>Governor</t>
        </is>
      </c>
      <c r="L1107" s="43" t="n">
        <v>91</v>
      </c>
      <c r="M1107" s="43" t="n">
        <v>1419</v>
      </c>
      <c r="N1107" s="43" t="n">
        <v>1522</v>
      </c>
      <c r="O1107" s="44">
        <f>IFERROR((F1107-G1107)/(F1107+G1107),"")</f>
        <v/>
      </c>
      <c r="P1107" s="44">
        <f>IFERROR((I1107-J1107)/(I1107+J1107),"")</f>
        <v/>
      </c>
      <c r="Q1107" s="45">
        <f>IFERROR(O1107-P1107,"")</f>
        <v/>
      </c>
      <c r="R1107" s="44">
        <f>IFERROR((L1107-M1107)/(L1107+M1107),"")</f>
        <v/>
      </c>
      <c r="S1107" s="46">
        <f>H1107/SUMIFS(Counties!$H$2:$H$1583,Counties!$A$2:$A$1583,$A1107)</f>
        <v/>
      </c>
      <c r="T1107" s="44">
        <f>O1107+INDEX(Dashboard!$F$6:$F$22,MATCH($A1107,Dashboard!$A$6:$A$22,0))</f>
        <v/>
      </c>
      <c r="U1107" s="43">
        <f>AQ1107*INDEX(Dashboard!$G$6:$G$22,MATCH($A1107,Dashboard!$A$6:$A$22,0))</f>
        <v/>
      </c>
      <c r="V1107" s="47" t="n"/>
      <c r="W1107" s="47" t="n"/>
      <c r="X1107" s="47" t="n"/>
      <c r="Y1107" s="48" t="n"/>
      <c r="Z1107" s="49" t="n"/>
      <c r="AA1107" s="49" t="n"/>
      <c r="AB1107" s="49" t="n"/>
      <c r="AC1107" s="50" t="n"/>
      <c r="AD1107" s="43">
        <f>IF(Z1107&lt;&gt;"",Z1107,N(V1107))</f>
        <v/>
      </c>
      <c r="AE1107" s="43">
        <f>IF(AA1107&lt;&gt;"",AA1107,N(W1107))</f>
        <v/>
      </c>
      <c r="AF1107" s="43">
        <f>AD1107+AE1107</f>
        <v/>
      </c>
      <c r="AG1107" s="42">
        <f>IF(UPPER(AC1107)="Y",1,IF(AF1107=0,0,IF(AND(Z1107="",Y1107&lt;&gt;""),IF(Y1107&gt;=0.999,1,0),IF(AF1107&gt;=U1107,1,0))))</f>
        <v/>
      </c>
      <c r="AH1107" s="44">
        <f>IF(AF1107&gt;0,(AD1107-AE1107)/AF1107,"")</f>
        <v/>
      </c>
      <c r="AI1107" s="45">
        <f>IF(AG1107=1,AH1107-O1107,"")</f>
        <v/>
      </c>
      <c r="AJ1107" s="44">
        <f>IF(AG1107=1,AH1107,MAX(-1,MIN(1,O1107+INDEX(Types!$H:$H,MATCH($A1107&amp;"|"&amp;$D1107,Types!$A:$A,0)))))</f>
        <v/>
      </c>
      <c r="AK1107" s="43">
        <f>IF(AG1107=1,AF1107,MAX(AQ1107*AS1107,AF1107))</f>
        <v/>
      </c>
      <c r="AL1107" s="43">
        <f>IF(AG1107=1,AD1107,AK1107*(1+AJ1107)/2)</f>
        <v/>
      </c>
      <c r="AM1107" s="43">
        <f>IF(AG1107=1,AE1107,AK1107*(1-AJ1107)/2)</f>
        <v/>
      </c>
      <c r="AN1107" s="45">
        <f>IF(AH1107="","",AH1107-T1107)</f>
        <v/>
      </c>
      <c r="AO1107" s="51">
        <f>IF(AG1107=1,1,IF(U1107&gt;0,MIN(AF1107/U1107,0.99),0))</f>
        <v/>
      </c>
      <c r="AP1107" s="43">
        <f>IF(AG1107=1,AI1107*AF1107,0)</f>
        <v/>
      </c>
      <c r="AQ1107" s="43">
        <f>N1107*(F1107+G1107)/H1107</f>
        <v/>
      </c>
      <c r="AR1107" s="43">
        <f>O1107*AQ1107</f>
        <v/>
      </c>
      <c r="AS1107" s="52">
        <f>IF(AG1107=1,IF(AQ1107&gt;0,AF1107/AQ1107,1),IFERROR(INDEX(Types!$K:$K,MATCH($A1107&amp;"|"&amp;$D1107,Types!$A:$A,0)),INDEX(Dashboard!$X$6:$X$22,MATCH($A1107,Dashboard!$A$6:$A$22,0))))</f>
        <v/>
      </c>
      <c r="AT1107" s="43">
        <f>AQ1107*INDEX(Dashboard!$Y$6:$Y$22,MATCH($A1107,Dashboard!$A$6:$A$22,0))</f>
        <v/>
      </c>
      <c r="AU1107" s="53">
        <f>IF(AND(AG1107=1,AT1107&gt;0,AF1107&gt;0),100*AF1107/AT1107,"")</f>
        <v/>
      </c>
      <c r="AV1107" s="44">
        <f>IF(AU1107="","",T1107/(AU1107/100))</f>
        <v/>
      </c>
      <c r="AW1107" s="53">
        <f>IF(AU1107="","",IF(AND(ABS(AH1107)&gt;=0.1,ABS(T1107)&gt;=0.05,SIGN(AH1107)=SIGN(T1107)),100*T1107/AH1107,""))</f>
        <v/>
      </c>
      <c r="AX1107" s="45">
        <f>IF(AU1107="","",T1107-AV1107)</f>
        <v/>
      </c>
      <c r="AY1107" s="45">
        <f>IF(AU1107="","",AH1107-AV1107)</f>
        <v/>
      </c>
      <c r="AZ1107" s="54">
        <f>(AL1107-AM1107)-T1107*AT1107</f>
        <v/>
      </c>
      <c r="BA1107" s="43">
        <f>IF(AU1107="",0,(AH1107-T1107)*AF1107)</f>
        <v/>
      </c>
      <c r="BB1107" s="43">
        <f>IF(AU1107="",0,T1107*(AF1107-AT1107))</f>
        <v/>
      </c>
      <c r="BC1107" s="51" t="n">
        <v>0.00946558864129363</v>
      </c>
      <c r="BD1107" s="51" t="n">
        <v>0.5002957996450405</v>
      </c>
      <c r="BE1107" s="51" t="n">
        <v>0.3039975209172606</v>
      </c>
      <c r="BF1107" s="43" t="n">
        <v>5071</v>
      </c>
    </row>
    <row r="1108">
      <c r="A1108" s="42" t="inlineStr">
        <is>
          <t>TX</t>
        </is>
      </c>
      <c r="B1108" s="42" t="inlineStr">
        <is>
          <t>48197</t>
        </is>
      </c>
      <c r="C1108" s="42" t="inlineStr">
        <is>
          <t>Hardeman</t>
        </is>
      </c>
      <c r="D1108" s="42" t="inlineStr">
        <is>
          <t>Small town &amp; rural</t>
        </is>
      </c>
      <c r="E1108" s="42" t="inlineStr"/>
      <c r="F1108" s="43" t="n">
        <v>188</v>
      </c>
      <c r="G1108" s="43" t="n">
        <v>1210</v>
      </c>
      <c r="H1108" s="43" t="n">
        <v>1405</v>
      </c>
      <c r="I1108" s="43" t="n">
        <v>241</v>
      </c>
      <c r="J1108" s="43" t="n">
        <v>1330</v>
      </c>
      <c r="K1108" s="42" t="inlineStr">
        <is>
          <t>Governor</t>
        </is>
      </c>
      <c r="L1108" s="43" t="n">
        <v>114</v>
      </c>
      <c r="M1108" s="43" t="n">
        <v>866</v>
      </c>
      <c r="N1108" s="43" t="n">
        <v>985</v>
      </c>
      <c r="O1108" s="44">
        <f>IFERROR((F1108-G1108)/(F1108+G1108),"")</f>
        <v/>
      </c>
      <c r="P1108" s="44">
        <f>IFERROR((I1108-J1108)/(I1108+J1108),"")</f>
        <v/>
      </c>
      <c r="Q1108" s="45">
        <f>IFERROR(O1108-P1108,"")</f>
        <v/>
      </c>
      <c r="R1108" s="44">
        <f>IFERROR((L1108-M1108)/(L1108+M1108),"")</f>
        <v/>
      </c>
      <c r="S1108" s="46">
        <f>H1108/SUMIFS(Counties!$H$2:$H$1583,Counties!$A$2:$A$1583,$A1108)</f>
        <v/>
      </c>
      <c r="T1108" s="44">
        <f>O1108+INDEX(Dashboard!$F$6:$F$22,MATCH($A1108,Dashboard!$A$6:$A$22,0))</f>
        <v/>
      </c>
      <c r="U1108" s="43">
        <f>AQ1108*INDEX(Dashboard!$G$6:$G$22,MATCH($A1108,Dashboard!$A$6:$A$22,0))</f>
        <v/>
      </c>
      <c r="V1108" s="47" t="n"/>
      <c r="W1108" s="47" t="n"/>
      <c r="X1108" s="47" t="n"/>
      <c r="Y1108" s="48" t="n"/>
      <c r="Z1108" s="49" t="n"/>
      <c r="AA1108" s="49" t="n"/>
      <c r="AB1108" s="49" t="n"/>
      <c r="AC1108" s="50" t="n"/>
      <c r="AD1108" s="43">
        <f>IF(Z1108&lt;&gt;"",Z1108,N(V1108))</f>
        <v/>
      </c>
      <c r="AE1108" s="43">
        <f>IF(AA1108&lt;&gt;"",AA1108,N(W1108))</f>
        <v/>
      </c>
      <c r="AF1108" s="43">
        <f>AD1108+AE1108</f>
        <v/>
      </c>
      <c r="AG1108" s="42">
        <f>IF(UPPER(AC1108)="Y",1,IF(AF1108=0,0,IF(AND(Z1108="",Y1108&lt;&gt;""),IF(Y1108&gt;=0.999,1,0),IF(AF1108&gt;=U1108,1,0))))</f>
        <v/>
      </c>
      <c r="AH1108" s="44">
        <f>IF(AF1108&gt;0,(AD1108-AE1108)/AF1108,"")</f>
        <v/>
      </c>
      <c r="AI1108" s="45">
        <f>IF(AG1108=1,AH1108-O1108,"")</f>
        <v/>
      </c>
      <c r="AJ1108" s="44">
        <f>IF(AG1108=1,AH1108,MAX(-1,MIN(1,O1108+INDEX(Types!$H:$H,MATCH($A1108&amp;"|"&amp;$D1108,Types!$A:$A,0)))))</f>
        <v/>
      </c>
      <c r="AK1108" s="43">
        <f>IF(AG1108=1,AF1108,MAX(AQ1108*AS1108,AF1108))</f>
        <v/>
      </c>
      <c r="AL1108" s="43">
        <f>IF(AG1108=1,AD1108,AK1108*(1+AJ1108)/2)</f>
        <v/>
      </c>
      <c r="AM1108" s="43">
        <f>IF(AG1108=1,AE1108,AK1108*(1-AJ1108)/2)</f>
        <v/>
      </c>
      <c r="AN1108" s="45">
        <f>IF(AH1108="","",AH1108-T1108)</f>
        <v/>
      </c>
      <c r="AO1108" s="51">
        <f>IF(AG1108=1,1,IF(U1108&gt;0,MIN(AF1108/U1108,0.99),0))</f>
        <v/>
      </c>
      <c r="AP1108" s="43">
        <f>IF(AG1108=1,AI1108*AF1108,0)</f>
        <v/>
      </c>
      <c r="AQ1108" s="43">
        <f>N1108*(F1108+G1108)/H1108</f>
        <v/>
      </c>
      <c r="AR1108" s="43">
        <f>O1108*AQ1108</f>
        <v/>
      </c>
      <c r="AS1108" s="52">
        <f>IF(AG1108=1,IF(AQ1108&gt;0,AF1108/AQ1108,1),IFERROR(INDEX(Types!$K:$K,MATCH($A1108&amp;"|"&amp;$D1108,Types!$A:$A,0)),INDEX(Dashboard!$X$6:$X$22,MATCH($A1108,Dashboard!$A$6:$A$22,0))))</f>
        <v/>
      </c>
      <c r="AT1108" s="43">
        <f>AQ1108*INDEX(Dashboard!$Y$6:$Y$22,MATCH($A1108,Dashboard!$A$6:$A$22,0))</f>
        <v/>
      </c>
      <c r="AU1108" s="53">
        <f>IF(AND(AG1108=1,AT1108&gt;0,AF1108&gt;0),100*AF1108/AT1108,"")</f>
        <v/>
      </c>
      <c r="AV1108" s="44">
        <f>IF(AU1108="","",T1108/(AU1108/100))</f>
        <v/>
      </c>
      <c r="AW1108" s="53">
        <f>IF(AU1108="","",IF(AND(ABS(AH1108)&gt;=0.1,ABS(T1108)&gt;=0.05,SIGN(AH1108)=SIGN(T1108)),100*T1108/AH1108,""))</f>
        <v/>
      </c>
      <c r="AX1108" s="45">
        <f>IF(AU1108="","",T1108-AV1108)</f>
        <v/>
      </c>
      <c r="AY1108" s="45">
        <f>IF(AU1108="","",AH1108-AV1108)</f>
        <v/>
      </c>
      <c r="AZ1108" s="54">
        <f>(AL1108-AM1108)-T1108*AT1108</f>
        <v/>
      </c>
      <c r="BA1108" s="43">
        <f>IF(AU1108="",0,(AH1108-T1108)*AF1108)</f>
        <v/>
      </c>
      <c r="BB1108" s="43">
        <f>IF(AU1108="",0,T1108*(AF1108-AT1108))</f>
        <v/>
      </c>
      <c r="BC1108" s="51" t="n">
        <v>0.05931232091690544</v>
      </c>
      <c r="BD1108" s="51" t="n">
        <v>0.2432664756446991</v>
      </c>
      <c r="BE1108" s="51" t="n">
        <v>0.1502611490558457</v>
      </c>
      <c r="BF1108" s="43" t="n">
        <v>3490</v>
      </c>
    </row>
    <row r="1109">
      <c r="A1109" s="42" t="inlineStr">
        <is>
          <t>TX</t>
        </is>
      </c>
      <c r="B1109" s="42" t="inlineStr">
        <is>
          <t>48199</t>
        </is>
      </c>
      <c r="C1109" s="42" t="inlineStr">
        <is>
          <t>Hardin</t>
        </is>
      </c>
      <c r="D1109" s="42" t="inlineStr">
        <is>
          <t>Small town &amp; rural</t>
        </is>
      </c>
      <c r="E1109" s="42" t="inlineStr"/>
      <c r="F1109" s="43" t="n">
        <v>3347</v>
      </c>
      <c r="G1109" s="43" t="n">
        <v>24691</v>
      </c>
      <c r="H1109" s="43" t="n">
        <v>28157</v>
      </c>
      <c r="I1109" s="43" t="n">
        <v>3474</v>
      </c>
      <c r="J1109" s="43" t="n">
        <v>23858</v>
      </c>
      <c r="K1109" s="42" t="inlineStr">
        <is>
          <t>Governor</t>
        </is>
      </c>
      <c r="L1109" s="43" t="n">
        <v>2029</v>
      </c>
      <c r="M1109" s="43" t="n">
        <v>17432</v>
      </c>
      <c r="N1109" s="43" t="n">
        <v>19608</v>
      </c>
      <c r="O1109" s="44">
        <f>IFERROR((F1109-G1109)/(F1109+G1109),"")</f>
        <v/>
      </c>
      <c r="P1109" s="44">
        <f>IFERROR((I1109-J1109)/(I1109+J1109),"")</f>
        <v/>
      </c>
      <c r="Q1109" s="45">
        <f>IFERROR(O1109-P1109,"")</f>
        <v/>
      </c>
      <c r="R1109" s="44">
        <f>IFERROR((L1109-M1109)/(L1109+M1109),"")</f>
        <v/>
      </c>
      <c r="S1109" s="46">
        <f>H1109/SUMIFS(Counties!$H$2:$H$1583,Counties!$A$2:$A$1583,$A1109)</f>
        <v/>
      </c>
      <c r="T1109" s="44">
        <f>O1109+INDEX(Dashboard!$F$6:$F$22,MATCH($A1109,Dashboard!$A$6:$A$22,0))</f>
        <v/>
      </c>
      <c r="U1109" s="43">
        <f>AQ1109*INDEX(Dashboard!$G$6:$G$22,MATCH($A1109,Dashboard!$A$6:$A$22,0))</f>
        <v/>
      </c>
      <c r="V1109" s="47" t="n"/>
      <c r="W1109" s="47" t="n"/>
      <c r="X1109" s="47" t="n"/>
      <c r="Y1109" s="48" t="n"/>
      <c r="Z1109" s="49" t="n"/>
      <c r="AA1109" s="49" t="n"/>
      <c r="AB1109" s="49" t="n"/>
      <c r="AC1109" s="50" t="n"/>
      <c r="AD1109" s="43">
        <f>IF(Z1109&lt;&gt;"",Z1109,N(V1109))</f>
        <v/>
      </c>
      <c r="AE1109" s="43">
        <f>IF(AA1109&lt;&gt;"",AA1109,N(W1109))</f>
        <v/>
      </c>
      <c r="AF1109" s="43">
        <f>AD1109+AE1109</f>
        <v/>
      </c>
      <c r="AG1109" s="42">
        <f>IF(UPPER(AC1109)="Y",1,IF(AF1109=0,0,IF(AND(Z1109="",Y1109&lt;&gt;""),IF(Y1109&gt;=0.999,1,0),IF(AF1109&gt;=U1109,1,0))))</f>
        <v/>
      </c>
      <c r="AH1109" s="44">
        <f>IF(AF1109&gt;0,(AD1109-AE1109)/AF1109,"")</f>
        <v/>
      </c>
      <c r="AI1109" s="45">
        <f>IF(AG1109=1,AH1109-O1109,"")</f>
        <v/>
      </c>
      <c r="AJ1109" s="44">
        <f>IF(AG1109=1,AH1109,MAX(-1,MIN(1,O1109+INDEX(Types!$H:$H,MATCH($A1109&amp;"|"&amp;$D1109,Types!$A:$A,0)))))</f>
        <v/>
      </c>
      <c r="AK1109" s="43">
        <f>IF(AG1109=1,AF1109,MAX(AQ1109*AS1109,AF1109))</f>
        <v/>
      </c>
      <c r="AL1109" s="43">
        <f>IF(AG1109=1,AD1109,AK1109*(1+AJ1109)/2)</f>
        <v/>
      </c>
      <c r="AM1109" s="43">
        <f>IF(AG1109=1,AE1109,AK1109*(1-AJ1109)/2)</f>
        <v/>
      </c>
      <c r="AN1109" s="45">
        <f>IF(AH1109="","",AH1109-T1109)</f>
        <v/>
      </c>
      <c r="AO1109" s="51">
        <f>IF(AG1109=1,1,IF(U1109&gt;0,MIN(AF1109/U1109,0.99),0))</f>
        <v/>
      </c>
      <c r="AP1109" s="43">
        <f>IF(AG1109=1,AI1109*AF1109,0)</f>
        <v/>
      </c>
      <c r="AQ1109" s="43">
        <f>N1109*(F1109+G1109)/H1109</f>
        <v/>
      </c>
      <c r="AR1109" s="43">
        <f>O1109*AQ1109</f>
        <v/>
      </c>
      <c r="AS1109" s="52">
        <f>IF(AG1109=1,IF(AQ1109&gt;0,AF1109/AQ1109,1),IFERROR(INDEX(Types!$K:$K,MATCH($A1109&amp;"|"&amp;$D1109,Types!$A:$A,0)),INDEX(Dashboard!$X$6:$X$22,MATCH($A1109,Dashboard!$A$6:$A$22,0))))</f>
        <v/>
      </c>
      <c r="AT1109" s="43">
        <f>AQ1109*INDEX(Dashboard!$Y$6:$Y$22,MATCH($A1109,Dashboard!$A$6:$A$22,0))</f>
        <v/>
      </c>
      <c r="AU1109" s="53">
        <f>IF(AND(AG1109=1,AT1109&gt;0,AF1109&gt;0),100*AF1109/AT1109,"")</f>
        <v/>
      </c>
      <c r="AV1109" s="44">
        <f>IF(AU1109="","",T1109/(AU1109/100))</f>
        <v/>
      </c>
      <c r="AW1109" s="53">
        <f>IF(AU1109="","",IF(AND(ABS(AH1109)&gt;=0.1,ABS(T1109)&gt;=0.05,SIGN(AH1109)=SIGN(T1109)),100*T1109/AH1109,""))</f>
        <v/>
      </c>
      <c r="AX1109" s="45">
        <f>IF(AU1109="","",T1109-AV1109)</f>
        <v/>
      </c>
      <c r="AY1109" s="45">
        <f>IF(AU1109="","",AH1109-AV1109)</f>
        <v/>
      </c>
      <c r="AZ1109" s="54">
        <f>(AL1109-AM1109)-T1109*AT1109</f>
        <v/>
      </c>
      <c r="BA1109" s="43">
        <f>IF(AU1109="",0,(AH1109-T1109)*AF1109)</f>
        <v/>
      </c>
      <c r="BB1109" s="43">
        <f>IF(AU1109="",0,T1109*(AF1109-AT1109))</f>
        <v/>
      </c>
      <c r="BC1109" s="51" t="n">
        <v>0.05823792931806869</v>
      </c>
      <c r="BD1109" s="51" t="n">
        <v>0.07176327217177872</v>
      </c>
      <c r="BE1109" s="51" t="n">
        <v>0.2076622805883722</v>
      </c>
      <c r="BF1109" s="43" t="n">
        <v>58261</v>
      </c>
    </row>
    <row r="1110">
      <c r="A1110" s="42" t="inlineStr">
        <is>
          <t>TX</t>
        </is>
      </c>
      <c r="B1110" s="42" t="inlineStr">
        <is>
          <t>48201</t>
        </is>
      </c>
      <c r="C1110" s="42" t="inlineStr">
        <is>
          <t>Harris</t>
        </is>
      </c>
      <c r="D1110" s="42" t="inlineStr">
        <is>
          <t>Big metro core</t>
        </is>
      </c>
      <c r="E1110" s="42" t="inlineStr">
        <is>
          <t>★</t>
        </is>
      </c>
      <c r="F1110" s="43" t="n">
        <v>808771</v>
      </c>
      <c r="G1110" s="43" t="n">
        <v>722695</v>
      </c>
      <c r="H1110" s="43" t="n">
        <v>1556310</v>
      </c>
      <c r="I1110" s="43" t="n">
        <v>918193</v>
      </c>
      <c r="J1110" s="43" t="n">
        <v>700630</v>
      </c>
      <c r="K1110" s="42" t="inlineStr">
        <is>
          <t>Governor</t>
        </is>
      </c>
      <c r="L1110" s="43" t="n">
        <v>595653</v>
      </c>
      <c r="M1110" s="43" t="n">
        <v>490261</v>
      </c>
      <c r="N1110" s="43" t="n">
        <v>1102418</v>
      </c>
      <c r="O1110" s="44">
        <f>IFERROR((F1110-G1110)/(F1110+G1110),"")</f>
        <v/>
      </c>
      <c r="P1110" s="44">
        <f>IFERROR((I1110-J1110)/(I1110+J1110),"")</f>
        <v/>
      </c>
      <c r="Q1110" s="45">
        <f>IFERROR(O1110-P1110,"")</f>
        <v/>
      </c>
      <c r="R1110" s="44">
        <f>IFERROR((L1110-M1110)/(L1110+M1110),"")</f>
        <v/>
      </c>
      <c r="S1110" s="46">
        <f>H1110/SUMIFS(Counties!$H$2:$H$1583,Counties!$A$2:$A$1583,$A1110)</f>
        <v/>
      </c>
      <c r="T1110" s="44">
        <f>O1110+INDEX(Dashboard!$F$6:$F$22,MATCH($A1110,Dashboard!$A$6:$A$22,0))</f>
        <v/>
      </c>
      <c r="U1110" s="43">
        <f>AQ1110*INDEX(Dashboard!$G$6:$G$22,MATCH($A1110,Dashboard!$A$6:$A$22,0))</f>
        <v/>
      </c>
      <c r="V1110" s="47" t="n"/>
      <c r="W1110" s="47" t="n"/>
      <c r="X1110" s="47" t="n"/>
      <c r="Y1110" s="48" t="n"/>
      <c r="Z1110" s="49" t="n"/>
      <c r="AA1110" s="49" t="n"/>
      <c r="AB1110" s="49" t="n"/>
      <c r="AC1110" s="50" t="n"/>
      <c r="AD1110" s="43">
        <f>IF(Z1110&lt;&gt;"",Z1110,N(V1110))</f>
        <v/>
      </c>
      <c r="AE1110" s="43">
        <f>IF(AA1110&lt;&gt;"",AA1110,N(W1110))</f>
        <v/>
      </c>
      <c r="AF1110" s="43">
        <f>AD1110+AE1110</f>
        <v/>
      </c>
      <c r="AG1110" s="42">
        <f>IF(UPPER(AC1110)="Y",1,IF(AF1110=0,0,IF(AND(Z1110="",Y1110&lt;&gt;""),IF(Y1110&gt;=0.999,1,0),IF(AF1110&gt;=U1110,1,0))))</f>
        <v/>
      </c>
      <c r="AH1110" s="44">
        <f>IF(AF1110&gt;0,(AD1110-AE1110)/AF1110,"")</f>
        <v/>
      </c>
      <c r="AI1110" s="45">
        <f>IF(AG1110=1,AH1110-O1110,"")</f>
        <v/>
      </c>
      <c r="AJ1110" s="44">
        <f>IF(AG1110=1,AH1110,MAX(-1,MIN(1,O1110+INDEX(Types!$H:$H,MATCH($A1110&amp;"|"&amp;$D1110,Types!$A:$A,0)))))</f>
        <v/>
      </c>
      <c r="AK1110" s="43">
        <f>IF(AG1110=1,AF1110,MAX(AQ1110*AS1110,AF1110))</f>
        <v/>
      </c>
      <c r="AL1110" s="43">
        <f>IF(AG1110=1,AD1110,AK1110*(1+AJ1110)/2)</f>
        <v/>
      </c>
      <c r="AM1110" s="43">
        <f>IF(AG1110=1,AE1110,AK1110*(1-AJ1110)/2)</f>
        <v/>
      </c>
      <c r="AN1110" s="45">
        <f>IF(AH1110="","",AH1110-T1110)</f>
        <v/>
      </c>
      <c r="AO1110" s="51">
        <f>IF(AG1110=1,1,IF(U1110&gt;0,MIN(AF1110/U1110,0.99),0))</f>
        <v/>
      </c>
      <c r="AP1110" s="43">
        <f>IF(AG1110=1,AI1110*AF1110,0)</f>
        <v/>
      </c>
      <c r="AQ1110" s="43">
        <f>N1110*(F1110+G1110)/H1110</f>
        <v/>
      </c>
      <c r="AR1110" s="43">
        <f>O1110*AQ1110</f>
        <v/>
      </c>
      <c r="AS1110" s="52">
        <f>IF(AG1110=1,IF(AQ1110&gt;0,AF1110/AQ1110,1),IFERROR(INDEX(Types!$K:$K,MATCH($A1110&amp;"|"&amp;$D1110,Types!$A:$A,0)),INDEX(Dashboard!$X$6:$X$22,MATCH($A1110,Dashboard!$A$6:$A$22,0))))</f>
        <v/>
      </c>
      <c r="AT1110" s="43">
        <f>AQ1110*INDEX(Dashboard!$Y$6:$Y$22,MATCH($A1110,Dashboard!$A$6:$A$22,0))</f>
        <v/>
      </c>
      <c r="AU1110" s="53">
        <f>IF(AND(AG1110=1,AT1110&gt;0,AF1110&gt;0),100*AF1110/AT1110,"")</f>
        <v/>
      </c>
      <c r="AV1110" s="44">
        <f>IF(AU1110="","",T1110/(AU1110/100))</f>
        <v/>
      </c>
      <c r="AW1110" s="53">
        <f>IF(AU1110="","",IF(AND(ABS(AH1110)&gt;=0.1,ABS(T1110)&gt;=0.05,SIGN(AH1110)=SIGN(T1110)),100*T1110/AH1110,""))</f>
        <v/>
      </c>
      <c r="AX1110" s="45">
        <f>IF(AU1110="","",T1110-AV1110)</f>
        <v/>
      </c>
      <c r="AY1110" s="45">
        <f>IF(AU1110="","",AH1110-AV1110)</f>
        <v/>
      </c>
      <c r="AZ1110" s="54">
        <f>(AL1110-AM1110)-T1110*AT1110</f>
        <v/>
      </c>
      <c r="BA1110" s="43">
        <f>IF(AU1110="",0,(AH1110-T1110)*AF1110)</f>
        <v/>
      </c>
      <c r="BB1110" s="43">
        <f>IF(AU1110="",0,T1110*(AF1110-AT1110))</f>
        <v/>
      </c>
      <c r="BC1110" s="51" t="n">
        <v>0.1974838292701843</v>
      </c>
      <c r="BD1110" s="51" t="n">
        <v>0.44063286885034</v>
      </c>
      <c r="BE1110" s="51" t="n">
        <v>0.3374654912491078</v>
      </c>
      <c r="BF1110" s="43" t="n">
        <v>4835125</v>
      </c>
    </row>
    <row r="1111">
      <c r="A1111" s="42" t="inlineStr">
        <is>
          <t>TX</t>
        </is>
      </c>
      <c r="B1111" s="42" t="inlineStr">
        <is>
          <t>48203</t>
        </is>
      </c>
      <c r="C1111" s="42" t="inlineStr">
        <is>
          <t>Harrison</t>
        </is>
      </c>
      <c r="D1111" s="42" t="inlineStr">
        <is>
          <t>Small town &amp; rural</t>
        </is>
      </c>
      <c r="E1111" s="42" t="inlineStr"/>
      <c r="F1111" s="43" t="n">
        <v>7369</v>
      </c>
      <c r="G1111" s="43" t="n">
        <v>22658</v>
      </c>
      <c r="H1111" s="43" t="n">
        <v>30226</v>
      </c>
      <c r="I1111" s="43" t="n">
        <v>7908</v>
      </c>
      <c r="J1111" s="43" t="n">
        <v>21466</v>
      </c>
      <c r="K1111" s="42" t="inlineStr">
        <is>
          <t>Governor</t>
        </is>
      </c>
      <c r="L1111" s="43" t="n">
        <v>4688</v>
      </c>
      <c r="M1111" s="43" t="n">
        <v>16472</v>
      </c>
      <c r="N1111" s="43" t="n">
        <v>21356</v>
      </c>
      <c r="O1111" s="44">
        <f>IFERROR((F1111-G1111)/(F1111+G1111),"")</f>
        <v/>
      </c>
      <c r="P1111" s="44">
        <f>IFERROR((I1111-J1111)/(I1111+J1111),"")</f>
        <v/>
      </c>
      <c r="Q1111" s="45">
        <f>IFERROR(O1111-P1111,"")</f>
        <v/>
      </c>
      <c r="R1111" s="44">
        <f>IFERROR((L1111-M1111)/(L1111+M1111),"")</f>
        <v/>
      </c>
      <c r="S1111" s="46">
        <f>H1111/SUMIFS(Counties!$H$2:$H$1583,Counties!$A$2:$A$1583,$A1111)</f>
        <v/>
      </c>
      <c r="T1111" s="44">
        <f>O1111+INDEX(Dashboard!$F$6:$F$22,MATCH($A1111,Dashboard!$A$6:$A$22,0))</f>
        <v/>
      </c>
      <c r="U1111" s="43">
        <f>AQ1111*INDEX(Dashboard!$G$6:$G$22,MATCH($A1111,Dashboard!$A$6:$A$22,0))</f>
        <v/>
      </c>
      <c r="V1111" s="47" t="n"/>
      <c r="W1111" s="47" t="n"/>
      <c r="X1111" s="47" t="n"/>
      <c r="Y1111" s="48" t="n"/>
      <c r="Z1111" s="49" t="n"/>
      <c r="AA1111" s="49" t="n"/>
      <c r="AB1111" s="49" t="n"/>
      <c r="AC1111" s="50" t="n"/>
      <c r="AD1111" s="43">
        <f>IF(Z1111&lt;&gt;"",Z1111,N(V1111))</f>
        <v/>
      </c>
      <c r="AE1111" s="43">
        <f>IF(AA1111&lt;&gt;"",AA1111,N(W1111))</f>
        <v/>
      </c>
      <c r="AF1111" s="43">
        <f>AD1111+AE1111</f>
        <v/>
      </c>
      <c r="AG1111" s="42">
        <f>IF(UPPER(AC1111)="Y",1,IF(AF1111=0,0,IF(AND(Z1111="",Y1111&lt;&gt;""),IF(Y1111&gt;=0.999,1,0),IF(AF1111&gt;=U1111,1,0))))</f>
        <v/>
      </c>
      <c r="AH1111" s="44">
        <f>IF(AF1111&gt;0,(AD1111-AE1111)/AF1111,"")</f>
        <v/>
      </c>
      <c r="AI1111" s="45">
        <f>IF(AG1111=1,AH1111-O1111,"")</f>
        <v/>
      </c>
      <c r="AJ1111" s="44">
        <f>IF(AG1111=1,AH1111,MAX(-1,MIN(1,O1111+INDEX(Types!$H:$H,MATCH($A1111&amp;"|"&amp;$D1111,Types!$A:$A,0)))))</f>
        <v/>
      </c>
      <c r="AK1111" s="43">
        <f>IF(AG1111=1,AF1111,MAX(AQ1111*AS1111,AF1111))</f>
        <v/>
      </c>
      <c r="AL1111" s="43">
        <f>IF(AG1111=1,AD1111,AK1111*(1+AJ1111)/2)</f>
        <v/>
      </c>
      <c r="AM1111" s="43">
        <f>IF(AG1111=1,AE1111,AK1111*(1-AJ1111)/2)</f>
        <v/>
      </c>
      <c r="AN1111" s="45">
        <f>IF(AH1111="","",AH1111-T1111)</f>
        <v/>
      </c>
      <c r="AO1111" s="51">
        <f>IF(AG1111=1,1,IF(U1111&gt;0,MIN(AF1111/U1111,0.99),0))</f>
        <v/>
      </c>
      <c r="AP1111" s="43">
        <f>IF(AG1111=1,AI1111*AF1111,0)</f>
        <v/>
      </c>
      <c r="AQ1111" s="43">
        <f>N1111*(F1111+G1111)/H1111</f>
        <v/>
      </c>
      <c r="AR1111" s="43">
        <f>O1111*AQ1111</f>
        <v/>
      </c>
      <c r="AS1111" s="52">
        <f>IF(AG1111=1,IF(AQ1111&gt;0,AF1111/AQ1111,1),IFERROR(INDEX(Types!$K:$K,MATCH($A1111&amp;"|"&amp;$D1111,Types!$A:$A,0)),INDEX(Dashboard!$X$6:$X$22,MATCH($A1111,Dashboard!$A$6:$A$22,0))))</f>
        <v/>
      </c>
      <c r="AT1111" s="43">
        <f>AQ1111*INDEX(Dashboard!$Y$6:$Y$22,MATCH($A1111,Dashboard!$A$6:$A$22,0))</f>
        <v/>
      </c>
      <c r="AU1111" s="53">
        <f>IF(AND(AG1111=1,AT1111&gt;0,AF1111&gt;0),100*AF1111/AT1111,"")</f>
        <v/>
      </c>
      <c r="AV1111" s="44">
        <f>IF(AU1111="","",T1111/(AU1111/100))</f>
        <v/>
      </c>
      <c r="AW1111" s="53">
        <f>IF(AU1111="","",IF(AND(ABS(AH1111)&gt;=0.1,ABS(T1111)&gt;=0.05,SIGN(AH1111)=SIGN(T1111)),100*T1111/AH1111,""))</f>
        <v/>
      </c>
      <c r="AX1111" s="45">
        <f>IF(AU1111="","",T1111-AV1111)</f>
        <v/>
      </c>
      <c r="AY1111" s="45">
        <f>IF(AU1111="","",AH1111-AV1111)</f>
        <v/>
      </c>
      <c r="AZ1111" s="54">
        <f>(AL1111-AM1111)-T1111*AT1111</f>
        <v/>
      </c>
      <c r="BA1111" s="43">
        <f>IF(AU1111="",0,(AH1111-T1111)*AF1111)</f>
        <v/>
      </c>
      <c r="BB1111" s="43">
        <f>IF(AU1111="",0,T1111*(AF1111-AT1111))</f>
        <v/>
      </c>
      <c r="BC1111" s="51" t="n">
        <v>0.2063050990902038</v>
      </c>
      <c r="BD1111" s="51" t="n">
        <v>0.1507440581141124</v>
      </c>
      <c r="BE1111" s="51" t="n">
        <v>0.2250190196717748</v>
      </c>
      <c r="BF1111" s="43" t="n">
        <v>70895</v>
      </c>
    </row>
    <row r="1112">
      <c r="A1112" s="42" t="inlineStr">
        <is>
          <t>TX</t>
        </is>
      </c>
      <c r="B1112" s="42" t="inlineStr">
        <is>
          <t>48205</t>
        </is>
      </c>
      <c r="C1112" s="42" t="inlineStr">
        <is>
          <t>Hartley</t>
        </is>
      </c>
      <c r="D1112" s="42" t="inlineStr">
        <is>
          <t>Small town &amp; rural</t>
        </is>
      </c>
      <c r="E1112" s="42" t="inlineStr"/>
      <c r="F1112" s="43" t="n">
        <v>163</v>
      </c>
      <c r="G1112" s="43" t="n">
        <v>1843</v>
      </c>
      <c r="H1112" s="43" t="n">
        <v>2016</v>
      </c>
      <c r="I1112" s="43" t="n">
        <v>195</v>
      </c>
      <c r="J1112" s="43" t="n">
        <v>1868</v>
      </c>
      <c r="K1112" s="42" t="inlineStr">
        <is>
          <t>Governor</t>
        </is>
      </c>
      <c r="L1112" s="43" t="n">
        <v>96</v>
      </c>
      <c r="M1112" s="43" t="n">
        <v>1463</v>
      </c>
      <c r="N1112" s="43" t="n">
        <v>1574</v>
      </c>
      <c r="O1112" s="44">
        <f>IFERROR((F1112-G1112)/(F1112+G1112),"")</f>
        <v/>
      </c>
      <c r="P1112" s="44">
        <f>IFERROR((I1112-J1112)/(I1112+J1112),"")</f>
        <v/>
      </c>
      <c r="Q1112" s="45">
        <f>IFERROR(O1112-P1112,"")</f>
        <v/>
      </c>
      <c r="R1112" s="44">
        <f>IFERROR((L1112-M1112)/(L1112+M1112),"")</f>
        <v/>
      </c>
      <c r="S1112" s="46">
        <f>H1112/SUMIFS(Counties!$H$2:$H$1583,Counties!$A$2:$A$1583,$A1112)</f>
        <v/>
      </c>
      <c r="T1112" s="44">
        <f>O1112+INDEX(Dashboard!$F$6:$F$22,MATCH($A1112,Dashboard!$A$6:$A$22,0))</f>
        <v/>
      </c>
      <c r="U1112" s="43">
        <f>AQ1112*INDEX(Dashboard!$G$6:$G$22,MATCH($A1112,Dashboard!$A$6:$A$22,0))</f>
        <v/>
      </c>
      <c r="V1112" s="47" t="n"/>
      <c r="W1112" s="47" t="n"/>
      <c r="X1112" s="47" t="n"/>
      <c r="Y1112" s="48" t="n"/>
      <c r="Z1112" s="49" t="n"/>
      <c r="AA1112" s="49" t="n"/>
      <c r="AB1112" s="49" t="n"/>
      <c r="AC1112" s="50" t="n"/>
      <c r="AD1112" s="43">
        <f>IF(Z1112&lt;&gt;"",Z1112,N(V1112))</f>
        <v/>
      </c>
      <c r="AE1112" s="43">
        <f>IF(AA1112&lt;&gt;"",AA1112,N(W1112))</f>
        <v/>
      </c>
      <c r="AF1112" s="43">
        <f>AD1112+AE1112</f>
        <v/>
      </c>
      <c r="AG1112" s="42">
        <f>IF(UPPER(AC1112)="Y",1,IF(AF1112=0,0,IF(AND(Z1112="",Y1112&lt;&gt;""),IF(Y1112&gt;=0.999,1,0),IF(AF1112&gt;=U1112,1,0))))</f>
        <v/>
      </c>
      <c r="AH1112" s="44">
        <f>IF(AF1112&gt;0,(AD1112-AE1112)/AF1112,"")</f>
        <v/>
      </c>
      <c r="AI1112" s="45">
        <f>IF(AG1112=1,AH1112-O1112,"")</f>
        <v/>
      </c>
      <c r="AJ1112" s="44">
        <f>IF(AG1112=1,AH1112,MAX(-1,MIN(1,O1112+INDEX(Types!$H:$H,MATCH($A1112&amp;"|"&amp;$D1112,Types!$A:$A,0)))))</f>
        <v/>
      </c>
      <c r="AK1112" s="43">
        <f>IF(AG1112=1,AF1112,MAX(AQ1112*AS1112,AF1112))</f>
        <v/>
      </c>
      <c r="AL1112" s="43">
        <f>IF(AG1112=1,AD1112,AK1112*(1+AJ1112)/2)</f>
        <v/>
      </c>
      <c r="AM1112" s="43">
        <f>IF(AG1112=1,AE1112,AK1112*(1-AJ1112)/2)</f>
        <v/>
      </c>
      <c r="AN1112" s="45">
        <f>IF(AH1112="","",AH1112-T1112)</f>
        <v/>
      </c>
      <c r="AO1112" s="51">
        <f>IF(AG1112=1,1,IF(U1112&gt;0,MIN(AF1112/U1112,0.99),0))</f>
        <v/>
      </c>
      <c r="AP1112" s="43">
        <f>IF(AG1112=1,AI1112*AF1112,0)</f>
        <v/>
      </c>
      <c r="AQ1112" s="43">
        <f>N1112*(F1112+G1112)/H1112</f>
        <v/>
      </c>
      <c r="AR1112" s="43">
        <f>O1112*AQ1112</f>
        <v/>
      </c>
      <c r="AS1112" s="52">
        <f>IF(AG1112=1,IF(AQ1112&gt;0,AF1112/AQ1112,1),IFERROR(INDEX(Types!$K:$K,MATCH($A1112&amp;"|"&amp;$D1112,Types!$A:$A,0)),INDEX(Dashboard!$X$6:$X$22,MATCH($A1112,Dashboard!$A$6:$A$22,0))))</f>
        <v/>
      </c>
      <c r="AT1112" s="43">
        <f>AQ1112*INDEX(Dashboard!$Y$6:$Y$22,MATCH($A1112,Dashboard!$A$6:$A$22,0))</f>
        <v/>
      </c>
      <c r="AU1112" s="53">
        <f>IF(AND(AG1112=1,AT1112&gt;0,AF1112&gt;0),100*AF1112/AT1112,"")</f>
        <v/>
      </c>
      <c r="AV1112" s="44">
        <f>IF(AU1112="","",T1112/(AU1112/100))</f>
        <v/>
      </c>
      <c r="AW1112" s="53">
        <f>IF(AU1112="","",IF(AND(ABS(AH1112)&gt;=0.1,ABS(T1112)&gt;=0.05,SIGN(AH1112)=SIGN(T1112)),100*T1112/AH1112,""))</f>
        <v/>
      </c>
      <c r="AX1112" s="45">
        <f>IF(AU1112="","",T1112-AV1112)</f>
        <v/>
      </c>
      <c r="AY1112" s="45">
        <f>IF(AU1112="","",AH1112-AV1112)</f>
        <v/>
      </c>
      <c r="AZ1112" s="54">
        <f>(AL1112-AM1112)-T1112*AT1112</f>
        <v/>
      </c>
      <c r="BA1112" s="43">
        <f>IF(AU1112="",0,(AH1112-T1112)*AF1112)</f>
        <v/>
      </c>
      <c r="BB1112" s="43">
        <f>IF(AU1112="",0,T1112*(AF1112-AT1112))</f>
        <v/>
      </c>
      <c r="BC1112" s="51" t="n">
        <v>0.05636540330417882</v>
      </c>
      <c r="BD1112" s="51" t="n">
        <v>0.3154518950437318</v>
      </c>
      <c r="BE1112" s="51" t="n">
        <v>0.23075</v>
      </c>
      <c r="BF1112" s="43" t="n">
        <v>5145</v>
      </c>
    </row>
    <row r="1113">
      <c r="A1113" s="42" t="inlineStr">
        <is>
          <t>TX</t>
        </is>
      </c>
      <c r="B1113" s="42" t="inlineStr">
        <is>
          <t>48207</t>
        </is>
      </c>
      <c r="C1113" s="42" t="inlineStr">
        <is>
          <t>Haskell</t>
        </is>
      </c>
      <c r="D1113" s="42" t="inlineStr">
        <is>
          <t>Small town &amp; rural</t>
        </is>
      </c>
      <c r="E1113" s="42" t="inlineStr"/>
      <c r="F1113" s="43" t="n">
        <v>313</v>
      </c>
      <c r="G1113" s="43" t="n">
        <v>1918</v>
      </c>
      <c r="H1113" s="43" t="n">
        <v>2246</v>
      </c>
      <c r="I1113" s="43" t="n">
        <v>353</v>
      </c>
      <c r="J1113" s="43" t="n">
        <v>1840</v>
      </c>
      <c r="K1113" s="42" t="inlineStr">
        <is>
          <t>Governor</t>
        </is>
      </c>
      <c r="L1113" s="43" t="n">
        <v>191</v>
      </c>
      <c r="M1113" s="43" t="n">
        <v>1465</v>
      </c>
      <c r="N1113" s="43" t="n">
        <v>1669</v>
      </c>
      <c r="O1113" s="44">
        <f>IFERROR((F1113-G1113)/(F1113+G1113),"")</f>
        <v/>
      </c>
      <c r="P1113" s="44">
        <f>IFERROR((I1113-J1113)/(I1113+J1113),"")</f>
        <v/>
      </c>
      <c r="Q1113" s="45">
        <f>IFERROR(O1113-P1113,"")</f>
        <v/>
      </c>
      <c r="R1113" s="44">
        <f>IFERROR((L1113-M1113)/(L1113+M1113),"")</f>
        <v/>
      </c>
      <c r="S1113" s="46">
        <f>H1113/SUMIFS(Counties!$H$2:$H$1583,Counties!$A$2:$A$1583,$A1113)</f>
        <v/>
      </c>
      <c r="T1113" s="44">
        <f>O1113+INDEX(Dashboard!$F$6:$F$22,MATCH($A1113,Dashboard!$A$6:$A$22,0))</f>
        <v/>
      </c>
      <c r="U1113" s="43">
        <f>AQ1113*INDEX(Dashboard!$G$6:$G$22,MATCH($A1113,Dashboard!$A$6:$A$22,0))</f>
        <v/>
      </c>
      <c r="V1113" s="47" t="n"/>
      <c r="W1113" s="47" t="n"/>
      <c r="X1113" s="47" t="n"/>
      <c r="Y1113" s="48" t="n"/>
      <c r="Z1113" s="49" t="n"/>
      <c r="AA1113" s="49" t="n"/>
      <c r="AB1113" s="49" t="n"/>
      <c r="AC1113" s="50" t="n"/>
      <c r="AD1113" s="43">
        <f>IF(Z1113&lt;&gt;"",Z1113,N(V1113))</f>
        <v/>
      </c>
      <c r="AE1113" s="43">
        <f>IF(AA1113&lt;&gt;"",AA1113,N(W1113))</f>
        <v/>
      </c>
      <c r="AF1113" s="43">
        <f>AD1113+AE1113</f>
        <v/>
      </c>
      <c r="AG1113" s="42">
        <f>IF(UPPER(AC1113)="Y",1,IF(AF1113=0,0,IF(AND(Z1113="",Y1113&lt;&gt;""),IF(Y1113&gt;=0.999,1,0),IF(AF1113&gt;=U1113,1,0))))</f>
        <v/>
      </c>
      <c r="AH1113" s="44">
        <f>IF(AF1113&gt;0,(AD1113-AE1113)/AF1113,"")</f>
        <v/>
      </c>
      <c r="AI1113" s="45">
        <f>IF(AG1113=1,AH1113-O1113,"")</f>
        <v/>
      </c>
      <c r="AJ1113" s="44">
        <f>IF(AG1113=1,AH1113,MAX(-1,MIN(1,O1113+INDEX(Types!$H:$H,MATCH($A1113&amp;"|"&amp;$D1113,Types!$A:$A,0)))))</f>
        <v/>
      </c>
      <c r="AK1113" s="43">
        <f>IF(AG1113=1,AF1113,MAX(AQ1113*AS1113,AF1113))</f>
        <v/>
      </c>
      <c r="AL1113" s="43">
        <f>IF(AG1113=1,AD1113,AK1113*(1+AJ1113)/2)</f>
        <v/>
      </c>
      <c r="AM1113" s="43">
        <f>IF(AG1113=1,AE1113,AK1113*(1-AJ1113)/2)</f>
        <v/>
      </c>
      <c r="AN1113" s="45">
        <f>IF(AH1113="","",AH1113-T1113)</f>
        <v/>
      </c>
      <c r="AO1113" s="51">
        <f>IF(AG1113=1,1,IF(U1113&gt;0,MIN(AF1113/U1113,0.99),0))</f>
        <v/>
      </c>
      <c r="AP1113" s="43">
        <f>IF(AG1113=1,AI1113*AF1113,0)</f>
        <v/>
      </c>
      <c r="AQ1113" s="43">
        <f>N1113*(F1113+G1113)/H1113</f>
        <v/>
      </c>
      <c r="AR1113" s="43">
        <f>O1113*AQ1113</f>
        <v/>
      </c>
      <c r="AS1113" s="52">
        <f>IF(AG1113=1,IF(AQ1113&gt;0,AF1113/AQ1113,1),IFERROR(INDEX(Types!$K:$K,MATCH($A1113&amp;"|"&amp;$D1113,Types!$A:$A,0)),INDEX(Dashboard!$X$6:$X$22,MATCH($A1113,Dashboard!$A$6:$A$22,0))))</f>
        <v/>
      </c>
      <c r="AT1113" s="43">
        <f>AQ1113*INDEX(Dashboard!$Y$6:$Y$22,MATCH($A1113,Dashboard!$A$6:$A$22,0))</f>
        <v/>
      </c>
      <c r="AU1113" s="53">
        <f>IF(AND(AG1113=1,AT1113&gt;0,AF1113&gt;0),100*AF1113/AT1113,"")</f>
        <v/>
      </c>
      <c r="AV1113" s="44">
        <f>IF(AU1113="","",T1113/(AU1113/100))</f>
        <v/>
      </c>
      <c r="AW1113" s="53">
        <f>IF(AU1113="","",IF(AND(ABS(AH1113)&gt;=0.1,ABS(T1113)&gt;=0.05,SIGN(AH1113)=SIGN(T1113)),100*T1113/AH1113,""))</f>
        <v/>
      </c>
      <c r="AX1113" s="45">
        <f>IF(AU1113="","",T1113-AV1113)</f>
        <v/>
      </c>
      <c r="AY1113" s="45">
        <f>IF(AU1113="","",AH1113-AV1113)</f>
        <v/>
      </c>
      <c r="AZ1113" s="54">
        <f>(AL1113-AM1113)-T1113*AT1113</f>
        <v/>
      </c>
      <c r="BA1113" s="43">
        <f>IF(AU1113="",0,(AH1113-T1113)*AF1113)</f>
        <v/>
      </c>
      <c r="BB1113" s="43">
        <f>IF(AU1113="",0,T1113*(AF1113-AT1113))</f>
        <v/>
      </c>
      <c r="BC1113" s="51" t="n">
        <v>0.0425255338904364</v>
      </c>
      <c r="BD1113" s="51" t="n">
        <v>0.2681522748375116</v>
      </c>
      <c r="BE1113" s="51" t="n">
        <v>0.2249808036856923</v>
      </c>
      <c r="BF1113" s="43" t="n">
        <v>5385</v>
      </c>
    </row>
    <row r="1114">
      <c r="A1114" s="42" t="inlineStr">
        <is>
          <t>TX</t>
        </is>
      </c>
      <c r="B1114" s="42" t="inlineStr">
        <is>
          <t>48209</t>
        </is>
      </c>
      <c r="C1114" s="42" t="inlineStr">
        <is>
          <t>Hays</t>
        </is>
      </c>
      <c r="D1114" s="42" t="inlineStr">
        <is>
          <t>College suburb/metro</t>
        </is>
      </c>
      <c r="E1114" s="42" t="inlineStr"/>
      <c r="F1114" s="43" t="n">
        <v>65528</v>
      </c>
      <c r="G1114" s="43" t="n">
        <v>58438</v>
      </c>
      <c r="H1114" s="43" t="n">
        <v>125688</v>
      </c>
      <c r="I1114" s="43" t="n">
        <v>59524</v>
      </c>
      <c r="J1114" s="43" t="n">
        <v>47680</v>
      </c>
      <c r="K1114" s="42" t="inlineStr">
        <is>
          <t>Governor</t>
        </is>
      </c>
      <c r="L1114" s="43" t="n">
        <v>48970</v>
      </c>
      <c r="M1114" s="43" t="n">
        <v>39085</v>
      </c>
      <c r="N1114" s="43" t="n">
        <v>89727</v>
      </c>
      <c r="O1114" s="44">
        <f>IFERROR((F1114-G1114)/(F1114+G1114),"")</f>
        <v/>
      </c>
      <c r="P1114" s="44">
        <f>IFERROR((I1114-J1114)/(I1114+J1114),"")</f>
        <v/>
      </c>
      <c r="Q1114" s="45">
        <f>IFERROR(O1114-P1114,"")</f>
        <v/>
      </c>
      <c r="R1114" s="44">
        <f>IFERROR((L1114-M1114)/(L1114+M1114),"")</f>
        <v/>
      </c>
      <c r="S1114" s="46">
        <f>H1114/SUMIFS(Counties!$H$2:$H$1583,Counties!$A$2:$A$1583,$A1114)</f>
        <v/>
      </c>
      <c r="T1114" s="44">
        <f>O1114+INDEX(Dashboard!$F$6:$F$22,MATCH($A1114,Dashboard!$A$6:$A$22,0))</f>
        <v/>
      </c>
      <c r="U1114" s="43">
        <f>AQ1114*INDEX(Dashboard!$G$6:$G$22,MATCH($A1114,Dashboard!$A$6:$A$22,0))</f>
        <v/>
      </c>
      <c r="V1114" s="47" t="n"/>
      <c r="W1114" s="47" t="n"/>
      <c r="X1114" s="47" t="n"/>
      <c r="Y1114" s="48" t="n"/>
      <c r="Z1114" s="49" t="n"/>
      <c r="AA1114" s="49" t="n"/>
      <c r="AB1114" s="49" t="n"/>
      <c r="AC1114" s="50" t="n"/>
      <c r="AD1114" s="43">
        <f>IF(Z1114&lt;&gt;"",Z1114,N(V1114))</f>
        <v/>
      </c>
      <c r="AE1114" s="43">
        <f>IF(AA1114&lt;&gt;"",AA1114,N(W1114))</f>
        <v/>
      </c>
      <c r="AF1114" s="43">
        <f>AD1114+AE1114</f>
        <v/>
      </c>
      <c r="AG1114" s="42">
        <f>IF(UPPER(AC1114)="Y",1,IF(AF1114=0,0,IF(AND(Z1114="",Y1114&lt;&gt;""),IF(Y1114&gt;=0.999,1,0),IF(AF1114&gt;=U1114,1,0))))</f>
        <v/>
      </c>
      <c r="AH1114" s="44">
        <f>IF(AF1114&gt;0,(AD1114-AE1114)/AF1114,"")</f>
        <v/>
      </c>
      <c r="AI1114" s="45">
        <f>IF(AG1114=1,AH1114-O1114,"")</f>
        <v/>
      </c>
      <c r="AJ1114" s="44">
        <f>IF(AG1114=1,AH1114,MAX(-1,MIN(1,O1114+INDEX(Types!$H:$H,MATCH($A1114&amp;"|"&amp;$D1114,Types!$A:$A,0)))))</f>
        <v/>
      </c>
      <c r="AK1114" s="43">
        <f>IF(AG1114=1,AF1114,MAX(AQ1114*AS1114,AF1114))</f>
        <v/>
      </c>
      <c r="AL1114" s="43">
        <f>IF(AG1114=1,AD1114,AK1114*(1+AJ1114)/2)</f>
        <v/>
      </c>
      <c r="AM1114" s="43">
        <f>IF(AG1114=1,AE1114,AK1114*(1-AJ1114)/2)</f>
        <v/>
      </c>
      <c r="AN1114" s="45">
        <f>IF(AH1114="","",AH1114-T1114)</f>
        <v/>
      </c>
      <c r="AO1114" s="51">
        <f>IF(AG1114=1,1,IF(U1114&gt;0,MIN(AF1114/U1114,0.99),0))</f>
        <v/>
      </c>
      <c r="AP1114" s="43">
        <f>IF(AG1114=1,AI1114*AF1114,0)</f>
        <v/>
      </c>
      <c r="AQ1114" s="43">
        <f>N1114*(F1114+G1114)/H1114</f>
        <v/>
      </c>
      <c r="AR1114" s="43">
        <f>O1114*AQ1114</f>
        <v/>
      </c>
      <c r="AS1114" s="52">
        <f>IF(AG1114=1,IF(AQ1114&gt;0,AF1114/AQ1114,1),IFERROR(INDEX(Types!$K:$K,MATCH($A1114&amp;"|"&amp;$D1114,Types!$A:$A,0)),INDEX(Dashboard!$X$6:$X$22,MATCH($A1114,Dashboard!$A$6:$A$22,0))))</f>
        <v/>
      </c>
      <c r="AT1114" s="43">
        <f>AQ1114*INDEX(Dashboard!$Y$6:$Y$22,MATCH($A1114,Dashboard!$A$6:$A$22,0))</f>
        <v/>
      </c>
      <c r="AU1114" s="53">
        <f>IF(AND(AG1114=1,AT1114&gt;0,AF1114&gt;0),100*AF1114/AT1114,"")</f>
        <v/>
      </c>
      <c r="AV1114" s="44">
        <f>IF(AU1114="","",T1114/(AU1114/100))</f>
        <v/>
      </c>
      <c r="AW1114" s="53">
        <f>IF(AU1114="","",IF(AND(ABS(AH1114)&gt;=0.1,ABS(T1114)&gt;=0.05,SIGN(AH1114)=SIGN(T1114)),100*T1114/AH1114,""))</f>
        <v/>
      </c>
      <c r="AX1114" s="45">
        <f>IF(AU1114="","",T1114-AV1114)</f>
        <v/>
      </c>
      <c r="AY1114" s="45">
        <f>IF(AU1114="","",AH1114-AV1114)</f>
        <v/>
      </c>
      <c r="AZ1114" s="54">
        <f>(AL1114-AM1114)-T1114*AT1114</f>
        <v/>
      </c>
      <c r="BA1114" s="43">
        <f>IF(AU1114="",0,(AH1114-T1114)*AF1114)</f>
        <v/>
      </c>
      <c r="BB1114" s="43">
        <f>IF(AU1114="",0,T1114*(AF1114-AT1114))</f>
        <v/>
      </c>
      <c r="BC1114" s="51" t="n">
        <v>0.04162774612636638</v>
      </c>
      <c r="BD1114" s="51" t="n">
        <v>0.3958664603580928</v>
      </c>
      <c r="BE1114" s="51" t="n">
        <v>0.4187744229585234</v>
      </c>
      <c r="BF1114" s="43" t="n">
        <v>280486</v>
      </c>
    </row>
    <row r="1115">
      <c r="A1115" s="42" t="inlineStr">
        <is>
          <t>TX</t>
        </is>
      </c>
      <c r="B1115" s="42" t="inlineStr">
        <is>
          <t>48211</t>
        </is>
      </c>
      <c r="C1115" s="42" t="inlineStr">
        <is>
          <t>Hemphill</t>
        </is>
      </c>
      <c r="D1115" s="42" t="inlineStr">
        <is>
          <t>Small town &amp; rural</t>
        </is>
      </c>
      <c r="E1115" s="42" t="inlineStr"/>
      <c r="F1115" s="43" t="n">
        <v>190</v>
      </c>
      <c r="G1115" s="43" t="n">
        <v>1412</v>
      </c>
      <c r="H1115" s="43" t="n">
        <v>1612</v>
      </c>
      <c r="I1115" s="43" t="n">
        <v>206</v>
      </c>
      <c r="J1115" s="43" t="n">
        <v>1486</v>
      </c>
      <c r="K1115" s="42" t="inlineStr">
        <is>
          <t>Governor</t>
        </is>
      </c>
      <c r="L1115" s="43" t="n">
        <v>138</v>
      </c>
      <c r="M1115" s="43" t="n">
        <v>1198</v>
      </c>
      <c r="N1115" s="43" t="n">
        <v>1361</v>
      </c>
      <c r="O1115" s="44">
        <f>IFERROR((F1115-G1115)/(F1115+G1115),"")</f>
        <v/>
      </c>
      <c r="P1115" s="44">
        <f>IFERROR((I1115-J1115)/(I1115+J1115),"")</f>
        <v/>
      </c>
      <c r="Q1115" s="45">
        <f>IFERROR(O1115-P1115,"")</f>
        <v/>
      </c>
      <c r="R1115" s="44">
        <f>IFERROR((L1115-M1115)/(L1115+M1115),"")</f>
        <v/>
      </c>
      <c r="S1115" s="46">
        <f>H1115/SUMIFS(Counties!$H$2:$H$1583,Counties!$A$2:$A$1583,$A1115)</f>
        <v/>
      </c>
      <c r="T1115" s="44">
        <f>O1115+INDEX(Dashboard!$F$6:$F$22,MATCH($A1115,Dashboard!$A$6:$A$22,0))</f>
        <v/>
      </c>
      <c r="U1115" s="43">
        <f>AQ1115*INDEX(Dashboard!$G$6:$G$22,MATCH($A1115,Dashboard!$A$6:$A$22,0))</f>
        <v/>
      </c>
      <c r="V1115" s="47" t="n"/>
      <c r="W1115" s="47" t="n"/>
      <c r="X1115" s="47" t="n"/>
      <c r="Y1115" s="48" t="n"/>
      <c r="Z1115" s="49" t="n"/>
      <c r="AA1115" s="49" t="n"/>
      <c r="AB1115" s="49" t="n"/>
      <c r="AC1115" s="50" t="n"/>
      <c r="AD1115" s="43">
        <f>IF(Z1115&lt;&gt;"",Z1115,N(V1115))</f>
        <v/>
      </c>
      <c r="AE1115" s="43">
        <f>IF(AA1115&lt;&gt;"",AA1115,N(W1115))</f>
        <v/>
      </c>
      <c r="AF1115" s="43">
        <f>AD1115+AE1115</f>
        <v/>
      </c>
      <c r="AG1115" s="42">
        <f>IF(UPPER(AC1115)="Y",1,IF(AF1115=0,0,IF(AND(Z1115="",Y1115&lt;&gt;""),IF(Y1115&gt;=0.999,1,0),IF(AF1115&gt;=U1115,1,0))))</f>
        <v/>
      </c>
      <c r="AH1115" s="44">
        <f>IF(AF1115&gt;0,(AD1115-AE1115)/AF1115,"")</f>
        <v/>
      </c>
      <c r="AI1115" s="45">
        <f>IF(AG1115=1,AH1115-O1115,"")</f>
        <v/>
      </c>
      <c r="AJ1115" s="44">
        <f>IF(AG1115=1,AH1115,MAX(-1,MIN(1,O1115+INDEX(Types!$H:$H,MATCH($A1115&amp;"|"&amp;$D1115,Types!$A:$A,0)))))</f>
        <v/>
      </c>
      <c r="AK1115" s="43">
        <f>IF(AG1115=1,AF1115,MAX(AQ1115*AS1115,AF1115))</f>
        <v/>
      </c>
      <c r="AL1115" s="43">
        <f>IF(AG1115=1,AD1115,AK1115*(1+AJ1115)/2)</f>
        <v/>
      </c>
      <c r="AM1115" s="43">
        <f>IF(AG1115=1,AE1115,AK1115*(1-AJ1115)/2)</f>
        <v/>
      </c>
      <c r="AN1115" s="45">
        <f>IF(AH1115="","",AH1115-T1115)</f>
        <v/>
      </c>
      <c r="AO1115" s="51">
        <f>IF(AG1115=1,1,IF(U1115&gt;0,MIN(AF1115/U1115,0.99),0))</f>
        <v/>
      </c>
      <c r="AP1115" s="43">
        <f>IF(AG1115=1,AI1115*AF1115,0)</f>
        <v/>
      </c>
      <c r="AQ1115" s="43">
        <f>N1115*(F1115+G1115)/H1115</f>
        <v/>
      </c>
      <c r="AR1115" s="43">
        <f>O1115*AQ1115</f>
        <v/>
      </c>
      <c r="AS1115" s="52">
        <f>IF(AG1115=1,IF(AQ1115&gt;0,AF1115/AQ1115,1),IFERROR(INDEX(Types!$K:$K,MATCH($A1115&amp;"|"&amp;$D1115,Types!$A:$A,0)),INDEX(Dashboard!$X$6:$X$22,MATCH($A1115,Dashboard!$A$6:$A$22,0))))</f>
        <v/>
      </c>
      <c r="AT1115" s="43">
        <f>AQ1115*INDEX(Dashboard!$Y$6:$Y$22,MATCH($A1115,Dashboard!$A$6:$A$22,0))</f>
        <v/>
      </c>
      <c r="AU1115" s="53">
        <f>IF(AND(AG1115=1,AT1115&gt;0,AF1115&gt;0),100*AF1115/AT1115,"")</f>
        <v/>
      </c>
      <c r="AV1115" s="44">
        <f>IF(AU1115="","",T1115/(AU1115/100))</f>
        <v/>
      </c>
      <c r="AW1115" s="53">
        <f>IF(AU1115="","",IF(AND(ABS(AH1115)&gt;=0.1,ABS(T1115)&gt;=0.05,SIGN(AH1115)=SIGN(T1115)),100*T1115/AH1115,""))</f>
        <v/>
      </c>
      <c r="AX1115" s="45">
        <f>IF(AU1115="","",T1115-AV1115)</f>
        <v/>
      </c>
      <c r="AY1115" s="45">
        <f>IF(AU1115="","",AH1115-AV1115)</f>
        <v/>
      </c>
      <c r="AZ1115" s="54">
        <f>(AL1115-AM1115)-T1115*AT1115</f>
        <v/>
      </c>
      <c r="BA1115" s="43">
        <f>IF(AU1115="",0,(AH1115-T1115)*AF1115)</f>
        <v/>
      </c>
      <c r="BB1115" s="43">
        <f>IF(AU1115="",0,T1115*(AF1115-AT1115))</f>
        <v/>
      </c>
      <c r="BC1115" s="51" t="n">
        <v>0.007212292254625274</v>
      </c>
      <c r="BD1115" s="51" t="n">
        <v>0.3292568203198495</v>
      </c>
      <c r="BE1115" s="51" t="n">
        <v>0.2444545043005885</v>
      </c>
      <c r="BF1115" s="43" t="n">
        <v>3189</v>
      </c>
    </row>
    <row r="1116">
      <c r="A1116" s="42" t="inlineStr">
        <is>
          <t>TX</t>
        </is>
      </c>
      <c r="B1116" s="42" t="inlineStr">
        <is>
          <t>48213</t>
        </is>
      </c>
      <c r="C1116" s="42" t="inlineStr">
        <is>
          <t>Henderson</t>
        </is>
      </c>
      <c r="D1116" s="42" t="inlineStr">
        <is>
          <t>Small town &amp; rural</t>
        </is>
      </c>
      <c r="E1116" s="42" t="inlineStr"/>
      <c r="F1116" s="43" t="n">
        <v>6919</v>
      </c>
      <c r="G1116" s="43" t="n">
        <v>31379</v>
      </c>
      <c r="H1116" s="43" t="n">
        <v>38528</v>
      </c>
      <c r="I1116" s="43" t="n">
        <v>7060</v>
      </c>
      <c r="J1116" s="43" t="n">
        <v>28911</v>
      </c>
      <c r="K1116" s="42" t="inlineStr">
        <is>
          <t>Governor</t>
        </is>
      </c>
      <c r="L1116" s="43" t="n">
        <v>4798</v>
      </c>
      <c r="M1116" s="43" t="n">
        <v>22909</v>
      </c>
      <c r="N1116" s="43" t="n">
        <v>28015</v>
      </c>
      <c r="O1116" s="44">
        <f>IFERROR((F1116-G1116)/(F1116+G1116),"")</f>
        <v/>
      </c>
      <c r="P1116" s="44">
        <f>IFERROR((I1116-J1116)/(I1116+J1116),"")</f>
        <v/>
      </c>
      <c r="Q1116" s="45">
        <f>IFERROR(O1116-P1116,"")</f>
        <v/>
      </c>
      <c r="R1116" s="44">
        <f>IFERROR((L1116-M1116)/(L1116+M1116),"")</f>
        <v/>
      </c>
      <c r="S1116" s="46">
        <f>H1116/SUMIFS(Counties!$H$2:$H$1583,Counties!$A$2:$A$1583,$A1116)</f>
        <v/>
      </c>
      <c r="T1116" s="44">
        <f>O1116+INDEX(Dashboard!$F$6:$F$22,MATCH($A1116,Dashboard!$A$6:$A$22,0))</f>
        <v/>
      </c>
      <c r="U1116" s="43">
        <f>AQ1116*INDEX(Dashboard!$G$6:$G$22,MATCH($A1116,Dashboard!$A$6:$A$22,0))</f>
        <v/>
      </c>
      <c r="V1116" s="47" t="n"/>
      <c r="W1116" s="47" t="n"/>
      <c r="X1116" s="47" t="n"/>
      <c r="Y1116" s="48" t="n"/>
      <c r="Z1116" s="49" t="n"/>
      <c r="AA1116" s="49" t="n"/>
      <c r="AB1116" s="49" t="n"/>
      <c r="AC1116" s="50" t="n"/>
      <c r="AD1116" s="43">
        <f>IF(Z1116&lt;&gt;"",Z1116,N(V1116))</f>
        <v/>
      </c>
      <c r="AE1116" s="43">
        <f>IF(AA1116&lt;&gt;"",AA1116,N(W1116))</f>
        <v/>
      </c>
      <c r="AF1116" s="43">
        <f>AD1116+AE1116</f>
        <v/>
      </c>
      <c r="AG1116" s="42">
        <f>IF(UPPER(AC1116)="Y",1,IF(AF1116=0,0,IF(AND(Z1116="",Y1116&lt;&gt;""),IF(Y1116&gt;=0.999,1,0),IF(AF1116&gt;=U1116,1,0))))</f>
        <v/>
      </c>
      <c r="AH1116" s="44">
        <f>IF(AF1116&gt;0,(AD1116-AE1116)/AF1116,"")</f>
        <v/>
      </c>
      <c r="AI1116" s="45">
        <f>IF(AG1116=1,AH1116-O1116,"")</f>
        <v/>
      </c>
      <c r="AJ1116" s="44">
        <f>IF(AG1116=1,AH1116,MAX(-1,MIN(1,O1116+INDEX(Types!$H:$H,MATCH($A1116&amp;"|"&amp;$D1116,Types!$A:$A,0)))))</f>
        <v/>
      </c>
      <c r="AK1116" s="43">
        <f>IF(AG1116=1,AF1116,MAX(AQ1116*AS1116,AF1116))</f>
        <v/>
      </c>
      <c r="AL1116" s="43">
        <f>IF(AG1116=1,AD1116,AK1116*(1+AJ1116)/2)</f>
        <v/>
      </c>
      <c r="AM1116" s="43">
        <f>IF(AG1116=1,AE1116,AK1116*(1-AJ1116)/2)</f>
        <v/>
      </c>
      <c r="AN1116" s="45">
        <f>IF(AH1116="","",AH1116-T1116)</f>
        <v/>
      </c>
      <c r="AO1116" s="51">
        <f>IF(AG1116=1,1,IF(U1116&gt;0,MIN(AF1116/U1116,0.99),0))</f>
        <v/>
      </c>
      <c r="AP1116" s="43">
        <f>IF(AG1116=1,AI1116*AF1116,0)</f>
        <v/>
      </c>
      <c r="AQ1116" s="43">
        <f>N1116*(F1116+G1116)/H1116</f>
        <v/>
      </c>
      <c r="AR1116" s="43">
        <f>O1116*AQ1116</f>
        <v/>
      </c>
      <c r="AS1116" s="52">
        <f>IF(AG1116=1,IF(AQ1116&gt;0,AF1116/AQ1116,1),IFERROR(INDEX(Types!$K:$K,MATCH($A1116&amp;"|"&amp;$D1116,Types!$A:$A,0)),INDEX(Dashboard!$X$6:$X$22,MATCH($A1116,Dashboard!$A$6:$A$22,0))))</f>
        <v/>
      </c>
      <c r="AT1116" s="43">
        <f>AQ1116*INDEX(Dashboard!$Y$6:$Y$22,MATCH($A1116,Dashboard!$A$6:$A$22,0))</f>
        <v/>
      </c>
      <c r="AU1116" s="53">
        <f>IF(AND(AG1116=1,AT1116&gt;0,AF1116&gt;0),100*AF1116/AT1116,"")</f>
        <v/>
      </c>
      <c r="AV1116" s="44">
        <f>IF(AU1116="","",T1116/(AU1116/100))</f>
        <v/>
      </c>
      <c r="AW1116" s="53">
        <f>IF(AU1116="","",IF(AND(ABS(AH1116)&gt;=0.1,ABS(T1116)&gt;=0.05,SIGN(AH1116)=SIGN(T1116)),100*T1116/AH1116,""))</f>
        <v/>
      </c>
      <c r="AX1116" s="45">
        <f>IF(AU1116="","",T1116-AV1116)</f>
        <v/>
      </c>
      <c r="AY1116" s="45">
        <f>IF(AU1116="","",AH1116-AV1116)</f>
        <v/>
      </c>
      <c r="AZ1116" s="54">
        <f>(AL1116-AM1116)-T1116*AT1116</f>
        <v/>
      </c>
      <c r="BA1116" s="43">
        <f>IF(AU1116="",0,(AH1116-T1116)*AF1116)</f>
        <v/>
      </c>
      <c r="BB1116" s="43">
        <f>IF(AU1116="",0,T1116*(AF1116-AT1116))</f>
        <v/>
      </c>
      <c r="BC1116" s="51" t="n">
        <v>0.06062118433575524</v>
      </c>
      <c r="BD1116" s="51" t="n">
        <v>0.1537175886162631</v>
      </c>
      <c r="BE1116" s="51" t="n">
        <v>0.2021211916503411</v>
      </c>
      <c r="BF1116" s="43" t="n">
        <v>86158</v>
      </c>
    </row>
    <row r="1117">
      <c r="A1117" s="42" t="inlineStr">
        <is>
          <t>TX</t>
        </is>
      </c>
      <c r="B1117" s="42" t="inlineStr">
        <is>
          <t>48215</t>
        </is>
      </c>
      <c r="C1117" s="42" t="inlineStr">
        <is>
          <t>Hidalgo</t>
        </is>
      </c>
      <c r="D1117" s="42" t="inlineStr">
        <is>
          <t>Hispanic</t>
        </is>
      </c>
      <c r="E1117" s="42" t="inlineStr">
        <is>
          <t>★</t>
        </is>
      </c>
      <c r="F1117" s="43" t="n">
        <v>104517</v>
      </c>
      <c r="G1117" s="43" t="n">
        <v>110760</v>
      </c>
      <c r="H1117" s="43" t="n">
        <v>217194</v>
      </c>
      <c r="I1117" s="43" t="n">
        <v>128199</v>
      </c>
      <c r="J1117" s="43" t="n">
        <v>90527</v>
      </c>
      <c r="K1117" s="42" t="inlineStr">
        <is>
          <t>Governor</t>
        </is>
      </c>
      <c r="L1117" s="43" t="n">
        <v>82671</v>
      </c>
      <c r="M1117" s="43" t="n">
        <v>56783</v>
      </c>
      <c r="N1117" s="43" t="n">
        <v>141238</v>
      </c>
      <c r="O1117" s="44">
        <f>IFERROR((F1117-G1117)/(F1117+G1117),"")</f>
        <v/>
      </c>
      <c r="P1117" s="44">
        <f>IFERROR((I1117-J1117)/(I1117+J1117),"")</f>
        <v/>
      </c>
      <c r="Q1117" s="45">
        <f>IFERROR(O1117-P1117,"")</f>
        <v/>
      </c>
      <c r="R1117" s="44">
        <f>IFERROR((L1117-M1117)/(L1117+M1117),"")</f>
        <v/>
      </c>
      <c r="S1117" s="46">
        <f>H1117/SUMIFS(Counties!$H$2:$H$1583,Counties!$A$2:$A$1583,$A1117)</f>
        <v/>
      </c>
      <c r="T1117" s="44">
        <f>O1117+INDEX(Dashboard!$F$6:$F$22,MATCH($A1117,Dashboard!$A$6:$A$22,0))</f>
        <v/>
      </c>
      <c r="U1117" s="43">
        <f>AQ1117*INDEX(Dashboard!$G$6:$G$22,MATCH($A1117,Dashboard!$A$6:$A$22,0))</f>
        <v/>
      </c>
      <c r="V1117" s="47" t="n"/>
      <c r="W1117" s="47" t="n"/>
      <c r="X1117" s="47" t="n"/>
      <c r="Y1117" s="48" t="n"/>
      <c r="Z1117" s="49" t="n"/>
      <c r="AA1117" s="49" t="n"/>
      <c r="AB1117" s="49" t="n"/>
      <c r="AC1117" s="50" t="n"/>
      <c r="AD1117" s="43">
        <f>IF(Z1117&lt;&gt;"",Z1117,N(V1117))</f>
        <v/>
      </c>
      <c r="AE1117" s="43">
        <f>IF(AA1117&lt;&gt;"",AA1117,N(W1117))</f>
        <v/>
      </c>
      <c r="AF1117" s="43">
        <f>AD1117+AE1117</f>
        <v/>
      </c>
      <c r="AG1117" s="42">
        <f>IF(UPPER(AC1117)="Y",1,IF(AF1117=0,0,IF(AND(Z1117="",Y1117&lt;&gt;""),IF(Y1117&gt;=0.999,1,0),IF(AF1117&gt;=U1117,1,0))))</f>
        <v/>
      </c>
      <c r="AH1117" s="44">
        <f>IF(AF1117&gt;0,(AD1117-AE1117)/AF1117,"")</f>
        <v/>
      </c>
      <c r="AI1117" s="45">
        <f>IF(AG1117=1,AH1117-O1117,"")</f>
        <v/>
      </c>
      <c r="AJ1117" s="44">
        <f>IF(AG1117=1,AH1117,MAX(-1,MIN(1,O1117+INDEX(Types!$H:$H,MATCH($A1117&amp;"|"&amp;$D1117,Types!$A:$A,0)))))</f>
        <v/>
      </c>
      <c r="AK1117" s="43">
        <f>IF(AG1117=1,AF1117,MAX(AQ1117*AS1117,AF1117))</f>
        <v/>
      </c>
      <c r="AL1117" s="43">
        <f>IF(AG1117=1,AD1117,AK1117*(1+AJ1117)/2)</f>
        <v/>
      </c>
      <c r="AM1117" s="43">
        <f>IF(AG1117=1,AE1117,AK1117*(1-AJ1117)/2)</f>
        <v/>
      </c>
      <c r="AN1117" s="45">
        <f>IF(AH1117="","",AH1117-T1117)</f>
        <v/>
      </c>
      <c r="AO1117" s="51">
        <f>IF(AG1117=1,1,IF(U1117&gt;0,MIN(AF1117/U1117,0.99),0))</f>
        <v/>
      </c>
      <c r="AP1117" s="43">
        <f>IF(AG1117=1,AI1117*AF1117,0)</f>
        <v/>
      </c>
      <c r="AQ1117" s="43">
        <f>N1117*(F1117+G1117)/H1117</f>
        <v/>
      </c>
      <c r="AR1117" s="43">
        <f>O1117*AQ1117</f>
        <v/>
      </c>
      <c r="AS1117" s="52">
        <f>IF(AG1117=1,IF(AQ1117&gt;0,AF1117/AQ1117,1),IFERROR(INDEX(Types!$K:$K,MATCH($A1117&amp;"|"&amp;$D1117,Types!$A:$A,0)),INDEX(Dashboard!$X$6:$X$22,MATCH($A1117,Dashboard!$A$6:$A$22,0))))</f>
        <v/>
      </c>
      <c r="AT1117" s="43">
        <f>AQ1117*INDEX(Dashboard!$Y$6:$Y$22,MATCH($A1117,Dashboard!$A$6:$A$22,0))</f>
        <v/>
      </c>
      <c r="AU1117" s="53">
        <f>IF(AND(AG1117=1,AT1117&gt;0,AF1117&gt;0),100*AF1117/AT1117,"")</f>
        <v/>
      </c>
      <c r="AV1117" s="44">
        <f>IF(AU1117="","",T1117/(AU1117/100))</f>
        <v/>
      </c>
      <c r="AW1117" s="53">
        <f>IF(AU1117="","",IF(AND(ABS(AH1117)&gt;=0.1,ABS(T1117)&gt;=0.05,SIGN(AH1117)=SIGN(T1117)),100*T1117/AH1117,""))</f>
        <v/>
      </c>
      <c r="AX1117" s="45">
        <f>IF(AU1117="","",T1117-AV1117)</f>
        <v/>
      </c>
      <c r="AY1117" s="45">
        <f>IF(AU1117="","",AH1117-AV1117)</f>
        <v/>
      </c>
      <c r="AZ1117" s="54">
        <f>(AL1117-AM1117)-T1117*AT1117</f>
        <v/>
      </c>
      <c r="BA1117" s="43">
        <f>IF(AU1117="",0,(AH1117-T1117)*AF1117)</f>
        <v/>
      </c>
      <c r="BB1117" s="43">
        <f>IF(AU1117="",0,T1117*(AF1117-AT1117))</f>
        <v/>
      </c>
      <c r="BC1117" s="51" t="n">
        <v>0.00646431548708862</v>
      </c>
      <c r="BD1117" s="51" t="n">
        <v>0.9193841537456412</v>
      </c>
      <c r="BE1117" s="51" t="n">
        <v>0.2032666694303464</v>
      </c>
      <c r="BF1117" s="43" t="n">
        <v>898471</v>
      </c>
    </row>
    <row r="1118">
      <c r="A1118" s="42" t="inlineStr">
        <is>
          <t>TX</t>
        </is>
      </c>
      <c r="B1118" s="42" t="inlineStr">
        <is>
          <t>48217</t>
        </is>
      </c>
      <c r="C1118" s="42" t="inlineStr">
        <is>
          <t>Hill</t>
        </is>
      </c>
      <c r="D1118" s="42" t="inlineStr">
        <is>
          <t>Small town &amp; rural</t>
        </is>
      </c>
      <c r="E1118" s="42" t="inlineStr"/>
      <c r="F1118" s="43" t="n">
        <v>2919</v>
      </c>
      <c r="G1118" s="43" t="n">
        <v>13669</v>
      </c>
      <c r="H1118" s="43" t="n">
        <v>16703</v>
      </c>
      <c r="I1118" s="43" t="n">
        <v>2860</v>
      </c>
      <c r="J1118" s="43" t="n">
        <v>11926</v>
      </c>
      <c r="K1118" s="42" t="inlineStr">
        <is>
          <t>Governor</t>
        </is>
      </c>
      <c r="L1118" s="43" t="n">
        <v>1830</v>
      </c>
      <c r="M1118" s="43" t="n">
        <v>9418</v>
      </c>
      <c r="N1118" s="43" t="n">
        <v>11385</v>
      </c>
      <c r="O1118" s="44">
        <f>IFERROR((F1118-G1118)/(F1118+G1118),"")</f>
        <v/>
      </c>
      <c r="P1118" s="44">
        <f>IFERROR((I1118-J1118)/(I1118+J1118),"")</f>
        <v/>
      </c>
      <c r="Q1118" s="45">
        <f>IFERROR(O1118-P1118,"")</f>
        <v/>
      </c>
      <c r="R1118" s="44">
        <f>IFERROR((L1118-M1118)/(L1118+M1118),"")</f>
        <v/>
      </c>
      <c r="S1118" s="46">
        <f>H1118/SUMIFS(Counties!$H$2:$H$1583,Counties!$A$2:$A$1583,$A1118)</f>
        <v/>
      </c>
      <c r="T1118" s="44">
        <f>O1118+INDEX(Dashboard!$F$6:$F$22,MATCH($A1118,Dashboard!$A$6:$A$22,0))</f>
        <v/>
      </c>
      <c r="U1118" s="43">
        <f>AQ1118*INDEX(Dashboard!$G$6:$G$22,MATCH($A1118,Dashboard!$A$6:$A$22,0))</f>
        <v/>
      </c>
      <c r="V1118" s="47" t="n"/>
      <c r="W1118" s="47" t="n"/>
      <c r="X1118" s="47" t="n"/>
      <c r="Y1118" s="48" t="n"/>
      <c r="Z1118" s="49" t="n"/>
      <c r="AA1118" s="49" t="n"/>
      <c r="AB1118" s="49" t="n"/>
      <c r="AC1118" s="50" t="n"/>
      <c r="AD1118" s="43">
        <f>IF(Z1118&lt;&gt;"",Z1118,N(V1118))</f>
        <v/>
      </c>
      <c r="AE1118" s="43">
        <f>IF(AA1118&lt;&gt;"",AA1118,N(W1118))</f>
        <v/>
      </c>
      <c r="AF1118" s="43">
        <f>AD1118+AE1118</f>
        <v/>
      </c>
      <c r="AG1118" s="42">
        <f>IF(UPPER(AC1118)="Y",1,IF(AF1118=0,0,IF(AND(Z1118="",Y1118&lt;&gt;""),IF(Y1118&gt;=0.999,1,0),IF(AF1118&gt;=U1118,1,0))))</f>
        <v/>
      </c>
      <c r="AH1118" s="44">
        <f>IF(AF1118&gt;0,(AD1118-AE1118)/AF1118,"")</f>
        <v/>
      </c>
      <c r="AI1118" s="45">
        <f>IF(AG1118=1,AH1118-O1118,"")</f>
        <v/>
      </c>
      <c r="AJ1118" s="44">
        <f>IF(AG1118=1,AH1118,MAX(-1,MIN(1,O1118+INDEX(Types!$H:$H,MATCH($A1118&amp;"|"&amp;$D1118,Types!$A:$A,0)))))</f>
        <v/>
      </c>
      <c r="AK1118" s="43">
        <f>IF(AG1118=1,AF1118,MAX(AQ1118*AS1118,AF1118))</f>
        <v/>
      </c>
      <c r="AL1118" s="43">
        <f>IF(AG1118=1,AD1118,AK1118*(1+AJ1118)/2)</f>
        <v/>
      </c>
      <c r="AM1118" s="43">
        <f>IF(AG1118=1,AE1118,AK1118*(1-AJ1118)/2)</f>
        <v/>
      </c>
      <c r="AN1118" s="45">
        <f>IF(AH1118="","",AH1118-T1118)</f>
        <v/>
      </c>
      <c r="AO1118" s="51">
        <f>IF(AG1118=1,1,IF(U1118&gt;0,MIN(AF1118/U1118,0.99),0))</f>
        <v/>
      </c>
      <c r="AP1118" s="43">
        <f>IF(AG1118=1,AI1118*AF1118,0)</f>
        <v/>
      </c>
      <c r="AQ1118" s="43">
        <f>N1118*(F1118+G1118)/H1118</f>
        <v/>
      </c>
      <c r="AR1118" s="43">
        <f>O1118*AQ1118</f>
        <v/>
      </c>
      <c r="AS1118" s="52">
        <f>IF(AG1118=1,IF(AQ1118&gt;0,AF1118/AQ1118,1),IFERROR(INDEX(Types!$K:$K,MATCH($A1118&amp;"|"&amp;$D1118,Types!$A:$A,0)),INDEX(Dashboard!$X$6:$X$22,MATCH($A1118,Dashboard!$A$6:$A$22,0))))</f>
        <v/>
      </c>
      <c r="AT1118" s="43">
        <f>AQ1118*INDEX(Dashboard!$Y$6:$Y$22,MATCH($A1118,Dashboard!$A$6:$A$22,0))</f>
        <v/>
      </c>
      <c r="AU1118" s="53">
        <f>IF(AND(AG1118=1,AT1118&gt;0,AF1118&gt;0),100*AF1118/AT1118,"")</f>
        <v/>
      </c>
      <c r="AV1118" s="44">
        <f>IF(AU1118="","",T1118/(AU1118/100))</f>
        <v/>
      </c>
      <c r="AW1118" s="53">
        <f>IF(AU1118="","",IF(AND(ABS(AH1118)&gt;=0.1,ABS(T1118)&gt;=0.05,SIGN(AH1118)=SIGN(T1118)),100*T1118/AH1118,""))</f>
        <v/>
      </c>
      <c r="AX1118" s="45">
        <f>IF(AU1118="","",T1118-AV1118)</f>
        <v/>
      </c>
      <c r="AY1118" s="45">
        <f>IF(AU1118="","",AH1118-AV1118)</f>
        <v/>
      </c>
      <c r="AZ1118" s="54">
        <f>(AL1118-AM1118)-T1118*AT1118</f>
        <v/>
      </c>
      <c r="BA1118" s="43">
        <f>IF(AU1118="",0,(AH1118-T1118)*AF1118)</f>
        <v/>
      </c>
      <c r="BB1118" s="43">
        <f>IF(AU1118="",0,T1118*(AF1118-AT1118))</f>
        <v/>
      </c>
      <c r="BC1118" s="51" t="n">
        <v>0.05572032230125194</v>
      </c>
      <c r="BD1118" s="51" t="n">
        <v>0.2347444948951471</v>
      </c>
      <c r="BE1118" s="51" t="n">
        <v>0.1845240466988086</v>
      </c>
      <c r="BF1118" s="43" t="n">
        <v>38101</v>
      </c>
    </row>
    <row r="1119">
      <c r="A1119" s="42" t="inlineStr">
        <is>
          <t>TX</t>
        </is>
      </c>
      <c r="B1119" s="42" t="inlineStr">
        <is>
          <t>48219</t>
        </is>
      </c>
      <c r="C1119" s="42" t="inlineStr">
        <is>
          <t>Hockley</t>
        </is>
      </c>
      <c r="D1119" s="42" t="inlineStr">
        <is>
          <t>Hispanic</t>
        </is>
      </c>
      <c r="E1119" s="42" t="inlineStr"/>
      <c r="F1119" s="43" t="n">
        <v>1323</v>
      </c>
      <c r="G1119" s="43" t="n">
        <v>6616</v>
      </c>
      <c r="H1119" s="43" t="n">
        <v>7987</v>
      </c>
      <c r="I1119" s="43" t="n">
        <v>1482</v>
      </c>
      <c r="J1119" s="43" t="n">
        <v>6536</v>
      </c>
      <c r="K1119" s="42" t="inlineStr">
        <is>
          <t>Governor</t>
        </is>
      </c>
      <c r="L1119" s="43" t="n">
        <v>786</v>
      </c>
      <c r="M1119" s="43" t="n">
        <v>4690</v>
      </c>
      <c r="N1119" s="43" t="n">
        <v>5534</v>
      </c>
      <c r="O1119" s="44">
        <f>IFERROR((F1119-G1119)/(F1119+G1119),"")</f>
        <v/>
      </c>
      <c r="P1119" s="44">
        <f>IFERROR((I1119-J1119)/(I1119+J1119),"")</f>
        <v/>
      </c>
      <c r="Q1119" s="45">
        <f>IFERROR(O1119-P1119,"")</f>
        <v/>
      </c>
      <c r="R1119" s="44">
        <f>IFERROR((L1119-M1119)/(L1119+M1119),"")</f>
        <v/>
      </c>
      <c r="S1119" s="46">
        <f>H1119/SUMIFS(Counties!$H$2:$H$1583,Counties!$A$2:$A$1583,$A1119)</f>
        <v/>
      </c>
      <c r="T1119" s="44">
        <f>O1119+INDEX(Dashboard!$F$6:$F$22,MATCH($A1119,Dashboard!$A$6:$A$22,0))</f>
        <v/>
      </c>
      <c r="U1119" s="43">
        <f>AQ1119*INDEX(Dashboard!$G$6:$G$22,MATCH($A1119,Dashboard!$A$6:$A$22,0))</f>
        <v/>
      </c>
      <c r="V1119" s="47" t="n"/>
      <c r="W1119" s="47" t="n"/>
      <c r="X1119" s="47" t="n"/>
      <c r="Y1119" s="48" t="n"/>
      <c r="Z1119" s="49" t="n"/>
      <c r="AA1119" s="49" t="n"/>
      <c r="AB1119" s="49" t="n"/>
      <c r="AC1119" s="50" t="n"/>
      <c r="AD1119" s="43">
        <f>IF(Z1119&lt;&gt;"",Z1119,N(V1119))</f>
        <v/>
      </c>
      <c r="AE1119" s="43">
        <f>IF(AA1119&lt;&gt;"",AA1119,N(W1119))</f>
        <v/>
      </c>
      <c r="AF1119" s="43">
        <f>AD1119+AE1119</f>
        <v/>
      </c>
      <c r="AG1119" s="42">
        <f>IF(UPPER(AC1119)="Y",1,IF(AF1119=0,0,IF(AND(Z1119="",Y1119&lt;&gt;""),IF(Y1119&gt;=0.999,1,0),IF(AF1119&gt;=U1119,1,0))))</f>
        <v/>
      </c>
      <c r="AH1119" s="44">
        <f>IF(AF1119&gt;0,(AD1119-AE1119)/AF1119,"")</f>
        <v/>
      </c>
      <c r="AI1119" s="45">
        <f>IF(AG1119=1,AH1119-O1119,"")</f>
        <v/>
      </c>
      <c r="AJ1119" s="44">
        <f>IF(AG1119=1,AH1119,MAX(-1,MIN(1,O1119+INDEX(Types!$H:$H,MATCH($A1119&amp;"|"&amp;$D1119,Types!$A:$A,0)))))</f>
        <v/>
      </c>
      <c r="AK1119" s="43">
        <f>IF(AG1119=1,AF1119,MAX(AQ1119*AS1119,AF1119))</f>
        <v/>
      </c>
      <c r="AL1119" s="43">
        <f>IF(AG1119=1,AD1119,AK1119*(1+AJ1119)/2)</f>
        <v/>
      </c>
      <c r="AM1119" s="43">
        <f>IF(AG1119=1,AE1119,AK1119*(1-AJ1119)/2)</f>
        <v/>
      </c>
      <c r="AN1119" s="45">
        <f>IF(AH1119="","",AH1119-T1119)</f>
        <v/>
      </c>
      <c r="AO1119" s="51">
        <f>IF(AG1119=1,1,IF(U1119&gt;0,MIN(AF1119/U1119,0.99),0))</f>
        <v/>
      </c>
      <c r="AP1119" s="43">
        <f>IF(AG1119=1,AI1119*AF1119,0)</f>
        <v/>
      </c>
      <c r="AQ1119" s="43">
        <f>N1119*(F1119+G1119)/H1119</f>
        <v/>
      </c>
      <c r="AR1119" s="43">
        <f>O1119*AQ1119</f>
        <v/>
      </c>
      <c r="AS1119" s="52">
        <f>IF(AG1119=1,IF(AQ1119&gt;0,AF1119/AQ1119,1),IFERROR(INDEX(Types!$K:$K,MATCH($A1119&amp;"|"&amp;$D1119,Types!$A:$A,0)),INDEX(Dashboard!$X$6:$X$22,MATCH($A1119,Dashboard!$A$6:$A$22,0))))</f>
        <v/>
      </c>
      <c r="AT1119" s="43">
        <f>AQ1119*INDEX(Dashboard!$Y$6:$Y$22,MATCH($A1119,Dashboard!$A$6:$A$22,0))</f>
        <v/>
      </c>
      <c r="AU1119" s="53">
        <f>IF(AND(AG1119=1,AT1119&gt;0,AF1119&gt;0),100*AF1119/AT1119,"")</f>
        <v/>
      </c>
      <c r="AV1119" s="44">
        <f>IF(AU1119="","",T1119/(AU1119/100))</f>
        <v/>
      </c>
      <c r="AW1119" s="53">
        <f>IF(AU1119="","",IF(AND(ABS(AH1119)&gt;=0.1,ABS(T1119)&gt;=0.05,SIGN(AH1119)=SIGN(T1119)),100*T1119/AH1119,""))</f>
        <v/>
      </c>
      <c r="AX1119" s="45">
        <f>IF(AU1119="","",T1119-AV1119)</f>
        <v/>
      </c>
      <c r="AY1119" s="45">
        <f>IF(AU1119="","",AH1119-AV1119)</f>
        <v/>
      </c>
      <c r="AZ1119" s="54">
        <f>(AL1119-AM1119)-T1119*AT1119</f>
        <v/>
      </c>
      <c r="BA1119" s="43">
        <f>IF(AU1119="",0,(AH1119-T1119)*AF1119)</f>
        <v/>
      </c>
      <c r="BB1119" s="43">
        <f>IF(AU1119="",0,T1119*(AF1119-AT1119))</f>
        <v/>
      </c>
      <c r="BC1119" s="51" t="n">
        <v>0.0331314072693383</v>
      </c>
      <c r="BD1119" s="51" t="n">
        <v>0.498928238583411</v>
      </c>
      <c r="BE1119" s="51" t="n">
        <v>0.1831325301204819</v>
      </c>
      <c r="BF1119" s="43" t="n">
        <v>21460</v>
      </c>
    </row>
    <row r="1120">
      <c r="A1120" s="42" t="inlineStr">
        <is>
          <t>TX</t>
        </is>
      </c>
      <c r="B1120" s="42" t="inlineStr">
        <is>
          <t>48221</t>
        </is>
      </c>
      <c r="C1120" s="42" t="inlineStr">
        <is>
          <t>Hood</t>
        </is>
      </c>
      <c r="D1120" s="42" t="inlineStr">
        <is>
          <t>Small town &amp; rural</t>
        </is>
      </c>
      <c r="E1120" s="42" t="inlineStr"/>
      <c r="F1120" s="43" t="n">
        <v>6070</v>
      </c>
      <c r="G1120" s="43" t="n">
        <v>30174</v>
      </c>
      <c r="H1120" s="43" t="n">
        <v>36538</v>
      </c>
      <c r="I1120" s="43" t="n">
        <v>5648</v>
      </c>
      <c r="J1120" s="43" t="n">
        <v>26496</v>
      </c>
      <c r="K1120" s="42" t="inlineStr">
        <is>
          <t>Governor</t>
        </is>
      </c>
      <c r="L1120" s="43" t="n">
        <v>4301</v>
      </c>
      <c r="M1120" s="43" t="n">
        <v>22596</v>
      </c>
      <c r="N1120" s="43" t="n">
        <v>27243</v>
      </c>
      <c r="O1120" s="44">
        <f>IFERROR((F1120-G1120)/(F1120+G1120),"")</f>
        <v/>
      </c>
      <c r="P1120" s="44">
        <f>IFERROR((I1120-J1120)/(I1120+J1120),"")</f>
        <v/>
      </c>
      <c r="Q1120" s="45">
        <f>IFERROR(O1120-P1120,"")</f>
        <v/>
      </c>
      <c r="R1120" s="44">
        <f>IFERROR((L1120-M1120)/(L1120+M1120),"")</f>
        <v/>
      </c>
      <c r="S1120" s="46">
        <f>H1120/SUMIFS(Counties!$H$2:$H$1583,Counties!$A$2:$A$1583,$A1120)</f>
        <v/>
      </c>
      <c r="T1120" s="44">
        <f>O1120+INDEX(Dashboard!$F$6:$F$22,MATCH($A1120,Dashboard!$A$6:$A$22,0))</f>
        <v/>
      </c>
      <c r="U1120" s="43">
        <f>AQ1120*INDEX(Dashboard!$G$6:$G$22,MATCH($A1120,Dashboard!$A$6:$A$22,0))</f>
        <v/>
      </c>
      <c r="V1120" s="47" t="n"/>
      <c r="W1120" s="47" t="n"/>
      <c r="X1120" s="47" t="n"/>
      <c r="Y1120" s="48" t="n"/>
      <c r="Z1120" s="49" t="n"/>
      <c r="AA1120" s="49" t="n"/>
      <c r="AB1120" s="49" t="n"/>
      <c r="AC1120" s="50" t="n"/>
      <c r="AD1120" s="43">
        <f>IF(Z1120&lt;&gt;"",Z1120,N(V1120))</f>
        <v/>
      </c>
      <c r="AE1120" s="43">
        <f>IF(AA1120&lt;&gt;"",AA1120,N(W1120))</f>
        <v/>
      </c>
      <c r="AF1120" s="43">
        <f>AD1120+AE1120</f>
        <v/>
      </c>
      <c r="AG1120" s="42">
        <f>IF(UPPER(AC1120)="Y",1,IF(AF1120=0,0,IF(AND(Z1120="",Y1120&lt;&gt;""),IF(Y1120&gt;=0.999,1,0),IF(AF1120&gt;=U1120,1,0))))</f>
        <v/>
      </c>
      <c r="AH1120" s="44">
        <f>IF(AF1120&gt;0,(AD1120-AE1120)/AF1120,"")</f>
        <v/>
      </c>
      <c r="AI1120" s="45">
        <f>IF(AG1120=1,AH1120-O1120,"")</f>
        <v/>
      </c>
      <c r="AJ1120" s="44">
        <f>IF(AG1120=1,AH1120,MAX(-1,MIN(1,O1120+INDEX(Types!$H:$H,MATCH($A1120&amp;"|"&amp;$D1120,Types!$A:$A,0)))))</f>
        <v/>
      </c>
      <c r="AK1120" s="43">
        <f>IF(AG1120=1,AF1120,MAX(AQ1120*AS1120,AF1120))</f>
        <v/>
      </c>
      <c r="AL1120" s="43">
        <f>IF(AG1120=1,AD1120,AK1120*(1+AJ1120)/2)</f>
        <v/>
      </c>
      <c r="AM1120" s="43">
        <f>IF(AG1120=1,AE1120,AK1120*(1-AJ1120)/2)</f>
        <v/>
      </c>
      <c r="AN1120" s="45">
        <f>IF(AH1120="","",AH1120-T1120)</f>
        <v/>
      </c>
      <c r="AO1120" s="51">
        <f>IF(AG1120=1,1,IF(U1120&gt;0,MIN(AF1120/U1120,0.99),0))</f>
        <v/>
      </c>
      <c r="AP1120" s="43">
        <f>IF(AG1120=1,AI1120*AF1120,0)</f>
        <v/>
      </c>
      <c r="AQ1120" s="43">
        <f>N1120*(F1120+G1120)/H1120</f>
        <v/>
      </c>
      <c r="AR1120" s="43">
        <f>O1120*AQ1120</f>
        <v/>
      </c>
      <c r="AS1120" s="52">
        <f>IF(AG1120=1,IF(AQ1120&gt;0,AF1120/AQ1120,1),IFERROR(INDEX(Types!$K:$K,MATCH($A1120&amp;"|"&amp;$D1120,Types!$A:$A,0)),INDEX(Dashboard!$X$6:$X$22,MATCH($A1120,Dashboard!$A$6:$A$22,0))))</f>
        <v/>
      </c>
      <c r="AT1120" s="43">
        <f>AQ1120*INDEX(Dashboard!$Y$6:$Y$22,MATCH($A1120,Dashboard!$A$6:$A$22,0))</f>
        <v/>
      </c>
      <c r="AU1120" s="53">
        <f>IF(AND(AG1120=1,AT1120&gt;0,AF1120&gt;0),100*AF1120/AT1120,"")</f>
        <v/>
      </c>
      <c r="AV1120" s="44">
        <f>IF(AU1120="","",T1120/(AU1120/100))</f>
        <v/>
      </c>
      <c r="AW1120" s="53">
        <f>IF(AU1120="","",IF(AND(ABS(AH1120)&gt;=0.1,ABS(T1120)&gt;=0.05,SIGN(AH1120)=SIGN(T1120)),100*T1120/AH1120,""))</f>
        <v/>
      </c>
      <c r="AX1120" s="45">
        <f>IF(AU1120="","",T1120-AV1120)</f>
        <v/>
      </c>
      <c r="AY1120" s="45">
        <f>IF(AU1120="","",AH1120-AV1120)</f>
        <v/>
      </c>
      <c r="AZ1120" s="54">
        <f>(AL1120-AM1120)-T1120*AT1120</f>
        <v/>
      </c>
      <c r="BA1120" s="43">
        <f>IF(AU1120="",0,(AH1120-T1120)*AF1120)</f>
        <v/>
      </c>
      <c r="BB1120" s="43">
        <f>IF(AU1120="",0,T1120*(AF1120-AT1120))</f>
        <v/>
      </c>
      <c r="BC1120" s="51" t="n">
        <v>0.01305810487797681</v>
      </c>
      <c r="BD1120" s="51" t="n">
        <v>0.1418095434827515</v>
      </c>
      <c r="BE1120" s="51" t="n">
        <v>0.3240689152702181</v>
      </c>
      <c r="BF1120" s="43" t="n">
        <v>67774</v>
      </c>
    </row>
    <row r="1121">
      <c r="A1121" s="42" t="inlineStr">
        <is>
          <t>TX</t>
        </is>
      </c>
      <c r="B1121" s="42" t="inlineStr">
        <is>
          <t>48223</t>
        </is>
      </c>
      <c r="C1121" s="42" t="inlineStr">
        <is>
          <t>Hopkins</t>
        </is>
      </c>
      <c r="D1121" s="42" t="inlineStr">
        <is>
          <t>Small town &amp; rural</t>
        </is>
      </c>
      <c r="E1121" s="42" t="inlineStr"/>
      <c r="F1121" s="43" t="n">
        <v>2917</v>
      </c>
      <c r="G1121" s="43" t="n">
        <v>13754</v>
      </c>
      <c r="H1121" s="43" t="n">
        <v>16773</v>
      </c>
      <c r="I1121" s="43" t="n">
        <v>3046</v>
      </c>
      <c r="J1121" s="43" t="n">
        <v>12719</v>
      </c>
      <c r="K1121" s="42" t="inlineStr">
        <is>
          <t>Governor</t>
        </is>
      </c>
      <c r="L1121" s="43" t="n">
        <v>1999</v>
      </c>
      <c r="M1121" s="43" t="n">
        <v>10223</v>
      </c>
      <c r="N1121" s="43" t="n">
        <v>12351</v>
      </c>
      <c r="O1121" s="44">
        <f>IFERROR((F1121-G1121)/(F1121+G1121),"")</f>
        <v/>
      </c>
      <c r="P1121" s="44">
        <f>IFERROR((I1121-J1121)/(I1121+J1121),"")</f>
        <v/>
      </c>
      <c r="Q1121" s="45">
        <f>IFERROR(O1121-P1121,"")</f>
        <v/>
      </c>
      <c r="R1121" s="44">
        <f>IFERROR((L1121-M1121)/(L1121+M1121),"")</f>
        <v/>
      </c>
      <c r="S1121" s="46">
        <f>H1121/SUMIFS(Counties!$H$2:$H$1583,Counties!$A$2:$A$1583,$A1121)</f>
        <v/>
      </c>
      <c r="T1121" s="44">
        <f>O1121+INDEX(Dashboard!$F$6:$F$22,MATCH($A1121,Dashboard!$A$6:$A$22,0))</f>
        <v/>
      </c>
      <c r="U1121" s="43">
        <f>AQ1121*INDEX(Dashboard!$G$6:$G$22,MATCH($A1121,Dashboard!$A$6:$A$22,0))</f>
        <v/>
      </c>
      <c r="V1121" s="47" t="n"/>
      <c r="W1121" s="47" t="n"/>
      <c r="X1121" s="47" t="n"/>
      <c r="Y1121" s="48" t="n"/>
      <c r="Z1121" s="49" t="n"/>
      <c r="AA1121" s="49" t="n"/>
      <c r="AB1121" s="49" t="n"/>
      <c r="AC1121" s="50" t="n"/>
      <c r="AD1121" s="43">
        <f>IF(Z1121&lt;&gt;"",Z1121,N(V1121))</f>
        <v/>
      </c>
      <c r="AE1121" s="43">
        <f>IF(AA1121&lt;&gt;"",AA1121,N(W1121))</f>
        <v/>
      </c>
      <c r="AF1121" s="43">
        <f>AD1121+AE1121</f>
        <v/>
      </c>
      <c r="AG1121" s="42">
        <f>IF(UPPER(AC1121)="Y",1,IF(AF1121=0,0,IF(AND(Z1121="",Y1121&lt;&gt;""),IF(Y1121&gt;=0.999,1,0),IF(AF1121&gt;=U1121,1,0))))</f>
        <v/>
      </c>
      <c r="AH1121" s="44">
        <f>IF(AF1121&gt;0,(AD1121-AE1121)/AF1121,"")</f>
        <v/>
      </c>
      <c r="AI1121" s="45">
        <f>IF(AG1121=1,AH1121-O1121,"")</f>
        <v/>
      </c>
      <c r="AJ1121" s="44">
        <f>IF(AG1121=1,AH1121,MAX(-1,MIN(1,O1121+INDEX(Types!$H:$H,MATCH($A1121&amp;"|"&amp;$D1121,Types!$A:$A,0)))))</f>
        <v/>
      </c>
      <c r="AK1121" s="43">
        <f>IF(AG1121=1,AF1121,MAX(AQ1121*AS1121,AF1121))</f>
        <v/>
      </c>
      <c r="AL1121" s="43">
        <f>IF(AG1121=1,AD1121,AK1121*(1+AJ1121)/2)</f>
        <v/>
      </c>
      <c r="AM1121" s="43">
        <f>IF(AG1121=1,AE1121,AK1121*(1-AJ1121)/2)</f>
        <v/>
      </c>
      <c r="AN1121" s="45">
        <f>IF(AH1121="","",AH1121-T1121)</f>
        <v/>
      </c>
      <c r="AO1121" s="51">
        <f>IF(AG1121=1,1,IF(U1121&gt;0,MIN(AF1121/U1121,0.99),0))</f>
        <v/>
      </c>
      <c r="AP1121" s="43">
        <f>IF(AG1121=1,AI1121*AF1121,0)</f>
        <v/>
      </c>
      <c r="AQ1121" s="43">
        <f>N1121*(F1121+G1121)/H1121</f>
        <v/>
      </c>
      <c r="AR1121" s="43">
        <f>O1121*AQ1121</f>
        <v/>
      </c>
      <c r="AS1121" s="52">
        <f>IF(AG1121=1,IF(AQ1121&gt;0,AF1121/AQ1121,1),IFERROR(INDEX(Types!$K:$K,MATCH($A1121&amp;"|"&amp;$D1121,Types!$A:$A,0)),INDEX(Dashboard!$X$6:$X$22,MATCH($A1121,Dashboard!$A$6:$A$22,0))))</f>
        <v/>
      </c>
      <c r="AT1121" s="43">
        <f>AQ1121*INDEX(Dashboard!$Y$6:$Y$22,MATCH($A1121,Dashboard!$A$6:$A$22,0))</f>
        <v/>
      </c>
      <c r="AU1121" s="53">
        <f>IF(AND(AG1121=1,AT1121&gt;0,AF1121&gt;0),100*AF1121/AT1121,"")</f>
        <v/>
      </c>
      <c r="AV1121" s="44">
        <f>IF(AU1121="","",T1121/(AU1121/100))</f>
        <v/>
      </c>
      <c r="AW1121" s="53">
        <f>IF(AU1121="","",IF(AND(ABS(AH1121)&gt;=0.1,ABS(T1121)&gt;=0.05,SIGN(AH1121)=SIGN(T1121)),100*T1121/AH1121,""))</f>
        <v/>
      </c>
      <c r="AX1121" s="45">
        <f>IF(AU1121="","",T1121-AV1121)</f>
        <v/>
      </c>
      <c r="AY1121" s="45">
        <f>IF(AU1121="","",AH1121-AV1121)</f>
        <v/>
      </c>
      <c r="AZ1121" s="54">
        <f>(AL1121-AM1121)-T1121*AT1121</f>
        <v/>
      </c>
      <c r="BA1121" s="43">
        <f>IF(AU1121="",0,(AH1121-T1121)*AF1121)</f>
        <v/>
      </c>
      <c r="BB1121" s="43">
        <f>IF(AU1121="",0,T1121*(AF1121-AT1121))</f>
        <v/>
      </c>
      <c r="BC1121" s="51" t="n">
        <v>0.06669810332180656</v>
      </c>
      <c r="BD1121" s="51" t="n">
        <v>0.1924709210939956</v>
      </c>
      <c r="BE1121" s="51" t="n">
        <v>0.2002854990285103</v>
      </c>
      <c r="BF1121" s="43" t="n">
        <v>38172</v>
      </c>
    </row>
    <row r="1122">
      <c r="A1122" s="42" t="inlineStr">
        <is>
          <t>TX</t>
        </is>
      </c>
      <c r="B1122" s="42" t="inlineStr">
        <is>
          <t>48225</t>
        </is>
      </c>
      <c r="C1122" s="42" t="inlineStr">
        <is>
          <t>Houston</t>
        </is>
      </c>
      <c r="D1122" s="42" t="inlineStr">
        <is>
          <t>Small town &amp; rural</t>
        </is>
      </c>
      <c r="E1122" s="42" t="inlineStr"/>
      <c r="F1122" s="43" t="n">
        <v>2065</v>
      </c>
      <c r="G1122" s="43" t="n">
        <v>7247</v>
      </c>
      <c r="H1122" s="43" t="n">
        <v>9362</v>
      </c>
      <c r="I1122" s="43" t="n">
        <v>2314</v>
      </c>
      <c r="J1122" s="43" t="n">
        <v>7060</v>
      </c>
      <c r="K1122" s="42" t="inlineStr">
        <is>
          <t>Governor</t>
        </is>
      </c>
      <c r="L1122" s="43" t="n">
        <v>1399</v>
      </c>
      <c r="M1122" s="43" t="n">
        <v>5726</v>
      </c>
      <c r="N1122" s="43" t="n">
        <v>7187</v>
      </c>
      <c r="O1122" s="44">
        <f>IFERROR((F1122-G1122)/(F1122+G1122),"")</f>
        <v/>
      </c>
      <c r="P1122" s="44">
        <f>IFERROR((I1122-J1122)/(I1122+J1122),"")</f>
        <v/>
      </c>
      <c r="Q1122" s="45">
        <f>IFERROR(O1122-P1122,"")</f>
        <v/>
      </c>
      <c r="R1122" s="44">
        <f>IFERROR((L1122-M1122)/(L1122+M1122),"")</f>
        <v/>
      </c>
      <c r="S1122" s="46">
        <f>H1122/SUMIFS(Counties!$H$2:$H$1583,Counties!$A$2:$A$1583,$A1122)</f>
        <v/>
      </c>
      <c r="T1122" s="44">
        <f>O1122+INDEX(Dashboard!$F$6:$F$22,MATCH($A1122,Dashboard!$A$6:$A$22,0))</f>
        <v/>
      </c>
      <c r="U1122" s="43">
        <f>AQ1122*INDEX(Dashboard!$G$6:$G$22,MATCH($A1122,Dashboard!$A$6:$A$22,0))</f>
        <v/>
      </c>
      <c r="V1122" s="47" t="n"/>
      <c r="W1122" s="47" t="n"/>
      <c r="X1122" s="47" t="n"/>
      <c r="Y1122" s="48" t="n"/>
      <c r="Z1122" s="49" t="n"/>
      <c r="AA1122" s="49" t="n"/>
      <c r="AB1122" s="49" t="n"/>
      <c r="AC1122" s="50" t="n"/>
      <c r="AD1122" s="43">
        <f>IF(Z1122&lt;&gt;"",Z1122,N(V1122))</f>
        <v/>
      </c>
      <c r="AE1122" s="43">
        <f>IF(AA1122&lt;&gt;"",AA1122,N(W1122))</f>
        <v/>
      </c>
      <c r="AF1122" s="43">
        <f>AD1122+AE1122</f>
        <v/>
      </c>
      <c r="AG1122" s="42">
        <f>IF(UPPER(AC1122)="Y",1,IF(AF1122=0,0,IF(AND(Z1122="",Y1122&lt;&gt;""),IF(Y1122&gt;=0.999,1,0),IF(AF1122&gt;=U1122,1,0))))</f>
        <v/>
      </c>
      <c r="AH1122" s="44">
        <f>IF(AF1122&gt;0,(AD1122-AE1122)/AF1122,"")</f>
        <v/>
      </c>
      <c r="AI1122" s="45">
        <f>IF(AG1122=1,AH1122-O1122,"")</f>
        <v/>
      </c>
      <c r="AJ1122" s="44">
        <f>IF(AG1122=1,AH1122,MAX(-1,MIN(1,O1122+INDEX(Types!$H:$H,MATCH($A1122&amp;"|"&amp;$D1122,Types!$A:$A,0)))))</f>
        <v/>
      </c>
      <c r="AK1122" s="43">
        <f>IF(AG1122=1,AF1122,MAX(AQ1122*AS1122,AF1122))</f>
        <v/>
      </c>
      <c r="AL1122" s="43">
        <f>IF(AG1122=1,AD1122,AK1122*(1+AJ1122)/2)</f>
        <v/>
      </c>
      <c r="AM1122" s="43">
        <f>IF(AG1122=1,AE1122,AK1122*(1-AJ1122)/2)</f>
        <v/>
      </c>
      <c r="AN1122" s="45">
        <f>IF(AH1122="","",AH1122-T1122)</f>
        <v/>
      </c>
      <c r="AO1122" s="51">
        <f>IF(AG1122=1,1,IF(U1122&gt;0,MIN(AF1122/U1122,0.99),0))</f>
        <v/>
      </c>
      <c r="AP1122" s="43">
        <f>IF(AG1122=1,AI1122*AF1122,0)</f>
        <v/>
      </c>
      <c r="AQ1122" s="43">
        <f>N1122*(F1122+G1122)/H1122</f>
        <v/>
      </c>
      <c r="AR1122" s="43">
        <f>O1122*AQ1122</f>
        <v/>
      </c>
      <c r="AS1122" s="52">
        <f>IF(AG1122=1,IF(AQ1122&gt;0,AF1122/AQ1122,1),IFERROR(INDEX(Types!$K:$K,MATCH($A1122&amp;"|"&amp;$D1122,Types!$A:$A,0)),INDEX(Dashboard!$X$6:$X$22,MATCH($A1122,Dashboard!$A$6:$A$22,0))))</f>
        <v/>
      </c>
      <c r="AT1122" s="43">
        <f>AQ1122*INDEX(Dashboard!$Y$6:$Y$22,MATCH($A1122,Dashboard!$A$6:$A$22,0))</f>
        <v/>
      </c>
      <c r="AU1122" s="53">
        <f>IF(AND(AG1122=1,AT1122&gt;0,AF1122&gt;0),100*AF1122/AT1122,"")</f>
        <v/>
      </c>
      <c r="AV1122" s="44">
        <f>IF(AU1122="","",T1122/(AU1122/100))</f>
        <v/>
      </c>
      <c r="AW1122" s="53">
        <f>IF(AU1122="","",IF(AND(ABS(AH1122)&gt;=0.1,ABS(T1122)&gt;=0.05,SIGN(AH1122)=SIGN(T1122)),100*T1122/AH1122,""))</f>
        <v/>
      </c>
      <c r="AX1122" s="45">
        <f>IF(AU1122="","",T1122-AV1122)</f>
        <v/>
      </c>
      <c r="AY1122" s="45">
        <f>IF(AU1122="","",AH1122-AV1122)</f>
        <v/>
      </c>
      <c r="AZ1122" s="54">
        <f>(AL1122-AM1122)-T1122*AT1122</f>
        <v/>
      </c>
      <c r="BA1122" s="43">
        <f>IF(AU1122="",0,(AH1122-T1122)*AF1122)</f>
        <v/>
      </c>
      <c r="BB1122" s="43">
        <f>IF(AU1122="",0,T1122*(AF1122-AT1122))</f>
        <v/>
      </c>
      <c r="BC1122" s="51" t="n">
        <v>0.2310341702166229</v>
      </c>
      <c r="BD1122" s="51" t="n">
        <v>0.1468322305809843</v>
      </c>
      <c r="BE1122" s="51" t="n">
        <v>0.1552379784102061</v>
      </c>
      <c r="BF1122" s="43" t="n">
        <v>22066</v>
      </c>
    </row>
    <row r="1123">
      <c r="A1123" s="42" t="inlineStr">
        <is>
          <t>TX</t>
        </is>
      </c>
      <c r="B1123" s="42" t="inlineStr">
        <is>
          <t>48227</t>
        </is>
      </c>
      <c r="C1123" s="42" t="inlineStr">
        <is>
          <t>Howard</t>
        </is>
      </c>
      <c r="D1123" s="42" t="inlineStr">
        <is>
          <t>Hispanic</t>
        </is>
      </c>
      <c r="E1123" s="42" t="inlineStr"/>
      <c r="F1123" s="43" t="n">
        <v>1759</v>
      </c>
      <c r="G1123" s="43" t="n">
        <v>7817</v>
      </c>
      <c r="H1123" s="43" t="n">
        <v>9640</v>
      </c>
      <c r="I1123" s="43" t="n">
        <v>2069</v>
      </c>
      <c r="J1123" s="43" t="n">
        <v>8054</v>
      </c>
      <c r="K1123" s="42" t="inlineStr">
        <is>
          <t>Governor</t>
        </is>
      </c>
      <c r="L1123" s="43" t="n">
        <v>1077</v>
      </c>
      <c r="M1123" s="43" t="n">
        <v>5367</v>
      </c>
      <c r="N1123" s="43" t="n">
        <v>6570</v>
      </c>
      <c r="O1123" s="44">
        <f>IFERROR((F1123-G1123)/(F1123+G1123),"")</f>
        <v/>
      </c>
      <c r="P1123" s="44">
        <f>IFERROR((I1123-J1123)/(I1123+J1123),"")</f>
        <v/>
      </c>
      <c r="Q1123" s="45">
        <f>IFERROR(O1123-P1123,"")</f>
        <v/>
      </c>
      <c r="R1123" s="44">
        <f>IFERROR((L1123-M1123)/(L1123+M1123),"")</f>
        <v/>
      </c>
      <c r="S1123" s="46">
        <f>H1123/SUMIFS(Counties!$H$2:$H$1583,Counties!$A$2:$A$1583,$A1123)</f>
        <v/>
      </c>
      <c r="T1123" s="44">
        <f>O1123+INDEX(Dashboard!$F$6:$F$22,MATCH($A1123,Dashboard!$A$6:$A$22,0))</f>
        <v/>
      </c>
      <c r="U1123" s="43">
        <f>AQ1123*INDEX(Dashboard!$G$6:$G$22,MATCH($A1123,Dashboard!$A$6:$A$22,0))</f>
        <v/>
      </c>
      <c r="V1123" s="47" t="n"/>
      <c r="W1123" s="47" t="n"/>
      <c r="X1123" s="47" t="n"/>
      <c r="Y1123" s="48" t="n"/>
      <c r="Z1123" s="49" t="n"/>
      <c r="AA1123" s="49" t="n"/>
      <c r="AB1123" s="49" t="n"/>
      <c r="AC1123" s="50" t="n"/>
      <c r="AD1123" s="43">
        <f>IF(Z1123&lt;&gt;"",Z1123,N(V1123))</f>
        <v/>
      </c>
      <c r="AE1123" s="43">
        <f>IF(AA1123&lt;&gt;"",AA1123,N(W1123))</f>
        <v/>
      </c>
      <c r="AF1123" s="43">
        <f>AD1123+AE1123</f>
        <v/>
      </c>
      <c r="AG1123" s="42">
        <f>IF(UPPER(AC1123)="Y",1,IF(AF1123=0,0,IF(AND(Z1123="",Y1123&lt;&gt;""),IF(Y1123&gt;=0.999,1,0),IF(AF1123&gt;=U1123,1,0))))</f>
        <v/>
      </c>
      <c r="AH1123" s="44">
        <f>IF(AF1123&gt;0,(AD1123-AE1123)/AF1123,"")</f>
        <v/>
      </c>
      <c r="AI1123" s="45">
        <f>IF(AG1123=1,AH1123-O1123,"")</f>
        <v/>
      </c>
      <c r="AJ1123" s="44">
        <f>IF(AG1123=1,AH1123,MAX(-1,MIN(1,O1123+INDEX(Types!$H:$H,MATCH($A1123&amp;"|"&amp;$D1123,Types!$A:$A,0)))))</f>
        <v/>
      </c>
      <c r="AK1123" s="43">
        <f>IF(AG1123=1,AF1123,MAX(AQ1123*AS1123,AF1123))</f>
        <v/>
      </c>
      <c r="AL1123" s="43">
        <f>IF(AG1123=1,AD1123,AK1123*(1+AJ1123)/2)</f>
        <v/>
      </c>
      <c r="AM1123" s="43">
        <f>IF(AG1123=1,AE1123,AK1123*(1-AJ1123)/2)</f>
        <v/>
      </c>
      <c r="AN1123" s="45">
        <f>IF(AH1123="","",AH1123-T1123)</f>
        <v/>
      </c>
      <c r="AO1123" s="51">
        <f>IF(AG1123=1,1,IF(U1123&gt;0,MIN(AF1123/U1123,0.99),0))</f>
        <v/>
      </c>
      <c r="AP1123" s="43">
        <f>IF(AG1123=1,AI1123*AF1123,0)</f>
        <v/>
      </c>
      <c r="AQ1123" s="43">
        <f>N1123*(F1123+G1123)/H1123</f>
        <v/>
      </c>
      <c r="AR1123" s="43">
        <f>O1123*AQ1123</f>
        <v/>
      </c>
      <c r="AS1123" s="52">
        <f>IF(AG1123=1,IF(AQ1123&gt;0,AF1123/AQ1123,1),IFERROR(INDEX(Types!$K:$K,MATCH($A1123&amp;"|"&amp;$D1123,Types!$A:$A,0)),INDEX(Dashboard!$X$6:$X$22,MATCH($A1123,Dashboard!$A$6:$A$22,0))))</f>
        <v/>
      </c>
      <c r="AT1123" s="43">
        <f>AQ1123*INDEX(Dashboard!$Y$6:$Y$22,MATCH($A1123,Dashboard!$A$6:$A$22,0))</f>
        <v/>
      </c>
      <c r="AU1123" s="53">
        <f>IF(AND(AG1123=1,AT1123&gt;0,AF1123&gt;0),100*AF1123/AT1123,"")</f>
        <v/>
      </c>
      <c r="AV1123" s="44">
        <f>IF(AU1123="","",T1123/(AU1123/100))</f>
        <v/>
      </c>
      <c r="AW1123" s="53">
        <f>IF(AU1123="","",IF(AND(ABS(AH1123)&gt;=0.1,ABS(T1123)&gt;=0.05,SIGN(AH1123)=SIGN(T1123)),100*T1123/AH1123,""))</f>
        <v/>
      </c>
      <c r="AX1123" s="45">
        <f>IF(AU1123="","",T1123-AV1123)</f>
        <v/>
      </c>
      <c r="AY1123" s="45">
        <f>IF(AU1123="","",AH1123-AV1123)</f>
        <v/>
      </c>
      <c r="AZ1123" s="54">
        <f>(AL1123-AM1123)-T1123*AT1123</f>
        <v/>
      </c>
      <c r="BA1123" s="43">
        <f>IF(AU1123="",0,(AH1123-T1123)*AF1123)</f>
        <v/>
      </c>
      <c r="BB1123" s="43">
        <f>IF(AU1123="",0,T1123*(AF1123-AT1123))</f>
        <v/>
      </c>
      <c r="BC1123" s="51" t="n">
        <v>0.04657328009425935</v>
      </c>
      <c r="BD1123" s="51" t="n">
        <v>0.4791516659029914</v>
      </c>
      <c r="BE1123" s="51" t="n">
        <v>0.1534068444405395</v>
      </c>
      <c r="BF1123" s="43" t="n">
        <v>30554</v>
      </c>
    </row>
    <row r="1124">
      <c r="A1124" s="42" t="inlineStr">
        <is>
          <t>TX</t>
        </is>
      </c>
      <c r="B1124" s="42" t="inlineStr">
        <is>
          <t>48229</t>
        </is>
      </c>
      <c r="C1124" s="42" t="inlineStr">
        <is>
          <t>Hudspeth</t>
        </is>
      </c>
      <c r="D1124" s="42" t="inlineStr">
        <is>
          <t>Hispanic</t>
        </is>
      </c>
      <c r="E1124" s="42" t="inlineStr"/>
      <c r="F1124" s="43" t="n">
        <v>275</v>
      </c>
      <c r="G1124" s="43" t="n">
        <v>759</v>
      </c>
      <c r="H1124" s="43" t="n">
        <v>1038</v>
      </c>
      <c r="I1124" s="43" t="n">
        <v>371</v>
      </c>
      <c r="J1124" s="43" t="n">
        <v>779</v>
      </c>
      <c r="K1124" s="42" t="inlineStr">
        <is>
          <t>Governor</t>
        </is>
      </c>
      <c r="L1124" s="43" t="n">
        <v>260</v>
      </c>
      <c r="M1124" s="43" t="n">
        <v>588</v>
      </c>
      <c r="N1124" s="43" t="n">
        <v>878</v>
      </c>
      <c r="O1124" s="44">
        <f>IFERROR((F1124-G1124)/(F1124+G1124),"")</f>
        <v/>
      </c>
      <c r="P1124" s="44">
        <f>IFERROR((I1124-J1124)/(I1124+J1124),"")</f>
        <v/>
      </c>
      <c r="Q1124" s="45">
        <f>IFERROR(O1124-P1124,"")</f>
        <v/>
      </c>
      <c r="R1124" s="44">
        <f>IFERROR((L1124-M1124)/(L1124+M1124),"")</f>
        <v/>
      </c>
      <c r="S1124" s="46">
        <f>H1124/SUMIFS(Counties!$H$2:$H$1583,Counties!$A$2:$A$1583,$A1124)</f>
        <v/>
      </c>
      <c r="T1124" s="44">
        <f>O1124+INDEX(Dashboard!$F$6:$F$22,MATCH($A1124,Dashboard!$A$6:$A$22,0))</f>
        <v/>
      </c>
      <c r="U1124" s="43">
        <f>AQ1124*INDEX(Dashboard!$G$6:$G$22,MATCH($A1124,Dashboard!$A$6:$A$22,0))</f>
        <v/>
      </c>
      <c r="V1124" s="47" t="n"/>
      <c r="W1124" s="47" t="n"/>
      <c r="X1124" s="47" t="n"/>
      <c r="Y1124" s="48" t="n"/>
      <c r="Z1124" s="49" t="n"/>
      <c r="AA1124" s="49" t="n"/>
      <c r="AB1124" s="49" t="n"/>
      <c r="AC1124" s="50" t="n"/>
      <c r="AD1124" s="43">
        <f>IF(Z1124&lt;&gt;"",Z1124,N(V1124))</f>
        <v/>
      </c>
      <c r="AE1124" s="43">
        <f>IF(AA1124&lt;&gt;"",AA1124,N(W1124))</f>
        <v/>
      </c>
      <c r="AF1124" s="43">
        <f>AD1124+AE1124</f>
        <v/>
      </c>
      <c r="AG1124" s="42">
        <f>IF(UPPER(AC1124)="Y",1,IF(AF1124=0,0,IF(AND(Z1124="",Y1124&lt;&gt;""),IF(Y1124&gt;=0.999,1,0),IF(AF1124&gt;=U1124,1,0))))</f>
        <v/>
      </c>
      <c r="AH1124" s="44">
        <f>IF(AF1124&gt;0,(AD1124-AE1124)/AF1124,"")</f>
        <v/>
      </c>
      <c r="AI1124" s="45">
        <f>IF(AG1124=1,AH1124-O1124,"")</f>
        <v/>
      </c>
      <c r="AJ1124" s="44">
        <f>IF(AG1124=1,AH1124,MAX(-1,MIN(1,O1124+INDEX(Types!$H:$H,MATCH($A1124&amp;"|"&amp;$D1124,Types!$A:$A,0)))))</f>
        <v/>
      </c>
      <c r="AK1124" s="43">
        <f>IF(AG1124=1,AF1124,MAX(AQ1124*AS1124,AF1124))</f>
        <v/>
      </c>
      <c r="AL1124" s="43">
        <f>IF(AG1124=1,AD1124,AK1124*(1+AJ1124)/2)</f>
        <v/>
      </c>
      <c r="AM1124" s="43">
        <f>IF(AG1124=1,AE1124,AK1124*(1-AJ1124)/2)</f>
        <v/>
      </c>
      <c r="AN1124" s="45">
        <f>IF(AH1124="","",AH1124-T1124)</f>
        <v/>
      </c>
      <c r="AO1124" s="51">
        <f>IF(AG1124=1,1,IF(U1124&gt;0,MIN(AF1124/U1124,0.99),0))</f>
        <v/>
      </c>
      <c r="AP1124" s="43">
        <f>IF(AG1124=1,AI1124*AF1124,0)</f>
        <v/>
      </c>
      <c r="AQ1124" s="43">
        <f>N1124*(F1124+G1124)/H1124</f>
        <v/>
      </c>
      <c r="AR1124" s="43">
        <f>O1124*AQ1124</f>
        <v/>
      </c>
      <c r="AS1124" s="52">
        <f>IF(AG1124=1,IF(AQ1124&gt;0,AF1124/AQ1124,1),IFERROR(INDEX(Types!$K:$K,MATCH($A1124&amp;"|"&amp;$D1124,Types!$A:$A,0)),INDEX(Dashboard!$X$6:$X$22,MATCH($A1124,Dashboard!$A$6:$A$22,0))))</f>
        <v/>
      </c>
      <c r="AT1124" s="43">
        <f>AQ1124*INDEX(Dashboard!$Y$6:$Y$22,MATCH($A1124,Dashboard!$A$6:$A$22,0))</f>
        <v/>
      </c>
      <c r="AU1124" s="53">
        <f>IF(AND(AG1124=1,AT1124&gt;0,AF1124&gt;0),100*AF1124/AT1124,"")</f>
        <v/>
      </c>
      <c r="AV1124" s="44">
        <f>IF(AU1124="","",T1124/(AU1124/100))</f>
        <v/>
      </c>
      <c r="AW1124" s="53">
        <f>IF(AU1124="","",IF(AND(ABS(AH1124)&gt;=0.1,ABS(T1124)&gt;=0.05,SIGN(AH1124)=SIGN(T1124)),100*T1124/AH1124,""))</f>
        <v/>
      </c>
      <c r="AX1124" s="45">
        <f>IF(AU1124="","",T1124-AV1124)</f>
        <v/>
      </c>
      <c r="AY1124" s="45">
        <f>IF(AU1124="","",AH1124-AV1124)</f>
        <v/>
      </c>
      <c r="AZ1124" s="54">
        <f>(AL1124-AM1124)-T1124*AT1124</f>
        <v/>
      </c>
      <c r="BA1124" s="43">
        <f>IF(AU1124="",0,(AH1124-T1124)*AF1124)</f>
        <v/>
      </c>
      <c r="BB1124" s="43">
        <f>IF(AU1124="",0,T1124*(AF1124-AT1124))</f>
        <v/>
      </c>
      <c r="BC1124" s="51" t="n">
        <v>0.06925528832222544</v>
      </c>
      <c r="BD1124" s="51" t="n">
        <v>0.6815415821501014</v>
      </c>
      <c r="BE1124" s="51" t="n">
        <v>0.1238574040219378</v>
      </c>
      <c r="BF1124" s="43" t="n">
        <v>3451</v>
      </c>
    </row>
    <row r="1125">
      <c r="A1125" s="42" t="inlineStr">
        <is>
          <t>TX</t>
        </is>
      </c>
      <c r="B1125" s="42" t="inlineStr">
        <is>
          <t>48231</t>
        </is>
      </c>
      <c r="C1125" s="42" t="inlineStr">
        <is>
          <t>Hunt</t>
        </is>
      </c>
      <c r="D1125" s="42" t="inlineStr">
        <is>
          <t>Mid-size/working metro</t>
        </is>
      </c>
      <c r="E1125" s="42" t="inlineStr"/>
      <c r="F1125" s="43" t="n">
        <v>10212</v>
      </c>
      <c r="G1125" s="43" t="n">
        <v>36137</v>
      </c>
      <c r="H1125" s="43" t="n">
        <v>46703</v>
      </c>
      <c r="I1125" s="43" t="n">
        <v>8906</v>
      </c>
      <c r="J1125" s="43" t="n">
        <v>29163</v>
      </c>
      <c r="K1125" s="42" t="inlineStr">
        <is>
          <t>Governor</t>
        </is>
      </c>
      <c r="L1125" s="43" t="n">
        <v>6422</v>
      </c>
      <c r="M1125" s="43" t="n">
        <v>23744</v>
      </c>
      <c r="N1125" s="43" t="n">
        <v>30561</v>
      </c>
      <c r="O1125" s="44">
        <f>IFERROR((F1125-G1125)/(F1125+G1125),"")</f>
        <v/>
      </c>
      <c r="P1125" s="44">
        <f>IFERROR((I1125-J1125)/(I1125+J1125),"")</f>
        <v/>
      </c>
      <c r="Q1125" s="45">
        <f>IFERROR(O1125-P1125,"")</f>
        <v/>
      </c>
      <c r="R1125" s="44">
        <f>IFERROR((L1125-M1125)/(L1125+M1125),"")</f>
        <v/>
      </c>
      <c r="S1125" s="46">
        <f>H1125/SUMIFS(Counties!$H$2:$H$1583,Counties!$A$2:$A$1583,$A1125)</f>
        <v/>
      </c>
      <c r="T1125" s="44">
        <f>O1125+INDEX(Dashboard!$F$6:$F$22,MATCH($A1125,Dashboard!$A$6:$A$22,0))</f>
        <v/>
      </c>
      <c r="U1125" s="43">
        <f>AQ1125*INDEX(Dashboard!$G$6:$G$22,MATCH($A1125,Dashboard!$A$6:$A$22,0))</f>
        <v/>
      </c>
      <c r="V1125" s="47" t="n"/>
      <c r="W1125" s="47" t="n"/>
      <c r="X1125" s="47" t="n"/>
      <c r="Y1125" s="48" t="n"/>
      <c r="Z1125" s="49" t="n"/>
      <c r="AA1125" s="49" t="n"/>
      <c r="AB1125" s="49" t="n"/>
      <c r="AC1125" s="50" t="n"/>
      <c r="AD1125" s="43">
        <f>IF(Z1125&lt;&gt;"",Z1125,N(V1125))</f>
        <v/>
      </c>
      <c r="AE1125" s="43">
        <f>IF(AA1125&lt;&gt;"",AA1125,N(W1125))</f>
        <v/>
      </c>
      <c r="AF1125" s="43">
        <f>AD1125+AE1125</f>
        <v/>
      </c>
      <c r="AG1125" s="42">
        <f>IF(UPPER(AC1125)="Y",1,IF(AF1125=0,0,IF(AND(Z1125="",Y1125&lt;&gt;""),IF(Y1125&gt;=0.999,1,0),IF(AF1125&gt;=U1125,1,0))))</f>
        <v/>
      </c>
      <c r="AH1125" s="44">
        <f>IF(AF1125&gt;0,(AD1125-AE1125)/AF1125,"")</f>
        <v/>
      </c>
      <c r="AI1125" s="45">
        <f>IF(AG1125=1,AH1125-O1125,"")</f>
        <v/>
      </c>
      <c r="AJ1125" s="44">
        <f>IF(AG1125=1,AH1125,MAX(-1,MIN(1,O1125+INDEX(Types!$H:$H,MATCH($A1125&amp;"|"&amp;$D1125,Types!$A:$A,0)))))</f>
        <v/>
      </c>
      <c r="AK1125" s="43">
        <f>IF(AG1125=1,AF1125,MAX(AQ1125*AS1125,AF1125))</f>
        <v/>
      </c>
      <c r="AL1125" s="43">
        <f>IF(AG1125=1,AD1125,AK1125*(1+AJ1125)/2)</f>
        <v/>
      </c>
      <c r="AM1125" s="43">
        <f>IF(AG1125=1,AE1125,AK1125*(1-AJ1125)/2)</f>
        <v/>
      </c>
      <c r="AN1125" s="45">
        <f>IF(AH1125="","",AH1125-T1125)</f>
        <v/>
      </c>
      <c r="AO1125" s="51">
        <f>IF(AG1125=1,1,IF(U1125&gt;0,MIN(AF1125/U1125,0.99),0))</f>
        <v/>
      </c>
      <c r="AP1125" s="43">
        <f>IF(AG1125=1,AI1125*AF1125,0)</f>
        <v/>
      </c>
      <c r="AQ1125" s="43">
        <f>N1125*(F1125+G1125)/H1125</f>
        <v/>
      </c>
      <c r="AR1125" s="43">
        <f>O1125*AQ1125</f>
        <v/>
      </c>
      <c r="AS1125" s="52">
        <f>IF(AG1125=1,IF(AQ1125&gt;0,AF1125/AQ1125,1),IFERROR(INDEX(Types!$K:$K,MATCH($A1125&amp;"|"&amp;$D1125,Types!$A:$A,0)),INDEX(Dashboard!$X$6:$X$22,MATCH($A1125,Dashboard!$A$6:$A$22,0))))</f>
        <v/>
      </c>
      <c r="AT1125" s="43">
        <f>AQ1125*INDEX(Dashboard!$Y$6:$Y$22,MATCH($A1125,Dashboard!$A$6:$A$22,0))</f>
        <v/>
      </c>
      <c r="AU1125" s="53">
        <f>IF(AND(AG1125=1,AT1125&gt;0,AF1125&gt;0),100*AF1125/AT1125,"")</f>
        <v/>
      </c>
      <c r="AV1125" s="44">
        <f>IF(AU1125="","",T1125/(AU1125/100))</f>
        <v/>
      </c>
      <c r="AW1125" s="53">
        <f>IF(AU1125="","",IF(AND(ABS(AH1125)&gt;=0.1,ABS(T1125)&gt;=0.05,SIGN(AH1125)=SIGN(T1125)),100*T1125/AH1125,""))</f>
        <v/>
      </c>
      <c r="AX1125" s="45">
        <f>IF(AU1125="","",T1125-AV1125)</f>
        <v/>
      </c>
      <c r="AY1125" s="45">
        <f>IF(AU1125="","",AH1125-AV1125)</f>
        <v/>
      </c>
      <c r="AZ1125" s="54">
        <f>(AL1125-AM1125)-T1125*AT1125</f>
        <v/>
      </c>
      <c r="BA1125" s="43">
        <f>IF(AU1125="",0,(AH1125-T1125)*AF1125)</f>
        <v/>
      </c>
      <c r="BB1125" s="43">
        <f>IF(AU1125="",0,T1125*(AF1125-AT1125))</f>
        <v/>
      </c>
      <c r="BC1125" s="51" t="n">
        <v>0.08315173758458538</v>
      </c>
      <c r="BD1125" s="51" t="n">
        <v>0.221629156484071</v>
      </c>
      <c r="BE1125" s="51" t="n">
        <v>0.2189311476357749</v>
      </c>
      <c r="BF1125" s="43" t="n">
        <v>113347</v>
      </c>
    </row>
    <row r="1126">
      <c r="A1126" s="42" t="inlineStr">
        <is>
          <t>TX</t>
        </is>
      </c>
      <c r="B1126" s="42" t="inlineStr">
        <is>
          <t>48233</t>
        </is>
      </c>
      <c r="C1126" s="42" t="inlineStr">
        <is>
          <t>Hutchinson</t>
        </is>
      </c>
      <c r="D1126" s="42" t="inlineStr">
        <is>
          <t>Small town &amp; rural</t>
        </is>
      </c>
      <c r="E1126" s="42" t="inlineStr"/>
      <c r="F1126" s="43" t="n">
        <v>913</v>
      </c>
      <c r="G1126" s="43" t="n">
        <v>7273</v>
      </c>
      <c r="H1126" s="43" t="n">
        <v>8241</v>
      </c>
      <c r="I1126" s="43" t="n">
        <v>965</v>
      </c>
      <c r="J1126" s="43" t="n">
        <v>7681</v>
      </c>
      <c r="K1126" s="42" t="inlineStr">
        <is>
          <t>Governor</t>
        </is>
      </c>
      <c r="L1126" s="43" t="n">
        <v>540</v>
      </c>
      <c r="M1126" s="43" t="n">
        <v>5437</v>
      </c>
      <c r="N1126" s="43" t="n">
        <v>6065</v>
      </c>
      <c r="O1126" s="44">
        <f>IFERROR((F1126-G1126)/(F1126+G1126),"")</f>
        <v/>
      </c>
      <c r="P1126" s="44">
        <f>IFERROR((I1126-J1126)/(I1126+J1126),"")</f>
        <v/>
      </c>
      <c r="Q1126" s="45">
        <f>IFERROR(O1126-P1126,"")</f>
        <v/>
      </c>
      <c r="R1126" s="44">
        <f>IFERROR((L1126-M1126)/(L1126+M1126),"")</f>
        <v/>
      </c>
      <c r="S1126" s="46">
        <f>H1126/SUMIFS(Counties!$H$2:$H$1583,Counties!$A$2:$A$1583,$A1126)</f>
        <v/>
      </c>
      <c r="T1126" s="44">
        <f>O1126+INDEX(Dashboard!$F$6:$F$22,MATCH($A1126,Dashboard!$A$6:$A$22,0))</f>
        <v/>
      </c>
      <c r="U1126" s="43">
        <f>AQ1126*INDEX(Dashboard!$G$6:$G$22,MATCH($A1126,Dashboard!$A$6:$A$22,0))</f>
        <v/>
      </c>
      <c r="V1126" s="47" t="n"/>
      <c r="W1126" s="47" t="n"/>
      <c r="X1126" s="47" t="n"/>
      <c r="Y1126" s="48" t="n"/>
      <c r="Z1126" s="49" t="n"/>
      <c r="AA1126" s="49" t="n"/>
      <c r="AB1126" s="49" t="n"/>
      <c r="AC1126" s="50" t="n"/>
      <c r="AD1126" s="43">
        <f>IF(Z1126&lt;&gt;"",Z1126,N(V1126))</f>
        <v/>
      </c>
      <c r="AE1126" s="43">
        <f>IF(AA1126&lt;&gt;"",AA1126,N(W1126))</f>
        <v/>
      </c>
      <c r="AF1126" s="43">
        <f>AD1126+AE1126</f>
        <v/>
      </c>
      <c r="AG1126" s="42">
        <f>IF(UPPER(AC1126)="Y",1,IF(AF1126=0,0,IF(AND(Z1126="",Y1126&lt;&gt;""),IF(Y1126&gt;=0.999,1,0),IF(AF1126&gt;=U1126,1,0))))</f>
        <v/>
      </c>
      <c r="AH1126" s="44">
        <f>IF(AF1126&gt;0,(AD1126-AE1126)/AF1126,"")</f>
        <v/>
      </c>
      <c r="AI1126" s="45">
        <f>IF(AG1126=1,AH1126-O1126,"")</f>
        <v/>
      </c>
      <c r="AJ1126" s="44">
        <f>IF(AG1126=1,AH1126,MAX(-1,MIN(1,O1126+INDEX(Types!$H:$H,MATCH($A1126&amp;"|"&amp;$D1126,Types!$A:$A,0)))))</f>
        <v/>
      </c>
      <c r="AK1126" s="43">
        <f>IF(AG1126=1,AF1126,MAX(AQ1126*AS1126,AF1126))</f>
        <v/>
      </c>
      <c r="AL1126" s="43">
        <f>IF(AG1126=1,AD1126,AK1126*(1+AJ1126)/2)</f>
        <v/>
      </c>
      <c r="AM1126" s="43">
        <f>IF(AG1126=1,AE1126,AK1126*(1-AJ1126)/2)</f>
        <v/>
      </c>
      <c r="AN1126" s="45">
        <f>IF(AH1126="","",AH1126-T1126)</f>
        <v/>
      </c>
      <c r="AO1126" s="51">
        <f>IF(AG1126=1,1,IF(U1126&gt;0,MIN(AF1126/U1126,0.99),0))</f>
        <v/>
      </c>
      <c r="AP1126" s="43">
        <f>IF(AG1126=1,AI1126*AF1126,0)</f>
        <v/>
      </c>
      <c r="AQ1126" s="43">
        <f>N1126*(F1126+G1126)/H1126</f>
        <v/>
      </c>
      <c r="AR1126" s="43">
        <f>O1126*AQ1126</f>
        <v/>
      </c>
      <c r="AS1126" s="52">
        <f>IF(AG1126=1,IF(AQ1126&gt;0,AF1126/AQ1126,1),IFERROR(INDEX(Types!$K:$K,MATCH($A1126&amp;"|"&amp;$D1126,Types!$A:$A,0)),INDEX(Dashboard!$X$6:$X$22,MATCH($A1126,Dashboard!$A$6:$A$22,0))))</f>
        <v/>
      </c>
      <c r="AT1126" s="43">
        <f>AQ1126*INDEX(Dashboard!$Y$6:$Y$22,MATCH($A1126,Dashboard!$A$6:$A$22,0))</f>
        <v/>
      </c>
      <c r="AU1126" s="53">
        <f>IF(AND(AG1126=1,AT1126&gt;0,AF1126&gt;0),100*AF1126/AT1126,"")</f>
        <v/>
      </c>
      <c r="AV1126" s="44">
        <f>IF(AU1126="","",T1126/(AU1126/100))</f>
        <v/>
      </c>
      <c r="AW1126" s="53">
        <f>IF(AU1126="","",IF(AND(ABS(AH1126)&gt;=0.1,ABS(T1126)&gt;=0.05,SIGN(AH1126)=SIGN(T1126)),100*T1126/AH1126,""))</f>
        <v/>
      </c>
      <c r="AX1126" s="45">
        <f>IF(AU1126="","",T1126-AV1126)</f>
        <v/>
      </c>
      <c r="AY1126" s="45">
        <f>IF(AU1126="","",AH1126-AV1126)</f>
        <v/>
      </c>
      <c r="AZ1126" s="54">
        <f>(AL1126-AM1126)-T1126*AT1126</f>
        <v/>
      </c>
      <c r="BA1126" s="43">
        <f>IF(AU1126="",0,(AH1126-T1126)*AF1126)</f>
        <v/>
      </c>
      <c r="BB1126" s="43">
        <f>IF(AU1126="",0,T1126*(AF1126-AT1126))</f>
        <v/>
      </c>
      <c r="BC1126" s="51" t="n">
        <v>0.02401038286826736</v>
      </c>
      <c r="BD1126" s="51" t="n">
        <v>0.2527329905655668</v>
      </c>
      <c r="BE1126" s="51" t="n">
        <v>0.1595403328109843</v>
      </c>
      <c r="BF1126" s="43" t="n">
        <v>20033</v>
      </c>
    </row>
    <row r="1127">
      <c r="A1127" s="42" t="inlineStr">
        <is>
          <t>TX</t>
        </is>
      </c>
      <c r="B1127" s="42" t="inlineStr">
        <is>
          <t>48235</t>
        </is>
      </c>
      <c r="C1127" s="42" t="inlineStr">
        <is>
          <t>Irion</t>
        </is>
      </c>
      <c r="D1127" s="42" t="inlineStr">
        <is>
          <t>Small town &amp; rural</t>
        </is>
      </c>
      <c r="E1127" s="42" t="inlineStr"/>
      <c r="F1127" s="43" t="n">
        <v>105</v>
      </c>
      <c r="G1127" s="43" t="n">
        <v>761</v>
      </c>
      <c r="H1127" s="43" t="n">
        <v>868</v>
      </c>
      <c r="I1127" s="43" t="n">
        <v>120</v>
      </c>
      <c r="J1127" s="43" t="n">
        <v>759</v>
      </c>
      <c r="K1127" s="42" t="inlineStr">
        <is>
          <t>Governor</t>
        </is>
      </c>
      <c r="L1127" s="43" t="n">
        <v>70</v>
      </c>
      <c r="M1127" s="43" t="n">
        <v>618</v>
      </c>
      <c r="N1127" s="43" t="n">
        <v>695</v>
      </c>
      <c r="O1127" s="44">
        <f>IFERROR((F1127-G1127)/(F1127+G1127),"")</f>
        <v/>
      </c>
      <c r="P1127" s="44">
        <f>IFERROR((I1127-J1127)/(I1127+J1127),"")</f>
        <v/>
      </c>
      <c r="Q1127" s="45">
        <f>IFERROR(O1127-P1127,"")</f>
        <v/>
      </c>
      <c r="R1127" s="44">
        <f>IFERROR((L1127-M1127)/(L1127+M1127),"")</f>
        <v/>
      </c>
      <c r="S1127" s="46">
        <f>H1127/SUMIFS(Counties!$H$2:$H$1583,Counties!$A$2:$A$1583,$A1127)</f>
        <v/>
      </c>
      <c r="T1127" s="44">
        <f>O1127+INDEX(Dashboard!$F$6:$F$22,MATCH($A1127,Dashboard!$A$6:$A$22,0))</f>
        <v/>
      </c>
      <c r="U1127" s="43">
        <f>AQ1127*INDEX(Dashboard!$G$6:$G$22,MATCH($A1127,Dashboard!$A$6:$A$22,0))</f>
        <v/>
      </c>
      <c r="V1127" s="47" t="n"/>
      <c r="W1127" s="47" t="n"/>
      <c r="X1127" s="47" t="n"/>
      <c r="Y1127" s="48" t="n"/>
      <c r="Z1127" s="49" t="n"/>
      <c r="AA1127" s="49" t="n"/>
      <c r="AB1127" s="49" t="n"/>
      <c r="AC1127" s="50" t="n"/>
      <c r="AD1127" s="43">
        <f>IF(Z1127&lt;&gt;"",Z1127,N(V1127))</f>
        <v/>
      </c>
      <c r="AE1127" s="43">
        <f>IF(AA1127&lt;&gt;"",AA1127,N(W1127))</f>
        <v/>
      </c>
      <c r="AF1127" s="43">
        <f>AD1127+AE1127</f>
        <v/>
      </c>
      <c r="AG1127" s="42">
        <f>IF(UPPER(AC1127)="Y",1,IF(AF1127=0,0,IF(AND(Z1127="",Y1127&lt;&gt;""),IF(Y1127&gt;=0.999,1,0),IF(AF1127&gt;=U1127,1,0))))</f>
        <v/>
      </c>
      <c r="AH1127" s="44">
        <f>IF(AF1127&gt;0,(AD1127-AE1127)/AF1127,"")</f>
        <v/>
      </c>
      <c r="AI1127" s="45">
        <f>IF(AG1127=1,AH1127-O1127,"")</f>
        <v/>
      </c>
      <c r="AJ1127" s="44">
        <f>IF(AG1127=1,AH1127,MAX(-1,MIN(1,O1127+INDEX(Types!$H:$H,MATCH($A1127&amp;"|"&amp;$D1127,Types!$A:$A,0)))))</f>
        <v/>
      </c>
      <c r="AK1127" s="43">
        <f>IF(AG1127=1,AF1127,MAX(AQ1127*AS1127,AF1127))</f>
        <v/>
      </c>
      <c r="AL1127" s="43">
        <f>IF(AG1127=1,AD1127,AK1127*(1+AJ1127)/2)</f>
        <v/>
      </c>
      <c r="AM1127" s="43">
        <f>IF(AG1127=1,AE1127,AK1127*(1-AJ1127)/2)</f>
        <v/>
      </c>
      <c r="AN1127" s="45">
        <f>IF(AH1127="","",AH1127-T1127)</f>
        <v/>
      </c>
      <c r="AO1127" s="51">
        <f>IF(AG1127=1,1,IF(U1127&gt;0,MIN(AF1127/U1127,0.99),0))</f>
        <v/>
      </c>
      <c r="AP1127" s="43">
        <f>IF(AG1127=1,AI1127*AF1127,0)</f>
        <v/>
      </c>
      <c r="AQ1127" s="43">
        <f>N1127*(F1127+G1127)/H1127</f>
        <v/>
      </c>
      <c r="AR1127" s="43">
        <f>O1127*AQ1127</f>
        <v/>
      </c>
      <c r="AS1127" s="52">
        <f>IF(AG1127=1,IF(AQ1127&gt;0,AF1127/AQ1127,1),IFERROR(INDEX(Types!$K:$K,MATCH($A1127&amp;"|"&amp;$D1127,Types!$A:$A,0)),INDEX(Dashboard!$X$6:$X$22,MATCH($A1127,Dashboard!$A$6:$A$22,0))))</f>
        <v/>
      </c>
      <c r="AT1127" s="43">
        <f>AQ1127*INDEX(Dashboard!$Y$6:$Y$22,MATCH($A1127,Dashboard!$A$6:$A$22,0))</f>
        <v/>
      </c>
      <c r="AU1127" s="53">
        <f>IF(AND(AG1127=1,AT1127&gt;0,AF1127&gt;0),100*AF1127/AT1127,"")</f>
        <v/>
      </c>
      <c r="AV1127" s="44">
        <f>IF(AU1127="","",T1127/(AU1127/100))</f>
        <v/>
      </c>
      <c r="AW1127" s="53">
        <f>IF(AU1127="","",IF(AND(ABS(AH1127)&gt;=0.1,ABS(T1127)&gt;=0.05,SIGN(AH1127)=SIGN(T1127)),100*T1127/AH1127,""))</f>
        <v/>
      </c>
      <c r="AX1127" s="45">
        <f>IF(AU1127="","",T1127-AV1127)</f>
        <v/>
      </c>
      <c r="AY1127" s="45">
        <f>IF(AU1127="","",AH1127-AV1127)</f>
        <v/>
      </c>
      <c r="AZ1127" s="54">
        <f>(AL1127-AM1127)-T1127*AT1127</f>
        <v/>
      </c>
      <c r="BA1127" s="43">
        <f>IF(AU1127="",0,(AH1127-T1127)*AF1127)</f>
        <v/>
      </c>
      <c r="BB1127" s="43">
        <f>IF(AU1127="",0,T1127*(AF1127-AT1127))</f>
        <v/>
      </c>
      <c r="BC1127" s="51" t="n">
        <v>0.01549386701097482</v>
      </c>
      <c r="BD1127" s="51" t="n">
        <v>0.2556488056810846</v>
      </c>
      <c r="BE1127" s="51" t="n">
        <v>0.2211808809746954</v>
      </c>
      <c r="BF1127" s="43" t="n">
        <v>1549</v>
      </c>
    </row>
    <row r="1128">
      <c r="A1128" s="42" t="inlineStr">
        <is>
          <t>TX</t>
        </is>
      </c>
      <c r="B1128" s="42" t="inlineStr">
        <is>
          <t>48237</t>
        </is>
      </c>
      <c r="C1128" s="42" t="inlineStr">
        <is>
          <t>Jack</t>
        </is>
      </c>
      <c r="D1128" s="42" t="inlineStr">
        <is>
          <t>Small town &amp; rural</t>
        </is>
      </c>
      <c r="E1128" s="42" t="inlineStr"/>
      <c r="F1128" s="43" t="n">
        <v>363</v>
      </c>
      <c r="G1128" s="43" t="n">
        <v>3819</v>
      </c>
      <c r="H1128" s="43" t="n">
        <v>4201</v>
      </c>
      <c r="I1128" s="43" t="n">
        <v>331</v>
      </c>
      <c r="J1128" s="43" t="n">
        <v>3418</v>
      </c>
      <c r="K1128" s="42" t="inlineStr">
        <is>
          <t>Governor</t>
        </is>
      </c>
      <c r="L1128" s="43" t="n">
        <v>227</v>
      </c>
      <c r="M1128" s="43" t="n">
        <v>2744</v>
      </c>
      <c r="N1128" s="43" t="n">
        <v>2993</v>
      </c>
      <c r="O1128" s="44">
        <f>IFERROR((F1128-G1128)/(F1128+G1128),"")</f>
        <v/>
      </c>
      <c r="P1128" s="44">
        <f>IFERROR((I1128-J1128)/(I1128+J1128),"")</f>
        <v/>
      </c>
      <c r="Q1128" s="45">
        <f>IFERROR(O1128-P1128,"")</f>
        <v/>
      </c>
      <c r="R1128" s="44">
        <f>IFERROR((L1128-M1128)/(L1128+M1128),"")</f>
        <v/>
      </c>
      <c r="S1128" s="46">
        <f>H1128/SUMIFS(Counties!$H$2:$H$1583,Counties!$A$2:$A$1583,$A1128)</f>
        <v/>
      </c>
      <c r="T1128" s="44">
        <f>O1128+INDEX(Dashboard!$F$6:$F$22,MATCH($A1128,Dashboard!$A$6:$A$22,0))</f>
        <v/>
      </c>
      <c r="U1128" s="43">
        <f>AQ1128*INDEX(Dashboard!$G$6:$G$22,MATCH($A1128,Dashboard!$A$6:$A$22,0))</f>
        <v/>
      </c>
      <c r="V1128" s="47" t="n"/>
      <c r="W1128" s="47" t="n"/>
      <c r="X1128" s="47" t="n"/>
      <c r="Y1128" s="48" t="n"/>
      <c r="Z1128" s="49" t="n"/>
      <c r="AA1128" s="49" t="n"/>
      <c r="AB1128" s="49" t="n"/>
      <c r="AC1128" s="50" t="n"/>
      <c r="AD1128" s="43">
        <f>IF(Z1128&lt;&gt;"",Z1128,N(V1128))</f>
        <v/>
      </c>
      <c r="AE1128" s="43">
        <f>IF(AA1128&lt;&gt;"",AA1128,N(W1128))</f>
        <v/>
      </c>
      <c r="AF1128" s="43">
        <f>AD1128+AE1128</f>
        <v/>
      </c>
      <c r="AG1128" s="42">
        <f>IF(UPPER(AC1128)="Y",1,IF(AF1128=0,0,IF(AND(Z1128="",Y1128&lt;&gt;""),IF(Y1128&gt;=0.999,1,0),IF(AF1128&gt;=U1128,1,0))))</f>
        <v/>
      </c>
      <c r="AH1128" s="44">
        <f>IF(AF1128&gt;0,(AD1128-AE1128)/AF1128,"")</f>
        <v/>
      </c>
      <c r="AI1128" s="45">
        <f>IF(AG1128=1,AH1128-O1128,"")</f>
        <v/>
      </c>
      <c r="AJ1128" s="44">
        <f>IF(AG1128=1,AH1128,MAX(-1,MIN(1,O1128+INDEX(Types!$H:$H,MATCH($A1128&amp;"|"&amp;$D1128,Types!$A:$A,0)))))</f>
        <v/>
      </c>
      <c r="AK1128" s="43">
        <f>IF(AG1128=1,AF1128,MAX(AQ1128*AS1128,AF1128))</f>
        <v/>
      </c>
      <c r="AL1128" s="43">
        <f>IF(AG1128=1,AD1128,AK1128*(1+AJ1128)/2)</f>
        <v/>
      </c>
      <c r="AM1128" s="43">
        <f>IF(AG1128=1,AE1128,AK1128*(1-AJ1128)/2)</f>
        <v/>
      </c>
      <c r="AN1128" s="45">
        <f>IF(AH1128="","",AH1128-T1128)</f>
        <v/>
      </c>
      <c r="AO1128" s="51">
        <f>IF(AG1128=1,1,IF(U1128&gt;0,MIN(AF1128/U1128,0.99),0))</f>
        <v/>
      </c>
      <c r="AP1128" s="43">
        <f>IF(AG1128=1,AI1128*AF1128,0)</f>
        <v/>
      </c>
      <c r="AQ1128" s="43">
        <f>N1128*(F1128+G1128)/H1128</f>
        <v/>
      </c>
      <c r="AR1128" s="43">
        <f>O1128*AQ1128</f>
        <v/>
      </c>
      <c r="AS1128" s="52">
        <f>IF(AG1128=1,IF(AQ1128&gt;0,AF1128/AQ1128,1),IFERROR(INDEX(Types!$K:$K,MATCH($A1128&amp;"|"&amp;$D1128,Types!$A:$A,0)),INDEX(Dashboard!$X$6:$X$22,MATCH($A1128,Dashboard!$A$6:$A$22,0))))</f>
        <v/>
      </c>
      <c r="AT1128" s="43">
        <f>AQ1128*INDEX(Dashboard!$Y$6:$Y$22,MATCH($A1128,Dashboard!$A$6:$A$22,0))</f>
        <v/>
      </c>
      <c r="AU1128" s="53">
        <f>IF(AND(AG1128=1,AT1128&gt;0,AF1128&gt;0),100*AF1128/AT1128,"")</f>
        <v/>
      </c>
      <c r="AV1128" s="44">
        <f>IF(AU1128="","",T1128/(AU1128/100))</f>
        <v/>
      </c>
      <c r="AW1128" s="53">
        <f>IF(AU1128="","",IF(AND(ABS(AH1128)&gt;=0.1,ABS(T1128)&gt;=0.05,SIGN(AH1128)=SIGN(T1128)),100*T1128/AH1128,""))</f>
        <v/>
      </c>
      <c r="AX1128" s="45">
        <f>IF(AU1128="","",T1128-AV1128)</f>
        <v/>
      </c>
      <c r="AY1128" s="45">
        <f>IF(AU1128="","",AH1128-AV1128)</f>
        <v/>
      </c>
      <c r="AZ1128" s="54">
        <f>(AL1128-AM1128)-T1128*AT1128</f>
        <v/>
      </c>
      <c r="BA1128" s="43">
        <f>IF(AU1128="",0,(AH1128-T1128)*AF1128)</f>
        <v/>
      </c>
      <c r="BB1128" s="43">
        <f>IF(AU1128="",0,T1128*(AF1128-AT1128))</f>
        <v/>
      </c>
      <c r="BC1128" s="51" t="n">
        <v>0.03526760563380282</v>
      </c>
      <c r="BD1128" s="51" t="n">
        <v>0.187830985915493</v>
      </c>
      <c r="BE1128" s="51" t="n">
        <v>0.1556274476417504</v>
      </c>
      <c r="BF1128" s="43" t="n">
        <v>8875</v>
      </c>
    </row>
    <row r="1129">
      <c r="A1129" s="42" t="inlineStr">
        <is>
          <t>TX</t>
        </is>
      </c>
      <c r="B1129" s="42" t="inlineStr">
        <is>
          <t>48239</t>
        </is>
      </c>
      <c r="C1129" s="42" t="inlineStr">
        <is>
          <t>Jackson</t>
        </is>
      </c>
      <c r="D1129" s="42" t="inlineStr">
        <is>
          <t>Small town &amp; rural</t>
        </is>
      </c>
      <c r="E1129" s="42" t="inlineStr"/>
      <c r="F1129" s="43" t="n">
        <v>907</v>
      </c>
      <c r="G1129" s="43" t="n">
        <v>5386</v>
      </c>
      <c r="H1129" s="43" t="n">
        <v>6329</v>
      </c>
      <c r="I1129" s="43" t="n">
        <v>1033</v>
      </c>
      <c r="J1129" s="43" t="n">
        <v>5231</v>
      </c>
      <c r="K1129" s="42" t="inlineStr">
        <is>
          <t>Governor</t>
        </is>
      </c>
      <c r="L1129" s="43" t="n">
        <v>550</v>
      </c>
      <c r="M1129" s="43" t="n">
        <v>4013</v>
      </c>
      <c r="N1129" s="43" t="n">
        <v>4598</v>
      </c>
      <c r="O1129" s="44">
        <f>IFERROR((F1129-G1129)/(F1129+G1129),"")</f>
        <v/>
      </c>
      <c r="P1129" s="44">
        <f>IFERROR((I1129-J1129)/(I1129+J1129),"")</f>
        <v/>
      </c>
      <c r="Q1129" s="45">
        <f>IFERROR(O1129-P1129,"")</f>
        <v/>
      </c>
      <c r="R1129" s="44">
        <f>IFERROR((L1129-M1129)/(L1129+M1129),"")</f>
        <v/>
      </c>
      <c r="S1129" s="46">
        <f>H1129/SUMIFS(Counties!$H$2:$H$1583,Counties!$A$2:$A$1583,$A1129)</f>
        <v/>
      </c>
      <c r="T1129" s="44">
        <f>O1129+INDEX(Dashboard!$F$6:$F$22,MATCH($A1129,Dashboard!$A$6:$A$22,0))</f>
        <v/>
      </c>
      <c r="U1129" s="43">
        <f>AQ1129*INDEX(Dashboard!$G$6:$G$22,MATCH($A1129,Dashboard!$A$6:$A$22,0))</f>
        <v/>
      </c>
      <c r="V1129" s="47" t="n"/>
      <c r="W1129" s="47" t="n"/>
      <c r="X1129" s="47" t="n"/>
      <c r="Y1129" s="48" t="n"/>
      <c r="Z1129" s="49" t="n"/>
      <c r="AA1129" s="49" t="n"/>
      <c r="AB1129" s="49" t="n"/>
      <c r="AC1129" s="50" t="n"/>
      <c r="AD1129" s="43">
        <f>IF(Z1129&lt;&gt;"",Z1129,N(V1129))</f>
        <v/>
      </c>
      <c r="AE1129" s="43">
        <f>IF(AA1129&lt;&gt;"",AA1129,N(W1129))</f>
        <v/>
      </c>
      <c r="AF1129" s="43">
        <f>AD1129+AE1129</f>
        <v/>
      </c>
      <c r="AG1129" s="42">
        <f>IF(UPPER(AC1129)="Y",1,IF(AF1129=0,0,IF(AND(Z1129="",Y1129&lt;&gt;""),IF(Y1129&gt;=0.999,1,0),IF(AF1129&gt;=U1129,1,0))))</f>
        <v/>
      </c>
      <c r="AH1129" s="44">
        <f>IF(AF1129&gt;0,(AD1129-AE1129)/AF1129,"")</f>
        <v/>
      </c>
      <c r="AI1129" s="45">
        <f>IF(AG1129=1,AH1129-O1129,"")</f>
        <v/>
      </c>
      <c r="AJ1129" s="44">
        <f>IF(AG1129=1,AH1129,MAX(-1,MIN(1,O1129+INDEX(Types!$H:$H,MATCH($A1129&amp;"|"&amp;$D1129,Types!$A:$A,0)))))</f>
        <v/>
      </c>
      <c r="AK1129" s="43">
        <f>IF(AG1129=1,AF1129,MAX(AQ1129*AS1129,AF1129))</f>
        <v/>
      </c>
      <c r="AL1129" s="43">
        <f>IF(AG1129=1,AD1129,AK1129*(1+AJ1129)/2)</f>
        <v/>
      </c>
      <c r="AM1129" s="43">
        <f>IF(AG1129=1,AE1129,AK1129*(1-AJ1129)/2)</f>
        <v/>
      </c>
      <c r="AN1129" s="45">
        <f>IF(AH1129="","",AH1129-T1129)</f>
        <v/>
      </c>
      <c r="AO1129" s="51">
        <f>IF(AG1129=1,1,IF(U1129&gt;0,MIN(AF1129/U1129,0.99),0))</f>
        <v/>
      </c>
      <c r="AP1129" s="43">
        <f>IF(AG1129=1,AI1129*AF1129,0)</f>
        <v/>
      </c>
      <c r="AQ1129" s="43">
        <f>N1129*(F1129+G1129)/H1129</f>
        <v/>
      </c>
      <c r="AR1129" s="43">
        <f>O1129*AQ1129</f>
        <v/>
      </c>
      <c r="AS1129" s="52">
        <f>IF(AG1129=1,IF(AQ1129&gt;0,AF1129/AQ1129,1),IFERROR(INDEX(Types!$K:$K,MATCH($A1129&amp;"|"&amp;$D1129,Types!$A:$A,0)),INDEX(Dashboard!$X$6:$X$22,MATCH($A1129,Dashboard!$A$6:$A$22,0))))</f>
        <v/>
      </c>
      <c r="AT1129" s="43">
        <f>AQ1129*INDEX(Dashboard!$Y$6:$Y$22,MATCH($A1129,Dashboard!$A$6:$A$22,0))</f>
        <v/>
      </c>
      <c r="AU1129" s="53">
        <f>IF(AND(AG1129=1,AT1129&gt;0,AF1129&gt;0),100*AF1129/AT1129,"")</f>
        <v/>
      </c>
      <c r="AV1129" s="44">
        <f>IF(AU1129="","",T1129/(AU1129/100))</f>
        <v/>
      </c>
      <c r="AW1129" s="53">
        <f>IF(AU1129="","",IF(AND(ABS(AH1129)&gt;=0.1,ABS(T1129)&gt;=0.05,SIGN(AH1129)=SIGN(T1129)),100*T1129/AH1129,""))</f>
        <v/>
      </c>
      <c r="AX1129" s="45">
        <f>IF(AU1129="","",T1129-AV1129)</f>
        <v/>
      </c>
      <c r="AY1129" s="45">
        <f>IF(AU1129="","",AH1129-AV1129)</f>
        <v/>
      </c>
      <c r="AZ1129" s="54">
        <f>(AL1129-AM1129)-T1129*AT1129</f>
        <v/>
      </c>
      <c r="BA1129" s="43">
        <f>IF(AU1129="",0,(AH1129-T1129)*AF1129)</f>
        <v/>
      </c>
      <c r="BB1129" s="43">
        <f>IF(AU1129="",0,T1129*(AF1129-AT1129))</f>
        <v/>
      </c>
      <c r="BC1129" s="51" t="n">
        <v>0.05991721963077327</v>
      </c>
      <c r="BD1129" s="51" t="n">
        <v>0.3342093160764733</v>
      </c>
      <c r="BE1129" s="51" t="n">
        <v>0.1585531419705198</v>
      </c>
      <c r="BF1129" s="43" t="n">
        <v>15221</v>
      </c>
    </row>
    <row r="1130">
      <c r="A1130" s="42" t="inlineStr">
        <is>
          <t>TX</t>
        </is>
      </c>
      <c r="B1130" s="42" t="inlineStr">
        <is>
          <t>48241</t>
        </is>
      </c>
      <c r="C1130" s="42" t="inlineStr">
        <is>
          <t>Jasper</t>
        </is>
      </c>
      <c r="D1130" s="42" t="inlineStr">
        <is>
          <t>Small town &amp; rural</t>
        </is>
      </c>
      <c r="E1130" s="42" t="inlineStr"/>
      <c r="F1130" s="43" t="n">
        <v>2615</v>
      </c>
      <c r="G1130" s="43" t="n">
        <v>13162</v>
      </c>
      <c r="H1130" s="43" t="n">
        <v>15839</v>
      </c>
      <c r="I1130" s="43" t="n">
        <v>2954</v>
      </c>
      <c r="J1130" s="43" t="n">
        <v>12542</v>
      </c>
      <c r="K1130" s="42" t="inlineStr">
        <is>
          <t>Governor</t>
        </is>
      </c>
      <c r="L1130" s="43" t="n">
        <v>1601</v>
      </c>
      <c r="M1130" s="43" t="n">
        <v>9701</v>
      </c>
      <c r="N1130" s="43" t="n">
        <v>11385</v>
      </c>
      <c r="O1130" s="44">
        <f>IFERROR((F1130-G1130)/(F1130+G1130),"")</f>
        <v/>
      </c>
      <c r="P1130" s="44">
        <f>IFERROR((I1130-J1130)/(I1130+J1130),"")</f>
        <v/>
      </c>
      <c r="Q1130" s="45">
        <f>IFERROR(O1130-P1130,"")</f>
        <v/>
      </c>
      <c r="R1130" s="44">
        <f>IFERROR((L1130-M1130)/(L1130+M1130),"")</f>
        <v/>
      </c>
      <c r="S1130" s="46">
        <f>H1130/SUMIFS(Counties!$H$2:$H$1583,Counties!$A$2:$A$1583,$A1130)</f>
        <v/>
      </c>
      <c r="T1130" s="44">
        <f>O1130+INDEX(Dashboard!$F$6:$F$22,MATCH($A1130,Dashboard!$A$6:$A$22,0))</f>
        <v/>
      </c>
      <c r="U1130" s="43">
        <f>AQ1130*INDEX(Dashboard!$G$6:$G$22,MATCH($A1130,Dashboard!$A$6:$A$22,0))</f>
        <v/>
      </c>
      <c r="V1130" s="47" t="n"/>
      <c r="W1130" s="47" t="n"/>
      <c r="X1130" s="47" t="n"/>
      <c r="Y1130" s="48" t="n"/>
      <c r="Z1130" s="49" t="n"/>
      <c r="AA1130" s="49" t="n"/>
      <c r="AB1130" s="49" t="n"/>
      <c r="AC1130" s="50" t="n"/>
      <c r="AD1130" s="43">
        <f>IF(Z1130&lt;&gt;"",Z1130,N(V1130))</f>
        <v/>
      </c>
      <c r="AE1130" s="43">
        <f>IF(AA1130&lt;&gt;"",AA1130,N(W1130))</f>
        <v/>
      </c>
      <c r="AF1130" s="43">
        <f>AD1130+AE1130</f>
        <v/>
      </c>
      <c r="AG1130" s="42">
        <f>IF(UPPER(AC1130)="Y",1,IF(AF1130=0,0,IF(AND(Z1130="",Y1130&lt;&gt;""),IF(Y1130&gt;=0.999,1,0),IF(AF1130&gt;=U1130,1,0))))</f>
        <v/>
      </c>
      <c r="AH1130" s="44">
        <f>IF(AF1130&gt;0,(AD1130-AE1130)/AF1130,"")</f>
        <v/>
      </c>
      <c r="AI1130" s="45">
        <f>IF(AG1130=1,AH1130-O1130,"")</f>
        <v/>
      </c>
      <c r="AJ1130" s="44">
        <f>IF(AG1130=1,AH1130,MAX(-1,MIN(1,O1130+INDEX(Types!$H:$H,MATCH($A1130&amp;"|"&amp;$D1130,Types!$A:$A,0)))))</f>
        <v/>
      </c>
      <c r="AK1130" s="43">
        <f>IF(AG1130=1,AF1130,MAX(AQ1130*AS1130,AF1130))</f>
        <v/>
      </c>
      <c r="AL1130" s="43">
        <f>IF(AG1130=1,AD1130,AK1130*(1+AJ1130)/2)</f>
        <v/>
      </c>
      <c r="AM1130" s="43">
        <f>IF(AG1130=1,AE1130,AK1130*(1-AJ1130)/2)</f>
        <v/>
      </c>
      <c r="AN1130" s="45">
        <f>IF(AH1130="","",AH1130-T1130)</f>
        <v/>
      </c>
      <c r="AO1130" s="51">
        <f>IF(AG1130=1,1,IF(U1130&gt;0,MIN(AF1130/U1130,0.99),0))</f>
        <v/>
      </c>
      <c r="AP1130" s="43">
        <f>IF(AG1130=1,AI1130*AF1130,0)</f>
        <v/>
      </c>
      <c r="AQ1130" s="43">
        <f>N1130*(F1130+G1130)/H1130</f>
        <v/>
      </c>
      <c r="AR1130" s="43">
        <f>O1130*AQ1130</f>
        <v/>
      </c>
      <c r="AS1130" s="52">
        <f>IF(AG1130=1,IF(AQ1130&gt;0,AF1130/AQ1130,1),IFERROR(INDEX(Types!$K:$K,MATCH($A1130&amp;"|"&amp;$D1130,Types!$A:$A,0)),INDEX(Dashboard!$X$6:$X$22,MATCH($A1130,Dashboard!$A$6:$A$22,0))))</f>
        <v/>
      </c>
      <c r="AT1130" s="43">
        <f>AQ1130*INDEX(Dashboard!$Y$6:$Y$22,MATCH($A1130,Dashboard!$A$6:$A$22,0))</f>
        <v/>
      </c>
      <c r="AU1130" s="53">
        <f>IF(AND(AG1130=1,AT1130&gt;0,AF1130&gt;0),100*AF1130/AT1130,"")</f>
        <v/>
      </c>
      <c r="AV1130" s="44">
        <f>IF(AU1130="","",T1130/(AU1130/100))</f>
        <v/>
      </c>
      <c r="AW1130" s="53">
        <f>IF(AU1130="","",IF(AND(ABS(AH1130)&gt;=0.1,ABS(T1130)&gt;=0.05,SIGN(AH1130)=SIGN(T1130)),100*T1130/AH1130,""))</f>
        <v/>
      </c>
      <c r="AX1130" s="45">
        <f>IF(AU1130="","",T1130-AV1130)</f>
        <v/>
      </c>
      <c r="AY1130" s="45">
        <f>IF(AU1130="","",AH1130-AV1130)</f>
        <v/>
      </c>
      <c r="AZ1130" s="54">
        <f>(AL1130-AM1130)-T1130*AT1130</f>
        <v/>
      </c>
      <c r="BA1130" s="43">
        <f>IF(AU1130="",0,(AH1130-T1130)*AF1130)</f>
        <v/>
      </c>
      <c r="BB1130" s="43">
        <f>IF(AU1130="",0,T1130*(AF1130-AT1130))</f>
        <v/>
      </c>
      <c r="BC1130" s="51" t="n">
        <v>0.1550437389123387</v>
      </c>
      <c r="BD1130" s="51" t="n">
        <v>0.07264329846455007</v>
      </c>
      <c r="BE1130" s="51" t="n">
        <v>0.1255325690692669</v>
      </c>
      <c r="BF1130" s="43" t="n">
        <v>32694</v>
      </c>
    </row>
    <row r="1131">
      <c r="A1131" s="42" t="inlineStr">
        <is>
          <t>TX</t>
        </is>
      </c>
      <c r="B1131" s="42" t="inlineStr">
        <is>
          <t>48243</t>
        </is>
      </c>
      <c r="C1131" s="42" t="inlineStr">
        <is>
          <t>Jeff Davis</t>
        </is>
      </c>
      <c r="D1131" s="42" t="inlineStr">
        <is>
          <t>Small town &amp; rural</t>
        </is>
      </c>
      <c r="E1131" s="42" t="inlineStr"/>
      <c r="F1131" s="43" t="n">
        <v>450</v>
      </c>
      <c r="G1131" s="43" t="n">
        <v>699</v>
      </c>
      <c r="H1131" s="43" t="n">
        <v>1169</v>
      </c>
      <c r="I1131" s="43" t="n">
        <v>501</v>
      </c>
      <c r="J1131" s="43" t="n">
        <v>784</v>
      </c>
      <c r="K1131" s="42" t="inlineStr">
        <is>
          <t>Governor</t>
        </is>
      </c>
      <c r="L1131" s="43" t="n">
        <v>374</v>
      </c>
      <c r="M1131" s="43" t="n">
        <v>641</v>
      </c>
      <c r="N1131" s="43" t="n">
        <v>1051</v>
      </c>
      <c r="O1131" s="44">
        <f>IFERROR((F1131-G1131)/(F1131+G1131),"")</f>
        <v/>
      </c>
      <c r="P1131" s="44">
        <f>IFERROR((I1131-J1131)/(I1131+J1131),"")</f>
        <v/>
      </c>
      <c r="Q1131" s="45">
        <f>IFERROR(O1131-P1131,"")</f>
        <v/>
      </c>
      <c r="R1131" s="44">
        <f>IFERROR((L1131-M1131)/(L1131+M1131),"")</f>
        <v/>
      </c>
      <c r="S1131" s="46">
        <f>H1131/SUMIFS(Counties!$H$2:$H$1583,Counties!$A$2:$A$1583,$A1131)</f>
        <v/>
      </c>
      <c r="T1131" s="44">
        <f>O1131+INDEX(Dashboard!$F$6:$F$22,MATCH($A1131,Dashboard!$A$6:$A$22,0))</f>
        <v/>
      </c>
      <c r="U1131" s="43">
        <f>AQ1131*INDEX(Dashboard!$G$6:$G$22,MATCH($A1131,Dashboard!$A$6:$A$22,0))</f>
        <v/>
      </c>
      <c r="V1131" s="47" t="n"/>
      <c r="W1131" s="47" t="n"/>
      <c r="X1131" s="47" t="n"/>
      <c r="Y1131" s="48" t="n"/>
      <c r="Z1131" s="49" t="n"/>
      <c r="AA1131" s="49" t="n"/>
      <c r="AB1131" s="49" t="n"/>
      <c r="AC1131" s="50" t="n"/>
      <c r="AD1131" s="43">
        <f>IF(Z1131&lt;&gt;"",Z1131,N(V1131))</f>
        <v/>
      </c>
      <c r="AE1131" s="43">
        <f>IF(AA1131&lt;&gt;"",AA1131,N(W1131))</f>
        <v/>
      </c>
      <c r="AF1131" s="43">
        <f>AD1131+AE1131</f>
        <v/>
      </c>
      <c r="AG1131" s="42">
        <f>IF(UPPER(AC1131)="Y",1,IF(AF1131=0,0,IF(AND(Z1131="",Y1131&lt;&gt;""),IF(Y1131&gt;=0.999,1,0),IF(AF1131&gt;=U1131,1,0))))</f>
        <v/>
      </c>
      <c r="AH1131" s="44">
        <f>IF(AF1131&gt;0,(AD1131-AE1131)/AF1131,"")</f>
        <v/>
      </c>
      <c r="AI1131" s="45">
        <f>IF(AG1131=1,AH1131-O1131,"")</f>
        <v/>
      </c>
      <c r="AJ1131" s="44">
        <f>IF(AG1131=1,AH1131,MAX(-1,MIN(1,O1131+INDEX(Types!$H:$H,MATCH($A1131&amp;"|"&amp;$D1131,Types!$A:$A,0)))))</f>
        <v/>
      </c>
      <c r="AK1131" s="43">
        <f>IF(AG1131=1,AF1131,MAX(AQ1131*AS1131,AF1131))</f>
        <v/>
      </c>
      <c r="AL1131" s="43">
        <f>IF(AG1131=1,AD1131,AK1131*(1+AJ1131)/2)</f>
        <v/>
      </c>
      <c r="AM1131" s="43">
        <f>IF(AG1131=1,AE1131,AK1131*(1-AJ1131)/2)</f>
        <v/>
      </c>
      <c r="AN1131" s="45">
        <f>IF(AH1131="","",AH1131-T1131)</f>
        <v/>
      </c>
      <c r="AO1131" s="51">
        <f>IF(AG1131=1,1,IF(U1131&gt;0,MIN(AF1131/U1131,0.99),0))</f>
        <v/>
      </c>
      <c r="AP1131" s="43">
        <f>IF(AG1131=1,AI1131*AF1131,0)</f>
        <v/>
      </c>
      <c r="AQ1131" s="43">
        <f>N1131*(F1131+G1131)/H1131</f>
        <v/>
      </c>
      <c r="AR1131" s="43">
        <f>O1131*AQ1131</f>
        <v/>
      </c>
      <c r="AS1131" s="52">
        <f>IF(AG1131=1,IF(AQ1131&gt;0,AF1131/AQ1131,1),IFERROR(INDEX(Types!$K:$K,MATCH($A1131&amp;"|"&amp;$D1131,Types!$A:$A,0)),INDEX(Dashboard!$X$6:$X$22,MATCH($A1131,Dashboard!$A$6:$A$22,0))))</f>
        <v/>
      </c>
      <c r="AT1131" s="43">
        <f>AQ1131*INDEX(Dashboard!$Y$6:$Y$22,MATCH($A1131,Dashboard!$A$6:$A$22,0))</f>
        <v/>
      </c>
      <c r="AU1131" s="53">
        <f>IF(AND(AG1131=1,AT1131&gt;0,AF1131&gt;0),100*AF1131/AT1131,"")</f>
        <v/>
      </c>
      <c r="AV1131" s="44">
        <f>IF(AU1131="","",T1131/(AU1131/100))</f>
        <v/>
      </c>
      <c r="AW1131" s="53">
        <f>IF(AU1131="","",IF(AND(ABS(AH1131)&gt;=0.1,ABS(T1131)&gt;=0.05,SIGN(AH1131)=SIGN(T1131)),100*T1131/AH1131,""))</f>
        <v/>
      </c>
      <c r="AX1131" s="45">
        <f>IF(AU1131="","",T1131-AV1131)</f>
        <v/>
      </c>
      <c r="AY1131" s="45">
        <f>IF(AU1131="","",AH1131-AV1131)</f>
        <v/>
      </c>
      <c r="AZ1131" s="54">
        <f>(AL1131-AM1131)-T1131*AT1131</f>
        <v/>
      </c>
      <c r="BA1131" s="43">
        <f>IF(AU1131="",0,(AH1131-T1131)*AF1131)</f>
        <v/>
      </c>
      <c r="BB1131" s="43">
        <f>IF(AU1131="",0,T1131*(AF1131-AT1131))</f>
        <v/>
      </c>
      <c r="BC1131" s="51" t="n">
        <v>0.007543103448275862</v>
      </c>
      <c r="BD1131" s="51" t="n">
        <v>0.2957974137931034</v>
      </c>
      <c r="BE1131" s="51" t="n">
        <v>0.3043478260869565</v>
      </c>
      <c r="BF1131" s="43" t="n">
        <v>1856</v>
      </c>
    </row>
    <row r="1132">
      <c r="A1132" s="42" t="inlineStr">
        <is>
          <t>TX</t>
        </is>
      </c>
      <c r="B1132" s="42" t="inlineStr">
        <is>
          <t>48245</t>
        </is>
      </c>
      <c r="C1132" s="42" t="inlineStr">
        <is>
          <t>Jefferson</t>
        </is>
      </c>
      <c r="D1132" s="42" t="inlineStr">
        <is>
          <t>Mid-size/working metro</t>
        </is>
      </c>
      <c r="E1132" s="42" t="inlineStr"/>
      <c r="F1132" s="43" t="n">
        <v>38936</v>
      </c>
      <c r="G1132" s="43" t="n">
        <v>46596</v>
      </c>
      <c r="H1132" s="43" t="n">
        <v>86272</v>
      </c>
      <c r="I1132" s="43" t="n">
        <v>46073</v>
      </c>
      <c r="J1132" s="43" t="n">
        <v>47570</v>
      </c>
      <c r="K1132" s="42" t="inlineStr">
        <is>
          <t>Governor</t>
        </is>
      </c>
      <c r="L1132" s="43" t="n">
        <v>26617</v>
      </c>
      <c r="M1132" s="43" t="n">
        <v>34952</v>
      </c>
      <c r="N1132" s="43" t="n">
        <v>62439</v>
      </c>
      <c r="O1132" s="44">
        <f>IFERROR((F1132-G1132)/(F1132+G1132),"")</f>
        <v/>
      </c>
      <c r="P1132" s="44">
        <f>IFERROR((I1132-J1132)/(I1132+J1132),"")</f>
        <v/>
      </c>
      <c r="Q1132" s="45">
        <f>IFERROR(O1132-P1132,"")</f>
        <v/>
      </c>
      <c r="R1132" s="44">
        <f>IFERROR((L1132-M1132)/(L1132+M1132),"")</f>
        <v/>
      </c>
      <c r="S1132" s="46">
        <f>H1132/SUMIFS(Counties!$H$2:$H$1583,Counties!$A$2:$A$1583,$A1132)</f>
        <v/>
      </c>
      <c r="T1132" s="44">
        <f>O1132+INDEX(Dashboard!$F$6:$F$22,MATCH($A1132,Dashboard!$A$6:$A$22,0))</f>
        <v/>
      </c>
      <c r="U1132" s="43">
        <f>AQ1132*INDEX(Dashboard!$G$6:$G$22,MATCH($A1132,Dashboard!$A$6:$A$22,0))</f>
        <v/>
      </c>
      <c r="V1132" s="47" t="n"/>
      <c r="W1132" s="47" t="n"/>
      <c r="X1132" s="47" t="n"/>
      <c r="Y1132" s="48" t="n"/>
      <c r="Z1132" s="49" t="n"/>
      <c r="AA1132" s="49" t="n"/>
      <c r="AB1132" s="49" t="n"/>
      <c r="AC1132" s="50" t="n"/>
      <c r="AD1132" s="43">
        <f>IF(Z1132&lt;&gt;"",Z1132,N(V1132))</f>
        <v/>
      </c>
      <c r="AE1132" s="43">
        <f>IF(AA1132&lt;&gt;"",AA1132,N(W1132))</f>
        <v/>
      </c>
      <c r="AF1132" s="43">
        <f>AD1132+AE1132</f>
        <v/>
      </c>
      <c r="AG1132" s="42">
        <f>IF(UPPER(AC1132)="Y",1,IF(AF1132=0,0,IF(AND(Z1132="",Y1132&lt;&gt;""),IF(Y1132&gt;=0.999,1,0),IF(AF1132&gt;=U1132,1,0))))</f>
        <v/>
      </c>
      <c r="AH1132" s="44">
        <f>IF(AF1132&gt;0,(AD1132-AE1132)/AF1132,"")</f>
        <v/>
      </c>
      <c r="AI1132" s="45">
        <f>IF(AG1132=1,AH1132-O1132,"")</f>
        <v/>
      </c>
      <c r="AJ1132" s="44">
        <f>IF(AG1132=1,AH1132,MAX(-1,MIN(1,O1132+INDEX(Types!$H:$H,MATCH($A1132&amp;"|"&amp;$D1132,Types!$A:$A,0)))))</f>
        <v/>
      </c>
      <c r="AK1132" s="43">
        <f>IF(AG1132=1,AF1132,MAX(AQ1132*AS1132,AF1132))</f>
        <v/>
      </c>
      <c r="AL1132" s="43">
        <f>IF(AG1132=1,AD1132,AK1132*(1+AJ1132)/2)</f>
        <v/>
      </c>
      <c r="AM1132" s="43">
        <f>IF(AG1132=1,AE1132,AK1132*(1-AJ1132)/2)</f>
        <v/>
      </c>
      <c r="AN1132" s="45">
        <f>IF(AH1132="","",AH1132-T1132)</f>
        <v/>
      </c>
      <c r="AO1132" s="51">
        <f>IF(AG1132=1,1,IF(U1132&gt;0,MIN(AF1132/U1132,0.99),0))</f>
        <v/>
      </c>
      <c r="AP1132" s="43">
        <f>IF(AG1132=1,AI1132*AF1132,0)</f>
        <v/>
      </c>
      <c r="AQ1132" s="43">
        <f>N1132*(F1132+G1132)/H1132</f>
        <v/>
      </c>
      <c r="AR1132" s="43">
        <f>O1132*AQ1132</f>
        <v/>
      </c>
      <c r="AS1132" s="52">
        <f>IF(AG1132=1,IF(AQ1132&gt;0,AF1132/AQ1132,1),IFERROR(INDEX(Types!$K:$K,MATCH($A1132&amp;"|"&amp;$D1132,Types!$A:$A,0)),INDEX(Dashboard!$X$6:$X$22,MATCH($A1132,Dashboard!$A$6:$A$22,0))))</f>
        <v/>
      </c>
      <c r="AT1132" s="43">
        <f>AQ1132*INDEX(Dashboard!$Y$6:$Y$22,MATCH($A1132,Dashboard!$A$6:$A$22,0))</f>
        <v/>
      </c>
      <c r="AU1132" s="53">
        <f>IF(AND(AG1132=1,AT1132&gt;0,AF1132&gt;0),100*AF1132/AT1132,"")</f>
        <v/>
      </c>
      <c r="AV1132" s="44">
        <f>IF(AU1132="","",T1132/(AU1132/100))</f>
        <v/>
      </c>
      <c r="AW1132" s="53">
        <f>IF(AU1132="","",IF(AND(ABS(AH1132)&gt;=0.1,ABS(T1132)&gt;=0.05,SIGN(AH1132)=SIGN(T1132)),100*T1132/AH1132,""))</f>
        <v/>
      </c>
      <c r="AX1132" s="45">
        <f>IF(AU1132="","",T1132-AV1132)</f>
        <v/>
      </c>
      <c r="AY1132" s="45">
        <f>IF(AU1132="","",AH1132-AV1132)</f>
        <v/>
      </c>
      <c r="AZ1132" s="54">
        <f>(AL1132-AM1132)-T1132*AT1132</f>
        <v/>
      </c>
      <c r="BA1132" s="43">
        <f>IF(AU1132="",0,(AH1132-T1132)*AF1132)</f>
        <v/>
      </c>
      <c r="BB1132" s="43">
        <f>IF(AU1132="",0,T1132*(AF1132-AT1132))</f>
        <v/>
      </c>
      <c r="BC1132" s="51" t="n">
        <v>0.3325500206762732</v>
      </c>
      <c r="BD1132" s="51" t="n">
        <v>0.2456619588383115</v>
      </c>
      <c r="BE1132" s="51" t="n">
        <v>0.1944985308174319</v>
      </c>
      <c r="BF1132" s="43" t="n">
        <v>251496</v>
      </c>
    </row>
    <row r="1133">
      <c r="A1133" s="42" t="inlineStr">
        <is>
          <t>TX</t>
        </is>
      </c>
      <c r="B1133" s="42" t="inlineStr">
        <is>
          <t>48247</t>
        </is>
      </c>
      <c r="C1133" s="42" t="inlineStr">
        <is>
          <t>Jim Hogg</t>
        </is>
      </c>
      <c r="D1133" s="42" t="inlineStr">
        <is>
          <t>Hispanic</t>
        </is>
      </c>
      <c r="E1133" s="42" t="inlineStr"/>
      <c r="F1133" s="43" t="n">
        <v>856</v>
      </c>
      <c r="G1133" s="43" t="n">
        <v>725</v>
      </c>
      <c r="H1133" s="43" t="n">
        <v>1585</v>
      </c>
      <c r="I1133" s="43" t="n">
        <v>1197</v>
      </c>
      <c r="J1133" s="43" t="n">
        <v>833</v>
      </c>
      <c r="K1133" s="42" t="inlineStr">
        <is>
          <t>Governor</t>
        </is>
      </c>
      <c r="L1133" s="43" t="n">
        <v>876</v>
      </c>
      <c r="M1133" s="43" t="n">
        <v>650</v>
      </c>
      <c r="N1133" s="43" t="n">
        <v>1542</v>
      </c>
      <c r="O1133" s="44">
        <f>IFERROR((F1133-G1133)/(F1133+G1133),"")</f>
        <v/>
      </c>
      <c r="P1133" s="44">
        <f>IFERROR((I1133-J1133)/(I1133+J1133),"")</f>
        <v/>
      </c>
      <c r="Q1133" s="45">
        <f>IFERROR(O1133-P1133,"")</f>
        <v/>
      </c>
      <c r="R1133" s="44">
        <f>IFERROR((L1133-M1133)/(L1133+M1133),"")</f>
        <v/>
      </c>
      <c r="S1133" s="46">
        <f>H1133/SUMIFS(Counties!$H$2:$H$1583,Counties!$A$2:$A$1583,$A1133)</f>
        <v/>
      </c>
      <c r="T1133" s="44">
        <f>O1133+INDEX(Dashboard!$F$6:$F$22,MATCH($A1133,Dashboard!$A$6:$A$22,0))</f>
        <v/>
      </c>
      <c r="U1133" s="43">
        <f>AQ1133*INDEX(Dashboard!$G$6:$G$22,MATCH($A1133,Dashboard!$A$6:$A$22,0))</f>
        <v/>
      </c>
      <c r="V1133" s="47" t="n"/>
      <c r="W1133" s="47" t="n"/>
      <c r="X1133" s="47" t="n"/>
      <c r="Y1133" s="48" t="n"/>
      <c r="Z1133" s="49" t="n"/>
      <c r="AA1133" s="49" t="n"/>
      <c r="AB1133" s="49" t="n"/>
      <c r="AC1133" s="50" t="n"/>
      <c r="AD1133" s="43">
        <f>IF(Z1133&lt;&gt;"",Z1133,N(V1133))</f>
        <v/>
      </c>
      <c r="AE1133" s="43">
        <f>IF(AA1133&lt;&gt;"",AA1133,N(W1133))</f>
        <v/>
      </c>
      <c r="AF1133" s="43">
        <f>AD1133+AE1133</f>
        <v/>
      </c>
      <c r="AG1133" s="42">
        <f>IF(UPPER(AC1133)="Y",1,IF(AF1133=0,0,IF(AND(Z1133="",Y1133&lt;&gt;""),IF(Y1133&gt;=0.999,1,0),IF(AF1133&gt;=U1133,1,0))))</f>
        <v/>
      </c>
      <c r="AH1133" s="44">
        <f>IF(AF1133&gt;0,(AD1133-AE1133)/AF1133,"")</f>
        <v/>
      </c>
      <c r="AI1133" s="45">
        <f>IF(AG1133=1,AH1133-O1133,"")</f>
        <v/>
      </c>
      <c r="AJ1133" s="44">
        <f>IF(AG1133=1,AH1133,MAX(-1,MIN(1,O1133+INDEX(Types!$H:$H,MATCH($A1133&amp;"|"&amp;$D1133,Types!$A:$A,0)))))</f>
        <v/>
      </c>
      <c r="AK1133" s="43">
        <f>IF(AG1133=1,AF1133,MAX(AQ1133*AS1133,AF1133))</f>
        <v/>
      </c>
      <c r="AL1133" s="43">
        <f>IF(AG1133=1,AD1133,AK1133*(1+AJ1133)/2)</f>
        <v/>
      </c>
      <c r="AM1133" s="43">
        <f>IF(AG1133=1,AE1133,AK1133*(1-AJ1133)/2)</f>
        <v/>
      </c>
      <c r="AN1133" s="45">
        <f>IF(AH1133="","",AH1133-T1133)</f>
        <v/>
      </c>
      <c r="AO1133" s="51">
        <f>IF(AG1133=1,1,IF(U1133&gt;0,MIN(AF1133/U1133,0.99),0))</f>
        <v/>
      </c>
      <c r="AP1133" s="43">
        <f>IF(AG1133=1,AI1133*AF1133,0)</f>
        <v/>
      </c>
      <c r="AQ1133" s="43">
        <f>N1133*(F1133+G1133)/H1133</f>
        <v/>
      </c>
      <c r="AR1133" s="43">
        <f>O1133*AQ1133</f>
        <v/>
      </c>
      <c r="AS1133" s="52">
        <f>IF(AG1133=1,IF(AQ1133&gt;0,AF1133/AQ1133,1),IFERROR(INDEX(Types!$K:$K,MATCH($A1133&amp;"|"&amp;$D1133,Types!$A:$A,0)),INDEX(Dashboard!$X$6:$X$22,MATCH($A1133,Dashboard!$A$6:$A$22,0))))</f>
        <v/>
      </c>
      <c r="AT1133" s="43">
        <f>AQ1133*INDEX(Dashboard!$Y$6:$Y$22,MATCH($A1133,Dashboard!$A$6:$A$22,0))</f>
        <v/>
      </c>
      <c r="AU1133" s="53">
        <f>IF(AND(AG1133=1,AT1133&gt;0,AF1133&gt;0),100*AF1133/AT1133,"")</f>
        <v/>
      </c>
      <c r="AV1133" s="44">
        <f>IF(AU1133="","",T1133/(AU1133/100))</f>
        <v/>
      </c>
      <c r="AW1133" s="53">
        <f>IF(AU1133="","",IF(AND(ABS(AH1133)&gt;=0.1,ABS(T1133)&gt;=0.05,SIGN(AH1133)=SIGN(T1133)),100*T1133/AH1133,""))</f>
        <v/>
      </c>
      <c r="AX1133" s="45">
        <f>IF(AU1133="","",T1133-AV1133)</f>
        <v/>
      </c>
      <c r="AY1133" s="45">
        <f>IF(AU1133="","",AH1133-AV1133)</f>
        <v/>
      </c>
      <c r="AZ1133" s="54">
        <f>(AL1133-AM1133)-T1133*AT1133</f>
        <v/>
      </c>
      <c r="BA1133" s="43">
        <f>IF(AU1133="",0,(AH1133-T1133)*AF1133)</f>
        <v/>
      </c>
      <c r="BB1133" s="43">
        <f>IF(AU1133="",0,T1133*(AF1133-AT1133))</f>
        <v/>
      </c>
      <c r="BC1133" s="51" t="n">
        <v>0.01165254237288136</v>
      </c>
      <c r="BD1133" s="51" t="n">
        <v>0.8864406779661017</v>
      </c>
      <c r="BE1133" s="51" t="n">
        <v>0.1895261845386534</v>
      </c>
      <c r="BF1133" s="43" t="n">
        <v>4720</v>
      </c>
    </row>
    <row r="1134">
      <c r="A1134" s="42" t="inlineStr">
        <is>
          <t>TX</t>
        </is>
      </c>
      <c r="B1134" s="42" t="inlineStr">
        <is>
          <t>48249</t>
        </is>
      </c>
      <c r="C1134" s="42" t="inlineStr">
        <is>
          <t>Jim Wells</t>
        </is>
      </c>
      <c r="D1134" s="42" t="inlineStr">
        <is>
          <t>Hispanic</t>
        </is>
      </c>
      <c r="E1134" s="42" t="inlineStr"/>
      <c r="F1134" s="43" t="n">
        <v>5577</v>
      </c>
      <c r="G1134" s="43" t="n">
        <v>7636</v>
      </c>
      <c r="H1134" s="43" t="n">
        <v>13268</v>
      </c>
      <c r="I1134" s="43" t="n">
        <v>6119</v>
      </c>
      <c r="J1134" s="43" t="n">
        <v>7453</v>
      </c>
      <c r="K1134" s="42" t="inlineStr">
        <is>
          <t>Governor</t>
        </is>
      </c>
      <c r="L1134" s="43" t="n">
        <v>4375</v>
      </c>
      <c r="M1134" s="43" t="n">
        <v>5063</v>
      </c>
      <c r="N1134" s="43" t="n">
        <v>9543</v>
      </c>
      <c r="O1134" s="44">
        <f>IFERROR((F1134-G1134)/(F1134+G1134),"")</f>
        <v/>
      </c>
      <c r="P1134" s="44">
        <f>IFERROR((I1134-J1134)/(I1134+J1134),"")</f>
        <v/>
      </c>
      <c r="Q1134" s="45">
        <f>IFERROR(O1134-P1134,"")</f>
        <v/>
      </c>
      <c r="R1134" s="44">
        <f>IFERROR((L1134-M1134)/(L1134+M1134),"")</f>
        <v/>
      </c>
      <c r="S1134" s="46">
        <f>H1134/SUMIFS(Counties!$H$2:$H$1583,Counties!$A$2:$A$1583,$A1134)</f>
        <v/>
      </c>
      <c r="T1134" s="44">
        <f>O1134+INDEX(Dashboard!$F$6:$F$22,MATCH($A1134,Dashboard!$A$6:$A$22,0))</f>
        <v/>
      </c>
      <c r="U1134" s="43">
        <f>AQ1134*INDEX(Dashboard!$G$6:$G$22,MATCH($A1134,Dashboard!$A$6:$A$22,0))</f>
        <v/>
      </c>
      <c r="V1134" s="47" t="n"/>
      <c r="W1134" s="47" t="n"/>
      <c r="X1134" s="47" t="n"/>
      <c r="Y1134" s="48" t="n"/>
      <c r="Z1134" s="49" t="n"/>
      <c r="AA1134" s="49" t="n"/>
      <c r="AB1134" s="49" t="n"/>
      <c r="AC1134" s="50" t="n"/>
      <c r="AD1134" s="43">
        <f>IF(Z1134&lt;&gt;"",Z1134,N(V1134))</f>
        <v/>
      </c>
      <c r="AE1134" s="43">
        <f>IF(AA1134&lt;&gt;"",AA1134,N(W1134))</f>
        <v/>
      </c>
      <c r="AF1134" s="43">
        <f>AD1134+AE1134</f>
        <v/>
      </c>
      <c r="AG1134" s="42">
        <f>IF(UPPER(AC1134)="Y",1,IF(AF1134=0,0,IF(AND(Z1134="",Y1134&lt;&gt;""),IF(Y1134&gt;=0.999,1,0),IF(AF1134&gt;=U1134,1,0))))</f>
        <v/>
      </c>
      <c r="AH1134" s="44">
        <f>IF(AF1134&gt;0,(AD1134-AE1134)/AF1134,"")</f>
        <v/>
      </c>
      <c r="AI1134" s="45">
        <f>IF(AG1134=1,AH1134-O1134,"")</f>
        <v/>
      </c>
      <c r="AJ1134" s="44">
        <f>IF(AG1134=1,AH1134,MAX(-1,MIN(1,O1134+INDEX(Types!$H:$H,MATCH($A1134&amp;"|"&amp;$D1134,Types!$A:$A,0)))))</f>
        <v/>
      </c>
      <c r="AK1134" s="43">
        <f>IF(AG1134=1,AF1134,MAX(AQ1134*AS1134,AF1134))</f>
        <v/>
      </c>
      <c r="AL1134" s="43">
        <f>IF(AG1134=1,AD1134,AK1134*(1+AJ1134)/2)</f>
        <v/>
      </c>
      <c r="AM1134" s="43">
        <f>IF(AG1134=1,AE1134,AK1134*(1-AJ1134)/2)</f>
        <v/>
      </c>
      <c r="AN1134" s="45">
        <f>IF(AH1134="","",AH1134-T1134)</f>
        <v/>
      </c>
      <c r="AO1134" s="51">
        <f>IF(AG1134=1,1,IF(U1134&gt;0,MIN(AF1134/U1134,0.99),0))</f>
        <v/>
      </c>
      <c r="AP1134" s="43">
        <f>IF(AG1134=1,AI1134*AF1134,0)</f>
        <v/>
      </c>
      <c r="AQ1134" s="43">
        <f>N1134*(F1134+G1134)/H1134</f>
        <v/>
      </c>
      <c r="AR1134" s="43">
        <f>O1134*AQ1134</f>
        <v/>
      </c>
      <c r="AS1134" s="52">
        <f>IF(AG1134=1,IF(AQ1134&gt;0,AF1134/AQ1134,1),IFERROR(INDEX(Types!$K:$K,MATCH($A1134&amp;"|"&amp;$D1134,Types!$A:$A,0)),INDEX(Dashboard!$X$6:$X$22,MATCH($A1134,Dashboard!$A$6:$A$22,0))))</f>
        <v/>
      </c>
      <c r="AT1134" s="43">
        <f>AQ1134*INDEX(Dashboard!$Y$6:$Y$22,MATCH($A1134,Dashboard!$A$6:$A$22,0))</f>
        <v/>
      </c>
      <c r="AU1134" s="53">
        <f>IF(AND(AG1134=1,AT1134&gt;0,AF1134&gt;0),100*AF1134/AT1134,"")</f>
        <v/>
      </c>
      <c r="AV1134" s="44">
        <f>IF(AU1134="","",T1134/(AU1134/100))</f>
        <v/>
      </c>
      <c r="AW1134" s="53">
        <f>IF(AU1134="","",IF(AND(ABS(AH1134)&gt;=0.1,ABS(T1134)&gt;=0.05,SIGN(AH1134)=SIGN(T1134)),100*T1134/AH1134,""))</f>
        <v/>
      </c>
      <c r="AX1134" s="45">
        <f>IF(AU1134="","",T1134-AV1134)</f>
        <v/>
      </c>
      <c r="AY1134" s="45">
        <f>IF(AU1134="","",AH1134-AV1134)</f>
        <v/>
      </c>
      <c r="AZ1134" s="54">
        <f>(AL1134-AM1134)-T1134*AT1134</f>
        <v/>
      </c>
      <c r="BA1134" s="43">
        <f>IF(AU1134="",0,(AH1134-T1134)*AF1134)</f>
        <v/>
      </c>
      <c r="BB1134" s="43">
        <f>IF(AU1134="",0,T1134*(AF1134-AT1134))</f>
        <v/>
      </c>
      <c r="BC1134" s="51" t="n">
        <v>0.007423309709792561</v>
      </c>
      <c r="BD1134" s="51" t="n">
        <v>0.7962857586260411</v>
      </c>
      <c r="BE1134" s="51" t="n">
        <v>0.1517727051966974</v>
      </c>
      <c r="BF1134" s="43" t="n">
        <v>38662</v>
      </c>
    </row>
    <row r="1135">
      <c r="A1135" s="42" t="inlineStr">
        <is>
          <t>TX</t>
        </is>
      </c>
      <c r="B1135" s="42" t="inlineStr">
        <is>
          <t>48251</t>
        </is>
      </c>
      <c r="C1135" s="42" t="inlineStr">
        <is>
          <t>Johnson</t>
        </is>
      </c>
      <c r="D1135" s="42" t="inlineStr">
        <is>
          <t>Mid-size/working metro</t>
        </is>
      </c>
      <c r="E1135" s="42" t="inlineStr"/>
      <c r="F1135" s="43" t="n">
        <v>19247</v>
      </c>
      <c r="G1135" s="43" t="n">
        <v>60752</v>
      </c>
      <c r="H1135" s="43" t="n">
        <v>80691</v>
      </c>
      <c r="I1135" s="43" t="n">
        <v>16464</v>
      </c>
      <c r="J1135" s="43" t="n">
        <v>54628</v>
      </c>
      <c r="K1135" s="42" t="inlineStr">
        <is>
          <t>Governor</t>
        </is>
      </c>
      <c r="L1135" s="43" t="n">
        <v>12266</v>
      </c>
      <c r="M1135" s="43" t="n">
        <v>42954</v>
      </c>
      <c r="N1135" s="43" t="n">
        <v>55864</v>
      </c>
      <c r="O1135" s="44">
        <f>IFERROR((F1135-G1135)/(F1135+G1135),"")</f>
        <v/>
      </c>
      <c r="P1135" s="44">
        <f>IFERROR((I1135-J1135)/(I1135+J1135),"")</f>
        <v/>
      </c>
      <c r="Q1135" s="45">
        <f>IFERROR(O1135-P1135,"")</f>
        <v/>
      </c>
      <c r="R1135" s="44">
        <f>IFERROR((L1135-M1135)/(L1135+M1135),"")</f>
        <v/>
      </c>
      <c r="S1135" s="46">
        <f>H1135/SUMIFS(Counties!$H$2:$H$1583,Counties!$A$2:$A$1583,$A1135)</f>
        <v/>
      </c>
      <c r="T1135" s="44">
        <f>O1135+INDEX(Dashboard!$F$6:$F$22,MATCH($A1135,Dashboard!$A$6:$A$22,0))</f>
        <v/>
      </c>
      <c r="U1135" s="43">
        <f>AQ1135*INDEX(Dashboard!$G$6:$G$22,MATCH($A1135,Dashboard!$A$6:$A$22,0))</f>
        <v/>
      </c>
      <c r="V1135" s="47" t="n"/>
      <c r="W1135" s="47" t="n"/>
      <c r="X1135" s="47" t="n"/>
      <c r="Y1135" s="48" t="n"/>
      <c r="Z1135" s="49" t="n"/>
      <c r="AA1135" s="49" t="n"/>
      <c r="AB1135" s="49" t="n"/>
      <c r="AC1135" s="50" t="n"/>
      <c r="AD1135" s="43">
        <f>IF(Z1135&lt;&gt;"",Z1135,N(V1135))</f>
        <v/>
      </c>
      <c r="AE1135" s="43">
        <f>IF(AA1135&lt;&gt;"",AA1135,N(W1135))</f>
        <v/>
      </c>
      <c r="AF1135" s="43">
        <f>AD1135+AE1135</f>
        <v/>
      </c>
      <c r="AG1135" s="42">
        <f>IF(UPPER(AC1135)="Y",1,IF(AF1135=0,0,IF(AND(Z1135="",Y1135&lt;&gt;""),IF(Y1135&gt;=0.999,1,0),IF(AF1135&gt;=U1135,1,0))))</f>
        <v/>
      </c>
      <c r="AH1135" s="44">
        <f>IF(AF1135&gt;0,(AD1135-AE1135)/AF1135,"")</f>
        <v/>
      </c>
      <c r="AI1135" s="45">
        <f>IF(AG1135=1,AH1135-O1135,"")</f>
        <v/>
      </c>
      <c r="AJ1135" s="44">
        <f>IF(AG1135=1,AH1135,MAX(-1,MIN(1,O1135+INDEX(Types!$H:$H,MATCH($A1135&amp;"|"&amp;$D1135,Types!$A:$A,0)))))</f>
        <v/>
      </c>
      <c r="AK1135" s="43">
        <f>IF(AG1135=1,AF1135,MAX(AQ1135*AS1135,AF1135))</f>
        <v/>
      </c>
      <c r="AL1135" s="43">
        <f>IF(AG1135=1,AD1135,AK1135*(1+AJ1135)/2)</f>
        <v/>
      </c>
      <c r="AM1135" s="43">
        <f>IF(AG1135=1,AE1135,AK1135*(1-AJ1135)/2)</f>
        <v/>
      </c>
      <c r="AN1135" s="45">
        <f>IF(AH1135="","",AH1135-T1135)</f>
        <v/>
      </c>
      <c r="AO1135" s="51">
        <f>IF(AG1135=1,1,IF(U1135&gt;0,MIN(AF1135/U1135,0.99),0))</f>
        <v/>
      </c>
      <c r="AP1135" s="43">
        <f>IF(AG1135=1,AI1135*AF1135,0)</f>
        <v/>
      </c>
      <c r="AQ1135" s="43">
        <f>N1135*(F1135+G1135)/H1135</f>
        <v/>
      </c>
      <c r="AR1135" s="43">
        <f>O1135*AQ1135</f>
        <v/>
      </c>
      <c r="AS1135" s="52">
        <f>IF(AG1135=1,IF(AQ1135&gt;0,AF1135/AQ1135,1),IFERROR(INDEX(Types!$K:$K,MATCH($A1135&amp;"|"&amp;$D1135,Types!$A:$A,0)),INDEX(Dashboard!$X$6:$X$22,MATCH($A1135,Dashboard!$A$6:$A$22,0))))</f>
        <v/>
      </c>
      <c r="AT1135" s="43">
        <f>AQ1135*INDEX(Dashboard!$Y$6:$Y$22,MATCH($A1135,Dashboard!$A$6:$A$22,0))</f>
        <v/>
      </c>
      <c r="AU1135" s="53">
        <f>IF(AND(AG1135=1,AT1135&gt;0,AF1135&gt;0),100*AF1135/AT1135,"")</f>
        <v/>
      </c>
      <c r="AV1135" s="44">
        <f>IF(AU1135="","",T1135/(AU1135/100))</f>
        <v/>
      </c>
      <c r="AW1135" s="53">
        <f>IF(AU1135="","",IF(AND(ABS(AH1135)&gt;=0.1,ABS(T1135)&gt;=0.05,SIGN(AH1135)=SIGN(T1135)),100*T1135/AH1135,""))</f>
        <v/>
      </c>
      <c r="AX1135" s="45">
        <f>IF(AU1135="","",T1135-AV1135)</f>
        <v/>
      </c>
      <c r="AY1135" s="45">
        <f>IF(AU1135="","",AH1135-AV1135)</f>
        <v/>
      </c>
      <c r="AZ1135" s="54">
        <f>(AL1135-AM1135)-T1135*AT1135</f>
        <v/>
      </c>
      <c r="BA1135" s="43">
        <f>IF(AU1135="",0,(AH1135-T1135)*AF1135)</f>
        <v/>
      </c>
      <c r="BB1135" s="43">
        <f>IF(AU1135="",0,T1135*(AF1135-AT1135))</f>
        <v/>
      </c>
      <c r="BC1135" s="51" t="n">
        <v>0.05758331444116981</v>
      </c>
      <c r="BD1135" s="51" t="n">
        <v>0.2589179225848423</v>
      </c>
      <c r="BE1135" s="51" t="n">
        <v>0.2354165485629135</v>
      </c>
      <c r="BF1135" s="43" t="n">
        <v>202906</v>
      </c>
    </row>
    <row r="1136">
      <c r="A1136" s="42" t="inlineStr">
        <is>
          <t>TX</t>
        </is>
      </c>
      <c r="B1136" s="42" t="inlineStr">
        <is>
          <t>48253</t>
        </is>
      </c>
      <c r="C1136" s="42" t="inlineStr">
        <is>
          <t>Jones</t>
        </is>
      </c>
      <c r="D1136" s="42" t="inlineStr">
        <is>
          <t>Small town &amp; rural</t>
        </is>
      </c>
      <c r="E1136" s="42" t="inlineStr"/>
      <c r="F1136" s="43" t="n">
        <v>907</v>
      </c>
      <c r="G1136" s="43" t="n">
        <v>5988</v>
      </c>
      <c r="H1136" s="43" t="n">
        <v>6946</v>
      </c>
      <c r="I1136" s="43" t="n">
        <v>999</v>
      </c>
      <c r="J1136" s="43" t="n">
        <v>5660</v>
      </c>
      <c r="K1136" s="42" t="inlineStr">
        <is>
          <t>Governor</t>
        </is>
      </c>
      <c r="L1136" s="43" t="n">
        <v>581</v>
      </c>
      <c r="M1136" s="43" t="n">
        <v>4349</v>
      </c>
      <c r="N1136" s="43" t="n">
        <v>4992</v>
      </c>
      <c r="O1136" s="44">
        <f>IFERROR((F1136-G1136)/(F1136+G1136),"")</f>
        <v/>
      </c>
      <c r="P1136" s="44">
        <f>IFERROR((I1136-J1136)/(I1136+J1136),"")</f>
        <v/>
      </c>
      <c r="Q1136" s="45">
        <f>IFERROR(O1136-P1136,"")</f>
        <v/>
      </c>
      <c r="R1136" s="44">
        <f>IFERROR((L1136-M1136)/(L1136+M1136),"")</f>
        <v/>
      </c>
      <c r="S1136" s="46">
        <f>H1136/SUMIFS(Counties!$H$2:$H$1583,Counties!$A$2:$A$1583,$A1136)</f>
        <v/>
      </c>
      <c r="T1136" s="44">
        <f>O1136+INDEX(Dashboard!$F$6:$F$22,MATCH($A1136,Dashboard!$A$6:$A$22,0))</f>
        <v/>
      </c>
      <c r="U1136" s="43">
        <f>AQ1136*INDEX(Dashboard!$G$6:$G$22,MATCH($A1136,Dashboard!$A$6:$A$22,0))</f>
        <v/>
      </c>
      <c r="V1136" s="47" t="n"/>
      <c r="W1136" s="47" t="n"/>
      <c r="X1136" s="47" t="n"/>
      <c r="Y1136" s="48" t="n"/>
      <c r="Z1136" s="49" t="n"/>
      <c r="AA1136" s="49" t="n"/>
      <c r="AB1136" s="49" t="n"/>
      <c r="AC1136" s="50" t="n"/>
      <c r="AD1136" s="43">
        <f>IF(Z1136&lt;&gt;"",Z1136,N(V1136))</f>
        <v/>
      </c>
      <c r="AE1136" s="43">
        <f>IF(AA1136&lt;&gt;"",AA1136,N(W1136))</f>
        <v/>
      </c>
      <c r="AF1136" s="43">
        <f>AD1136+AE1136</f>
        <v/>
      </c>
      <c r="AG1136" s="42">
        <f>IF(UPPER(AC1136)="Y",1,IF(AF1136=0,0,IF(AND(Z1136="",Y1136&lt;&gt;""),IF(Y1136&gt;=0.999,1,0),IF(AF1136&gt;=U1136,1,0))))</f>
        <v/>
      </c>
      <c r="AH1136" s="44">
        <f>IF(AF1136&gt;0,(AD1136-AE1136)/AF1136,"")</f>
        <v/>
      </c>
      <c r="AI1136" s="45">
        <f>IF(AG1136=1,AH1136-O1136,"")</f>
        <v/>
      </c>
      <c r="AJ1136" s="44">
        <f>IF(AG1136=1,AH1136,MAX(-1,MIN(1,O1136+INDEX(Types!$H:$H,MATCH($A1136&amp;"|"&amp;$D1136,Types!$A:$A,0)))))</f>
        <v/>
      </c>
      <c r="AK1136" s="43">
        <f>IF(AG1136=1,AF1136,MAX(AQ1136*AS1136,AF1136))</f>
        <v/>
      </c>
      <c r="AL1136" s="43">
        <f>IF(AG1136=1,AD1136,AK1136*(1+AJ1136)/2)</f>
        <v/>
      </c>
      <c r="AM1136" s="43">
        <f>IF(AG1136=1,AE1136,AK1136*(1-AJ1136)/2)</f>
        <v/>
      </c>
      <c r="AN1136" s="45">
        <f>IF(AH1136="","",AH1136-T1136)</f>
        <v/>
      </c>
      <c r="AO1136" s="51">
        <f>IF(AG1136=1,1,IF(U1136&gt;0,MIN(AF1136/U1136,0.99),0))</f>
        <v/>
      </c>
      <c r="AP1136" s="43">
        <f>IF(AG1136=1,AI1136*AF1136,0)</f>
        <v/>
      </c>
      <c r="AQ1136" s="43">
        <f>N1136*(F1136+G1136)/H1136</f>
        <v/>
      </c>
      <c r="AR1136" s="43">
        <f>O1136*AQ1136</f>
        <v/>
      </c>
      <c r="AS1136" s="52">
        <f>IF(AG1136=1,IF(AQ1136&gt;0,AF1136/AQ1136,1),IFERROR(INDEX(Types!$K:$K,MATCH($A1136&amp;"|"&amp;$D1136,Types!$A:$A,0)),INDEX(Dashboard!$X$6:$X$22,MATCH($A1136,Dashboard!$A$6:$A$22,0))))</f>
        <v/>
      </c>
      <c r="AT1136" s="43">
        <f>AQ1136*INDEX(Dashboard!$Y$6:$Y$22,MATCH($A1136,Dashboard!$A$6:$A$22,0))</f>
        <v/>
      </c>
      <c r="AU1136" s="53">
        <f>IF(AND(AG1136=1,AT1136&gt;0,AF1136&gt;0),100*AF1136/AT1136,"")</f>
        <v/>
      </c>
      <c r="AV1136" s="44">
        <f>IF(AU1136="","",T1136/(AU1136/100))</f>
        <v/>
      </c>
      <c r="AW1136" s="53">
        <f>IF(AU1136="","",IF(AND(ABS(AH1136)&gt;=0.1,ABS(T1136)&gt;=0.05,SIGN(AH1136)=SIGN(T1136)),100*T1136/AH1136,""))</f>
        <v/>
      </c>
      <c r="AX1136" s="45">
        <f>IF(AU1136="","",T1136-AV1136)</f>
        <v/>
      </c>
      <c r="AY1136" s="45">
        <f>IF(AU1136="","",AH1136-AV1136)</f>
        <v/>
      </c>
      <c r="AZ1136" s="54">
        <f>(AL1136-AM1136)-T1136*AT1136</f>
        <v/>
      </c>
      <c r="BA1136" s="43">
        <f>IF(AU1136="",0,(AH1136-T1136)*AF1136)</f>
        <v/>
      </c>
      <c r="BB1136" s="43">
        <f>IF(AU1136="",0,T1136*(AF1136-AT1136))</f>
        <v/>
      </c>
      <c r="BC1136" s="51" t="n">
        <v>0.1217310239929346</v>
      </c>
      <c r="BD1136" s="51" t="n">
        <v>0.2876698886217556</v>
      </c>
      <c r="BE1136" s="51" t="n">
        <v>0.1122234999661774</v>
      </c>
      <c r="BF1136" s="43" t="n">
        <v>20381</v>
      </c>
    </row>
    <row r="1137">
      <c r="A1137" s="42" t="inlineStr">
        <is>
          <t>TX</t>
        </is>
      </c>
      <c r="B1137" s="42" t="inlineStr">
        <is>
          <t>48255</t>
        </is>
      </c>
      <c r="C1137" s="42" t="inlineStr">
        <is>
          <t>Karnes</t>
        </is>
      </c>
      <c r="D1137" s="42" t="inlineStr">
        <is>
          <t>Hispanic</t>
        </is>
      </c>
      <c r="E1137" s="42" t="inlineStr"/>
      <c r="F1137" s="43" t="n">
        <v>1051</v>
      </c>
      <c r="G1137" s="43" t="n">
        <v>4001</v>
      </c>
      <c r="H1137" s="43" t="n">
        <v>5075</v>
      </c>
      <c r="I1137" s="43" t="n">
        <v>1234</v>
      </c>
      <c r="J1137" s="43" t="n">
        <v>3968</v>
      </c>
      <c r="K1137" s="42" t="inlineStr">
        <is>
          <t>Governor</t>
        </is>
      </c>
      <c r="L1137" s="43" t="n">
        <v>776</v>
      </c>
      <c r="M1137" s="43" t="n">
        <v>3007</v>
      </c>
      <c r="N1137" s="43" t="n">
        <v>3818</v>
      </c>
      <c r="O1137" s="44">
        <f>IFERROR((F1137-G1137)/(F1137+G1137),"")</f>
        <v/>
      </c>
      <c r="P1137" s="44">
        <f>IFERROR((I1137-J1137)/(I1137+J1137),"")</f>
        <v/>
      </c>
      <c r="Q1137" s="45">
        <f>IFERROR(O1137-P1137,"")</f>
        <v/>
      </c>
      <c r="R1137" s="44">
        <f>IFERROR((L1137-M1137)/(L1137+M1137),"")</f>
        <v/>
      </c>
      <c r="S1137" s="46">
        <f>H1137/SUMIFS(Counties!$H$2:$H$1583,Counties!$A$2:$A$1583,$A1137)</f>
        <v/>
      </c>
      <c r="T1137" s="44">
        <f>O1137+INDEX(Dashboard!$F$6:$F$22,MATCH($A1137,Dashboard!$A$6:$A$22,0))</f>
        <v/>
      </c>
      <c r="U1137" s="43">
        <f>AQ1137*INDEX(Dashboard!$G$6:$G$22,MATCH($A1137,Dashboard!$A$6:$A$22,0))</f>
        <v/>
      </c>
      <c r="V1137" s="47" t="n"/>
      <c r="W1137" s="47" t="n"/>
      <c r="X1137" s="47" t="n"/>
      <c r="Y1137" s="48" t="n"/>
      <c r="Z1137" s="49" t="n"/>
      <c r="AA1137" s="49" t="n"/>
      <c r="AB1137" s="49" t="n"/>
      <c r="AC1137" s="50" t="n"/>
      <c r="AD1137" s="43">
        <f>IF(Z1137&lt;&gt;"",Z1137,N(V1137))</f>
        <v/>
      </c>
      <c r="AE1137" s="43">
        <f>IF(AA1137&lt;&gt;"",AA1137,N(W1137))</f>
        <v/>
      </c>
      <c r="AF1137" s="43">
        <f>AD1137+AE1137</f>
        <v/>
      </c>
      <c r="AG1137" s="42">
        <f>IF(UPPER(AC1137)="Y",1,IF(AF1137=0,0,IF(AND(Z1137="",Y1137&lt;&gt;""),IF(Y1137&gt;=0.999,1,0),IF(AF1137&gt;=U1137,1,0))))</f>
        <v/>
      </c>
      <c r="AH1137" s="44">
        <f>IF(AF1137&gt;0,(AD1137-AE1137)/AF1137,"")</f>
        <v/>
      </c>
      <c r="AI1137" s="45">
        <f>IF(AG1137=1,AH1137-O1137,"")</f>
        <v/>
      </c>
      <c r="AJ1137" s="44">
        <f>IF(AG1137=1,AH1137,MAX(-1,MIN(1,O1137+INDEX(Types!$H:$H,MATCH($A1137&amp;"|"&amp;$D1137,Types!$A:$A,0)))))</f>
        <v/>
      </c>
      <c r="AK1137" s="43">
        <f>IF(AG1137=1,AF1137,MAX(AQ1137*AS1137,AF1137))</f>
        <v/>
      </c>
      <c r="AL1137" s="43">
        <f>IF(AG1137=1,AD1137,AK1137*(1+AJ1137)/2)</f>
        <v/>
      </c>
      <c r="AM1137" s="43">
        <f>IF(AG1137=1,AE1137,AK1137*(1-AJ1137)/2)</f>
        <v/>
      </c>
      <c r="AN1137" s="45">
        <f>IF(AH1137="","",AH1137-T1137)</f>
        <v/>
      </c>
      <c r="AO1137" s="51">
        <f>IF(AG1137=1,1,IF(U1137&gt;0,MIN(AF1137/U1137,0.99),0))</f>
        <v/>
      </c>
      <c r="AP1137" s="43">
        <f>IF(AG1137=1,AI1137*AF1137,0)</f>
        <v/>
      </c>
      <c r="AQ1137" s="43">
        <f>N1137*(F1137+G1137)/H1137</f>
        <v/>
      </c>
      <c r="AR1137" s="43">
        <f>O1137*AQ1137</f>
        <v/>
      </c>
      <c r="AS1137" s="52">
        <f>IF(AG1137=1,IF(AQ1137&gt;0,AF1137/AQ1137,1),IFERROR(INDEX(Types!$K:$K,MATCH($A1137&amp;"|"&amp;$D1137,Types!$A:$A,0)),INDEX(Dashboard!$X$6:$X$22,MATCH($A1137,Dashboard!$A$6:$A$22,0))))</f>
        <v/>
      </c>
      <c r="AT1137" s="43">
        <f>AQ1137*INDEX(Dashboard!$Y$6:$Y$22,MATCH($A1137,Dashboard!$A$6:$A$22,0))</f>
        <v/>
      </c>
      <c r="AU1137" s="53">
        <f>IF(AND(AG1137=1,AT1137&gt;0,AF1137&gt;0),100*AF1137/AT1137,"")</f>
        <v/>
      </c>
      <c r="AV1137" s="44">
        <f>IF(AU1137="","",T1137/(AU1137/100))</f>
        <v/>
      </c>
      <c r="AW1137" s="53">
        <f>IF(AU1137="","",IF(AND(ABS(AH1137)&gt;=0.1,ABS(T1137)&gt;=0.05,SIGN(AH1137)=SIGN(T1137)),100*T1137/AH1137,""))</f>
        <v/>
      </c>
      <c r="AX1137" s="45">
        <f>IF(AU1137="","",T1137-AV1137)</f>
        <v/>
      </c>
      <c r="AY1137" s="45">
        <f>IF(AU1137="","",AH1137-AV1137)</f>
        <v/>
      </c>
      <c r="AZ1137" s="54">
        <f>(AL1137-AM1137)-T1137*AT1137</f>
        <v/>
      </c>
      <c r="BA1137" s="43">
        <f>IF(AU1137="",0,(AH1137-T1137)*AF1137)</f>
        <v/>
      </c>
      <c r="BB1137" s="43">
        <f>IF(AU1137="",0,T1137*(AF1137-AT1137))</f>
        <v/>
      </c>
      <c r="BC1137" s="51" t="n">
        <v>0.101744573178852</v>
      </c>
      <c r="BD1137" s="51" t="n">
        <v>0.5355573312025569</v>
      </c>
      <c r="BE1137" s="51" t="n">
        <v>0.16015625</v>
      </c>
      <c r="BF1137" s="43" t="n">
        <v>15018</v>
      </c>
    </row>
    <row r="1138">
      <c r="A1138" s="42" t="inlineStr">
        <is>
          <t>TX</t>
        </is>
      </c>
      <c r="B1138" s="42" t="inlineStr">
        <is>
          <t>48257</t>
        </is>
      </c>
      <c r="C1138" s="42" t="inlineStr">
        <is>
          <t>Kaufman</t>
        </is>
      </c>
      <c r="D1138" s="42" t="inlineStr">
        <is>
          <t>Mid-size/working metro</t>
        </is>
      </c>
      <c r="E1138" s="42" t="inlineStr"/>
      <c r="F1138" s="43" t="n">
        <v>24726</v>
      </c>
      <c r="G1138" s="43" t="n">
        <v>44063</v>
      </c>
      <c r="H1138" s="43" t="n">
        <v>69366</v>
      </c>
      <c r="I1138" s="43" t="n">
        <v>18405</v>
      </c>
      <c r="J1138" s="43" t="n">
        <v>37624</v>
      </c>
      <c r="K1138" s="42" t="inlineStr">
        <is>
          <t>Governor</t>
        </is>
      </c>
      <c r="L1138" s="43" t="n">
        <v>14002</v>
      </c>
      <c r="M1138" s="43" t="n">
        <v>28285</v>
      </c>
      <c r="N1138" s="43" t="n">
        <v>42812</v>
      </c>
      <c r="O1138" s="44">
        <f>IFERROR((F1138-G1138)/(F1138+G1138),"")</f>
        <v/>
      </c>
      <c r="P1138" s="44">
        <f>IFERROR((I1138-J1138)/(I1138+J1138),"")</f>
        <v/>
      </c>
      <c r="Q1138" s="45">
        <f>IFERROR(O1138-P1138,"")</f>
        <v/>
      </c>
      <c r="R1138" s="44">
        <f>IFERROR((L1138-M1138)/(L1138+M1138),"")</f>
        <v/>
      </c>
      <c r="S1138" s="46">
        <f>H1138/SUMIFS(Counties!$H$2:$H$1583,Counties!$A$2:$A$1583,$A1138)</f>
        <v/>
      </c>
      <c r="T1138" s="44">
        <f>O1138+INDEX(Dashboard!$F$6:$F$22,MATCH($A1138,Dashboard!$A$6:$A$22,0))</f>
        <v/>
      </c>
      <c r="U1138" s="43">
        <f>AQ1138*INDEX(Dashboard!$G$6:$G$22,MATCH($A1138,Dashboard!$A$6:$A$22,0))</f>
        <v/>
      </c>
      <c r="V1138" s="47" t="n"/>
      <c r="W1138" s="47" t="n"/>
      <c r="X1138" s="47" t="n"/>
      <c r="Y1138" s="48" t="n"/>
      <c r="Z1138" s="49" t="n"/>
      <c r="AA1138" s="49" t="n"/>
      <c r="AB1138" s="49" t="n"/>
      <c r="AC1138" s="50" t="n"/>
      <c r="AD1138" s="43">
        <f>IF(Z1138&lt;&gt;"",Z1138,N(V1138))</f>
        <v/>
      </c>
      <c r="AE1138" s="43">
        <f>IF(AA1138&lt;&gt;"",AA1138,N(W1138))</f>
        <v/>
      </c>
      <c r="AF1138" s="43">
        <f>AD1138+AE1138</f>
        <v/>
      </c>
      <c r="AG1138" s="42">
        <f>IF(UPPER(AC1138)="Y",1,IF(AF1138=0,0,IF(AND(Z1138="",Y1138&lt;&gt;""),IF(Y1138&gt;=0.999,1,0),IF(AF1138&gt;=U1138,1,0))))</f>
        <v/>
      </c>
      <c r="AH1138" s="44">
        <f>IF(AF1138&gt;0,(AD1138-AE1138)/AF1138,"")</f>
        <v/>
      </c>
      <c r="AI1138" s="45">
        <f>IF(AG1138=1,AH1138-O1138,"")</f>
        <v/>
      </c>
      <c r="AJ1138" s="44">
        <f>IF(AG1138=1,AH1138,MAX(-1,MIN(1,O1138+INDEX(Types!$H:$H,MATCH($A1138&amp;"|"&amp;$D1138,Types!$A:$A,0)))))</f>
        <v/>
      </c>
      <c r="AK1138" s="43">
        <f>IF(AG1138=1,AF1138,MAX(AQ1138*AS1138,AF1138))</f>
        <v/>
      </c>
      <c r="AL1138" s="43">
        <f>IF(AG1138=1,AD1138,AK1138*(1+AJ1138)/2)</f>
        <v/>
      </c>
      <c r="AM1138" s="43">
        <f>IF(AG1138=1,AE1138,AK1138*(1-AJ1138)/2)</f>
        <v/>
      </c>
      <c r="AN1138" s="45">
        <f>IF(AH1138="","",AH1138-T1138)</f>
        <v/>
      </c>
      <c r="AO1138" s="51">
        <f>IF(AG1138=1,1,IF(U1138&gt;0,MIN(AF1138/U1138,0.99),0))</f>
        <v/>
      </c>
      <c r="AP1138" s="43">
        <f>IF(AG1138=1,AI1138*AF1138,0)</f>
        <v/>
      </c>
      <c r="AQ1138" s="43">
        <f>N1138*(F1138+G1138)/H1138</f>
        <v/>
      </c>
      <c r="AR1138" s="43">
        <f>O1138*AQ1138</f>
        <v/>
      </c>
      <c r="AS1138" s="52">
        <f>IF(AG1138=1,IF(AQ1138&gt;0,AF1138/AQ1138,1),IFERROR(INDEX(Types!$K:$K,MATCH($A1138&amp;"|"&amp;$D1138,Types!$A:$A,0)),INDEX(Dashboard!$X$6:$X$22,MATCH($A1138,Dashboard!$A$6:$A$22,0))))</f>
        <v/>
      </c>
      <c r="AT1138" s="43">
        <f>AQ1138*INDEX(Dashboard!$Y$6:$Y$22,MATCH($A1138,Dashboard!$A$6:$A$22,0))</f>
        <v/>
      </c>
      <c r="AU1138" s="53">
        <f>IF(AND(AG1138=1,AT1138&gt;0,AF1138&gt;0),100*AF1138/AT1138,"")</f>
        <v/>
      </c>
      <c r="AV1138" s="44">
        <f>IF(AU1138="","",T1138/(AU1138/100))</f>
        <v/>
      </c>
      <c r="AW1138" s="53">
        <f>IF(AU1138="","",IF(AND(ABS(AH1138)&gt;=0.1,ABS(T1138)&gt;=0.05,SIGN(AH1138)=SIGN(T1138)),100*T1138/AH1138,""))</f>
        <v/>
      </c>
      <c r="AX1138" s="45">
        <f>IF(AU1138="","",T1138-AV1138)</f>
        <v/>
      </c>
      <c r="AY1138" s="45">
        <f>IF(AU1138="","",AH1138-AV1138)</f>
        <v/>
      </c>
      <c r="AZ1138" s="54">
        <f>(AL1138-AM1138)-T1138*AT1138</f>
        <v/>
      </c>
      <c r="BA1138" s="43">
        <f>IF(AU1138="",0,(AH1138-T1138)*AF1138)</f>
        <v/>
      </c>
      <c r="BB1138" s="43">
        <f>IF(AU1138="",0,T1138*(AF1138-AT1138))</f>
        <v/>
      </c>
      <c r="BC1138" s="51" t="n">
        <v>0.207523291507351</v>
      </c>
      <c r="BD1138" s="51" t="n">
        <v>0.2805051429802359</v>
      </c>
      <c r="BE1138" s="51" t="n">
        <v>0.2529721090381712</v>
      </c>
      <c r="BF1138" s="43" t="n">
        <v>185690</v>
      </c>
    </row>
    <row r="1139">
      <c r="A1139" s="42" t="inlineStr">
        <is>
          <t>TX</t>
        </is>
      </c>
      <c r="B1139" s="42" t="inlineStr">
        <is>
          <t>48259</t>
        </is>
      </c>
      <c r="C1139" s="42" t="inlineStr">
        <is>
          <t>Kendall</t>
        </is>
      </c>
      <c r="D1139" s="42" t="inlineStr">
        <is>
          <t>Small town &amp; rural</t>
        </is>
      </c>
      <c r="E1139" s="42" t="inlineStr"/>
      <c r="F1139" s="43" t="n">
        <v>6355</v>
      </c>
      <c r="G1139" s="43" t="n">
        <v>22668</v>
      </c>
      <c r="H1139" s="43" t="n">
        <v>29295</v>
      </c>
      <c r="I1139" s="43" t="n">
        <v>6020</v>
      </c>
      <c r="J1139" s="43" t="n">
        <v>20083</v>
      </c>
      <c r="K1139" s="42" t="inlineStr">
        <is>
          <t>Governor</t>
        </is>
      </c>
      <c r="L1139" s="43" t="n">
        <v>4491</v>
      </c>
      <c r="M1139" s="43" t="n">
        <v>17684</v>
      </c>
      <c r="N1139" s="43" t="n">
        <v>22514</v>
      </c>
      <c r="O1139" s="44">
        <f>IFERROR((F1139-G1139)/(F1139+G1139),"")</f>
        <v/>
      </c>
      <c r="P1139" s="44">
        <f>IFERROR((I1139-J1139)/(I1139+J1139),"")</f>
        <v/>
      </c>
      <c r="Q1139" s="45">
        <f>IFERROR(O1139-P1139,"")</f>
        <v/>
      </c>
      <c r="R1139" s="44">
        <f>IFERROR((L1139-M1139)/(L1139+M1139),"")</f>
        <v/>
      </c>
      <c r="S1139" s="46">
        <f>H1139/SUMIFS(Counties!$H$2:$H$1583,Counties!$A$2:$A$1583,$A1139)</f>
        <v/>
      </c>
      <c r="T1139" s="44">
        <f>O1139+INDEX(Dashboard!$F$6:$F$22,MATCH($A1139,Dashboard!$A$6:$A$22,0))</f>
        <v/>
      </c>
      <c r="U1139" s="43">
        <f>AQ1139*INDEX(Dashboard!$G$6:$G$22,MATCH($A1139,Dashboard!$A$6:$A$22,0))</f>
        <v/>
      </c>
      <c r="V1139" s="47" t="n"/>
      <c r="W1139" s="47" t="n"/>
      <c r="X1139" s="47" t="n"/>
      <c r="Y1139" s="48" t="n"/>
      <c r="Z1139" s="49" t="n"/>
      <c r="AA1139" s="49" t="n"/>
      <c r="AB1139" s="49" t="n"/>
      <c r="AC1139" s="50" t="n"/>
      <c r="AD1139" s="43">
        <f>IF(Z1139&lt;&gt;"",Z1139,N(V1139))</f>
        <v/>
      </c>
      <c r="AE1139" s="43">
        <f>IF(AA1139&lt;&gt;"",AA1139,N(W1139))</f>
        <v/>
      </c>
      <c r="AF1139" s="43">
        <f>AD1139+AE1139</f>
        <v/>
      </c>
      <c r="AG1139" s="42">
        <f>IF(UPPER(AC1139)="Y",1,IF(AF1139=0,0,IF(AND(Z1139="",Y1139&lt;&gt;""),IF(Y1139&gt;=0.999,1,0),IF(AF1139&gt;=U1139,1,0))))</f>
        <v/>
      </c>
      <c r="AH1139" s="44">
        <f>IF(AF1139&gt;0,(AD1139-AE1139)/AF1139,"")</f>
        <v/>
      </c>
      <c r="AI1139" s="45">
        <f>IF(AG1139=1,AH1139-O1139,"")</f>
        <v/>
      </c>
      <c r="AJ1139" s="44">
        <f>IF(AG1139=1,AH1139,MAX(-1,MIN(1,O1139+INDEX(Types!$H:$H,MATCH($A1139&amp;"|"&amp;$D1139,Types!$A:$A,0)))))</f>
        <v/>
      </c>
      <c r="AK1139" s="43">
        <f>IF(AG1139=1,AF1139,MAX(AQ1139*AS1139,AF1139))</f>
        <v/>
      </c>
      <c r="AL1139" s="43">
        <f>IF(AG1139=1,AD1139,AK1139*(1+AJ1139)/2)</f>
        <v/>
      </c>
      <c r="AM1139" s="43">
        <f>IF(AG1139=1,AE1139,AK1139*(1-AJ1139)/2)</f>
        <v/>
      </c>
      <c r="AN1139" s="45">
        <f>IF(AH1139="","",AH1139-T1139)</f>
        <v/>
      </c>
      <c r="AO1139" s="51">
        <f>IF(AG1139=1,1,IF(U1139&gt;0,MIN(AF1139/U1139,0.99),0))</f>
        <v/>
      </c>
      <c r="AP1139" s="43">
        <f>IF(AG1139=1,AI1139*AF1139,0)</f>
        <v/>
      </c>
      <c r="AQ1139" s="43">
        <f>N1139*(F1139+G1139)/H1139</f>
        <v/>
      </c>
      <c r="AR1139" s="43">
        <f>O1139*AQ1139</f>
        <v/>
      </c>
      <c r="AS1139" s="52">
        <f>IF(AG1139=1,IF(AQ1139&gt;0,AF1139/AQ1139,1),IFERROR(INDEX(Types!$K:$K,MATCH($A1139&amp;"|"&amp;$D1139,Types!$A:$A,0)),INDEX(Dashboard!$X$6:$X$22,MATCH($A1139,Dashboard!$A$6:$A$22,0))))</f>
        <v/>
      </c>
      <c r="AT1139" s="43">
        <f>AQ1139*INDEX(Dashboard!$Y$6:$Y$22,MATCH($A1139,Dashboard!$A$6:$A$22,0))</f>
        <v/>
      </c>
      <c r="AU1139" s="53">
        <f>IF(AND(AG1139=1,AT1139&gt;0,AF1139&gt;0),100*AF1139/AT1139,"")</f>
        <v/>
      </c>
      <c r="AV1139" s="44">
        <f>IF(AU1139="","",T1139/(AU1139/100))</f>
        <v/>
      </c>
      <c r="AW1139" s="53">
        <f>IF(AU1139="","",IF(AND(ABS(AH1139)&gt;=0.1,ABS(T1139)&gt;=0.05,SIGN(AH1139)=SIGN(T1139)),100*T1139/AH1139,""))</f>
        <v/>
      </c>
      <c r="AX1139" s="45">
        <f>IF(AU1139="","",T1139-AV1139)</f>
        <v/>
      </c>
      <c r="AY1139" s="45">
        <f>IF(AU1139="","",AH1139-AV1139)</f>
        <v/>
      </c>
      <c r="AZ1139" s="54">
        <f>(AL1139-AM1139)-T1139*AT1139</f>
        <v/>
      </c>
      <c r="BA1139" s="43">
        <f>IF(AU1139="",0,(AH1139-T1139)*AF1139)</f>
        <v/>
      </c>
      <c r="BB1139" s="43">
        <f>IF(AU1139="",0,T1139*(AF1139-AT1139))</f>
        <v/>
      </c>
      <c r="BC1139" s="51" t="n">
        <v>0.01468231196944813</v>
      </c>
      <c r="BD1139" s="51" t="n">
        <v>0.2482933296396699</v>
      </c>
      <c r="BE1139" s="51" t="n">
        <v>0.4911984270836534</v>
      </c>
      <c r="BF1139" s="43" t="n">
        <v>50537</v>
      </c>
    </row>
    <row r="1140">
      <c r="A1140" s="42" t="inlineStr">
        <is>
          <t>TX</t>
        </is>
      </c>
      <c r="B1140" s="42" t="inlineStr">
        <is>
          <t>48261</t>
        </is>
      </c>
      <c r="C1140" s="42" t="inlineStr">
        <is>
          <t>Kenedy</t>
        </is>
      </c>
      <c r="D1140" s="42" t="inlineStr">
        <is>
          <t>Hispanic</t>
        </is>
      </c>
      <c r="E1140" s="42" t="inlineStr"/>
      <c r="F1140" s="43" t="n">
        <v>41</v>
      </c>
      <c r="G1140" s="43" t="n">
        <v>115</v>
      </c>
      <c r="H1140" s="43" t="n">
        <v>158</v>
      </c>
      <c r="I1140" s="43" t="n">
        <v>65</v>
      </c>
      <c r="J1140" s="43" t="n">
        <v>127</v>
      </c>
      <c r="K1140" s="42" t="inlineStr">
        <is>
          <t>Governor</t>
        </is>
      </c>
      <c r="L1140" s="43" t="n">
        <v>42</v>
      </c>
      <c r="M1140" s="43" t="n">
        <v>109</v>
      </c>
      <c r="N1140" s="43" t="n">
        <v>153</v>
      </c>
      <c r="O1140" s="44">
        <f>IFERROR((F1140-G1140)/(F1140+G1140),"")</f>
        <v/>
      </c>
      <c r="P1140" s="44">
        <f>IFERROR((I1140-J1140)/(I1140+J1140),"")</f>
        <v/>
      </c>
      <c r="Q1140" s="45">
        <f>IFERROR(O1140-P1140,"")</f>
        <v/>
      </c>
      <c r="R1140" s="44">
        <f>IFERROR((L1140-M1140)/(L1140+M1140),"")</f>
        <v/>
      </c>
      <c r="S1140" s="46">
        <f>H1140/SUMIFS(Counties!$H$2:$H$1583,Counties!$A$2:$A$1583,$A1140)</f>
        <v/>
      </c>
      <c r="T1140" s="44">
        <f>O1140+INDEX(Dashboard!$F$6:$F$22,MATCH($A1140,Dashboard!$A$6:$A$22,0))</f>
        <v/>
      </c>
      <c r="U1140" s="43">
        <f>AQ1140*INDEX(Dashboard!$G$6:$G$22,MATCH($A1140,Dashboard!$A$6:$A$22,0))</f>
        <v/>
      </c>
      <c r="V1140" s="47" t="n"/>
      <c r="W1140" s="47" t="n"/>
      <c r="X1140" s="47" t="n"/>
      <c r="Y1140" s="48" t="n"/>
      <c r="Z1140" s="49" t="n"/>
      <c r="AA1140" s="49" t="n"/>
      <c r="AB1140" s="49" t="n"/>
      <c r="AC1140" s="50" t="n"/>
      <c r="AD1140" s="43">
        <f>IF(Z1140&lt;&gt;"",Z1140,N(V1140))</f>
        <v/>
      </c>
      <c r="AE1140" s="43">
        <f>IF(AA1140&lt;&gt;"",AA1140,N(W1140))</f>
        <v/>
      </c>
      <c r="AF1140" s="43">
        <f>AD1140+AE1140</f>
        <v/>
      </c>
      <c r="AG1140" s="42">
        <f>IF(UPPER(AC1140)="Y",1,IF(AF1140=0,0,IF(AND(Z1140="",Y1140&lt;&gt;""),IF(Y1140&gt;=0.999,1,0),IF(AF1140&gt;=U1140,1,0))))</f>
        <v/>
      </c>
      <c r="AH1140" s="44">
        <f>IF(AF1140&gt;0,(AD1140-AE1140)/AF1140,"")</f>
        <v/>
      </c>
      <c r="AI1140" s="45">
        <f>IF(AG1140=1,AH1140-O1140,"")</f>
        <v/>
      </c>
      <c r="AJ1140" s="44">
        <f>IF(AG1140=1,AH1140,MAX(-1,MIN(1,O1140+INDEX(Types!$H:$H,MATCH($A1140&amp;"|"&amp;$D1140,Types!$A:$A,0)))))</f>
        <v/>
      </c>
      <c r="AK1140" s="43">
        <f>IF(AG1140=1,AF1140,MAX(AQ1140*AS1140,AF1140))</f>
        <v/>
      </c>
      <c r="AL1140" s="43">
        <f>IF(AG1140=1,AD1140,AK1140*(1+AJ1140)/2)</f>
        <v/>
      </c>
      <c r="AM1140" s="43">
        <f>IF(AG1140=1,AE1140,AK1140*(1-AJ1140)/2)</f>
        <v/>
      </c>
      <c r="AN1140" s="45">
        <f>IF(AH1140="","",AH1140-T1140)</f>
        <v/>
      </c>
      <c r="AO1140" s="51">
        <f>IF(AG1140=1,1,IF(U1140&gt;0,MIN(AF1140/U1140,0.99),0))</f>
        <v/>
      </c>
      <c r="AP1140" s="43">
        <f>IF(AG1140=1,AI1140*AF1140,0)</f>
        <v/>
      </c>
      <c r="AQ1140" s="43">
        <f>N1140*(F1140+G1140)/H1140</f>
        <v/>
      </c>
      <c r="AR1140" s="43">
        <f>O1140*AQ1140</f>
        <v/>
      </c>
      <c r="AS1140" s="52">
        <f>IF(AG1140=1,IF(AQ1140&gt;0,AF1140/AQ1140,1),IFERROR(INDEX(Types!$K:$K,MATCH($A1140&amp;"|"&amp;$D1140,Types!$A:$A,0)),INDEX(Dashboard!$X$6:$X$22,MATCH($A1140,Dashboard!$A$6:$A$22,0))))</f>
        <v/>
      </c>
      <c r="AT1140" s="43">
        <f>AQ1140*INDEX(Dashboard!$Y$6:$Y$22,MATCH($A1140,Dashboard!$A$6:$A$22,0))</f>
        <v/>
      </c>
      <c r="AU1140" s="53">
        <f>IF(AND(AG1140=1,AT1140&gt;0,AF1140&gt;0),100*AF1140/AT1140,"")</f>
        <v/>
      </c>
      <c r="AV1140" s="44">
        <f>IF(AU1140="","",T1140/(AU1140/100))</f>
        <v/>
      </c>
      <c r="AW1140" s="53">
        <f>IF(AU1140="","",IF(AND(ABS(AH1140)&gt;=0.1,ABS(T1140)&gt;=0.05,SIGN(AH1140)=SIGN(T1140)),100*T1140/AH1140,""))</f>
        <v/>
      </c>
      <c r="AX1140" s="45">
        <f>IF(AU1140="","",T1140-AV1140)</f>
        <v/>
      </c>
      <c r="AY1140" s="45">
        <f>IF(AU1140="","",AH1140-AV1140)</f>
        <v/>
      </c>
      <c r="AZ1140" s="54">
        <f>(AL1140-AM1140)-T1140*AT1140</f>
        <v/>
      </c>
      <c r="BA1140" s="43">
        <f>IF(AU1140="",0,(AH1140-T1140)*AF1140)</f>
        <v/>
      </c>
      <c r="BB1140" s="43">
        <f>IF(AU1140="",0,T1140*(AF1140-AT1140))</f>
        <v/>
      </c>
      <c r="BC1140" s="51" t="n">
        <v>0.02332361516034985</v>
      </c>
      <c r="BD1140" s="51" t="n">
        <v>0.7317784256559767</v>
      </c>
      <c r="BE1140" s="51" t="n">
        <v>0.1063829787234043</v>
      </c>
      <c r="BF1140" s="43" t="n">
        <v>343</v>
      </c>
    </row>
    <row r="1141">
      <c r="A1141" s="42" t="inlineStr">
        <is>
          <t>TX</t>
        </is>
      </c>
      <c r="B1141" s="42" t="inlineStr">
        <is>
          <t>48263</t>
        </is>
      </c>
      <c r="C1141" s="42" t="inlineStr">
        <is>
          <t>Kent</t>
        </is>
      </c>
      <c r="D1141" s="42" t="inlineStr">
        <is>
          <t>Small town &amp; rural</t>
        </is>
      </c>
      <c r="E1141" s="42" t="inlineStr"/>
      <c r="F1141" s="43" t="n">
        <v>50</v>
      </c>
      <c r="G1141" s="43" t="n">
        <v>390</v>
      </c>
      <c r="H1141" s="43" t="n">
        <v>445</v>
      </c>
      <c r="I1141" s="43" t="n">
        <v>47</v>
      </c>
      <c r="J1141" s="43" t="n">
        <v>411</v>
      </c>
      <c r="K1141" s="42" t="inlineStr">
        <is>
          <t>Governor</t>
        </is>
      </c>
      <c r="L1141" s="43" t="n">
        <v>34</v>
      </c>
      <c r="M1141" s="43" t="n">
        <v>312</v>
      </c>
      <c r="N1141" s="43" t="n">
        <v>350</v>
      </c>
      <c r="O1141" s="44">
        <f>IFERROR((F1141-G1141)/(F1141+G1141),"")</f>
        <v/>
      </c>
      <c r="P1141" s="44">
        <f>IFERROR((I1141-J1141)/(I1141+J1141),"")</f>
        <v/>
      </c>
      <c r="Q1141" s="45">
        <f>IFERROR(O1141-P1141,"")</f>
        <v/>
      </c>
      <c r="R1141" s="44">
        <f>IFERROR((L1141-M1141)/(L1141+M1141),"")</f>
        <v/>
      </c>
      <c r="S1141" s="46">
        <f>H1141/SUMIFS(Counties!$H$2:$H$1583,Counties!$A$2:$A$1583,$A1141)</f>
        <v/>
      </c>
      <c r="T1141" s="44">
        <f>O1141+INDEX(Dashboard!$F$6:$F$22,MATCH($A1141,Dashboard!$A$6:$A$22,0))</f>
        <v/>
      </c>
      <c r="U1141" s="43">
        <f>AQ1141*INDEX(Dashboard!$G$6:$G$22,MATCH($A1141,Dashboard!$A$6:$A$22,0))</f>
        <v/>
      </c>
      <c r="V1141" s="47" t="n"/>
      <c r="W1141" s="47" t="n"/>
      <c r="X1141" s="47" t="n"/>
      <c r="Y1141" s="48" t="n"/>
      <c r="Z1141" s="49" t="n"/>
      <c r="AA1141" s="49" t="n"/>
      <c r="AB1141" s="49" t="n"/>
      <c r="AC1141" s="50" t="n"/>
      <c r="AD1141" s="43">
        <f>IF(Z1141&lt;&gt;"",Z1141,N(V1141))</f>
        <v/>
      </c>
      <c r="AE1141" s="43">
        <f>IF(AA1141&lt;&gt;"",AA1141,N(W1141))</f>
        <v/>
      </c>
      <c r="AF1141" s="43">
        <f>AD1141+AE1141</f>
        <v/>
      </c>
      <c r="AG1141" s="42">
        <f>IF(UPPER(AC1141)="Y",1,IF(AF1141=0,0,IF(AND(Z1141="",Y1141&lt;&gt;""),IF(Y1141&gt;=0.999,1,0),IF(AF1141&gt;=U1141,1,0))))</f>
        <v/>
      </c>
      <c r="AH1141" s="44">
        <f>IF(AF1141&gt;0,(AD1141-AE1141)/AF1141,"")</f>
        <v/>
      </c>
      <c r="AI1141" s="45">
        <f>IF(AG1141=1,AH1141-O1141,"")</f>
        <v/>
      </c>
      <c r="AJ1141" s="44">
        <f>IF(AG1141=1,AH1141,MAX(-1,MIN(1,O1141+INDEX(Types!$H:$H,MATCH($A1141&amp;"|"&amp;$D1141,Types!$A:$A,0)))))</f>
        <v/>
      </c>
      <c r="AK1141" s="43">
        <f>IF(AG1141=1,AF1141,MAX(AQ1141*AS1141,AF1141))</f>
        <v/>
      </c>
      <c r="AL1141" s="43">
        <f>IF(AG1141=1,AD1141,AK1141*(1+AJ1141)/2)</f>
        <v/>
      </c>
      <c r="AM1141" s="43">
        <f>IF(AG1141=1,AE1141,AK1141*(1-AJ1141)/2)</f>
        <v/>
      </c>
      <c r="AN1141" s="45">
        <f>IF(AH1141="","",AH1141-T1141)</f>
        <v/>
      </c>
      <c r="AO1141" s="51">
        <f>IF(AG1141=1,1,IF(U1141&gt;0,MIN(AF1141/U1141,0.99),0))</f>
        <v/>
      </c>
      <c r="AP1141" s="43">
        <f>IF(AG1141=1,AI1141*AF1141,0)</f>
        <v/>
      </c>
      <c r="AQ1141" s="43">
        <f>N1141*(F1141+G1141)/H1141</f>
        <v/>
      </c>
      <c r="AR1141" s="43">
        <f>O1141*AQ1141</f>
        <v/>
      </c>
      <c r="AS1141" s="52">
        <f>IF(AG1141=1,IF(AQ1141&gt;0,AF1141/AQ1141,1),IFERROR(INDEX(Types!$K:$K,MATCH($A1141&amp;"|"&amp;$D1141,Types!$A:$A,0)),INDEX(Dashboard!$X$6:$X$22,MATCH($A1141,Dashboard!$A$6:$A$22,0))))</f>
        <v/>
      </c>
      <c r="AT1141" s="43">
        <f>AQ1141*INDEX(Dashboard!$Y$6:$Y$22,MATCH($A1141,Dashboard!$A$6:$A$22,0))</f>
        <v/>
      </c>
      <c r="AU1141" s="53">
        <f>IF(AND(AG1141=1,AT1141&gt;0,AF1141&gt;0),100*AF1141/AT1141,"")</f>
        <v/>
      </c>
      <c r="AV1141" s="44">
        <f>IF(AU1141="","",T1141/(AU1141/100))</f>
        <v/>
      </c>
      <c r="AW1141" s="53">
        <f>IF(AU1141="","",IF(AND(ABS(AH1141)&gt;=0.1,ABS(T1141)&gt;=0.05,SIGN(AH1141)=SIGN(T1141)),100*T1141/AH1141,""))</f>
        <v/>
      </c>
      <c r="AX1141" s="45">
        <f>IF(AU1141="","",T1141-AV1141)</f>
        <v/>
      </c>
      <c r="AY1141" s="45">
        <f>IF(AU1141="","",AH1141-AV1141)</f>
        <v/>
      </c>
      <c r="AZ1141" s="54">
        <f>(AL1141-AM1141)-T1141*AT1141</f>
        <v/>
      </c>
      <c r="BA1141" s="43">
        <f>IF(AU1141="",0,(AH1141-T1141)*AF1141)</f>
        <v/>
      </c>
      <c r="BB1141" s="43">
        <f>IF(AU1141="",0,T1141*(AF1141-AT1141))</f>
        <v/>
      </c>
      <c r="BC1141" s="51" t="n">
        <v>0.009536784741144414</v>
      </c>
      <c r="BD1141" s="51" t="n">
        <v>0.1716621253405995</v>
      </c>
      <c r="BE1141" s="51" t="n">
        <v>0.2690265486725664</v>
      </c>
      <c r="BF1141" s="43" t="n">
        <v>734</v>
      </c>
    </row>
    <row r="1142">
      <c r="A1142" s="42" t="inlineStr">
        <is>
          <t>TX</t>
        </is>
      </c>
      <c r="B1142" s="42" t="inlineStr">
        <is>
          <t>48265</t>
        </is>
      </c>
      <c r="C1142" s="42" t="inlineStr">
        <is>
          <t>Kerr</t>
        </is>
      </c>
      <c r="D1142" s="42" t="inlineStr">
        <is>
          <t>Small town &amp; rural</t>
        </is>
      </c>
      <c r="E1142" s="42" t="inlineStr"/>
      <c r="F1142" s="43" t="n">
        <v>6315</v>
      </c>
      <c r="G1142" s="43" t="n">
        <v>21615</v>
      </c>
      <c r="H1142" s="43" t="n">
        <v>28156</v>
      </c>
      <c r="I1142" s="43" t="n">
        <v>6524</v>
      </c>
      <c r="J1142" s="43" t="n">
        <v>20879</v>
      </c>
      <c r="K1142" s="42" t="inlineStr">
        <is>
          <t>Governor</t>
        </is>
      </c>
      <c r="L1142" s="43" t="n">
        <v>4648</v>
      </c>
      <c r="M1142" s="43" t="n">
        <v>17524</v>
      </c>
      <c r="N1142" s="43" t="n">
        <v>22482</v>
      </c>
      <c r="O1142" s="44">
        <f>IFERROR((F1142-G1142)/(F1142+G1142),"")</f>
        <v/>
      </c>
      <c r="P1142" s="44">
        <f>IFERROR((I1142-J1142)/(I1142+J1142),"")</f>
        <v/>
      </c>
      <c r="Q1142" s="45">
        <f>IFERROR(O1142-P1142,"")</f>
        <v/>
      </c>
      <c r="R1142" s="44">
        <f>IFERROR((L1142-M1142)/(L1142+M1142),"")</f>
        <v/>
      </c>
      <c r="S1142" s="46">
        <f>H1142/SUMIFS(Counties!$H$2:$H$1583,Counties!$A$2:$A$1583,$A1142)</f>
        <v/>
      </c>
      <c r="T1142" s="44">
        <f>O1142+INDEX(Dashboard!$F$6:$F$22,MATCH($A1142,Dashboard!$A$6:$A$22,0))</f>
        <v/>
      </c>
      <c r="U1142" s="43">
        <f>AQ1142*INDEX(Dashboard!$G$6:$G$22,MATCH($A1142,Dashboard!$A$6:$A$22,0))</f>
        <v/>
      </c>
      <c r="V1142" s="47" t="n"/>
      <c r="W1142" s="47" t="n"/>
      <c r="X1142" s="47" t="n"/>
      <c r="Y1142" s="48" t="n"/>
      <c r="Z1142" s="49" t="n"/>
      <c r="AA1142" s="49" t="n"/>
      <c r="AB1142" s="49" t="n"/>
      <c r="AC1142" s="50" t="n"/>
      <c r="AD1142" s="43">
        <f>IF(Z1142&lt;&gt;"",Z1142,N(V1142))</f>
        <v/>
      </c>
      <c r="AE1142" s="43">
        <f>IF(AA1142&lt;&gt;"",AA1142,N(W1142))</f>
        <v/>
      </c>
      <c r="AF1142" s="43">
        <f>AD1142+AE1142</f>
        <v/>
      </c>
      <c r="AG1142" s="42">
        <f>IF(UPPER(AC1142)="Y",1,IF(AF1142=0,0,IF(AND(Z1142="",Y1142&lt;&gt;""),IF(Y1142&gt;=0.999,1,0),IF(AF1142&gt;=U1142,1,0))))</f>
        <v/>
      </c>
      <c r="AH1142" s="44">
        <f>IF(AF1142&gt;0,(AD1142-AE1142)/AF1142,"")</f>
        <v/>
      </c>
      <c r="AI1142" s="45">
        <f>IF(AG1142=1,AH1142-O1142,"")</f>
        <v/>
      </c>
      <c r="AJ1142" s="44">
        <f>IF(AG1142=1,AH1142,MAX(-1,MIN(1,O1142+INDEX(Types!$H:$H,MATCH($A1142&amp;"|"&amp;$D1142,Types!$A:$A,0)))))</f>
        <v/>
      </c>
      <c r="AK1142" s="43">
        <f>IF(AG1142=1,AF1142,MAX(AQ1142*AS1142,AF1142))</f>
        <v/>
      </c>
      <c r="AL1142" s="43">
        <f>IF(AG1142=1,AD1142,AK1142*(1+AJ1142)/2)</f>
        <v/>
      </c>
      <c r="AM1142" s="43">
        <f>IF(AG1142=1,AE1142,AK1142*(1-AJ1142)/2)</f>
        <v/>
      </c>
      <c r="AN1142" s="45">
        <f>IF(AH1142="","",AH1142-T1142)</f>
        <v/>
      </c>
      <c r="AO1142" s="51">
        <f>IF(AG1142=1,1,IF(U1142&gt;0,MIN(AF1142/U1142,0.99),0))</f>
        <v/>
      </c>
      <c r="AP1142" s="43">
        <f>IF(AG1142=1,AI1142*AF1142,0)</f>
        <v/>
      </c>
      <c r="AQ1142" s="43">
        <f>N1142*(F1142+G1142)/H1142</f>
        <v/>
      </c>
      <c r="AR1142" s="43">
        <f>O1142*AQ1142</f>
        <v/>
      </c>
      <c r="AS1142" s="52">
        <f>IF(AG1142=1,IF(AQ1142&gt;0,AF1142/AQ1142,1),IFERROR(INDEX(Types!$K:$K,MATCH($A1142&amp;"|"&amp;$D1142,Types!$A:$A,0)),INDEX(Dashboard!$X$6:$X$22,MATCH($A1142,Dashboard!$A$6:$A$22,0))))</f>
        <v/>
      </c>
      <c r="AT1142" s="43">
        <f>AQ1142*INDEX(Dashboard!$Y$6:$Y$22,MATCH($A1142,Dashboard!$A$6:$A$22,0))</f>
        <v/>
      </c>
      <c r="AU1142" s="53">
        <f>IF(AND(AG1142=1,AT1142&gt;0,AF1142&gt;0),100*AF1142/AT1142,"")</f>
        <v/>
      </c>
      <c r="AV1142" s="44">
        <f>IF(AU1142="","",T1142/(AU1142/100))</f>
        <v/>
      </c>
      <c r="AW1142" s="53">
        <f>IF(AU1142="","",IF(AND(ABS(AH1142)&gt;=0.1,ABS(T1142)&gt;=0.05,SIGN(AH1142)=SIGN(T1142)),100*T1142/AH1142,""))</f>
        <v/>
      </c>
      <c r="AX1142" s="45">
        <f>IF(AU1142="","",T1142-AV1142)</f>
        <v/>
      </c>
      <c r="AY1142" s="45">
        <f>IF(AU1142="","",AH1142-AV1142)</f>
        <v/>
      </c>
      <c r="AZ1142" s="54">
        <f>(AL1142-AM1142)-T1142*AT1142</f>
        <v/>
      </c>
      <c r="BA1142" s="43">
        <f>IF(AU1142="",0,(AH1142-T1142)*AF1142)</f>
        <v/>
      </c>
      <c r="BB1142" s="43">
        <f>IF(AU1142="",0,T1142*(AF1142-AT1142))</f>
        <v/>
      </c>
      <c r="BC1142" s="51" t="n">
        <v>0.01496800519335992</v>
      </c>
      <c r="BD1142" s="51" t="n">
        <v>0.2714272465918576</v>
      </c>
      <c r="BE1142" s="51" t="n">
        <v>0.3121320706424366</v>
      </c>
      <c r="BF1142" s="43" t="n">
        <v>53915</v>
      </c>
    </row>
    <row r="1143">
      <c r="A1143" s="42" t="inlineStr">
        <is>
          <t>TX</t>
        </is>
      </c>
      <c r="B1143" s="42" t="inlineStr">
        <is>
          <t>48267</t>
        </is>
      </c>
      <c r="C1143" s="42" t="inlineStr">
        <is>
          <t>Kimble</t>
        </is>
      </c>
      <c r="D1143" s="42" t="inlineStr">
        <is>
          <t>Small town &amp; rural</t>
        </is>
      </c>
      <c r="E1143" s="42" t="inlineStr"/>
      <c r="F1143" s="43" t="n">
        <v>261</v>
      </c>
      <c r="G1143" s="43" t="n">
        <v>2126</v>
      </c>
      <c r="H1143" s="43" t="n">
        <v>2402</v>
      </c>
      <c r="I1143" s="43" t="n">
        <v>284</v>
      </c>
      <c r="J1143" s="43" t="n">
        <v>1987</v>
      </c>
      <c r="K1143" s="42" t="inlineStr">
        <is>
          <t>Governor</t>
        </is>
      </c>
      <c r="L1143" s="43" t="n">
        <v>188</v>
      </c>
      <c r="M1143" s="43" t="n">
        <v>1666</v>
      </c>
      <c r="N1143" s="43" t="n">
        <v>1876</v>
      </c>
      <c r="O1143" s="44">
        <f>IFERROR((F1143-G1143)/(F1143+G1143),"")</f>
        <v/>
      </c>
      <c r="P1143" s="44">
        <f>IFERROR((I1143-J1143)/(I1143+J1143),"")</f>
        <v/>
      </c>
      <c r="Q1143" s="45">
        <f>IFERROR(O1143-P1143,"")</f>
        <v/>
      </c>
      <c r="R1143" s="44">
        <f>IFERROR((L1143-M1143)/(L1143+M1143),"")</f>
        <v/>
      </c>
      <c r="S1143" s="46">
        <f>H1143/SUMIFS(Counties!$H$2:$H$1583,Counties!$A$2:$A$1583,$A1143)</f>
        <v/>
      </c>
      <c r="T1143" s="44">
        <f>O1143+INDEX(Dashboard!$F$6:$F$22,MATCH($A1143,Dashboard!$A$6:$A$22,0))</f>
        <v/>
      </c>
      <c r="U1143" s="43">
        <f>AQ1143*INDEX(Dashboard!$G$6:$G$22,MATCH($A1143,Dashboard!$A$6:$A$22,0))</f>
        <v/>
      </c>
      <c r="V1143" s="47" t="n"/>
      <c r="W1143" s="47" t="n"/>
      <c r="X1143" s="47" t="n"/>
      <c r="Y1143" s="48" t="n"/>
      <c r="Z1143" s="49" t="n"/>
      <c r="AA1143" s="49" t="n"/>
      <c r="AB1143" s="49" t="n"/>
      <c r="AC1143" s="50" t="n"/>
      <c r="AD1143" s="43">
        <f>IF(Z1143&lt;&gt;"",Z1143,N(V1143))</f>
        <v/>
      </c>
      <c r="AE1143" s="43">
        <f>IF(AA1143&lt;&gt;"",AA1143,N(W1143))</f>
        <v/>
      </c>
      <c r="AF1143" s="43">
        <f>AD1143+AE1143</f>
        <v/>
      </c>
      <c r="AG1143" s="42">
        <f>IF(UPPER(AC1143)="Y",1,IF(AF1143=0,0,IF(AND(Z1143="",Y1143&lt;&gt;""),IF(Y1143&gt;=0.999,1,0),IF(AF1143&gt;=U1143,1,0))))</f>
        <v/>
      </c>
      <c r="AH1143" s="44">
        <f>IF(AF1143&gt;0,(AD1143-AE1143)/AF1143,"")</f>
        <v/>
      </c>
      <c r="AI1143" s="45">
        <f>IF(AG1143=1,AH1143-O1143,"")</f>
        <v/>
      </c>
      <c r="AJ1143" s="44">
        <f>IF(AG1143=1,AH1143,MAX(-1,MIN(1,O1143+INDEX(Types!$H:$H,MATCH($A1143&amp;"|"&amp;$D1143,Types!$A:$A,0)))))</f>
        <v/>
      </c>
      <c r="AK1143" s="43">
        <f>IF(AG1143=1,AF1143,MAX(AQ1143*AS1143,AF1143))</f>
        <v/>
      </c>
      <c r="AL1143" s="43">
        <f>IF(AG1143=1,AD1143,AK1143*(1+AJ1143)/2)</f>
        <v/>
      </c>
      <c r="AM1143" s="43">
        <f>IF(AG1143=1,AE1143,AK1143*(1-AJ1143)/2)</f>
        <v/>
      </c>
      <c r="AN1143" s="45">
        <f>IF(AH1143="","",AH1143-T1143)</f>
        <v/>
      </c>
      <c r="AO1143" s="51">
        <f>IF(AG1143=1,1,IF(U1143&gt;0,MIN(AF1143/U1143,0.99),0))</f>
        <v/>
      </c>
      <c r="AP1143" s="43">
        <f>IF(AG1143=1,AI1143*AF1143,0)</f>
        <v/>
      </c>
      <c r="AQ1143" s="43">
        <f>N1143*(F1143+G1143)/H1143</f>
        <v/>
      </c>
      <c r="AR1143" s="43">
        <f>O1143*AQ1143</f>
        <v/>
      </c>
      <c r="AS1143" s="52">
        <f>IF(AG1143=1,IF(AQ1143&gt;0,AF1143/AQ1143,1),IFERROR(INDEX(Types!$K:$K,MATCH($A1143&amp;"|"&amp;$D1143,Types!$A:$A,0)),INDEX(Dashboard!$X$6:$X$22,MATCH($A1143,Dashboard!$A$6:$A$22,0))))</f>
        <v/>
      </c>
      <c r="AT1143" s="43">
        <f>AQ1143*INDEX(Dashboard!$Y$6:$Y$22,MATCH($A1143,Dashboard!$A$6:$A$22,0))</f>
        <v/>
      </c>
      <c r="AU1143" s="53">
        <f>IF(AND(AG1143=1,AT1143&gt;0,AF1143&gt;0),100*AF1143/AT1143,"")</f>
        <v/>
      </c>
      <c r="AV1143" s="44">
        <f>IF(AU1143="","",T1143/(AU1143/100))</f>
        <v/>
      </c>
      <c r="AW1143" s="53">
        <f>IF(AU1143="","",IF(AND(ABS(AH1143)&gt;=0.1,ABS(T1143)&gt;=0.05,SIGN(AH1143)=SIGN(T1143)),100*T1143/AH1143,""))</f>
        <v/>
      </c>
      <c r="AX1143" s="45">
        <f>IF(AU1143="","",T1143-AV1143)</f>
        <v/>
      </c>
      <c r="AY1143" s="45">
        <f>IF(AU1143="","",AH1143-AV1143)</f>
        <v/>
      </c>
      <c r="AZ1143" s="54">
        <f>(AL1143-AM1143)-T1143*AT1143</f>
        <v/>
      </c>
      <c r="BA1143" s="43">
        <f>IF(AU1143="",0,(AH1143-T1143)*AF1143)</f>
        <v/>
      </c>
      <c r="BB1143" s="43">
        <f>IF(AU1143="",0,T1143*(AF1143-AT1143))</f>
        <v/>
      </c>
      <c r="BC1143" s="51" t="n">
        <v>0.01013057181449797</v>
      </c>
      <c r="BD1143" s="51" t="n">
        <v>0.2296262944619541</v>
      </c>
      <c r="BE1143" s="51" t="n">
        <v>0.2564712883070515</v>
      </c>
      <c r="BF1143" s="43" t="n">
        <v>4442</v>
      </c>
    </row>
    <row r="1144">
      <c r="A1144" s="42" t="inlineStr">
        <is>
          <t>TX</t>
        </is>
      </c>
      <c r="B1144" s="42" t="inlineStr">
        <is>
          <t>48269</t>
        </is>
      </c>
      <c r="C1144" s="42" t="inlineStr">
        <is>
          <t>King</t>
        </is>
      </c>
      <c r="D1144" s="42" t="inlineStr">
        <is>
          <t>Small town &amp; rural</t>
        </is>
      </c>
      <c r="E1144" s="42" t="inlineStr"/>
      <c r="F1144" s="43" t="n">
        <v>6</v>
      </c>
      <c r="G1144" s="43" t="n">
        <v>129</v>
      </c>
      <c r="H1144" s="43" t="n">
        <v>135</v>
      </c>
      <c r="I1144" s="43" t="n">
        <v>8</v>
      </c>
      <c r="J1144" s="43" t="n">
        <v>151</v>
      </c>
      <c r="K1144" s="42" t="inlineStr">
        <is>
          <t>Governor</t>
        </is>
      </c>
      <c r="L1144" s="43" t="n">
        <v>3</v>
      </c>
      <c r="M1144" s="43" t="n">
        <v>100</v>
      </c>
      <c r="N1144" s="43" t="n">
        <v>103</v>
      </c>
      <c r="O1144" s="44">
        <f>IFERROR((F1144-G1144)/(F1144+G1144),"")</f>
        <v/>
      </c>
      <c r="P1144" s="44">
        <f>IFERROR((I1144-J1144)/(I1144+J1144),"")</f>
        <v/>
      </c>
      <c r="Q1144" s="45">
        <f>IFERROR(O1144-P1144,"")</f>
        <v/>
      </c>
      <c r="R1144" s="44">
        <f>IFERROR((L1144-M1144)/(L1144+M1144),"")</f>
        <v/>
      </c>
      <c r="S1144" s="46">
        <f>H1144/SUMIFS(Counties!$H$2:$H$1583,Counties!$A$2:$A$1583,$A1144)</f>
        <v/>
      </c>
      <c r="T1144" s="44">
        <f>O1144+INDEX(Dashboard!$F$6:$F$22,MATCH($A1144,Dashboard!$A$6:$A$22,0))</f>
        <v/>
      </c>
      <c r="U1144" s="43">
        <f>AQ1144*INDEX(Dashboard!$G$6:$G$22,MATCH($A1144,Dashboard!$A$6:$A$22,0))</f>
        <v/>
      </c>
      <c r="V1144" s="47" t="n"/>
      <c r="W1144" s="47" t="n"/>
      <c r="X1144" s="47" t="n"/>
      <c r="Y1144" s="48" t="n"/>
      <c r="Z1144" s="49" t="n"/>
      <c r="AA1144" s="49" t="n"/>
      <c r="AB1144" s="49" t="n"/>
      <c r="AC1144" s="50" t="n"/>
      <c r="AD1144" s="43">
        <f>IF(Z1144&lt;&gt;"",Z1144,N(V1144))</f>
        <v/>
      </c>
      <c r="AE1144" s="43">
        <f>IF(AA1144&lt;&gt;"",AA1144,N(W1144))</f>
        <v/>
      </c>
      <c r="AF1144" s="43">
        <f>AD1144+AE1144</f>
        <v/>
      </c>
      <c r="AG1144" s="42">
        <f>IF(UPPER(AC1144)="Y",1,IF(AF1144=0,0,IF(AND(Z1144="",Y1144&lt;&gt;""),IF(Y1144&gt;=0.999,1,0),IF(AF1144&gt;=U1144,1,0))))</f>
        <v/>
      </c>
      <c r="AH1144" s="44">
        <f>IF(AF1144&gt;0,(AD1144-AE1144)/AF1144,"")</f>
        <v/>
      </c>
      <c r="AI1144" s="45">
        <f>IF(AG1144=1,AH1144-O1144,"")</f>
        <v/>
      </c>
      <c r="AJ1144" s="44">
        <f>IF(AG1144=1,AH1144,MAX(-1,MIN(1,O1144+INDEX(Types!$H:$H,MATCH($A1144&amp;"|"&amp;$D1144,Types!$A:$A,0)))))</f>
        <v/>
      </c>
      <c r="AK1144" s="43">
        <f>IF(AG1144=1,AF1144,MAX(AQ1144*AS1144,AF1144))</f>
        <v/>
      </c>
      <c r="AL1144" s="43">
        <f>IF(AG1144=1,AD1144,AK1144*(1+AJ1144)/2)</f>
        <v/>
      </c>
      <c r="AM1144" s="43">
        <f>IF(AG1144=1,AE1144,AK1144*(1-AJ1144)/2)</f>
        <v/>
      </c>
      <c r="AN1144" s="45">
        <f>IF(AH1144="","",AH1144-T1144)</f>
        <v/>
      </c>
      <c r="AO1144" s="51">
        <f>IF(AG1144=1,1,IF(U1144&gt;0,MIN(AF1144/U1144,0.99),0))</f>
        <v/>
      </c>
      <c r="AP1144" s="43">
        <f>IF(AG1144=1,AI1144*AF1144,0)</f>
        <v/>
      </c>
      <c r="AQ1144" s="43">
        <f>N1144*(F1144+G1144)/H1144</f>
        <v/>
      </c>
      <c r="AR1144" s="43">
        <f>O1144*AQ1144</f>
        <v/>
      </c>
      <c r="AS1144" s="52">
        <f>IF(AG1144=1,IF(AQ1144&gt;0,AF1144/AQ1144,1),IFERROR(INDEX(Types!$K:$K,MATCH($A1144&amp;"|"&amp;$D1144,Types!$A:$A,0)),INDEX(Dashboard!$X$6:$X$22,MATCH($A1144,Dashboard!$A$6:$A$22,0))))</f>
        <v/>
      </c>
      <c r="AT1144" s="43">
        <f>AQ1144*INDEX(Dashboard!$Y$6:$Y$22,MATCH($A1144,Dashboard!$A$6:$A$22,0))</f>
        <v/>
      </c>
      <c r="AU1144" s="53">
        <f>IF(AND(AG1144=1,AT1144&gt;0,AF1144&gt;0),100*AF1144/AT1144,"")</f>
        <v/>
      </c>
      <c r="AV1144" s="44">
        <f>IF(AU1144="","",T1144/(AU1144/100))</f>
        <v/>
      </c>
      <c r="AW1144" s="53">
        <f>IF(AU1144="","",IF(AND(ABS(AH1144)&gt;=0.1,ABS(T1144)&gt;=0.05,SIGN(AH1144)=SIGN(T1144)),100*T1144/AH1144,""))</f>
        <v/>
      </c>
      <c r="AX1144" s="45">
        <f>IF(AU1144="","",T1144-AV1144)</f>
        <v/>
      </c>
      <c r="AY1144" s="45">
        <f>IF(AU1144="","",AH1144-AV1144)</f>
        <v/>
      </c>
      <c r="AZ1144" s="54">
        <f>(AL1144-AM1144)-T1144*AT1144</f>
        <v/>
      </c>
      <c r="BA1144" s="43">
        <f>IF(AU1144="",0,(AH1144-T1144)*AF1144)</f>
        <v/>
      </c>
      <c r="BB1144" s="43">
        <f>IF(AU1144="",0,T1144*(AF1144-AT1144))</f>
        <v/>
      </c>
      <c r="BC1144" s="51" t="n">
        <v>0.02304147465437788</v>
      </c>
      <c r="BD1144" s="51" t="n">
        <v>0.1428571428571428</v>
      </c>
      <c r="BE1144" s="51" t="n">
        <v>0.3636363636363636</v>
      </c>
      <c r="BF1144" s="43" t="n">
        <v>217</v>
      </c>
    </row>
    <row r="1145">
      <c r="A1145" s="42" t="inlineStr">
        <is>
          <t>TX</t>
        </is>
      </c>
      <c r="B1145" s="42" t="inlineStr">
        <is>
          <t>48271</t>
        </is>
      </c>
      <c r="C1145" s="42" t="inlineStr">
        <is>
          <t>Kinney</t>
        </is>
      </c>
      <c r="D1145" s="42" t="inlineStr">
        <is>
          <t>Hispanic</t>
        </is>
      </c>
      <c r="E1145" s="42" t="inlineStr"/>
      <c r="F1145" s="43" t="n">
        <v>346</v>
      </c>
      <c r="G1145" s="43" t="n">
        <v>1063</v>
      </c>
      <c r="H1145" s="43" t="n">
        <v>1419</v>
      </c>
      <c r="I1145" s="43" t="n">
        <v>446</v>
      </c>
      <c r="J1145" s="43" t="n">
        <v>1144</v>
      </c>
      <c r="K1145" s="42" t="inlineStr">
        <is>
          <t>Governor</t>
        </is>
      </c>
      <c r="L1145" s="43" t="n">
        <v>258</v>
      </c>
      <c r="M1145" s="43" t="n">
        <v>907</v>
      </c>
      <c r="N1145" s="43" t="n">
        <v>1191</v>
      </c>
      <c r="O1145" s="44">
        <f>IFERROR((F1145-G1145)/(F1145+G1145),"")</f>
        <v/>
      </c>
      <c r="P1145" s="44">
        <f>IFERROR((I1145-J1145)/(I1145+J1145),"")</f>
        <v/>
      </c>
      <c r="Q1145" s="45">
        <f>IFERROR(O1145-P1145,"")</f>
        <v/>
      </c>
      <c r="R1145" s="44">
        <f>IFERROR((L1145-M1145)/(L1145+M1145),"")</f>
        <v/>
      </c>
      <c r="S1145" s="46">
        <f>H1145/SUMIFS(Counties!$H$2:$H$1583,Counties!$A$2:$A$1583,$A1145)</f>
        <v/>
      </c>
      <c r="T1145" s="44">
        <f>O1145+INDEX(Dashboard!$F$6:$F$22,MATCH($A1145,Dashboard!$A$6:$A$22,0))</f>
        <v/>
      </c>
      <c r="U1145" s="43">
        <f>AQ1145*INDEX(Dashboard!$G$6:$G$22,MATCH($A1145,Dashboard!$A$6:$A$22,0))</f>
        <v/>
      </c>
      <c r="V1145" s="47" t="n"/>
      <c r="W1145" s="47" t="n"/>
      <c r="X1145" s="47" t="n"/>
      <c r="Y1145" s="48" t="n"/>
      <c r="Z1145" s="49" t="n"/>
      <c r="AA1145" s="49" t="n"/>
      <c r="AB1145" s="49" t="n"/>
      <c r="AC1145" s="50" t="n"/>
      <c r="AD1145" s="43">
        <f>IF(Z1145&lt;&gt;"",Z1145,N(V1145))</f>
        <v/>
      </c>
      <c r="AE1145" s="43">
        <f>IF(AA1145&lt;&gt;"",AA1145,N(W1145))</f>
        <v/>
      </c>
      <c r="AF1145" s="43">
        <f>AD1145+AE1145</f>
        <v/>
      </c>
      <c r="AG1145" s="42">
        <f>IF(UPPER(AC1145)="Y",1,IF(AF1145=0,0,IF(AND(Z1145="",Y1145&lt;&gt;""),IF(Y1145&gt;=0.999,1,0),IF(AF1145&gt;=U1145,1,0))))</f>
        <v/>
      </c>
      <c r="AH1145" s="44">
        <f>IF(AF1145&gt;0,(AD1145-AE1145)/AF1145,"")</f>
        <v/>
      </c>
      <c r="AI1145" s="45">
        <f>IF(AG1145=1,AH1145-O1145,"")</f>
        <v/>
      </c>
      <c r="AJ1145" s="44">
        <f>IF(AG1145=1,AH1145,MAX(-1,MIN(1,O1145+INDEX(Types!$H:$H,MATCH($A1145&amp;"|"&amp;$D1145,Types!$A:$A,0)))))</f>
        <v/>
      </c>
      <c r="AK1145" s="43">
        <f>IF(AG1145=1,AF1145,MAX(AQ1145*AS1145,AF1145))</f>
        <v/>
      </c>
      <c r="AL1145" s="43">
        <f>IF(AG1145=1,AD1145,AK1145*(1+AJ1145)/2)</f>
        <v/>
      </c>
      <c r="AM1145" s="43">
        <f>IF(AG1145=1,AE1145,AK1145*(1-AJ1145)/2)</f>
        <v/>
      </c>
      <c r="AN1145" s="45">
        <f>IF(AH1145="","",AH1145-T1145)</f>
        <v/>
      </c>
      <c r="AO1145" s="51">
        <f>IF(AG1145=1,1,IF(U1145&gt;0,MIN(AF1145/U1145,0.99),0))</f>
        <v/>
      </c>
      <c r="AP1145" s="43">
        <f>IF(AG1145=1,AI1145*AF1145,0)</f>
        <v/>
      </c>
      <c r="AQ1145" s="43">
        <f>N1145*(F1145+G1145)/H1145</f>
        <v/>
      </c>
      <c r="AR1145" s="43">
        <f>O1145*AQ1145</f>
        <v/>
      </c>
      <c r="AS1145" s="52">
        <f>IF(AG1145=1,IF(AQ1145&gt;0,AF1145/AQ1145,1),IFERROR(INDEX(Types!$K:$K,MATCH($A1145&amp;"|"&amp;$D1145,Types!$A:$A,0)),INDEX(Dashboard!$X$6:$X$22,MATCH($A1145,Dashboard!$A$6:$A$22,0))))</f>
        <v/>
      </c>
      <c r="AT1145" s="43">
        <f>AQ1145*INDEX(Dashboard!$Y$6:$Y$22,MATCH($A1145,Dashboard!$A$6:$A$22,0))</f>
        <v/>
      </c>
      <c r="AU1145" s="53">
        <f>IF(AND(AG1145=1,AT1145&gt;0,AF1145&gt;0),100*AF1145/AT1145,"")</f>
        <v/>
      </c>
      <c r="AV1145" s="44">
        <f>IF(AU1145="","",T1145/(AU1145/100))</f>
        <v/>
      </c>
      <c r="AW1145" s="53">
        <f>IF(AU1145="","",IF(AND(ABS(AH1145)&gt;=0.1,ABS(T1145)&gt;=0.05,SIGN(AH1145)=SIGN(T1145)),100*T1145/AH1145,""))</f>
        <v/>
      </c>
      <c r="AX1145" s="45">
        <f>IF(AU1145="","",T1145-AV1145)</f>
        <v/>
      </c>
      <c r="AY1145" s="45">
        <f>IF(AU1145="","",AH1145-AV1145)</f>
        <v/>
      </c>
      <c r="AZ1145" s="54">
        <f>(AL1145-AM1145)-T1145*AT1145</f>
        <v/>
      </c>
      <c r="BA1145" s="43">
        <f>IF(AU1145="",0,(AH1145-T1145)*AF1145)</f>
        <v/>
      </c>
      <c r="BB1145" s="43">
        <f>IF(AU1145="",0,T1145*(AF1145-AT1145))</f>
        <v/>
      </c>
      <c r="BC1145" s="51" t="n">
        <v>0.02191867852604829</v>
      </c>
      <c r="BD1145" s="51" t="n">
        <v>0.531130876747141</v>
      </c>
      <c r="BE1145" s="51" t="n">
        <v>0.1952175617404939</v>
      </c>
      <c r="BF1145" s="43" t="n">
        <v>3148</v>
      </c>
    </row>
    <row r="1146">
      <c r="A1146" s="42" t="inlineStr">
        <is>
          <t>TX</t>
        </is>
      </c>
      <c r="B1146" s="42" t="inlineStr">
        <is>
          <t>48273</t>
        </is>
      </c>
      <c r="C1146" s="42" t="inlineStr">
        <is>
          <t>Kleberg</t>
        </is>
      </c>
      <c r="D1146" s="42" t="inlineStr">
        <is>
          <t>Hispanic</t>
        </is>
      </c>
      <c r="E1146" s="42" t="inlineStr"/>
      <c r="F1146" s="43" t="n">
        <v>4338</v>
      </c>
      <c r="G1146" s="43" t="n">
        <v>5612</v>
      </c>
      <c r="H1146" s="43" t="n">
        <v>10010</v>
      </c>
      <c r="I1146" s="43" t="n">
        <v>5314</v>
      </c>
      <c r="J1146" s="43" t="n">
        <v>5504</v>
      </c>
      <c r="K1146" s="42" t="inlineStr">
        <is>
          <t>Governor</t>
        </is>
      </c>
      <c r="L1146" s="43" t="n">
        <v>3463</v>
      </c>
      <c r="M1146" s="43" t="n">
        <v>4074</v>
      </c>
      <c r="N1146" s="43" t="n">
        <v>7629</v>
      </c>
      <c r="O1146" s="44">
        <f>IFERROR((F1146-G1146)/(F1146+G1146),"")</f>
        <v/>
      </c>
      <c r="P1146" s="44">
        <f>IFERROR((I1146-J1146)/(I1146+J1146),"")</f>
        <v/>
      </c>
      <c r="Q1146" s="45">
        <f>IFERROR(O1146-P1146,"")</f>
        <v/>
      </c>
      <c r="R1146" s="44">
        <f>IFERROR((L1146-M1146)/(L1146+M1146),"")</f>
        <v/>
      </c>
      <c r="S1146" s="46">
        <f>H1146/SUMIFS(Counties!$H$2:$H$1583,Counties!$A$2:$A$1583,$A1146)</f>
        <v/>
      </c>
      <c r="T1146" s="44">
        <f>O1146+INDEX(Dashboard!$F$6:$F$22,MATCH($A1146,Dashboard!$A$6:$A$22,0))</f>
        <v/>
      </c>
      <c r="U1146" s="43">
        <f>AQ1146*INDEX(Dashboard!$G$6:$G$22,MATCH($A1146,Dashboard!$A$6:$A$22,0))</f>
        <v/>
      </c>
      <c r="V1146" s="47" t="n"/>
      <c r="W1146" s="47" t="n"/>
      <c r="X1146" s="47" t="n"/>
      <c r="Y1146" s="48" t="n"/>
      <c r="Z1146" s="49" t="n"/>
      <c r="AA1146" s="49" t="n"/>
      <c r="AB1146" s="49" t="n"/>
      <c r="AC1146" s="50" t="n"/>
      <c r="AD1146" s="43">
        <f>IF(Z1146&lt;&gt;"",Z1146,N(V1146))</f>
        <v/>
      </c>
      <c r="AE1146" s="43">
        <f>IF(AA1146&lt;&gt;"",AA1146,N(W1146))</f>
        <v/>
      </c>
      <c r="AF1146" s="43">
        <f>AD1146+AE1146</f>
        <v/>
      </c>
      <c r="AG1146" s="42">
        <f>IF(UPPER(AC1146)="Y",1,IF(AF1146=0,0,IF(AND(Z1146="",Y1146&lt;&gt;""),IF(Y1146&gt;=0.999,1,0),IF(AF1146&gt;=U1146,1,0))))</f>
        <v/>
      </c>
      <c r="AH1146" s="44">
        <f>IF(AF1146&gt;0,(AD1146-AE1146)/AF1146,"")</f>
        <v/>
      </c>
      <c r="AI1146" s="45">
        <f>IF(AG1146=1,AH1146-O1146,"")</f>
        <v/>
      </c>
      <c r="AJ1146" s="44">
        <f>IF(AG1146=1,AH1146,MAX(-1,MIN(1,O1146+INDEX(Types!$H:$H,MATCH($A1146&amp;"|"&amp;$D1146,Types!$A:$A,0)))))</f>
        <v/>
      </c>
      <c r="AK1146" s="43">
        <f>IF(AG1146=1,AF1146,MAX(AQ1146*AS1146,AF1146))</f>
        <v/>
      </c>
      <c r="AL1146" s="43">
        <f>IF(AG1146=1,AD1146,AK1146*(1+AJ1146)/2)</f>
        <v/>
      </c>
      <c r="AM1146" s="43">
        <f>IF(AG1146=1,AE1146,AK1146*(1-AJ1146)/2)</f>
        <v/>
      </c>
      <c r="AN1146" s="45">
        <f>IF(AH1146="","",AH1146-T1146)</f>
        <v/>
      </c>
      <c r="AO1146" s="51">
        <f>IF(AG1146=1,1,IF(U1146&gt;0,MIN(AF1146/U1146,0.99),0))</f>
        <v/>
      </c>
      <c r="AP1146" s="43">
        <f>IF(AG1146=1,AI1146*AF1146,0)</f>
        <v/>
      </c>
      <c r="AQ1146" s="43">
        <f>N1146*(F1146+G1146)/H1146</f>
        <v/>
      </c>
      <c r="AR1146" s="43">
        <f>O1146*AQ1146</f>
        <v/>
      </c>
      <c r="AS1146" s="52">
        <f>IF(AG1146=1,IF(AQ1146&gt;0,AF1146/AQ1146,1),IFERROR(INDEX(Types!$K:$K,MATCH($A1146&amp;"|"&amp;$D1146,Types!$A:$A,0)),INDEX(Dashboard!$X$6:$X$22,MATCH($A1146,Dashboard!$A$6:$A$22,0))))</f>
        <v/>
      </c>
      <c r="AT1146" s="43">
        <f>AQ1146*INDEX(Dashboard!$Y$6:$Y$22,MATCH($A1146,Dashboard!$A$6:$A$22,0))</f>
        <v/>
      </c>
      <c r="AU1146" s="53">
        <f>IF(AND(AG1146=1,AT1146&gt;0,AF1146&gt;0),100*AF1146/AT1146,"")</f>
        <v/>
      </c>
      <c r="AV1146" s="44">
        <f>IF(AU1146="","",T1146/(AU1146/100))</f>
        <v/>
      </c>
      <c r="AW1146" s="53">
        <f>IF(AU1146="","",IF(AND(ABS(AH1146)&gt;=0.1,ABS(T1146)&gt;=0.05,SIGN(AH1146)=SIGN(T1146)),100*T1146/AH1146,""))</f>
        <v/>
      </c>
      <c r="AX1146" s="45">
        <f>IF(AU1146="","",T1146-AV1146)</f>
        <v/>
      </c>
      <c r="AY1146" s="45">
        <f>IF(AU1146="","",AH1146-AV1146)</f>
        <v/>
      </c>
      <c r="AZ1146" s="54">
        <f>(AL1146-AM1146)-T1146*AT1146</f>
        <v/>
      </c>
      <c r="BA1146" s="43">
        <f>IF(AU1146="",0,(AH1146-T1146)*AF1146)</f>
        <v/>
      </c>
      <c r="BB1146" s="43">
        <f>IF(AU1146="",0,T1146*(AF1146-AT1146))</f>
        <v/>
      </c>
      <c r="BC1146" s="51" t="n">
        <v>0.03462037314177392</v>
      </c>
      <c r="BD1146" s="51" t="n">
        <v>0.7187136253284113</v>
      </c>
      <c r="BE1146" s="51" t="n">
        <v>0.2372529815060206</v>
      </c>
      <c r="BF1146" s="43" t="n">
        <v>30069</v>
      </c>
    </row>
    <row r="1147">
      <c r="A1147" s="42" t="inlineStr">
        <is>
          <t>TX</t>
        </is>
      </c>
      <c r="B1147" s="42" t="inlineStr">
        <is>
          <t>48275</t>
        </is>
      </c>
      <c r="C1147" s="42" t="inlineStr">
        <is>
          <t>Knox</t>
        </is>
      </c>
      <c r="D1147" s="42" t="inlineStr">
        <is>
          <t>Small town &amp; rural</t>
        </is>
      </c>
      <c r="E1147" s="42" t="inlineStr"/>
      <c r="F1147" s="43" t="n">
        <v>214</v>
      </c>
      <c r="G1147" s="43" t="n">
        <v>1156</v>
      </c>
      <c r="H1147" s="43" t="n">
        <v>1376</v>
      </c>
      <c r="I1147" s="43" t="n">
        <v>265</v>
      </c>
      <c r="J1147" s="43" t="n">
        <v>1180</v>
      </c>
      <c r="K1147" s="42" t="inlineStr">
        <is>
          <t>Governor</t>
        </is>
      </c>
      <c r="L1147" s="43" t="n">
        <v>140</v>
      </c>
      <c r="M1147" s="43" t="n">
        <v>889</v>
      </c>
      <c r="N1147" s="43" t="n">
        <v>1040</v>
      </c>
      <c r="O1147" s="44">
        <f>IFERROR((F1147-G1147)/(F1147+G1147),"")</f>
        <v/>
      </c>
      <c r="P1147" s="44">
        <f>IFERROR((I1147-J1147)/(I1147+J1147),"")</f>
        <v/>
      </c>
      <c r="Q1147" s="45">
        <f>IFERROR(O1147-P1147,"")</f>
        <v/>
      </c>
      <c r="R1147" s="44">
        <f>IFERROR((L1147-M1147)/(L1147+M1147),"")</f>
        <v/>
      </c>
      <c r="S1147" s="46">
        <f>H1147/SUMIFS(Counties!$H$2:$H$1583,Counties!$A$2:$A$1583,$A1147)</f>
        <v/>
      </c>
      <c r="T1147" s="44">
        <f>O1147+INDEX(Dashboard!$F$6:$F$22,MATCH($A1147,Dashboard!$A$6:$A$22,0))</f>
        <v/>
      </c>
      <c r="U1147" s="43">
        <f>AQ1147*INDEX(Dashboard!$G$6:$G$22,MATCH($A1147,Dashboard!$A$6:$A$22,0))</f>
        <v/>
      </c>
      <c r="V1147" s="47" t="n"/>
      <c r="W1147" s="47" t="n"/>
      <c r="X1147" s="47" t="n"/>
      <c r="Y1147" s="48" t="n"/>
      <c r="Z1147" s="49" t="n"/>
      <c r="AA1147" s="49" t="n"/>
      <c r="AB1147" s="49" t="n"/>
      <c r="AC1147" s="50" t="n"/>
      <c r="AD1147" s="43">
        <f>IF(Z1147&lt;&gt;"",Z1147,N(V1147))</f>
        <v/>
      </c>
      <c r="AE1147" s="43">
        <f>IF(AA1147&lt;&gt;"",AA1147,N(W1147))</f>
        <v/>
      </c>
      <c r="AF1147" s="43">
        <f>AD1147+AE1147</f>
        <v/>
      </c>
      <c r="AG1147" s="42">
        <f>IF(UPPER(AC1147)="Y",1,IF(AF1147=0,0,IF(AND(Z1147="",Y1147&lt;&gt;""),IF(Y1147&gt;=0.999,1,0),IF(AF1147&gt;=U1147,1,0))))</f>
        <v/>
      </c>
      <c r="AH1147" s="44">
        <f>IF(AF1147&gt;0,(AD1147-AE1147)/AF1147,"")</f>
        <v/>
      </c>
      <c r="AI1147" s="45">
        <f>IF(AG1147=1,AH1147-O1147,"")</f>
        <v/>
      </c>
      <c r="AJ1147" s="44">
        <f>IF(AG1147=1,AH1147,MAX(-1,MIN(1,O1147+INDEX(Types!$H:$H,MATCH($A1147&amp;"|"&amp;$D1147,Types!$A:$A,0)))))</f>
        <v/>
      </c>
      <c r="AK1147" s="43">
        <f>IF(AG1147=1,AF1147,MAX(AQ1147*AS1147,AF1147))</f>
        <v/>
      </c>
      <c r="AL1147" s="43">
        <f>IF(AG1147=1,AD1147,AK1147*(1+AJ1147)/2)</f>
        <v/>
      </c>
      <c r="AM1147" s="43">
        <f>IF(AG1147=1,AE1147,AK1147*(1-AJ1147)/2)</f>
        <v/>
      </c>
      <c r="AN1147" s="45">
        <f>IF(AH1147="","",AH1147-T1147)</f>
        <v/>
      </c>
      <c r="AO1147" s="51">
        <f>IF(AG1147=1,1,IF(U1147&gt;0,MIN(AF1147/U1147,0.99),0))</f>
        <v/>
      </c>
      <c r="AP1147" s="43">
        <f>IF(AG1147=1,AI1147*AF1147,0)</f>
        <v/>
      </c>
      <c r="AQ1147" s="43">
        <f>N1147*(F1147+G1147)/H1147</f>
        <v/>
      </c>
      <c r="AR1147" s="43">
        <f>O1147*AQ1147</f>
        <v/>
      </c>
      <c r="AS1147" s="52">
        <f>IF(AG1147=1,IF(AQ1147&gt;0,AF1147/AQ1147,1),IFERROR(INDEX(Types!$K:$K,MATCH($A1147&amp;"|"&amp;$D1147,Types!$A:$A,0)),INDEX(Dashboard!$X$6:$X$22,MATCH($A1147,Dashboard!$A$6:$A$22,0))))</f>
        <v/>
      </c>
      <c r="AT1147" s="43">
        <f>AQ1147*INDEX(Dashboard!$Y$6:$Y$22,MATCH($A1147,Dashboard!$A$6:$A$22,0))</f>
        <v/>
      </c>
      <c r="AU1147" s="53">
        <f>IF(AND(AG1147=1,AT1147&gt;0,AF1147&gt;0),100*AF1147/AT1147,"")</f>
        <v/>
      </c>
      <c r="AV1147" s="44">
        <f>IF(AU1147="","",T1147/(AU1147/100))</f>
        <v/>
      </c>
      <c r="AW1147" s="53">
        <f>IF(AU1147="","",IF(AND(ABS(AH1147)&gt;=0.1,ABS(T1147)&gt;=0.05,SIGN(AH1147)=SIGN(T1147)),100*T1147/AH1147,""))</f>
        <v/>
      </c>
      <c r="AX1147" s="45">
        <f>IF(AU1147="","",T1147-AV1147)</f>
        <v/>
      </c>
      <c r="AY1147" s="45">
        <f>IF(AU1147="","",AH1147-AV1147)</f>
        <v/>
      </c>
      <c r="AZ1147" s="54">
        <f>(AL1147-AM1147)-T1147*AT1147</f>
        <v/>
      </c>
      <c r="BA1147" s="43">
        <f>IF(AU1147="",0,(AH1147-T1147)*AF1147)</f>
        <v/>
      </c>
      <c r="BB1147" s="43">
        <f>IF(AU1147="",0,T1147*(AF1147-AT1147))</f>
        <v/>
      </c>
      <c r="BC1147" s="51" t="n">
        <v>0.05178679588128407</v>
      </c>
      <c r="BD1147" s="51" t="n">
        <v>0.3355542095699576</v>
      </c>
      <c r="BE1147" s="51" t="n">
        <v>0.1559792027729636</v>
      </c>
      <c r="BF1147" s="43" t="n">
        <v>3302</v>
      </c>
    </row>
    <row r="1148">
      <c r="A1148" s="42" t="inlineStr">
        <is>
          <t>TX</t>
        </is>
      </c>
      <c r="B1148" s="42" t="inlineStr">
        <is>
          <t>48283</t>
        </is>
      </c>
      <c r="C1148" s="42" t="inlineStr">
        <is>
          <t>La Salle</t>
        </is>
      </c>
      <c r="D1148" s="42" t="inlineStr">
        <is>
          <t>Hispanic</t>
        </is>
      </c>
      <c r="E1148" s="42" t="inlineStr"/>
      <c r="F1148" s="43" t="n">
        <v>933</v>
      </c>
      <c r="G1148" s="43" t="n">
        <v>1417</v>
      </c>
      <c r="H1148" s="43" t="n">
        <v>2360</v>
      </c>
      <c r="I1148" s="43" t="n">
        <v>1052</v>
      </c>
      <c r="J1148" s="43" t="n">
        <v>1335</v>
      </c>
      <c r="K1148" s="42" t="inlineStr">
        <is>
          <t>Governor</t>
        </is>
      </c>
      <c r="L1148" s="43" t="n">
        <v>662</v>
      </c>
      <c r="M1148" s="43" t="n">
        <v>761</v>
      </c>
      <c r="N1148" s="43" t="n">
        <v>1437</v>
      </c>
      <c r="O1148" s="44">
        <f>IFERROR((F1148-G1148)/(F1148+G1148),"")</f>
        <v/>
      </c>
      <c r="P1148" s="44">
        <f>IFERROR((I1148-J1148)/(I1148+J1148),"")</f>
        <v/>
      </c>
      <c r="Q1148" s="45">
        <f>IFERROR(O1148-P1148,"")</f>
        <v/>
      </c>
      <c r="R1148" s="44">
        <f>IFERROR((L1148-M1148)/(L1148+M1148),"")</f>
        <v/>
      </c>
      <c r="S1148" s="46">
        <f>H1148/SUMIFS(Counties!$H$2:$H$1583,Counties!$A$2:$A$1583,$A1148)</f>
        <v/>
      </c>
      <c r="T1148" s="44">
        <f>O1148+INDEX(Dashboard!$F$6:$F$22,MATCH($A1148,Dashboard!$A$6:$A$22,0))</f>
        <v/>
      </c>
      <c r="U1148" s="43">
        <f>AQ1148*INDEX(Dashboard!$G$6:$G$22,MATCH($A1148,Dashboard!$A$6:$A$22,0))</f>
        <v/>
      </c>
      <c r="V1148" s="47" t="n"/>
      <c r="W1148" s="47" t="n"/>
      <c r="X1148" s="47" t="n"/>
      <c r="Y1148" s="48" t="n"/>
      <c r="Z1148" s="49" t="n"/>
      <c r="AA1148" s="49" t="n"/>
      <c r="AB1148" s="49" t="n"/>
      <c r="AC1148" s="50" t="n"/>
      <c r="AD1148" s="43">
        <f>IF(Z1148&lt;&gt;"",Z1148,N(V1148))</f>
        <v/>
      </c>
      <c r="AE1148" s="43">
        <f>IF(AA1148&lt;&gt;"",AA1148,N(W1148))</f>
        <v/>
      </c>
      <c r="AF1148" s="43">
        <f>AD1148+AE1148</f>
        <v/>
      </c>
      <c r="AG1148" s="42">
        <f>IF(UPPER(AC1148)="Y",1,IF(AF1148=0,0,IF(AND(Z1148="",Y1148&lt;&gt;""),IF(Y1148&gt;=0.999,1,0),IF(AF1148&gt;=U1148,1,0))))</f>
        <v/>
      </c>
      <c r="AH1148" s="44">
        <f>IF(AF1148&gt;0,(AD1148-AE1148)/AF1148,"")</f>
        <v/>
      </c>
      <c r="AI1148" s="45">
        <f>IF(AG1148=1,AH1148-O1148,"")</f>
        <v/>
      </c>
      <c r="AJ1148" s="44">
        <f>IF(AG1148=1,AH1148,MAX(-1,MIN(1,O1148+INDEX(Types!$H:$H,MATCH($A1148&amp;"|"&amp;$D1148,Types!$A:$A,0)))))</f>
        <v/>
      </c>
      <c r="AK1148" s="43">
        <f>IF(AG1148=1,AF1148,MAX(AQ1148*AS1148,AF1148))</f>
        <v/>
      </c>
      <c r="AL1148" s="43">
        <f>IF(AG1148=1,AD1148,AK1148*(1+AJ1148)/2)</f>
        <v/>
      </c>
      <c r="AM1148" s="43">
        <f>IF(AG1148=1,AE1148,AK1148*(1-AJ1148)/2)</f>
        <v/>
      </c>
      <c r="AN1148" s="45">
        <f>IF(AH1148="","",AH1148-T1148)</f>
        <v/>
      </c>
      <c r="AO1148" s="51">
        <f>IF(AG1148=1,1,IF(U1148&gt;0,MIN(AF1148/U1148,0.99),0))</f>
        <v/>
      </c>
      <c r="AP1148" s="43">
        <f>IF(AG1148=1,AI1148*AF1148,0)</f>
        <v/>
      </c>
      <c r="AQ1148" s="43">
        <f>N1148*(F1148+G1148)/H1148</f>
        <v/>
      </c>
      <c r="AR1148" s="43">
        <f>O1148*AQ1148</f>
        <v/>
      </c>
      <c r="AS1148" s="52">
        <f>IF(AG1148=1,IF(AQ1148&gt;0,AF1148/AQ1148,1),IFERROR(INDEX(Types!$K:$K,MATCH($A1148&amp;"|"&amp;$D1148,Types!$A:$A,0)),INDEX(Dashboard!$X$6:$X$22,MATCH($A1148,Dashboard!$A$6:$A$22,0))))</f>
        <v/>
      </c>
      <c r="AT1148" s="43">
        <f>AQ1148*INDEX(Dashboard!$Y$6:$Y$22,MATCH($A1148,Dashboard!$A$6:$A$22,0))</f>
        <v/>
      </c>
      <c r="AU1148" s="53">
        <f>IF(AND(AG1148=1,AT1148&gt;0,AF1148&gt;0),100*AF1148/AT1148,"")</f>
        <v/>
      </c>
      <c r="AV1148" s="44">
        <f>IF(AU1148="","",T1148/(AU1148/100))</f>
        <v/>
      </c>
      <c r="AW1148" s="53">
        <f>IF(AU1148="","",IF(AND(ABS(AH1148)&gt;=0.1,ABS(T1148)&gt;=0.05,SIGN(AH1148)=SIGN(T1148)),100*T1148/AH1148,""))</f>
        <v/>
      </c>
      <c r="AX1148" s="45">
        <f>IF(AU1148="","",T1148-AV1148)</f>
        <v/>
      </c>
      <c r="AY1148" s="45">
        <f>IF(AU1148="","",AH1148-AV1148)</f>
        <v/>
      </c>
      <c r="AZ1148" s="54">
        <f>(AL1148-AM1148)-T1148*AT1148</f>
        <v/>
      </c>
      <c r="BA1148" s="43">
        <f>IF(AU1148="",0,(AH1148-T1148)*AF1148)</f>
        <v/>
      </c>
      <c r="BB1148" s="43">
        <f>IF(AU1148="",0,T1148*(AF1148-AT1148))</f>
        <v/>
      </c>
      <c r="BC1148" s="51" t="n">
        <v>0.01820406914486768</v>
      </c>
      <c r="BD1148" s="51" t="n">
        <v>0.7749732293100811</v>
      </c>
      <c r="BE1148" s="51" t="n">
        <v>0.08096085409252669</v>
      </c>
      <c r="BF1148" s="43" t="n">
        <v>6537</v>
      </c>
    </row>
    <row r="1149">
      <c r="A1149" s="42" t="inlineStr">
        <is>
          <t>TX</t>
        </is>
      </c>
      <c r="B1149" s="42" t="inlineStr">
        <is>
          <t>48277</t>
        </is>
      </c>
      <c r="C1149" s="42" t="inlineStr">
        <is>
          <t>Lamar</t>
        </is>
      </c>
      <c r="D1149" s="42" t="inlineStr">
        <is>
          <t>Small town &amp; rural</t>
        </is>
      </c>
      <c r="E1149" s="42" t="inlineStr"/>
      <c r="F1149" s="43" t="n">
        <v>4079</v>
      </c>
      <c r="G1149" s="43" t="n">
        <v>17044</v>
      </c>
      <c r="H1149" s="43" t="n">
        <v>21236</v>
      </c>
      <c r="I1149" s="43" t="n">
        <v>4458</v>
      </c>
      <c r="J1149" s="43" t="n">
        <v>16760</v>
      </c>
      <c r="K1149" s="42" t="inlineStr">
        <is>
          <t>Governor</t>
        </is>
      </c>
      <c r="L1149" s="43" t="n">
        <v>2665</v>
      </c>
      <c r="M1149" s="43" t="n">
        <v>12546</v>
      </c>
      <c r="N1149" s="43" t="n">
        <v>15368</v>
      </c>
      <c r="O1149" s="44">
        <f>IFERROR((F1149-G1149)/(F1149+G1149),"")</f>
        <v/>
      </c>
      <c r="P1149" s="44">
        <f>IFERROR((I1149-J1149)/(I1149+J1149),"")</f>
        <v/>
      </c>
      <c r="Q1149" s="45">
        <f>IFERROR(O1149-P1149,"")</f>
        <v/>
      </c>
      <c r="R1149" s="44">
        <f>IFERROR((L1149-M1149)/(L1149+M1149),"")</f>
        <v/>
      </c>
      <c r="S1149" s="46">
        <f>H1149/SUMIFS(Counties!$H$2:$H$1583,Counties!$A$2:$A$1583,$A1149)</f>
        <v/>
      </c>
      <c r="T1149" s="44">
        <f>O1149+INDEX(Dashboard!$F$6:$F$22,MATCH($A1149,Dashboard!$A$6:$A$22,0))</f>
        <v/>
      </c>
      <c r="U1149" s="43">
        <f>AQ1149*INDEX(Dashboard!$G$6:$G$22,MATCH($A1149,Dashboard!$A$6:$A$22,0))</f>
        <v/>
      </c>
      <c r="V1149" s="47" t="n"/>
      <c r="W1149" s="47" t="n"/>
      <c r="X1149" s="47" t="n"/>
      <c r="Y1149" s="48" t="n"/>
      <c r="Z1149" s="49" t="n"/>
      <c r="AA1149" s="49" t="n"/>
      <c r="AB1149" s="49" t="n"/>
      <c r="AC1149" s="50" t="n"/>
      <c r="AD1149" s="43">
        <f>IF(Z1149&lt;&gt;"",Z1149,N(V1149))</f>
        <v/>
      </c>
      <c r="AE1149" s="43">
        <f>IF(AA1149&lt;&gt;"",AA1149,N(W1149))</f>
        <v/>
      </c>
      <c r="AF1149" s="43">
        <f>AD1149+AE1149</f>
        <v/>
      </c>
      <c r="AG1149" s="42">
        <f>IF(UPPER(AC1149)="Y",1,IF(AF1149=0,0,IF(AND(Z1149="",Y1149&lt;&gt;""),IF(Y1149&gt;=0.999,1,0),IF(AF1149&gt;=U1149,1,0))))</f>
        <v/>
      </c>
      <c r="AH1149" s="44">
        <f>IF(AF1149&gt;0,(AD1149-AE1149)/AF1149,"")</f>
        <v/>
      </c>
      <c r="AI1149" s="45">
        <f>IF(AG1149=1,AH1149-O1149,"")</f>
        <v/>
      </c>
      <c r="AJ1149" s="44">
        <f>IF(AG1149=1,AH1149,MAX(-1,MIN(1,O1149+INDEX(Types!$H:$H,MATCH($A1149&amp;"|"&amp;$D1149,Types!$A:$A,0)))))</f>
        <v/>
      </c>
      <c r="AK1149" s="43">
        <f>IF(AG1149=1,AF1149,MAX(AQ1149*AS1149,AF1149))</f>
        <v/>
      </c>
      <c r="AL1149" s="43">
        <f>IF(AG1149=1,AD1149,AK1149*(1+AJ1149)/2)</f>
        <v/>
      </c>
      <c r="AM1149" s="43">
        <f>IF(AG1149=1,AE1149,AK1149*(1-AJ1149)/2)</f>
        <v/>
      </c>
      <c r="AN1149" s="45">
        <f>IF(AH1149="","",AH1149-T1149)</f>
        <v/>
      </c>
      <c r="AO1149" s="51">
        <f>IF(AG1149=1,1,IF(U1149&gt;0,MIN(AF1149/U1149,0.99),0))</f>
        <v/>
      </c>
      <c r="AP1149" s="43">
        <f>IF(AG1149=1,AI1149*AF1149,0)</f>
        <v/>
      </c>
      <c r="AQ1149" s="43">
        <f>N1149*(F1149+G1149)/H1149</f>
        <v/>
      </c>
      <c r="AR1149" s="43">
        <f>O1149*AQ1149</f>
        <v/>
      </c>
      <c r="AS1149" s="52">
        <f>IF(AG1149=1,IF(AQ1149&gt;0,AF1149/AQ1149,1),IFERROR(INDEX(Types!$K:$K,MATCH($A1149&amp;"|"&amp;$D1149,Types!$A:$A,0)),INDEX(Dashboard!$X$6:$X$22,MATCH($A1149,Dashboard!$A$6:$A$22,0))))</f>
        <v/>
      </c>
      <c r="AT1149" s="43">
        <f>AQ1149*INDEX(Dashboard!$Y$6:$Y$22,MATCH($A1149,Dashboard!$A$6:$A$22,0))</f>
        <v/>
      </c>
      <c r="AU1149" s="53">
        <f>IF(AND(AG1149=1,AT1149&gt;0,AF1149&gt;0),100*AF1149/AT1149,"")</f>
        <v/>
      </c>
      <c r="AV1149" s="44">
        <f>IF(AU1149="","",T1149/(AU1149/100))</f>
        <v/>
      </c>
      <c r="AW1149" s="53">
        <f>IF(AU1149="","",IF(AND(ABS(AH1149)&gt;=0.1,ABS(T1149)&gt;=0.05,SIGN(AH1149)=SIGN(T1149)),100*T1149/AH1149,""))</f>
        <v/>
      </c>
      <c r="AX1149" s="45">
        <f>IF(AU1149="","",T1149-AV1149)</f>
        <v/>
      </c>
      <c r="AY1149" s="45">
        <f>IF(AU1149="","",AH1149-AV1149)</f>
        <v/>
      </c>
      <c r="AZ1149" s="54">
        <f>(AL1149-AM1149)-T1149*AT1149</f>
        <v/>
      </c>
      <c r="BA1149" s="43">
        <f>IF(AU1149="",0,(AH1149-T1149)*AF1149)</f>
        <v/>
      </c>
      <c r="BB1149" s="43">
        <f>IF(AU1149="",0,T1149*(AF1149-AT1149))</f>
        <v/>
      </c>
      <c r="BC1149" s="51" t="n">
        <v>0.1312809278854617</v>
      </c>
      <c r="BD1149" s="51" t="n">
        <v>0.0995364484518943</v>
      </c>
      <c r="BE1149" s="51" t="n">
        <v>0.205830105710708</v>
      </c>
      <c r="BF1149" s="43" t="n">
        <v>51127</v>
      </c>
    </row>
    <row r="1150">
      <c r="A1150" s="42" t="inlineStr">
        <is>
          <t>TX</t>
        </is>
      </c>
      <c r="B1150" s="42" t="inlineStr">
        <is>
          <t>48279</t>
        </is>
      </c>
      <c r="C1150" s="42" t="inlineStr">
        <is>
          <t>Lamb</t>
        </is>
      </c>
      <c r="D1150" s="42" t="inlineStr">
        <is>
          <t>Hispanic</t>
        </is>
      </c>
      <c r="E1150" s="42" t="inlineStr"/>
      <c r="F1150" s="43" t="n">
        <v>729</v>
      </c>
      <c r="G1150" s="43" t="n">
        <v>3398</v>
      </c>
      <c r="H1150" s="43" t="n">
        <v>4151</v>
      </c>
      <c r="I1150" s="43" t="n">
        <v>840</v>
      </c>
      <c r="J1150" s="43" t="n">
        <v>3521</v>
      </c>
      <c r="K1150" s="42" t="inlineStr">
        <is>
          <t>Governor</t>
        </is>
      </c>
      <c r="L1150" s="43" t="n">
        <v>419</v>
      </c>
      <c r="M1150" s="43" t="n">
        <v>2628</v>
      </c>
      <c r="N1150" s="43" t="n">
        <v>3081</v>
      </c>
      <c r="O1150" s="44">
        <f>IFERROR((F1150-G1150)/(F1150+G1150),"")</f>
        <v/>
      </c>
      <c r="P1150" s="44">
        <f>IFERROR((I1150-J1150)/(I1150+J1150),"")</f>
        <v/>
      </c>
      <c r="Q1150" s="45">
        <f>IFERROR(O1150-P1150,"")</f>
        <v/>
      </c>
      <c r="R1150" s="44">
        <f>IFERROR((L1150-M1150)/(L1150+M1150),"")</f>
        <v/>
      </c>
      <c r="S1150" s="46">
        <f>H1150/SUMIFS(Counties!$H$2:$H$1583,Counties!$A$2:$A$1583,$A1150)</f>
        <v/>
      </c>
      <c r="T1150" s="44">
        <f>O1150+INDEX(Dashboard!$F$6:$F$22,MATCH($A1150,Dashboard!$A$6:$A$22,0))</f>
        <v/>
      </c>
      <c r="U1150" s="43">
        <f>AQ1150*INDEX(Dashboard!$G$6:$G$22,MATCH($A1150,Dashboard!$A$6:$A$22,0))</f>
        <v/>
      </c>
      <c r="V1150" s="47" t="n"/>
      <c r="W1150" s="47" t="n"/>
      <c r="X1150" s="47" t="n"/>
      <c r="Y1150" s="48" t="n"/>
      <c r="Z1150" s="49" t="n"/>
      <c r="AA1150" s="49" t="n"/>
      <c r="AB1150" s="49" t="n"/>
      <c r="AC1150" s="50" t="n"/>
      <c r="AD1150" s="43">
        <f>IF(Z1150&lt;&gt;"",Z1150,N(V1150))</f>
        <v/>
      </c>
      <c r="AE1150" s="43">
        <f>IF(AA1150&lt;&gt;"",AA1150,N(W1150))</f>
        <v/>
      </c>
      <c r="AF1150" s="43">
        <f>AD1150+AE1150</f>
        <v/>
      </c>
      <c r="AG1150" s="42">
        <f>IF(UPPER(AC1150)="Y",1,IF(AF1150=0,0,IF(AND(Z1150="",Y1150&lt;&gt;""),IF(Y1150&gt;=0.999,1,0),IF(AF1150&gt;=U1150,1,0))))</f>
        <v/>
      </c>
      <c r="AH1150" s="44">
        <f>IF(AF1150&gt;0,(AD1150-AE1150)/AF1150,"")</f>
        <v/>
      </c>
      <c r="AI1150" s="45">
        <f>IF(AG1150=1,AH1150-O1150,"")</f>
        <v/>
      </c>
      <c r="AJ1150" s="44">
        <f>IF(AG1150=1,AH1150,MAX(-1,MIN(1,O1150+INDEX(Types!$H:$H,MATCH($A1150&amp;"|"&amp;$D1150,Types!$A:$A,0)))))</f>
        <v/>
      </c>
      <c r="AK1150" s="43">
        <f>IF(AG1150=1,AF1150,MAX(AQ1150*AS1150,AF1150))</f>
        <v/>
      </c>
      <c r="AL1150" s="43">
        <f>IF(AG1150=1,AD1150,AK1150*(1+AJ1150)/2)</f>
        <v/>
      </c>
      <c r="AM1150" s="43">
        <f>IF(AG1150=1,AE1150,AK1150*(1-AJ1150)/2)</f>
        <v/>
      </c>
      <c r="AN1150" s="45">
        <f>IF(AH1150="","",AH1150-T1150)</f>
        <v/>
      </c>
      <c r="AO1150" s="51">
        <f>IF(AG1150=1,1,IF(U1150&gt;0,MIN(AF1150/U1150,0.99),0))</f>
        <v/>
      </c>
      <c r="AP1150" s="43">
        <f>IF(AG1150=1,AI1150*AF1150,0)</f>
        <v/>
      </c>
      <c r="AQ1150" s="43">
        <f>N1150*(F1150+G1150)/H1150</f>
        <v/>
      </c>
      <c r="AR1150" s="43">
        <f>O1150*AQ1150</f>
        <v/>
      </c>
      <c r="AS1150" s="52">
        <f>IF(AG1150=1,IF(AQ1150&gt;0,AF1150/AQ1150,1),IFERROR(INDEX(Types!$K:$K,MATCH($A1150&amp;"|"&amp;$D1150,Types!$A:$A,0)),INDEX(Dashboard!$X$6:$X$22,MATCH($A1150,Dashboard!$A$6:$A$22,0))))</f>
        <v/>
      </c>
      <c r="AT1150" s="43">
        <f>AQ1150*INDEX(Dashboard!$Y$6:$Y$22,MATCH($A1150,Dashboard!$A$6:$A$22,0))</f>
        <v/>
      </c>
      <c r="AU1150" s="53">
        <f>IF(AND(AG1150=1,AT1150&gt;0,AF1150&gt;0),100*AF1150/AT1150,"")</f>
        <v/>
      </c>
      <c r="AV1150" s="44">
        <f>IF(AU1150="","",T1150/(AU1150/100))</f>
        <v/>
      </c>
      <c r="AW1150" s="53">
        <f>IF(AU1150="","",IF(AND(ABS(AH1150)&gt;=0.1,ABS(T1150)&gt;=0.05,SIGN(AH1150)=SIGN(T1150)),100*T1150/AH1150,""))</f>
        <v/>
      </c>
      <c r="AX1150" s="45">
        <f>IF(AU1150="","",T1150-AV1150)</f>
        <v/>
      </c>
      <c r="AY1150" s="45">
        <f>IF(AU1150="","",AH1150-AV1150)</f>
        <v/>
      </c>
      <c r="AZ1150" s="54">
        <f>(AL1150-AM1150)-T1150*AT1150</f>
        <v/>
      </c>
      <c r="BA1150" s="43">
        <f>IF(AU1150="",0,(AH1150-T1150)*AF1150)</f>
        <v/>
      </c>
      <c r="BB1150" s="43">
        <f>IF(AU1150="",0,T1150*(AF1150-AT1150))</f>
        <v/>
      </c>
      <c r="BC1150" s="51" t="n">
        <v>0.0362677995437023</v>
      </c>
      <c r="BD1150" s="51" t="n">
        <v>0.5839823774683345</v>
      </c>
      <c r="BE1150" s="51" t="n">
        <v>0.1425040168087999</v>
      </c>
      <c r="BF1150" s="43" t="n">
        <v>12711</v>
      </c>
    </row>
    <row r="1151">
      <c r="A1151" s="42" t="inlineStr">
        <is>
          <t>TX</t>
        </is>
      </c>
      <c r="B1151" s="42" t="inlineStr">
        <is>
          <t>48281</t>
        </is>
      </c>
      <c r="C1151" s="42" t="inlineStr">
        <is>
          <t>Lampasas</t>
        </is>
      </c>
      <c r="D1151" s="42" t="inlineStr">
        <is>
          <t>Small town &amp; rural</t>
        </is>
      </c>
      <c r="E1151" s="42" t="inlineStr"/>
      <c r="F1151" s="43" t="n">
        <v>2232</v>
      </c>
      <c r="G1151" s="43" t="n">
        <v>8961</v>
      </c>
      <c r="H1151" s="43" t="n">
        <v>11296</v>
      </c>
      <c r="I1151" s="43" t="n">
        <v>2144</v>
      </c>
      <c r="J1151" s="43" t="n">
        <v>8086</v>
      </c>
      <c r="K1151" s="42" t="inlineStr">
        <is>
          <t>Governor</t>
        </is>
      </c>
      <c r="L1151" s="43" t="n">
        <v>1502</v>
      </c>
      <c r="M1151" s="43" t="n">
        <v>6625</v>
      </c>
      <c r="N1151" s="43" t="n">
        <v>8257</v>
      </c>
      <c r="O1151" s="44">
        <f>IFERROR((F1151-G1151)/(F1151+G1151),"")</f>
        <v/>
      </c>
      <c r="P1151" s="44">
        <f>IFERROR((I1151-J1151)/(I1151+J1151),"")</f>
        <v/>
      </c>
      <c r="Q1151" s="45">
        <f>IFERROR(O1151-P1151,"")</f>
        <v/>
      </c>
      <c r="R1151" s="44">
        <f>IFERROR((L1151-M1151)/(L1151+M1151),"")</f>
        <v/>
      </c>
      <c r="S1151" s="46">
        <f>H1151/SUMIFS(Counties!$H$2:$H$1583,Counties!$A$2:$A$1583,$A1151)</f>
        <v/>
      </c>
      <c r="T1151" s="44">
        <f>O1151+INDEX(Dashboard!$F$6:$F$22,MATCH($A1151,Dashboard!$A$6:$A$22,0))</f>
        <v/>
      </c>
      <c r="U1151" s="43">
        <f>AQ1151*INDEX(Dashboard!$G$6:$G$22,MATCH($A1151,Dashboard!$A$6:$A$22,0))</f>
        <v/>
      </c>
      <c r="V1151" s="47" t="n"/>
      <c r="W1151" s="47" t="n"/>
      <c r="X1151" s="47" t="n"/>
      <c r="Y1151" s="48" t="n"/>
      <c r="Z1151" s="49" t="n"/>
      <c r="AA1151" s="49" t="n"/>
      <c r="AB1151" s="49" t="n"/>
      <c r="AC1151" s="50" t="n"/>
      <c r="AD1151" s="43">
        <f>IF(Z1151&lt;&gt;"",Z1151,N(V1151))</f>
        <v/>
      </c>
      <c r="AE1151" s="43">
        <f>IF(AA1151&lt;&gt;"",AA1151,N(W1151))</f>
        <v/>
      </c>
      <c r="AF1151" s="43">
        <f>AD1151+AE1151</f>
        <v/>
      </c>
      <c r="AG1151" s="42">
        <f>IF(UPPER(AC1151)="Y",1,IF(AF1151=0,0,IF(AND(Z1151="",Y1151&lt;&gt;""),IF(Y1151&gt;=0.999,1,0),IF(AF1151&gt;=U1151,1,0))))</f>
        <v/>
      </c>
      <c r="AH1151" s="44">
        <f>IF(AF1151&gt;0,(AD1151-AE1151)/AF1151,"")</f>
        <v/>
      </c>
      <c r="AI1151" s="45">
        <f>IF(AG1151=1,AH1151-O1151,"")</f>
        <v/>
      </c>
      <c r="AJ1151" s="44">
        <f>IF(AG1151=1,AH1151,MAX(-1,MIN(1,O1151+INDEX(Types!$H:$H,MATCH($A1151&amp;"|"&amp;$D1151,Types!$A:$A,0)))))</f>
        <v/>
      </c>
      <c r="AK1151" s="43">
        <f>IF(AG1151=1,AF1151,MAX(AQ1151*AS1151,AF1151))</f>
        <v/>
      </c>
      <c r="AL1151" s="43">
        <f>IF(AG1151=1,AD1151,AK1151*(1+AJ1151)/2)</f>
        <v/>
      </c>
      <c r="AM1151" s="43">
        <f>IF(AG1151=1,AE1151,AK1151*(1-AJ1151)/2)</f>
        <v/>
      </c>
      <c r="AN1151" s="45">
        <f>IF(AH1151="","",AH1151-T1151)</f>
        <v/>
      </c>
      <c r="AO1151" s="51">
        <f>IF(AG1151=1,1,IF(U1151&gt;0,MIN(AF1151/U1151,0.99),0))</f>
        <v/>
      </c>
      <c r="AP1151" s="43">
        <f>IF(AG1151=1,AI1151*AF1151,0)</f>
        <v/>
      </c>
      <c r="AQ1151" s="43">
        <f>N1151*(F1151+G1151)/H1151</f>
        <v/>
      </c>
      <c r="AR1151" s="43">
        <f>O1151*AQ1151</f>
        <v/>
      </c>
      <c r="AS1151" s="52">
        <f>IF(AG1151=1,IF(AQ1151&gt;0,AF1151/AQ1151,1),IFERROR(INDEX(Types!$K:$K,MATCH($A1151&amp;"|"&amp;$D1151,Types!$A:$A,0)),INDEX(Dashboard!$X$6:$X$22,MATCH($A1151,Dashboard!$A$6:$A$22,0))))</f>
        <v/>
      </c>
      <c r="AT1151" s="43">
        <f>AQ1151*INDEX(Dashboard!$Y$6:$Y$22,MATCH($A1151,Dashboard!$A$6:$A$22,0))</f>
        <v/>
      </c>
      <c r="AU1151" s="53">
        <f>IF(AND(AG1151=1,AT1151&gt;0,AF1151&gt;0),100*AF1151/AT1151,"")</f>
        <v/>
      </c>
      <c r="AV1151" s="44">
        <f>IF(AU1151="","",T1151/(AU1151/100))</f>
        <v/>
      </c>
      <c r="AW1151" s="53">
        <f>IF(AU1151="","",IF(AND(ABS(AH1151)&gt;=0.1,ABS(T1151)&gt;=0.05,SIGN(AH1151)=SIGN(T1151)),100*T1151/AH1151,""))</f>
        <v/>
      </c>
      <c r="AX1151" s="45">
        <f>IF(AU1151="","",T1151-AV1151)</f>
        <v/>
      </c>
      <c r="AY1151" s="45">
        <f>IF(AU1151="","",AH1151-AV1151)</f>
        <v/>
      </c>
      <c r="AZ1151" s="54">
        <f>(AL1151-AM1151)-T1151*AT1151</f>
        <v/>
      </c>
      <c r="BA1151" s="43">
        <f>IF(AU1151="",0,(AH1151-T1151)*AF1151)</f>
        <v/>
      </c>
      <c r="BB1151" s="43">
        <f>IF(AU1151="",0,T1151*(AF1151-AT1151))</f>
        <v/>
      </c>
      <c r="BC1151" s="51" t="n">
        <v>0.04010833118390508</v>
      </c>
      <c r="BD1151" s="51" t="n">
        <v>0.2100421287937409</v>
      </c>
      <c r="BE1151" s="51" t="n">
        <v>0.2163988778372864</v>
      </c>
      <c r="BF1151" s="43" t="n">
        <v>23262</v>
      </c>
    </row>
    <row r="1152">
      <c r="A1152" s="42" t="inlineStr">
        <is>
          <t>TX</t>
        </is>
      </c>
      <c r="B1152" s="42" t="inlineStr">
        <is>
          <t>48285</t>
        </is>
      </c>
      <c r="C1152" s="42" t="inlineStr">
        <is>
          <t>Lavaca</t>
        </is>
      </c>
      <c r="D1152" s="42" t="inlineStr">
        <is>
          <t>Small town &amp; rural</t>
        </is>
      </c>
      <c r="E1152" s="42" t="inlineStr"/>
      <c r="F1152" s="43" t="n">
        <v>1235</v>
      </c>
      <c r="G1152" s="43" t="n">
        <v>9215</v>
      </c>
      <c r="H1152" s="43" t="n">
        <v>10486</v>
      </c>
      <c r="I1152" s="43" t="n">
        <v>1333</v>
      </c>
      <c r="J1152" s="43" t="n">
        <v>8804</v>
      </c>
      <c r="K1152" s="42" t="inlineStr">
        <is>
          <t>Governor</t>
        </is>
      </c>
      <c r="L1152" s="43" t="n">
        <v>759</v>
      </c>
      <c r="M1152" s="43" t="n">
        <v>7380</v>
      </c>
      <c r="N1152" s="43" t="n">
        <v>8214</v>
      </c>
      <c r="O1152" s="44">
        <f>IFERROR((F1152-G1152)/(F1152+G1152),"")</f>
        <v/>
      </c>
      <c r="P1152" s="44">
        <f>IFERROR((I1152-J1152)/(I1152+J1152),"")</f>
        <v/>
      </c>
      <c r="Q1152" s="45">
        <f>IFERROR(O1152-P1152,"")</f>
        <v/>
      </c>
      <c r="R1152" s="44">
        <f>IFERROR((L1152-M1152)/(L1152+M1152),"")</f>
        <v/>
      </c>
      <c r="S1152" s="46">
        <f>H1152/SUMIFS(Counties!$H$2:$H$1583,Counties!$A$2:$A$1583,$A1152)</f>
        <v/>
      </c>
      <c r="T1152" s="44">
        <f>O1152+INDEX(Dashboard!$F$6:$F$22,MATCH($A1152,Dashboard!$A$6:$A$22,0))</f>
        <v/>
      </c>
      <c r="U1152" s="43">
        <f>AQ1152*INDEX(Dashboard!$G$6:$G$22,MATCH($A1152,Dashboard!$A$6:$A$22,0))</f>
        <v/>
      </c>
      <c r="V1152" s="47" t="n"/>
      <c r="W1152" s="47" t="n"/>
      <c r="X1152" s="47" t="n"/>
      <c r="Y1152" s="48" t="n"/>
      <c r="Z1152" s="49" t="n"/>
      <c r="AA1152" s="49" t="n"/>
      <c r="AB1152" s="49" t="n"/>
      <c r="AC1152" s="50" t="n"/>
      <c r="AD1152" s="43">
        <f>IF(Z1152&lt;&gt;"",Z1152,N(V1152))</f>
        <v/>
      </c>
      <c r="AE1152" s="43">
        <f>IF(AA1152&lt;&gt;"",AA1152,N(W1152))</f>
        <v/>
      </c>
      <c r="AF1152" s="43">
        <f>AD1152+AE1152</f>
        <v/>
      </c>
      <c r="AG1152" s="42">
        <f>IF(UPPER(AC1152)="Y",1,IF(AF1152=0,0,IF(AND(Z1152="",Y1152&lt;&gt;""),IF(Y1152&gt;=0.999,1,0),IF(AF1152&gt;=U1152,1,0))))</f>
        <v/>
      </c>
      <c r="AH1152" s="44">
        <f>IF(AF1152&gt;0,(AD1152-AE1152)/AF1152,"")</f>
        <v/>
      </c>
      <c r="AI1152" s="45">
        <f>IF(AG1152=1,AH1152-O1152,"")</f>
        <v/>
      </c>
      <c r="AJ1152" s="44">
        <f>IF(AG1152=1,AH1152,MAX(-1,MIN(1,O1152+INDEX(Types!$H:$H,MATCH($A1152&amp;"|"&amp;$D1152,Types!$A:$A,0)))))</f>
        <v/>
      </c>
      <c r="AK1152" s="43">
        <f>IF(AG1152=1,AF1152,MAX(AQ1152*AS1152,AF1152))</f>
        <v/>
      </c>
      <c r="AL1152" s="43">
        <f>IF(AG1152=1,AD1152,AK1152*(1+AJ1152)/2)</f>
        <v/>
      </c>
      <c r="AM1152" s="43">
        <f>IF(AG1152=1,AE1152,AK1152*(1-AJ1152)/2)</f>
        <v/>
      </c>
      <c r="AN1152" s="45">
        <f>IF(AH1152="","",AH1152-T1152)</f>
        <v/>
      </c>
      <c r="AO1152" s="51">
        <f>IF(AG1152=1,1,IF(U1152&gt;0,MIN(AF1152/U1152,0.99),0))</f>
        <v/>
      </c>
      <c r="AP1152" s="43">
        <f>IF(AG1152=1,AI1152*AF1152,0)</f>
        <v/>
      </c>
      <c r="AQ1152" s="43">
        <f>N1152*(F1152+G1152)/H1152</f>
        <v/>
      </c>
      <c r="AR1152" s="43">
        <f>O1152*AQ1152</f>
        <v/>
      </c>
      <c r="AS1152" s="52">
        <f>IF(AG1152=1,IF(AQ1152&gt;0,AF1152/AQ1152,1),IFERROR(INDEX(Types!$K:$K,MATCH($A1152&amp;"|"&amp;$D1152,Types!$A:$A,0)),INDEX(Dashboard!$X$6:$X$22,MATCH($A1152,Dashboard!$A$6:$A$22,0))))</f>
        <v/>
      </c>
      <c r="AT1152" s="43">
        <f>AQ1152*INDEX(Dashboard!$Y$6:$Y$22,MATCH($A1152,Dashboard!$A$6:$A$22,0))</f>
        <v/>
      </c>
      <c r="AU1152" s="53">
        <f>IF(AND(AG1152=1,AT1152&gt;0,AF1152&gt;0),100*AF1152/AT1152,"")</f>
        <v/>
      </c>
      <c r="AV1152" s="44">
        <f>IF(AU1152="","",T1152/(AU1152/100))</f>
        <v/>
      </c>
      <c r="AW1152" s="53">
        <f>IF(AU1152="","",IF(AND(ABS(AH1152)&gt;=0.1,ABS(T1152)&gt;=0.05,SIGN(AH1152)=SIGN(T1152)),100*T1152/AH1152,""))</f>
        <v/>
      </c>
      <c r="AX1152" s="45">
        <f>IF(AU1152="","",T1152-AV1152)</f>
        <v/>
      </c>
      <c r="AY1152" s="45">
        <f>IF(AU1152="","",AH1152-AV1152)</f>
        <v/>
      </c>
      <c r="AZ1152" s="54">
        <f>(AL1152-AM1152)-T1152*AT1152</f>
        <v/>
      </c>
      <c r="BA1152" s="43">
        <f>IF(AU1152="",0,(AH1152-T1152)*AF1152)</f>
        <v/>
      </c>
      <c r="BB1152" s="43">
        <f>IF(AU1152="",0,T1152*(AF1152-AT1152))</f>
        <v/>
      </c>
      <c r="BC1152" s="51" t="n">
        <v>0.05604977881483642</v>
      </c>
      <c r="BD1152" s="51" t="n">
        <v>0.2011083564240922</v>
      </c>
      <c r="BE1152" s="51" t="n">
        <v>0.2090181205225453</v>
      </c>
      <c r="BF1152" s="43" t="n">
        <v>20571</v>
      </c>
    </row>
    <row r="1153">
      <c r="A1153" s="42" t="inlineStr">
        <is>
          <t>TX</t>
        </is>
      </c>
      <c r="B1153" s="42" t="inlineStr">
        <is>
          <t>48287</t>
        </is>
      </c>
      <c r="C1153" s="42" t="inlineStr">
        <is>
          <t>Lee</t>
        </is>
      </c>
      <c r="D1153" s="42" t="inlineStr">
        <is>
          <t>Small town &amp; rural</t>
        </is>
      </c>
      <c r="E1153" s="42" t="inlineStr"/>
      <c r="F1153" s="43" t="n">
        <v>1640</v>
      </c>
      <c r="G1153" s="43" t="n">
        <v>6724</v>
      </c>
      <c r="H1153" s="43" t="n">
        <v>8413</v>
      </c>
      <c r="I1153" s="43" t="n">
        <v>1750</v>
      </c>
      <c r="J1153" s="43" t="n">
        <v>6255</v>
      </c>
      <c r="K1153" s="42" t="inlineStr">
        <is>
          <t>Governor</t>
        </is>
      </c>
      <c r="L1153" s="43" t="n">
        <v>1095</v>
      </c>
      <c r="M1153" s="43" t="n">
        <v>5108</v>
      </c>
      <c r="N1153" s="43" t="n">
        <v>6284</v>
      </c>
      <c r="O1153" s="44">
        <f>IFERROR((F1153-G1153)/(F1153+G1153),"")</f>
        <v/>
      </c>
      <c r="P1153" s="44">
        <f>IFERROR((I1153-J1153)/(I1153+J1153),"")</f>
        <v/>
      </c>
      <c r="Q1153" s="45">
        <f>IFERROR(O1153-P1153,"")</f>
        <v/>
      </c>
      <c r="R1153" s="44">
        <f>IFERROR((L1153-M1153)/(L1153+M1153),"")</f>
        <v/>
      </c>
      <c r="S1153" s="46">
        <f>H1153/SUMIFS(Counties!$H$2:$H$1583,Counties!$A$2:$A$1583,$A1153)</f>
        <v/>
      </c>
      <c r="T1153" s="44">
        <f>O1153+INDEX(Dashboard!$F$6:$F$22,MATCH($A1153,Dashboard!$A$6:$A$22,0))</f>
        <v/>
      </c>
      <c r="U1153" s="43">
        <f>AQ1153*INDEX(Dashboard!$G$6:$G$22,MATCH($A1153,Dashboard!$A$6:$A$22,0))</f>
        <v/>
      </c>
      <c r="V1153" s="47" t="n"/>
      <c r="W1153" s="47" t="n"/>
      <c r="X1153" s="47" t="n"/>
      <c r="Y1153" s="48" t="n"/>
      <c r="Z1153" s="49" t="n"/>
      <c r="AA1153" s="49" t="n"/>
      <c r="AB1153" s="49" t="n"/>
      <c r="AC1153" s="50" t="n"/>
      <c r="AD1153" s="43">
        <f>IF(Z1153&lt;&gt;"",Z1153,N(V1153))</f>
        <v/>
      </c>
      <c r="AE1153" s="43">
        <f>IF(AA1153&lt;&gt;"",AA1153,N(W1153))</f>
        <v/>
      </c>
      <c r="AF1153" s="43">
        <f>AD1153+AE1153</f>
        <v/>
      </c>
      <c r="AG1153" s="42">
        <f>IF(UPPER(AC1153)="Y",1,IF(AF1153=0,0,IF(AND(Z1153="",Y1153&lt;&gt;""),IF(Y1153&gt;=0.999,1,0),IF(AF1153&gt;=U1153,1,0))))</f>
        <v/>
      </c>
      <c r="AH1153" s="44">
        <f>IF(AF1153&gt;0,(AD1153-AE1153)/AF1153,"")</f>
        <v/>
      </c>
      <c r="AI1153" s="45">
        <f>IF(AG1153=1,AH1153-O1153,"")</f>
        <v/>
      </c>
      <c r="AJ1153" s="44">
        <f>IF(AG1153=1,AH1153,MAX(-1,MIN(1,O1153+INDEX(Types!$H:$H,MATCH($A1153&amp;"|"&amp;$D1153,Types!$A:$A,0)))))</f>
        <v/>
      </c>
      <c r="AK1153" s="43">
        <f>IF(AG1153=1,AF1153,MAX(AQ1153*AS1153,AF1153))</f>
        <v/>
      </c>
      <c r="AL1153" s="43">
        <f>IF(AG1153=1,AD1153,AK1153*(1+AJ1153)/2)</f>
        <v/>
      </c>
      <c r="AM1153" s="43">
        <f>IF(AG1153=1,AE1153,AK1153*(1-AJ1153)/2)</f>
        <v/>
      </c>
      <c r="AN1153" s="45">
        <f>IF(AH1153="","",AH1153-T1153)</f>
        <v/>
      </c>
      <c r="AO1153" s="51">
        <f>IF(AG1153=1,1,IF(U1153&gt;0,MIN(AF1153/U1153,0.99),0))</f>
        <v/>
      </c>
      <c r="AP1153" s="43">
        <f>IF(AG1153=1,AI1153*AF1153,0)</f>
        <v/>
      </c>
      <c r="AQ1153" s="43">
        <f>N1153*(F1153+G1153)/H1153</f>
        <v/>
      </c>
      <c r="AR1153" s="43">
        <f>O1153*AQ1153</f>
        <v/>
      </c>
      <c r="AS1153" s="52">
        <f>IF(AG1153=1,IF(AQ1153&gt;0,AF1153/AQ1153,1),IFERROR(INDEX(Types!$K:$K,MATCH($A1153&amp;"|"&amp;$D1153,Types!$A:$A,0)),INDEX(Dashboard!$X$6:$X$22,MATCH($A1153,Dashboard!$A$6:$A$22,0))))</f>
        <v/>
      </c>
      <c r="AT1153" s="43">
        <f>AQ1153*INDEX(Dashboard!$Y$6:$Y$22,MATCH($A1153,Dashboard!$A$6:$A$22,0))</f>
        <v/>
      </c>
      <c r="AU1153" s="53">
        <f>IF(AND(AG1153=1,AT1153&gt;0,AF1153&gt;0),100*AF1153/AT1153,"")</f>
        <v/>
      </c>
      <c r="AV1153" s="44">
        <f>IF(AU1153="","",T1153/(AU1153/100))</f>
        <v/>
      </c>
      <c r="AW1153" s="53">
        <f>IF(AU1153="","",IF(AND(ABS(AH1153)&gt;=0.1,ABS(T1153)&gt;=0.05,SIGN(AH1153)=SIGN(T1153)),100*T1153/AH1153,""))</f>
        <v/>
      </c>
      <c r="AX1153" s="45">
        <f>IF(AU1153="","",T1153-AV1153)</f>
        <v/>
      </c>
      <c r="AY1153" s="45">
        <f>IF(AU1153="","",AH1153-AV1153)</f>
        <v/>
      </c>
      <c r="AZ1153" s="54">
        <f>(AL1153-AM1153)-T1153*AT1153</f>
        <v/>
      </c>
      <c r="BA1153" s="43">
        <f>IF(AU1153="",0,(AH1153-T1153)*AF1153)</f>
        <v/>
      </c>
      <c r="BB1153" s="43">
        <f>IF(AU1153="",0,T1153*(AF1153-AT1153))</f>
        <v/>
      </c>
      <c r="BC1153" s="51" t="n">
        <v>0.08974780701754385</v>
      </c>
      <c r="BD1153" s="51" t="n">
        <v>0.2695175438596491</v>
      </c>
      <c r="BE1153" s="51" t="n">
        <v>0.1870041256743891</v>
      </c>
      <c r="BF1153" s="43" t="n">
        <v>18240</v>
      </c>
    </row>
    <row r="1154">
      <c r="A1154" s="42" t="inlineStr">
        <is>
          <t>TX</t>
        </is>
      </c>
      <c r="B1154" s="42" t="inlineStr">
        <is>
          <t>48289</t>
        </is>
      </c>
      <c r="C1154" s="42" t="inlineStr">
        <is>
          <t>Leon</t>
        </is>
      </c>
      <c r="D1154" s="42" t="inlineStr">
        <is>
          <t>Small town &amp; rural</t>
        </is>
      </c>
      <c r="E1154" s="42" t="inlineStr"/>
      <c r="F1154" s="43" t="n">
        <v>1033</v>
      </c>
      <c r="G1154" s="43" t="n">
        <v>7982</v>
      </c>
      <c r="H1154" s="43" t="n">
        <v>9060</v>
      </c>
      <c r="I1154" s="43" t="n">
        <v>1072</v>
      </c>
      <c r="J1154" s="43" t="n">
        <v>7523</v>
      </c>
      <c r="K1154" s="42" t="inlineStr">
        <is>
          <t>Governor</t>
        </is>
      </c>
      <c r="L1154" s="43" t="n">
        <v>698</v>
      </c>
      <c r="M1154" s="43" t="n">
        <v>6082</v>
      </c>
      <c r="N1154" s="43" t="n">
        <v>6855</v>
      </c>
      <c r="O1154" s="44">
        <f>IFERROR((F1154-G1154)/(F1154+G1154),"")</f>
        <v/>
      </c>
      <c r="P1154" s="44">
        <f>IFERROR((I1154-J1154)/(I1154+J1154),"")</f>
        <v/>
      </c>
      <c r="Q1154" s="45">
        <f>IFERROR(O1154-P1154,"")</f>
        <v/>
      </c>
      <c r="R1154" s="44">
        <f>IFERROR((L1154-M1154)/(L1154+M1154),"")</f>
        <v/>
      </c>
      <c r="S1154" s="46">
        <f>H1154/SUMIFS(Counties!$H$2:$H$1583,Counties!$A$2:$A$1583,$A1154)</f>
        <v/>
      </c>
      <c r="T1154" s="44">
        <f>O1154+INDEX(Dashboard!$F$6:$F$22,MATCH($A1154,Dashboard!$A$6:$A$22,0))</f>
        <v/>
      </c>
      <c r="U1154" s="43">
        <f>AQ1154*INDEX(Dashboard!$G$6:$G$22,MATCH($A1154,Dashboard!$A$6:$A$22,0))</f>
        <v/>
      </c>
      <c r="V1154" s="47" t="n"/>
      <c r="W1154" s="47" t="n"/>
      <c r="X1154" s="47" t="n"/>
      <c r="Y1154" s="48" t="n"/>
      <c r="Z1154" s="49" t="n"/>
      <c r="AA1154" s="49" t="n"/>
      <c r="AB1154" s="49" t="n"/>
      <c r="AC1154" s="50" t="n"/>
      <c r="AD1154" s="43">
        <f>IF(Z1154&lt;&gt;"",Z1154,N(V1154))</f>
        <v/>
      </c>
      <c r="AE1154" s="43">
        <f>IF(AA1154&lt;&gt;"",AA1154,N(W1154))</f>
        <v/>
      </c>
      <c r="AF1154" s="43">
        <f>AD1154+AE1154</f>
        <v/>
      </c>
      <c r="AG1154" s="42">
        <f>IF(UPPER(AC1154)="Y",1,IF(AF1154=0,0,IF(AND(Z1154="",Y1154&lt;&gt;""),IF(Y1154&gt;=0.999,1,0),IF(AF1154&gt;=U1154,1,0))))</f>
        <v/>
      </c>
      <c r="AH1154" s="44">
        <f>IF(AF1154&gt;0,(AD1154-AE1154)/AF1154,"")</f>
        <v/>
      </c>
      <c r="AI1154" s="45">
        <f>IF(AG1154=1,AH1154-O1154,"")</f>
        <v/>
      </c>
      <c r="AJ1154" s="44">
        <f>IF(AG1154=1,AH1154,MAX(-1,MIN(1,O1154+INDEX(Types!$H:$H,MATCH($A1154&amp;"|"&amp;$D1154,Types!$A:$A,0)))))</f>
        <v/>
      </c>
      <c r="AK1154" s="43">
        <f>IF(AG1154=1,AF1154,MAX(AQ1154*AS1154,AF1154))</f>
        <v/>
      </c>
      <c r="AL1154" s="43">
        <f>IF(AG1154=1,AD1154,AK1154*(1+AJ1154)/2)</f>
        <v/>
      </c>
      <c r="AM1154" s="43">
        <f>IF(AG1154=1,AE1154,AK1154*(1-AJ1154)/2)</f>
        <v/>
      </c>
      <c r="AN1154" s="45">
        <f>IF(AH1154="","",AH1154-T1154)</f>
        <v/>
      </c>
      <c r="AO1154" s="51">
        <f>IF(AG1154=1,1,IF(U1154&gt;0,MIN(AF1154/U1154,0.99),0))</f>
        <v/>
      </c>
      <c r="AP1154" s="43">
        <f>IF(AG1154=1,AI1154*AF1154,0)</f>
        <v/>
      </c>
      <c r="AQ1154" s="43">
        <f>N1154*(F1154+G1154)/H1154</f>
        <v/>
      </c>
      <c r="AR1154" s="43">
        <f>O1154*AQ1154</f>
        <v/>
      </c>
      <c r="AS1154" s="52">
        <f>IF(AG1154=1,IF(AQ1154&gt;0,AF1154/AQ1154,1),IFERROR(INDEX(Types!$K:$K,MATCH($A1154&amp;"|"&amp;$D1154,Types!$A:$A,0)),INDEX(Dashboard!$X$6:$X$22,MATCH($A1154,Dashboard!$A$6:$A$22,0))))</f>
        <v/>
      </c>
      <c r="AT1154" s="43">
        <f>AQ1154*INDEX(Dashboard!$Y$6:$Y$22,MATCH($A1154,Dashboard!$A$6:$A$22,0))</f>
        <v/>
      </c>
      <c r="AU1154" s="53">
        <f>IF(AND(AG1154=1,AT1154&gt;0,AF1154&gt;0),100*AF1154/AT1154,"")</f>
        <v/>
      </c>
      <c r="AV1154" s="44">
        <f>IF(AU1154="","",T1154/(AU1154/100))</f>
        <v/>
      </c>
      <c r="AW1154" s="53">
        <f>IF(AU1154="","",IF(AND(ABS(AH1154)&gt;=0.1,ABS(T1154)&gt;=0.05,SIGN(AH1154)=SIGN(T1154)),100*T1154/AH1154,""))</f>
        <v/>
      </c>
      <c r="AX1154" s="45">
        <f>IF(AU1154="","",T1154-AV1154)</f>
        <v/>
      </c>
      <c r="AY1154" s="45">
        <f>IF(AU1154="","",AH1154-AV1154)</f>
        <v/>
      </c>
      <c r="AZ1154" s="54">
        <f>(AL1154-AM1154)-T1154*AT1154</f>
        <v/>
      </c>
      <c r="BA1154" s="43">
        <f>IF(AU1154="",0,(AH1154-T1154)*AF1154)</f>
        <v/>
      </c>
      <c r="BB1154" s="43">
        <f>IF(AU1154="",0,T1154*(AF1154-AT1154))</f>
        <v/>
      </c>
      <c r="BC1154" s="51" t="n">
        <v>0.06052727052847987</v>
      </c>
      <c r="BD1154" s="51" t="n">
        <v>0.1696698512516628</v>
      </c>
      <c r="BE1154" s="51" t="n">
        <v>0.1705364995602463</v>
      </c>
      <c r="BF1154" s="43" t="n">
        <v>16538</v>
      </c>
    </row>
    <row r="1155">
      <c r="A1155" s="42" t="inlineStr">
        <is>
          <t>TX</t>
        </is>
      </c>
      <c r="B1155" s="42" t="inlineStr">
        <is>
          <t>48291</t>
        </is>
      </c>
      <c r="C1155" s="42" t="inlineStr">
        <is>
          <t>Liberty</t>
        </is>
      </c>
      <c r="D1155" s="42" t="inlineStr">
        <is>
          <t>Hispanic</t>
        </is>
      </c>
      <c r="E1155" s="42" t="inlineStr"/>
      <c r="F1155" s="43" t="n">
        <v>5952</v>
      </c>
      <c r="G1155" s="43" t="n">
        <v>25241</v>
      </c>
      <c r="H1155" s="43" t="n">
        <v>31316</v>
      </c>
      <c r="I1155" s="43" t="n">
        <v>5785</v>
      </c>
      <c r="J1155" s="43" t="n">
        <v>23302</v>
      </c>
      <c r="K1155" s="42" t="inlineStr">
        <is>
          <t>Governor</t>
        </is>
      </c>
      <c r="L1155" s="43" t="n">
        <v>3488</v>
      </c>
      <c r="M1155" s="43" t="n">
        <v>16079</v>
      </c>
      <c r="N1155" s="43" t="n">
        <v>19790</v>
      </c>
      <c r="O1155" s="44">
        <f>IFERROR((F1155-G1155)/(F1155+G1155),"")</f>
        <v/>
      </c>
      <c r="P1155" s="44">
        <f>IFERROR((I1155-J1155)/(I1155+J1155),"")</f>
        <v/>
      </c>
      <c r="Q1155" s="45">
        <f>IFERROR(O1155-P1155,"")</f>
        <v/>
      </c>
      <c r="R1155" s="44">
        <f>IFERROR((L1155-M1155)/(L1155+M1155),"")</f>
        <v/>
      </c>
      <c r="S1155" s="46">
        <f>H1155/SUMIFS(Counties!$H$2:$H$1583,Counties!$A$2:$A$1583,$A1155)</f>
        <v/>
      </c>
      <c r="T1155" s="44">
        <f>O1155+INDEX(Dashboard!$F$6:$F$22,MATCH($A1155,Dashboard!$A$6:$A$22,0))</f>
        <v/>
      </c>
      <c r="U1155" s="43">
        <f>AQ1155*INDEX(Dashboard!$G$6:$G$22,MATCH($A1155,Dashboard!$A$6:$A$22,0))</f>
        <v/>
      </c>
      <c r="V1155" s="47" t="n"/>
      <c r="W1155" s="47" t="n"/>
      <c r="X1155" s="47" t="n"/>
      <c r="Y1155" s="48" t="n"/>
      <c r="Z1155" s="49" t="n"/>
      <c r="AA1155" s="49" t="n"/>
      <c r="AB1155" s="49" t="n"/>
      <c r="AC1155" s="50" t="n"/>
      <c r="AD1155" s="43">
        <f>IF(Z1155&lt;&gt;"",Z1155,N(V1155))</f>
        <v/>
      </c>
      <c r="AE1155" s="43">
        <f>IF(AA1155&lt;&gt;"",AA1155,N(W1155))</f>
        <v/>
      </c>
      <c r="AF1155" s="43">
        <f>AD1155+AE1155</f>
        <v/>
      </c>
      <c r="AG1155" s="42">
        <f>IF(UPPER(AC1155)="Y",1,IF(AF1155=0,0,IF(AND(Z1155="",Y1155&lt;&gt;""),IF(Y1155&gt;=0.999,1,0),IF(AF1155&gt;=U1155,1,0))))</f>
        <v/>
      </c>
      <c r="AH1155" s="44">
        <f>IF(AF1155&gt;0,(AD1155-AE1155)/AF1155,"")</f>
        <v/>
      </c>
      <c r="AI1155" s="45">
        <f>IF(AG1155=1,AH1155-O1155,"")</f>
        <v/>
      </c>
      <c r="AJ1155" s="44">
        <f>IF(AG1155=1,AH1155,MAX(-1,MIN(1,O1155+INDEX(Types!$H:$H,MATCH($A1155&amp;"|"&amp;$D1155,Types!$A:$A,0)))))</f>
        <v/>
      </c>
      <c r="AK1155" s="43">
        <f>IF(AG1155=1,AF1155,MAX(AQ1155*AS1155,AF1155))</f>
        <v/>
      </c>
      <c r="AL1155" s="43">
        <f>IF(AG1155=1,AD1155,AK1155*(1+AJ1155)/2)</f>
        <v/>
      </c>
      <c r="AM1155" s="43">
        <f>IF(AG1155=1,AE1155,AK1155*(1-AJ1155)/2)</f>
        <v/>
      </c>
      <c r="AN1155" s="45">
        <f>IF(AH1155="","",AH1155-T1155)</f>
        <v/>
      </c>
      <c r="AO1155" s="51">
        <f>IF(AG1155=1,1,IF(U1155&gt;0,MIN(AF1155/U1155,0.99),0))</f>
        <v/>
      </c>
      <c r="AP1155" s="43">
        <f>IF(AG1155=1,AI1155*AF1155,0)</f>
        <v/>
      </c>
      <c r="AQ1155" s="43">
        <f>N1155*(F1155+G1155)/H1155</f>
        <v/>
      </c>
      <c r="AR1155" s="43">
        <f>O1155*AQ1155</f>
        <v/>
      </c>
      <c r="AS1155" s="52">
        <f>IF(AG1155=1,IF(AQ1155&gt;0,AF1155/AQ1155,1),IFERROR(INDEX(Types!$K:$K,MATCH($A1155&amp;"|"&amp;$D1155,Types!$A:$A,0)),INDEX(Dashboard!$X$6:$X$22,MATCH($A1155,Dashboard!$A$6:$A$22,0))))</f>
        <v/>
      </c>
      <c r="AT1155" s="43">
        <f>AQ1155*INDEX(Dashboard!$Y$6:$Y$22,MATCH($A1155,Dashboard!$A$6:$A$22,0))</f>
        <v/>
      </c>
      <c r="AU1155" s="53">
        <f>IF(AND(AG1155=1,AT1155&gt;0,AF1155&gt;0),100*AF1155/AT1155,"")</f>
        <v/>
      </c>
      <c r="AV1155" s="44">
        <f>IF(AU1155="","",T1155/(AU1155/100))</f>
        <v/>
      </c>
      <c r="AW1155" s="53">
        <f>IF(AU1155="","",IF(AND(ABS(AH1155)&gt;=0.1,ABS(T1155)&gt;=0.05,SIGN(AH1155)=SIGN(T1155)),100*T1155/AH1155,""))</f>
        <v/>
      </c>
      <c r="AX1155" s="45">
        <f>IF(AU1155="","",T1155-AV1155)</f>
        <v/>
      </c>
      <c r="AY1155" s="45">
        <f>IF(AU1155="","",AH1155-AV1155)</f>
        <v/>
      </c>
      <c r="AZ1155" s="54">
        <f>(AL1155-AM1155)-T1155*AT1155</f>
        <v/>
      </c>
      <c r="BA1155" s="43">
        <f>IF(AU1155="",0,(AH1155-T1155)*AF1155)</f>
        <v/>
      </c>
      <c r="BB1155" s="43">
        <f>IF(AU1155="",0,T1155*(AF1155-AT1155))</f>
        <v/>
      </c>
      <c r="BC1155" s="51" t="n">
        <v>0.07951270873355992</v>
      </c>
      <c r="BD1155" s="51" t="n">
        <v>0.4179381557558741</v>
      </c>
      <c r="BE1155" s="51" t="n">
        <v>0.1123758859389714</v>
      </c>
      <c r="BF1155" s="43" t="n">
        <v>108272</v>
      </c>
    </row>
    <row r="1156">
      <c r="A1156" s="42" t="inlineStr">
        <is>
          <t>TX</t>
        </is>
      </c>
      <c r="B1156" s="42" t="inlineStr">
        <is>
          <t>48293</t>
        </is>
      </c>
      <c r="C1156" s="42" t="inlineStr">
        <is>
          <t>Limestone</t>
        </is>
      </c>
      <c r="D1156" s="42" t="inlineStr">
        <is>
          <t>Small town &amp; rural</t>
        </is>
      </c>
      <c r="E1156" s="42" t="inlineStr"/>
      <c r="F1156" s="43" t="n">
        <v>1921</v>
      </c>
      <c r="G1156" s="43" t="n">
        <v>7081</v>
      </c>
      <c r="H1156" s="43" t="n">
        <v>9069</v>
      </c>
      <c r="I1156" s="43" t="n">
        <v>2213</v>
      </c>
      <c r="J1156" s="43" t="n">
        <v>6789</v>
      </c>
      <c r="K1156" s="42" t="inlineStr">
        <is>
          <t>Governor</t>
        </is>
      </c>
      <c r="L1156" s="43" t="n">
        <v>1366</v>
      </c>
      <c r="M1156" s="43" t="n">
        <v>5390</v>
      </c>
      <c r="N1156" s="43" t="n">
        <v>6854</v>
      </c>
      <c r="O1156" s="44">
        <f>IFERROR((F1156-G1156)/(F1156+G1156),"")</f>
        <v/>
      </c>
      <c r="P1156" s="44">
        <f>IFERROR((I1156-J1156)/(I1156+J1156),"")</f>
        <v/>
      </c>
      <c r="Q1156" s="45">
        <f>IFERROR(O1156-P1156,"")</f>
        <v/>
      </c>
      <c r="R1156" s="44">
        <f>IFERROR((L1156-M1156)/(L1156+M1156),"")</f>
        <v/>
      </c>
      <c r="S1156" s="46">
        <f>H1156/SUMIFS(Counties!$H$2:$H$1583,Counties!$A$2:$A$1583,$A1156)</f>
        <v/>
      </c>
      <c r="T1156" s="44">
        <f>O1156+INDEX(Dashboard!$F$6:$F$22,MATCH($A1156,Dashboard!$A$6:$A$22,0))</f>
        <v/>
      </c>
      <c r="U1156" s="43">
        <f>AQ1156*INDEX(Dashboard!$G$6:$G$22,MATCH($A1156,Dashboard!$A$6:$A$22,0))</f>
        <v/>
      </c>
      <c r="V1156" s="47" t="n"/>
      <c r="W1156" s="47" t="n"/>
      <c r="X1156" s="47" t="n"/>
      <c r="Y1156" s="48" t="n"/>
      <c r="Z1156" s="49" t="n"/>
      <c r="AA1156" s="49" t="n"/>
      <c r="AB1156" s="49" t="n"/>
      <c r="AC1156" s="50" t="n"/>
      <c r="AD1156" s="43">
        <f>IF(Z1156&lt;&gt;"",Z1156,N(V1156))</f>
        <v/>
      </c>
      <c r="AE1156" s="43">
        <f>IF(AA1156&lt;&gt;"",AA1156,N(W1156))</f>
        <v/>
      </c>
      <c r="AF1156" s="43">
        <f>AD1156+AE1156</f>
        <v/>
      </c>
      <c r="AG1156" s="42">
        <f>IF(UPPER(AC1156)="Y",1,IF(AF1156=0,0,IF(AND(Z1156="",Y1156&lt;&gt;""),IF(Y1156&gt;=0.999,1,0),IF(AF1156&gt;=U1156,1,0))))</f>
        <v/>
      </c>
      <c r="AH1156" s="44">
        <f>IF(AF1156&gt;0,(AD1156-AE1156)/AF1156,"")</f>
        <v/>
      </c>
      <c r="AI1156" s="45">
        <f>IF(AG1156=1,AH1156-O1156,"")</f>
        <v/>
      </c>
      <c r="AJ1156" s="44">
        <f>IF(AG1156=1,AH1156,MAX(-1,MIN(1,O1156+INDEX(Types!$H:$H,MATCH($A1156&amp;"|"&amp;$D1156,Types!$A:$A,0)))))</f>
        <v/>
      </c>
      <c r="AK1156" s="43">
        <f>IF(AG1156=1,AF1156,MAX(AQ1156*AS1156,AF1156))</f>
        <v/>
      </c>
      <c r="AL1156" s="43">
        <f>IF(AG1156=1,AD1156,AK1156*(1+AJ1156)/2)</f>
        <v/>
      </c>
      <c r="AM1156" s="43">
        <f>IF(AG1156=1,AE1156,AK1156*(1-AJ1156)/2)</f>
        <v/>
      </c>
      <c r="AN1156" s="45">
        <f>IF(AH1156="","",AH1156-T1156)</f>
        <v/>
      </c>
      <c r="AO1156" s="51">
        <f>IF(AG1156=1,1,IF(U1156&gt;0,MIN(AF1156/U1156,0.99),0))</f>
        <v/>
      </c>
      <c r="AP1156" s="43">
        <f>IF(AG1156=1,AI1156*AF1156,0)</f>
        <v/>
      </c>
      <c r="AQ1156" s="43">
        <f>N1156*(F1156+G1156)/H1156</f>
        <v/>
      </c>
      <c r="AR1156" s="43">
        <f>O1156*AQ1156</f>
        <v/>
      </c>
      <c r="AS1156" s="52">
        <f>IF(AG1156=1,IF(AQ1156&gt;0,AF1156/AQ1156,1),IFERROR(INDEX(Types!$K:$K,MATCH($A1156&amp;"|"&amp;$D1156,Types!$A:$A,0)),INDEX(Dashboard!$X$6:$X$22,MATCH($A1156,Dashboard!$A$6:$A$22,0))))</f>
        <v/>
      </c>
      <c r="AT1156" s="43">
        <f>AQ1156*INDEX(Dashboard!$Y$6:$Y$22,MATCH($A1156,Dashboard!$A$6:$A$22,0))</f>
        <v/>
      </c>
      <c r="AU1156" s="53">
        <f>IF(AND(AG1156=1,AT1156&gt;0,AF1156&gt;0),100*AF1156/AT1156,"")</f>
        <v/>
      </c>
      <c r="AV1156" s="44">
        <f>IF(AU1156="","",T1156/(AU1156/100))</f>
        <v/>
      </c>
      <c r="AW1156" s="53">
        <f>IF(AU1156="","",IF(AND(ABS(AH1156)&gt;=0.1,ABS(T1156)&gt;=0.05,SIGN(AH1156)=SIGN(T1156)),100*T1156/AH1156,""))</f>
        <v/>
      </c>
      <c r="AX1156" s="45">
        <f>IF(AU1156="","",T1156-AV1156)</f>
        <v/>
      </c>
      <c r="AY1156" s="45">
        <f>IF(AU1156="","",AH1156-AV1156)</f>
        <v/>
      </c>
      <c r="AZ1156" s="54">
        <f>(AL1156-AM1156)-T1156*AT1156</f>
        <v/>
      </c>
      <c r="BA1156" s="43">
        <f>IF(AU1156="",0,(AH1156-T1156)*AF1156)</f>
        <v/>
      </c>
      <c r="BB1156" s="43">
        <f>IF(AU1156="",0,T1156*(AF1156-AT1156))</f>
        <v/>
      </c>
      <c r="BC1156" s="51" t="n">
        <v>0.161752808988764</v>
      </c>
      <c r="BD1156" s="51" t="n">
        <v>0.2390112359550562</v>
      </c>
      <c r="BE1156" s="51" t="n">
        <v>0.1912691269126913</v>
      </c>
      <c r="BF1156" s="43" t="n">
        <v>22250</v>
      </c>
    </row>
    <row r="1157">
      <c r="A1157" s="42" t="inlineStr">
        <is>
          <t>TX</t>
        </is>
      </c>
      <c r="B1157" s="42" t="inlineStr">
        <is>
          <t>48295</t>
        </is>
      </c>
      <c r="C1157" s="42" t="inlineStr">
        <is>
          <t>Lipscomb</t>
        </is>
      </c>
      <c r="D1157" s="42" t="inlineStr">
        <is>
          <t>Small town &amp; rural</t>
        </is>
      </c>
      <c r="E1157" s="42" t="inlineStr"/>
      <c r="F1157" s="43" t="n">
        <v>123</v>
      </c>
      <c r="G1157" s="43" t="n">
        <v>1125</v>
      </c>
      <c r="H1157" s="43" t="n">
        <v>1259</v>
      </c>
      <c r="I1157" s="43" t="n">
        <v>131</v>
      </c>
      <c r="J1157" s="43" t="n">
        <v>1205</v>
      </c>
      <c r="K1157" s="42" t="inlineStr">
        <is>
          <t>Governor</t>
        </is>
      </c>
      <c r="L1157" s="43" t="n">
        <v>69</v>
      </c>
      <c r="M1157" s="43" t="n">
        <v>894</v>
      </c>
      <c r="N1157" s="43" t="n">
        <v>977</v>
      </c>
      <c r="O1157" s="44">
        <f>IFERROR((F1157-G1157)/(F1157+G1157),"")</f>
        <v/>
      </c>
      <c r="P1157" s="44">
        <f>IFERROR((I1157-J1157)/(I1157+J1157),"")</f>
        <v/>
      </c>
      <c r="Q1157" s="45">
        <f>IFERROR(O1157-P1157,"")</f>
        <v/>
      </c>
      <c r="R1157" s="44">
        <f>IFERROR((L1157-M1157)/(L1157+M1157),"")</f>
        <v/>
      </c>
      <c r="S1157" s="46">
        <f>H1157/SUMIFS(Counties!$H$2:$H$1583,Counties!$A$2:$A$1583,$A1157)</f>
        <v/>
      </c>
      <c r="T1157" s="44">
        <f>O1157+INDEX(Dashboard!$F$6:$F$22,MATCH($A1157,Dashboard!$A$6:$A$22,0))</f>
        <v/>
      </c>
      <c r="U1157" s="43">
        <f>AQ1157*INDEX(Dashboard!$G$6:$G$22,MATCH($A1157,Dashboard!$A$6:$A$22,0))</f>
        <v/>
      </c>
      <c r="V1157" s="47" t="n"/>
      <c r="W1157" s="47" t="n"/>
      <c r="X1157" s="47" t="n"/>
      <c r="Y1157" s="48" t="n"/>
      <c r="Z1157" s="49" t="n"/>
      <c r="AA1157" s="49" t="n"/>
      <c r="AB1157" s="49" t="n"/>
      <c r="AC1157" s="50" t="n"/>
      <c r="AD1157" s="43">
        <f>IF(Z1157&lt;&gt;"",Z1157,N(V1157))</f>
        <v/>
      </c>
      <c r="AE1157" s="43">
        <f>IF(AA1157&lt;&gt;"",AA1157,N(W1157))</f>
        <v/>
      </c>
      <c r="AF1157" s="43">
        <f>AD1157+AE1157</f>
        <v/>
      </c>
      <c r="AG1157" s="42">
        <f>IF(UPPER(AC1157)="Y",1,IF(AF1157=0,0,IF(AND(Z1157="",Y1157&lt;&gt;""),IF(Y1157&gt;=0.999,1,0),IF(AF1157&gt;=U1157,1,0))))</f>
        <v/>
      </c>
      <c r="AH1157" s="44">
        <f>IF(AF1157&gt;0,(AD1157-AE1157)/AF1157,"")</f>
        <v/>
      </c>
      <c r="AI1157" s="45">
        <f>IF(AG1157=1,AH1157-O1157,"")</f>
        <v/>
      </c>
      <c r="AJ1157" s="44">
        <f>IF(AG1157=1,AH1157,MAX(-1,MIN(1,O1157+INDEX(Types!$H:$H,MATCH($A1157&amp;"|"&amp;$D1157,Types!$A:$A,0)))))</f>
        <v/>
      </c>
      <c r="AK1157" s="43">
        <f>IF(AG1157=1,AF1157,MAX(AQ1157*AS1157,AF1157))</f>
        <v/>
      </c>
      <c r="AL1157" s="43">
        <f>IF(AG1157=1,AD1157,AK1157*(1+AJ1157)/2)</f>
        <v/>
      </c>
      <c r="AM1157" s="43">
        <f>IF(AG1157=1,AE1157,AK1157*(1-AJ1157)/2)</f>
        <v/>
      </c>
      <c r="AN1157" s="45">
        <f>IF(AH1157="","",AH1157-T1157)</f>
        <v/>
      </c>
      <c r="AO1157" s="51">
        <f>IF(AG1157=1,1,IF(U1157&gt;0,MIN(AF1157/U1157,0.99),0))</f>
        <v/>
      </c>
      <c r="AP1157" s="43">
        <f>IF(AG1157=1,AI1157*AF1157,0)</f>
        <v/>
      </c>
      <c r="AQ1157" s="43">
        <f>N1157*(F1157+G1157)/H1157</f>
        <v/>
      </c>
      <c r="AR1157" s="43">
        <f>O1157*AQ1157</f>
        <v/>
      </c>
      <c r="AS1157" s="52">
        <f>IF(AG1157=1,IF(AQ1157&gt;0,AF1157/AQ1157,1),IFERROR(INDEX(Types!$K:$K,MATCH($A1157&amp;"|"&amp;$D1157,Types!$A:$A,0)),INDEX(Dashboard!$X$6:$X$22,MATCH($A1157,Dashboard!$A$6:$A$22,0))))</f>
        <v/>
      </c>
      <c r="AT1157" s="43">
        <f>AQ1157*INDEX(Dashboard!$Y$6:$Y$22,MATCH($A1157,Dashboard!$A$6:$A$22,0))</f>
        <v/>
      </c>
      <c r="AU1157" s="53">
        <f>IF(AND(AG1157=1,AT1157&gt;0,AF1157&gt;0),100*AF1157/AT1157,"")</f>
        <v/>
      </c>
      <c r="AV1157" s="44">
        <f>IF(AU1157="","",T1157/(AU1157/100))</f>
        <v/>
      </c>
      <c r="AW1157" s="53">
        <f>IF(AU1157="","",IF(AND(ABS(AH1157)&gt;=0.1,ABS(T1157)&gt;=0.05,SIGN(AH1157)=SIGN(T1157)),100*T1157/AH1157,""))</f>
        <v/>
      </c>
      <c r="AX1157" s="45">
        <f>IF(AU1157="","",T1157-AV1157)</f>
        <v/>
      </c>
      <c r="AY1157" s="45">
        <f>IF(AU1157="","",AH1157-AV1157)</f>
        <v/>
      </c>
      <c r="AZ1157" s="54">
        <f>(AL1157-AM1157)-T1157*AT1157</f>
        <v/>
      </c>
      <c r="BA1157" s="43">
        <f>IF(AU1157="",0,(AH1157-T1157)*AF1157)</f>
        <v/>
      </c>
      <c r="BB1157" s="43">
        <f>IF(AU1157="",0,T1157*(AF1157-AT1157))</f>
        <v/>
      </c>
      <c r="BC1157" s="51" t="n">
        <v>0.0151410874053682</v>
      </c>
      <c r="BD1157" s="51" t="n">
        <v>0.3830006882312457</v>
      </c>
      <c r="BE1157" s="51" t="n">
        <v>0.2540453074433657</v>
      </c>
      <c r="BF1157" s="43" t="n">
        <v>2906</v>
      </c>
    </row>
    <row r="1158">
      <c r="A1158" s="42" t="inlineStr">
        <is>
          <t>TX</t>
        </is>
      </c>
      <c r="B1158" s="42" t="inlineStr">
        <is>
          <t>48297</t>
        </is>
      </c>
      <c r="C1158" s="42" t="inlineStr">
        <is>
          <t>Live Oak</t>
        </is>
      </c>
      <c r="D1158" s="42" t="inlineStr">
        <is>
          <t>Hispanic</t>
        </is>
      </c>
      <c r="E1158" s="42" t="inlineStr"/>
      <c r="F1158" s="43" t="n">
        <v>761</v>
      </c>
      <c r="G1158" s="43" t="n">
        <v>4307</v>
      </c>
      <c r="H1158" s="43" t="n">
        <v>5092</v>
      </c>
      <c r="I1158" s="43" t="n">
        <v>819</v>
      </c>
      <c r="J1158" s="43" t="n">
        <v>4199</v>
      </c>
      <c r="K1158" s="42" t="inlineStr">
        <is>
          <t>Governor</t>
        </is>
      </c>
      <c r="L1158" s="43" t="n">
        <v>545</v>
      </c>
      <c r="M1158" s="43" t="n">
        <v>3424</v>
      </c>
      <c r="N1158" s="43" t="n">
        <v>4001</v>
      </c>
      <c r="O1158" s="44">
        <f>IFERROR((F1158-G1158)/(F1158+G1158),"")</f>
        <v/>
      </c>
      <c r="P1158" s="44">
        <f>IFERROR((I1158-J1158)/(I1158+J1158),"")</f>
        <v/>
      </c>
      <c r="Q1158" s="45">
        <f>IFERROR(O1158-P1158,"")</f>
        <v/>
      </c>
      <c r="R1158" s="44">
        <f>IFERROR((L1158-M1158)/(L1158+M1158),"")</f>
        <v/>
      </c>
      <c r="S1158" s="46">
        <f>H1158/SUMIFS(Counties!$H$2:$H$1583,Counties!$A$2:$A$1583,$A1158)</f>
        <v/>
      </c>
      <c r="T1158" s="44">
        <f>O1158+INDEX(Dashboard!$F$6:$F$22,MATCH($A1158,Dashboard!$A$6:$A$22,0))</f>
        <v/>
      </c>
      <c r="U1158" s="43">
        <f>AQ1158*INDEX(Dashboard!$G$6:$G$22,MATCH($A1158,Dashboard!$A$6:$A$22,0))</f>
        <v/>
      </c>
      <c r="V1158" s="47" t="n"/>
      <c r="W1158" s="47" t="n"/>
      <c r="X1158" s="47" t="n"/>
      <c r="Y1158" s="48" t="n"/>
      <c r="Z1158" s="49" t="n"/>
      <c r="AA1158" s="49" t="n"/>
      <c r="AB1158" s="49" t="n"/>
      <c r="AC1158" s="50" t="n"/>
      <c r="AD1158" s="43">
        <f>IF(Z1158&lt;&gt;"",Z1158,N(V1158))</f>
        <v/>
      </c>
      <c r="AE1158" s="43">
        <f>IF(AA1158&lt;&gt;"",AA1158,N(W1158))</f>
        <v/>
      </c>
      <c r="AF1158" s="43">
        <f>AD1158+AE1158</f>
        <v/>
      </c>
      <c r="AG1158" s="42">
        <f>IF(UPPER(AC1158)="Y",1,IF(AF1158=0,0,IF(AND(Z1158="",Y1158&lt;&gt;""),IF(Y1158&gt;=0.999,1,0),IF(AF1158&gt;=U1158,1,0))))</f>
        <v/>
      </c>
      <c r="AH1158" s="44">
        <f>IF(AF1158&gt;0,(AD1158-AE1158)/AF1158,"")</f>
        <v/>
      </c>
      <c r="AI1158" s="45">
        <f>IF(AG1158=1,AH1158-O1158,"")</f>
        <v/>
      </c>
      <c r="AJ1158" s="44">
        <f>IF(AG1158=1,AH1158,MAX(-1,MIN(1,O1158+INDEX(Types!$H:$H,MATCH($A1158&amp;"|"&amp;$D1158,Types!$A:$A,0)))))</f>
        <v/>
      </c>
      <c r="AK1158" s="43">
        <f>IF(AG1158=1,AF1158,MAX(AQ1158*AS1158,AF1158))</f>
        <v/>
      </c>
      <c r="AL1158" s="43">
        <f>IF(AG1158=1,AD1158,AK1158*(1+AJ1158)/2)</f>
        <v/>
      </c>
      <c r="AM1158" s="43">
        <f>IF(AG1158=1,AE1158,AK1158*(1-AJ1158)/2)</f>
        <v/>
      </c>
      <c r="AN1158" s="45">
        <f>IF(AH1158="","",AH1158-T1158)</f>
        <v/>
      </c>
      <c r="AO1158" s="51">
        <f>IF(AG1158=1,1,IF(U1158&gt;0,MIN(AF1158/U1158,0.99),0))</f>
        <v/>
      </c>
      <c r="AP1158" s="43">
        <f>IF(AG1158=1,AI1158*AF1158,0)</f>
        <v/>
      </c>
      <c r="AQ1158" s="43">
        <f>N1158*(F1158+G1158)/H1158</f>
        <v/>
      </c>
      <c r="AR1158" s="43">
        <f>O1158*AQ1158</f>
        <v/>
      </c>
      <c r="AS1158" s="52">
        <f>IF(AG1158=1,IF(AQ1158&gt;0,AF1158/AQ1158,1),IFERROR(INDEX(Types!$K:$K,MATCH($A1158&amp;"|"&amp;$D1158,Types!$A:$A,0)),INDEX(Dashboard!$X$6:$X$22,MATCH($A1158,Dashboard!$A$6:$A$22,0))))</f>
        <v/>
      </c>
      <c r="AT1158" s="43">
        <f>AQ1158*INDEX(Dashboard!$Y$6:$Y$22,MATCH($A1158,Dashboard!$A$6:$A$22,0))</f>
        <v/>
      </c>
      <c r="AU1158" s="53">
        <f>IF(AND(AG1158=1,AT1158&gt;0,AF1158&gt;0),100*AF1158/AT1158,"")</f>
        <v/>
      </c>
      <c r="AV1158" s="44">
        <f>IF(AU1158="","",T1158/(AU1158/100))</f>
        <v/>
      </c>
      <c r="AW1158" s="53">
        <f>IF(AU1158="","",IF(AND(ABS(AH1158)&gt;=0.1,ABS(T1158)&gt;=0.05,SIGN(AH1158)=SIGN(T1158)),100*T1158/AH1158,""))</f>
        <v/>
      </c>
      <c r="AX1158" s="45">
        <f>IF(AU1158="","",T1158-AV1158)</f>
        <v/>
      </c>
      <c r="AY1158" s="45">
        <f>IF(AU1158="","",AH1158-AV1158)</f>
        <v/>
      </c>
      <c r="AZ1158" s="54">
        <f>(AL1158-AM1158)-T1158*AT1158</f>
        <v/>
      </c>
      <c r="BA1158" s="43">
        <f>IF(AU1158="",0,(AH1158-T1158)*AF1158)</f>
        <v/>
      </c>
      <c r="BB1158" s="43">
        <f>IF(AU1158="",0,T1158*(AF1158-AT1158))</f>
        <v/>
      </c>
      <c r="BC1158" s="51" t="n">
        <v>0.06284530386740332</v>
      </c>
      <c r="BD1158" s="51" t="n">
        <v>0.421875</v>
      </c>
      <c r="BE1158" s="51" t="n">
        <v>0.1384116304217229</v>
      </c>
      <c r="BF1158" s="43" t="n">
        <v>11584</v>
      </c>
    </row>
    <row r="1159">
      <c r="A1159" s="42" t="inlineStr">
        <is>
          <t>TX</t>
        </is>
      </c>
      <c r="B1159" s="42" t="inlineStr">
        <is>
          <t>48299</t>
        </is>
      </c>
      <c r="C1159" s="42" t="inlineStr">
        <is>
          <t>Llano</t>
        </is>
      </c>
      <c r="D1159" s="42" t="inlineStr">
        <is>
          <t>Small town &amp; rural</t>
        </is>
      </c>
      <c r="E1159" s="42" t="inlineStr"/>
      <c r="F1159" s="43" t="n">
        <v>2613</v>
      </c>
      <c r="G1159" s="43" t="n">
        <v>10902</v>
      </c>
      <c r="H1159" s="43" t="n">
        <v>13622</v>
      </c>
      <c r="I1159" s="43" t="n">
        <v>2465</v>
      </c>
      <c r="J1159" s="43" t="n">
        <v>10079</v>
      </c>
      <c r="K1159" s="42" t="inlineStr">
        <is>
          <t>Governor</t>
        </is>
      </c>
      <c r="L1159" s="43" t="n">
        <v>1920</v>
      </c>
      <c r="M1159" s="43" t="n">
        <v>8977</v>
      </c>
      <c r="N1159" s="43" t="n">
        <v>11037</v>
      </c>
      <c r="O1159" s="44">
        <f>IFERROR((F1159-G1159)/(F1159+G1159),"")</f>
        <v/>
      </c>
      <c r="P1159" s="44">
        <f>IFERROR((I1159-J1159)/(I1159+J1159),"")</f>
        <v/>
      </c>
      <c r="Q1159" s="45">
        <f>IFERROR(O1159-P1159,"")</f>
        <v/>
      </c>
      <c r="R1159" s="44">
        <f>IFERROR((L1159-M1159)/(L1159+M1159),"")</f>
        <v/>
      </c>
      <c r="S1159" s="46">
        <f>H1159/SUMIFS(Counties!$H$2:$H$1583,Counties!$A$2:$A$1583,$A1159)</f>
        <v/>
      </c>
      <c r="T1159" s="44">
        <f>O1159+INDEX(Dashboard!$F$6:$F$22,MATCH($A1159,Dashboard!$A$6:$A$22,0))</f>
        <v/>
      </c>
      <c r="U1159" s="43">
        <f>AQ1159*INDEX(Dashboard!$G$6:$G$22,MATCH($A1159,Dashboard!$A$6:$A$22,0))</f>
        <v/>
      </c>
      <c r="V1159" s="47" t="n"/>
      <c r="W1159" s="47" t="n"/>
      <c r="X1159" s="47" t="n"/>
      <c r="Y1159" s="48" t="n"/>
      <c r="Z1159" s="49" t="n"/>
      <c r="AA1159" s="49" t="n"/>
      <c r="AB1159" s="49" t="n"/>
      <c r="AC1159" s="50" t="n"/>
      <c r="AD1159" s="43">
        <f>IF(Z1159&lt;&gt;"",Z1159,N(V1159))</f>
        <v/>
      </c>
      <c r="AE1159" s="43">
        <f>IF(AA1159&lt;&gt;"",AA1159,N(W1159))</f>
        <v/>
      </c>
      <c r="AF1159" s="43">
        <f>AD1159+AE1159</f>
        <v/>
      </c>
      <c r="AG1159" s="42">
        <f>IF(UPPER(AC1159)="Y",1,IF(AF1159=0,0,IF(AND(Z1159="",Y1159&lt;&gt;""),IF(Y1159&gt;=0.999,1,0),IF(AF1159&gt;=U1159,1,0))))</f>
        <v/>
      </c>
      <c r="AH1159" s="44">
        <f>IF(AF1159&gt;0,(AD1159-AE1159)/AF1159,"")</f>
        <v/>
      </c>
      <c r="AI1159" s="45">
        <f>IF(AG1159=1,AH1159-O1159,"")</f>
        <v/>
      </c>
      <c r="AJ1159" s="44">
        <f>IF(AG1159=1,AH1159,MAX(-1,MIN(1,O1159+INDEX(Types!$H:$H,MATCH($A1159&amp;"|"&amp;$D1159,Types!$A:$A,0)))))</f>
        <v/>
      </c>
      <c r="AK1159" s="43">
        <f>IF(AG1159=1,AF1159,MAX(AQ1159*AS1159,AF1159))</f>
        <v/>
      </c>
      <c r="AL1159" s="43">
        <f>IF(AG1159=1,AD1159,AK1159*(1+AJ1159)/2)</f>
        <v/>
      </c>
      <c r="AM1159" s="43">
        <f>IF(AG1159=1,AE1159,AK1159*(1-AJ1159)/2)</f>
        <v/>
      </c>
      <c r="AN1159" s="45">
        <f>IF(AH1159="","",AH1159-T1159)</f>
        <v/>
      </c>
      <c r="AO1159" s="51">
        <f>IF(AG1159=1,1,IF(U1159&gt;0,MIN(AF1159/U1159,0.99),0))</f>
        <v/>
      </c>
      <c r="AP1159" s="43">
        <f>IF(AG1159=1,AI1159*AF1159,0)</f>
        <v/>
      </c>
      <c r="AQ1159" s="43">
        <f>N1159*(F1159+G1159)/H1159</f>
        <v/>
      </c>
      <c r="AR1159" s="43">
        <f>O1159*AQ1159</f>
        <v/>
      </c>
      <c r="AS1159" s="52">
        <f>IF(AG1159=1,IF(AQ1159&gt;0,AF1159/AQ1159,1),IFERROR(INDEX(Types!$K:$K,MATCH($A1159&amp;"|"&amp;$D1159,Types!$A:$A,0)),INDEX(Dashboard!$X$6:$X$22,MATCH($A1159,Dashboard!$A$6:$A$22,0))))</f>
        <v/>
      </c>
      <c r="AT1159" s="43">
        <f>AQ1159*INDEX(Dashboard!$Y$6:$Y$22,MATCH($A1159,Dashboard!$A$6:$A$22,0))</f>
        <v/>
      </c>
      <c r="AU1159" s="53">
        <f>IF(AND(AG1159=1,AT1159&gt;0,AF1159&gt;0),100*AF1159/AT1159,"")</f>
        <v/>
      </c>
      <c r="AV1159" s="44">
        <f>IF(AU1159="","",T1159/(AU1159/100))</f>
        <v/>
      </c>
      <c r="AW1159" s="53">
        <f>IF(AU1159="","",IF(AND(ABS(AH1159)&gt;=0.1,ABS(T1159)&gt;=0.05,SIGN(AH1159)=SIGN(T1159)),100*T1159/AH1159,""))</f>
        <v/>
      </c>
      <c r="AX1159" s="45">
        <f>IF(AU1159="","",T1159-AV1159)</f>
        <v/>
      </c>
      <c r="AY1159" s="45">
        <f>IF(AU1159="","",AH1159-AV1159)</f>
        <v/>
      </c>
      <c r="AZ1159" s="54">
        <f>(AL1159-AM1159)-T1159*AT1159</f>
        <v/>
      </c>
      <c r="BA1159" s="43">
        <f>IF(AU1159="",0,(AH1159-T1159)*AF1159)</f>
        <v/>
      </c>
      <c r="BB1159" s="43">
        <f>IF(AU1159="",0,T1159*(AF1159-AT1159))</f>
        <v/>
      </c>
      <c r="BC1159" s="51" t="n">
        <v>0.01184699453551913</v>
      </c>
      <c r="BD1159" s="51" t="n">
        <v>0.1405464480874317</v>
      </c>
      <c r="BE1159" s="51" t="n">
        <v>0.3305870236869207</v>
      </c>
      <c r="BF1159" s="43" t="n">
        <v>22875</v>
      </c>
    </row>
    <row r="1160">
      <c r="A1160" s="42" t="inlineStr">
        <is>
          <t>TX</t>
        </is>
      </c>
      <c r="B1160" s="42" t="inlineStr">
        <is>
          <t>48301</t>
        </is>
      </c>
      <c r="C1160" s="42" t="inlineStr">
        <is>
          <t>Loving</t>
        </is>
      </c>
      <c r="D1160" s="42" t="inlineStr">
        <is>
          <t>Small town &amp; rural</t>
        </is>
      </c>
      <c r="E1160" s="42" t="inlineStr"/>
      <c r="F1160" s="43" t="n">
        <v>10</v>
      </c>
      <c r="G1160" s="43" t="n">
        <v>86</v>
      </c>
      <c r="H1160" s="43" t="n">
        <v>97</v>
      </c>
      <c r="I1160" s="43" t="n">
        <v>4</v>
      </c>
      <c r="J1160" s="43" t="n">
        <v>60</v>
      </c>
      <c r="K1160" s="42" t="inlineStr">
        <is>
          <t>Governor</t>
        </is>
      </c>
      <c r="L1160" s="43" t="n">
        <v>6</v>
      </c>
      <c r="M1160" s="43" t="n">
        <v>69</v>
      </c>
      <c r="N1160" s="43" t="n">
        <v>78</v>
      </c>
      <c r="O1160" s="44">
        <f>IFERROR((F1160-G1160)/(F1160+G1160),"")</f>
        <v/>
      </c>
      <c r="P1160" s="44">
        <f>IFERROR((I1160-J1160)/(I1160+J1160),"")</f>
        <v/>
      </c>
      <c r="Q1160" s="45">
        <f>IFERROR(O1160-P1160,"")</f>
        <v/>
      </c>
      <c r="R1160" s="44">
        <f>IFERROR((L1160-M1160)/(L1160+M1160),"")</f>
        <v/>
      </c>
      <c r="S1160" s="46">
        <f>H1160/SUMIFS(Counties!$H$2:$H$1583,Counties!$A$2:$A$1583,$A1160)</f>
        <v/>
      </c>
      <c r="T1160" s="44">
        <f>O1160+INDEX(Dashboard!$F$6:$F$22,MATCH($A1160,Dashboard!$A$6:$A$22,0))</f>
        <v/>
      </c>
      <c r="U1160" s="43">
        <f>AQ1160*INDEX(Dashboard!$G$6:$G$22,MATCH($A1160,Dashboard!$A$6:$A$22,0))</f>
        <v/>
      </c>
      <c r="V1160" s="47" t="n"/>
      <c r="W1160" s="47" t="n"/>
      <c r="X1160" s="47" t="n"/>
      <c r="Y1160" s="48" t="n"/>
      <c r="Z1160" s="49" t="n"/>
      <c r="AA1160" s="49" t="n"/>
      <c r="AB1160" s="49" t="n"/>
      <c r="AC1160" s="50" t="n"/>
      <c r="AD1160" s="43">
        <f>IF(Z1160&lt;&gt;"",Z1160,N(V1160))</f>
        <v/>
      </c>
      <c r="AE1160" s="43">
        <f>IF(AA1160&lt;&gt;"",AA1160,N(W1160))</f>
        <v/>
      </c>
      <c r="AF1160" s="43">
        <f>AD1160+AE1160</f>
        <v/>
      </c>
      <c r="AG1160" s="42">
        <f>IF(UPPER(AC1160)="Y",1,IF(AF1160=0,0,IF(AND(Z1160="",Y1160&lt;&gt;""),IF(Y1160&gt;=0.999,1,0),IF(AF1160&gt;=U1160,1,0))))</f>
        <v/>
      </c>
      <c r="AH1160" s="44">
        <f>IF(AF1160&gt;0,(AD1160-AE1160)/AF1160,"")</f>
        <v/>
      </c>
      <c r="AI1160" s="45">
        <f>IF(AG1160=1,AH1160-O1160,"")</f>
        <v/>
      </c>
      <c r="AJ1160" s="44">
        <f>IF(AG1160=1,AH1160,MAX(-1,MIN(1,O1160+INDEX(Types!$H:$H,MATCH($A1160&amp;"|"&amp;$D1160,Types!$A:$A,0)))))</f>
        <v/>
      </c>
      <c r="AK1160" s="43">
        <f>IF(AG1160=1,AF1160,MAX(AQ1160*AS1160,AF1160))</f>
        <v/>
      </c>
      <c r="AL1160" s="43">
        <f>IF(AG1160=1,AD1160,AK1160*(1+AJ1160)/2)</f>
        <v/>
      </c>
      <c r="AM1160" s="43">
        <f>IF(AG1160=1,AE1160,AK1160*(1-AJ1160)/2)</f>
        <v/>
      </c>
      <c r="AN1160" s="45">
        <f>IF(AH1160="","",AH1160-T1160)</f>
        <v/>
      </c>
      <c r="AO1160" s="51">
        <f>IF(AG1160=1,1,IF(U1160&gt;0,MIN(AF1160/U1160,0.99),0))</f>
        <v/>
      </c>
      <c r="AP1160" s="43">
        <f>IF(AG1160=1,AI1160*AF1160,0)</f>
        <v/>
      </c>
      <c r="AQ1160" s="43">
        <f>N1160*(F1160+G1160)/H1160</f>
        <v/>
      </c>
      <c r="AR1160" s="43">
        <f>O1160*AQ1160</f>
        <v/>
      </c>
      <c r="AS1160" s="52">
        <f>IF(AG1160=1,IF(AQ1160&gt;0,AF1160/AQ1160,1),IFERROR(INDEX(Types!$K:$K,MATCH($A1160&amp;"|"&amp;$D1160,Types!$A:$A,0)),INDEX(Dashboard!$X$6:$X$22,MATCH($A1160,Dashboard!$A$6:$A$22,0))))</f>
        <v/>
      </c>
      <c r="AT1160" s="43">
        <f>AQ1160*INDEX(Dashboard!$Y$6:$Y$22,MATCH($A1160,Dashboard!$A$6:$A$22,0))</f>
        <v/>
      </c>
      <c r="AU1160" s="53">
        <f>IF(AND(AG1160=1,AT1160&gt;0,AF1160&gt;0),100*AF1160/AT1160,"")</f>
        <v/>
      </c>
      <c r="AV1160" s="44">
        <f>IF(AU1160="","",T1160/(AU1160/100))</f>
        <v/>
      </c>
      <c r="AW1160" s="53">
        <f>IF(AU1160="","",IF(AND(ABS(AH1160)&gt;=0.1,ABS(T1160)&gt;=0.05,SIGN(AH1160)=SIGN(T1160)),100*T1160/AH1160,""))</f>
        <v/>
      </c>
      <c r="AX1160" s="45">
        <f>IF(AU1160="","",T1160-AV1160)</f>
        <v/>
      </c>
      <c r="AY1160" s="45">
        <f>IF(AU1160="","",AH1160-AV1160)</f>
        <v/>
      </c>
      <c r="AZ1160" s="54">
        <f>(AL1160-AM1160)-T1160*AT1160</f>
        <v/>
      </c>
      <c r="BA1160" s="43">
        <f>IF(AU1160="",0,(AH1160-T1160)*AF1160)</f>
        <v/>
      </c>
      <c r="BB1160" s="43">
        <f>IF(AU1160="",0,T1160*(AF1160-AT1160))</f>
        <v/>
      </c>
      <c r="BC1160" s="51" t="n">
        <v>0.06976744186046512</v>
      </c>
      <c r="BD1160" s="51" t="n">
        <v>0.1162790697674419</v>
      </c>
      <c r="BE1160" s="51" t="n"/>
      <c r="BF1160" s="43" t="n">
        <v>43</v>
      </c>
    </row>
    <row r="1161">
      <c r="A1161" s="42" t="inlineStr">
        <is>
          <t>TX</t>
        </is>
      </c>
      <c r="B1161" s="42" t="inlineStr">
        <is>
          <t>48303</t>
        </is>
      </c>
      <c r="C1161" s="42" t="inlineStr">
        <is>
          <t>Lubbock</t>
        </is>
      </c>
      <c r="D1161" s="42" t="inlineStr">
        <is>
          <t>Mid-size/working metro</t>
        </is>
      </c>
      <c r="E1161" s="42" t="inlineStr">
        <is>
          <t>★</t>
        </is>
      </c>
      <c r="F1161" s="43" t="n">
        <v>37148</v>
      </c>
      <c r="G1161" s="43" t="n">
        <v>86547</v>
      </c>
      <c r="H1161" s="43" t="n">
        <v>124972</v>
      </c>
      <c r="I1161" s="43" t="n">
        <v>40017</v>
      </c>
      <c r="J1161" s="43" t="n">
        <v>78861</v>
      </c>
      <c r="K1161" s="42" t="inlineStr">
        <is>
          <t>Governor</t>
        </is>
      </c>
      <c r="L1161" s="43" t="n">
        <v>24497</v>
      </c>
      <c r="M1161" s="43" t="n">
        <v>58163</v>
      </c>
      <c r="N1161" s="43" t="n">
        <v>83768</v>
      </c>
      <c r="O1161" s="44">
        <f>IFERROR((F1161-G1161)/(F1161+G1161),"")</f>
        <v/>
      </c>
      <c r="P1161" s="44">
        <f>IFERROR((I1161-J1161)/(I1161+J1161),"")</f>
        <v/>
      </c>
      <c r="Q1161" s="45">
        <f>IFERROR(O1161-P1161,"")</f>
        <v/>
      </c>
      <c r="R1161" s="44">
        <f>IFERROR((L1161-M1161)/(L1161+M1161),"")</f>
        <v/>
      </c>
      <c r="S1161" s="46">
        <f>H1161/SUMIFS(Counties!$H$2:$H$1583,Counties!$A$2:$A$1583,$A1161)</f>
        <v/>
      </c>
      <c r="T1161" s="44">
        <f>O1161+INDEX(Dashboard!$F$6:$F$22,MATCH($A1161,Dashboard!$A$6:$A$22,0))</f>
        <v/>
      </c>
      <c r="U1161" s="43">
        <f>AQ1161*INDEX(Dashboard!$G$6:$G$22,MATCH($A1161,Dashboard!$A$6:$A$22,0))</f>
        <v/>
      </c>
      <c r="V1161" s="47" t="n"/>
      <c r="W1161" s="47" t="n"/>
      <c r="X1161" s="47" t="n"/>
      <c r="Y1161" s="48" t="n"/>
      <c r="Z1161" s="49" t="n"/>
      <c r="AA1161" s="49" t="n"/>
      <c r="AB1161" s="49" t="n"/>
      <c r="AC1161" s="50" t="n"/>
      <c r="AD1161" s="43">
        <f>IF(Z1161&lt;&gt;"",Z1161,N(V1161))</f>
        <v/>
      </c>
      <c r="AE1161" s="43">
        <f>IF(AA1161&lt;&gt;"",AA1161,N(W1161))</f>
        <v/>
      </c>
      <c r="AF1161" s="43">
        <f>AD1161+AE1161</f>
        <v/>
      </c>
      <c r="AG1161" s="42">
        <f>IF(UPPER(AC1161)="Y",1,IF(AF1161=0,0,IF(AND(Z1161="",Y1161&lt;&gt;""),IF(Y1161&gt;=0.999,1,0),IF(AF1161&gt;=U1161,1,0))))</f>
        <v/>
      </c>
      <c r="AH1161" s="44">
        <f>IF(AF1161&gt;0,(AD1161-AE1161)/AF1161,"")</f>
        <v/>
      </c>
      <c r="AI1161" s="45">
        <f>IF(AG1161=1,AH1161-O1161,"")</f>
        <v/>
      </c>
      <c r="AJ1161" s="44">
        <f>IF(AG1161=1,AH1161,MAX(-1,MIN(1,O1161+INDEX(Types!$H:$H,MATCH($A1161&amp;"|"&amp;$D1161,Types!$A:$A,0)))))</f>
        <v/>
      </c>
      <c r="AK1161" s="43">
        <f>IF(AG1161=1,AF1161,MAX(AQ1161*AS1161,AF1161))</f>
        <v/>
      </c>
      <c r="AL1161" s="43">
        <f>IF(AG1161=1,AD1161,AK1161*(1+AJ1161)/2)</f>
        <v/>
      </c>
      <c r="AM1161" s="43">
        <f>IF(AG1161=1,AE1161,AK1161*(1-AJ1161)/2)</f>
        <v/>
      </c>
      <c r="AN1161" s="45">
        <f>IF(AH1161="","",AH1161-T1161)</f>
        <v/>
      </c>
      <c r="AO1161" s="51">
        <f>IF(AG1161=1,1,IF(U1161&gt;0,MIN(AF1161/U1161,0.99),0))</f>
        <v/>
      </c>
      <c r="AP1161" s="43">
        <f>IF(AG1161=1,AI1161*AF1161,0)</f>
        <v/>
      </c>
      <c r="AQ1161" s="43">
        <f>N1161*(F1161+G1161)/H1161</f>
        <v/>
      </c>
      <c r="AR1161" s="43">
        <f>O1161*AQ1161</f>
        <v/>
      </c>
      <c r="AS1161" s="52">
        <f>IF(AG1161=1,IF(AQ1161&gt;0,AF1161/AQ1161,1),IFERROR(INDEX(Types!$K:$K,MATCH($A1161&amp;"|"&amp;$D1161,Types!$A:$A,0)),INDEX(Dashboard!$X$6:$X$22,MATCH($A1161,Dashboard!$A$6:$A$22,0))))</f>
        <v/>
      </c>
      <c r="AT1161" s="43">
        <f>AQ1161*INDEX(Dashboard!$Y$6:$Y$22,MATCH($A1161,Dashboard!$A$6:$A$22,0))</f>
        <v/>
      </c>
      <c r="AU1161" s="53">
        <f>IF(AND(AG1161=1,AT1161&gt;0,AF1161&gt;0),100*AF1161/AT1161,"")</f>
        <v/>
      </c>
      <c r="AV1161" s="44">
        <f>IF(AU1161="","",T1161/(AU1161/100))</f>
        <v/>
      </c>
      <c r="AW1161" s="53">
        <f>IF(AU1161="","",IF(AND(ABS(AH1161)&gt;=0.1,ABS(T1161)&gt;=0.05,SIGN(AH1161)=SIGN(T1161)),100*T1161/AH1161,""))</f>
        <v/>
      </c>
      <c r="AX1161" s="45">
        <f>IF(AU1161="","",T1161-AV1161)</f>
        <v/>
      </c>
      <c r="AY1161" s="45">
        <f>IF(AU1161="","",AH1161-AV1161)</f>
        <v/>
      </c>
      <c r="AZ1161" s="54">
        <f>(AL1161-AM1161)-T1161*AT1161</f>
        <v/>
      </c>
      <c r="BA1161" s="43">
        <f>IF(AU1161="",0,(AH1161-T1161)*AF1161)</f>
        <v/>
      </c>
      <c r="BB1161" s="43">
        <f>IF(AU1161="",0,T1161*(AF1161-AT1161))</f>
        <v/>
      </c>
      <c r="BC1161" s="51" t="n">
        <v>0.0722502648470119</v>
      </c>
      <c r="BD1161" s="51" t="n">
        <v>0.3660746556988845</v>
      </c>
      <c r="BE1161" s="51" t="n">
        <v>0.3332450513536276</v>
      </c>
      <c r="BF1161" s="43" t="n">
        <v>320940</v>
      </c>
    </row>
    <row r="1162">
      <c r="A1162" s="42" t="inlineStr">
        <is>
          <t>TX</t>
        </is>
      </c>
      <c r="B1162" s="42" t="inlineStr">
        <is>
          <t>48305</t>
        </is>
      </c>
      <c r="C1162" s="42" t="inlineStr">
        <is>
          <t>Lynn</t>
        </is>
      </c>
      <c r="D1162" s="42" t="inlineStr">
        <is>
          <t>Hispanic</t>
        </is>
      </c>
      <c r="E1162" s="42" t="inlineStr"/>
      <c r="F1162" s="43" t="n">
        <v>371</v>
      </c>
      <c r="G1162" s="43" t="n">
        <v>2175</v>
      </c>
      <c r="H1162" s="43" t="n">
        <v>2567</v>
      </c>
      <c r="I1162" s="43" t="n">
        <v>428</v>
      </c>
      <c r="J1162" s="43" t="n">
        <v>1853</v>
      </c>
      <c r="K1162" s="42" t="inlineStr">
        <is>
          <t>Governor</t>
        </is>
      </c>
      <c r="L1162" s="43" t="n">
        <v>196</v>
      </c>
      <c r="M1162" s="43" t="n">
        <v>1502</v>
      </c>
      <c r="N1162" s="43" t="n">
        <v>1727</v>
      </c>
      <c r="O1162" s="44">
        <f>IFERROR((F1162-G1162)/(F1162+G1162),"")</f>
        <v/>
      </c>
      <c r="P1162" s="44">
        <f>IFERROR((I1162-J1162)/(I1162+J1162),"")</f>
        <v/>
      </c>
      <c r="Q1162" s="45">
        <f>IFERROR(O1162-P1162,"")</f>
        <v/>
      </c>
      <c r="R1162" s="44">
        <f>IFERROR((L1162-M1162)/(L1162+M1162),"")</f>
        <v/>
      </c>
      <c r="S1162" s="46">
        <f>H1162/SUMIFS(Counties!$H$2:$H$1583,Counties!$A$2:$A$1583,$A1162)</f>
        <v/>
      </c>
      <c r="T1162" s="44">
        <f>O1162+INDEX(Dashboard!$F$6:$F$22,MATCH($A1162,Dashboard!$A$6:$A$22,0))</f>
        <v/>
      </c>
      <c r="U1162" s="43">
        <f>AQ1162*INDEX(Dashboard!$G$6:$G$22,MATCH($A1162,Dashboard!$A$6:$A$22,0))</f>
        <v/>
      </c>
      <c r="V1162" s="47" t="n"/>
      <c r="W1162" s="47" t="n"/>
      <c r="X1162" s="47" t="n"/>
      <c r="Y1162" s="48" t="n"/>
      <c r="Z1162" s="49" t="n"/>
      <c r="AA1162" s="49" t="n"/>
      <c r="AB1162" s="49" t="n"/>
      <c r="AC1162" s="50" t="n"/>
      <c r="AD1162" s="43">
        <f>IF(Z1162&lt;&gt;"",Z1162,N(V1162))</f>
        <v/>
      </c>
      <c r="AE1162" s="43">
        <f>IF(AA1162&lt;&gt;"",AA1162,N(W1162))</f>
        <v/>
      </c>
      <c r="AF1162" s="43">
        <f>AD1162+AE1162</f>
        <v/>
      </c>
      <c r="AG1162" s="42">
        <f>IF(UPPER(AC1162)="Y",1,IF(AF1162=0,0,IF(AND(Z1162="",Y1162&lt;&gt;""),IF(Y1162&gt;=0.999,1,0),IF(AF1162&gt;=U1162,1,0))))</f>
        <v/>
      </c>
      <c r="AH1162" s="44">
        <f>IF(AF1162&gt;0,(AD1162-AE1162)/AF1162,"")</f>
        <v/>
      </c>
      <c r="AI1162" s="45">
        <f>IF(AG1162=1,AH1162-O1162,"")</f>
        <v/>
      </c>
      <c r="AJ1162" s="44">
        <f>IF(AG1162=1,AH1162,MAX(-1,MIN(1,O1162+INDEX(Types!$H:$H,MATCH($A1162&amp;"|"&amp;$D1162,Types!$A:$A,0)))))</f>
        <v/>
      </c>
      <c r="AK1162" s="43">
        <f>IF(AG1162=1,AF1162,MAX(AQ1162*AS1162,AF1162))</f>
        <v/>
      </c>
      <c r="AL1162" s="43">
        <f>IF(AG1162=1,AD1162,AK1162*(1+AJ1162)/2)</f>
        <v/>
      </c>
      <c r="AM1162" s="43">
        <f>IF(AG1162=1,AE1162,AK1162*(1-AJ1162)/2)</f>
        <v/>
      </c>
      <c r="AN1162" s="45">
        <f>IF(AH1162="","",AH1162-T1162)</f>
        <v/>
      </c>
      <c r="AO1162" s="51">
        <f>IF(AG1162=1,1,IF(U1162&gt;0,MIN(AF1162/U1162,0.99),0))</f>
        <v/>
      </c>
      <c r="AP1162" s="43">
        <f>IF(AG1162=1,AI1162*AF1162,0)</f>
        <v/>
      </c>
      <c r="AQ1162" s="43">
        <f>N1162*(F1162+G1162)/H1162</f>
        <v/>
      </c>
      <c r="AR1162" s="43">
        <f>O1162*AQ1162</f>
        <v/>
      </c>
      <c r="AS1162" s="52">
        <f>IF(AG1162=1,IF(AQ1162&gt;0,AF1162/AQ1162,1),IFERROR(INDEX(Types!$K:$K,MATCH($A1162&amp;"|"&amp;$D1162,Types!$A:$A,0)),INDEX(Dashboard!$X$6:$X$22,MATCH($A1162,Dashboard!$A$6:$A$22,0))))</f>
        <v/>
      </c>
      <c r="AT1162" s="43">
        <f>AQ1162*INDEX(Dashboard!$Y$6:$Y$22,MATCH($A1162,Dashboard!$A$6:$A$22,0))</f>
        <v/>
      </c>
      <c r="AU1162" s="53">
        <f>IF(AND(AG1162=1,AT1162&gt;0,AF1162&gt;0),100*AF1162/AT1162,"")</f>
        <v/>
      </c>
      <c r="AV1162" s="44">
        <f>IF(AU1162="","",T1162/(AU1162/100))</f>
        <v/>
      </c>
      <c r="AW1162" s="53">
        <f>IF(AU1162="","",IF(AND(ABS(AH1162)&gt;=0.1,ABS(T1162)&gt;=0.05,SIGN(AH1162)=SIGN(T1162)),100*T1162/AH1162,""))</f>
        <v/>
      </c>
      <c r="AX1162" s="45">
        <f>IF(AU1162="","",T1162-AV1162)</f>
        <v/>
      </c>
      <c r="AY1162" s="45">
        <f>IF(AU1162="","",AH1162-AV1162)</f>
        <v/>
      </c>
      <c r="AZ1162" s="54">
        <f>(AL1162-AM1162)-T1162*AT1162</f>
        <v/>
      </c>
      <c r="BA1162" s="43">
        <f>IF(AU1162="",0,(AH1162-T1162)*AF1162)</f>
        <v/>
      </c>
      <c r="BB1162" s="43">
        <f>IF(AU1162="",0,T1162*(AF1162-AT1162))</f>
        <v/>
      </c>
      <c r="BC1162" s="51" t="n">
        <v>0.0227391077937858</v>
      </c>
      <c r="BD1162" s="51" t="n">
        <v>0.4028814441937164</v>
      </c>
      <c r="BE1162" s="51" t="n">
        <v>0.2429881337648328</v>
      </c>
      <c r="BF1162" s="43" t="n">
        <v>5761</v>
      </c>
    </row>
    <row r="1163">
      <c r="A1163" s="42" t="inlineStr">
        <is>
          <t>TX</t>
        </is>
      </c>
      <c r="B1163" s="42" t="inlineStr">
        <is>
          <t>48313</t>
        </is>
      </c>
      <c r="C1163" s="42" t="inlineStr">
        <is>
          <t>Madison</t>
        </is>
      </c>
      <c r="D1163" s="42" t="inlineStr">
        <is>
          <t>Small town &amp; rural</t>
        </is>
      </c>
      <c r="E1163" s="42" t="inlineStr"/>
      <c r="F1163" s="43" t="n">
        <v>964</v>
      </c>
      <c r="G1163" s="43" t="n">
        <v>4498</v>
      </c>
      <c r="H1163" s="43" t="n">
        <v>5489</v>
      </c>
      <c r="I1163" s="43" t="n">
        <v>1088</v>
      </c>
      <c r="J1163" s="43" t="n">
        <v>4169</v>
      </c>
      <c r="K1163" s="42" t="inlineStr">
        <is>
          <t>Governor</t>
        </is>
      </c>
      <c r="L1163" s="43" t="n">
        <v>595</v>
      </c>
      <c r="M1163" s="43" t="n">
        <v>3272</v>
      </c>
      <c r="N1163" s="43" t="n">
        <v>3907</v>
      </c>
      <c r="O1163" s="44">
        <f>IFERROR((F1163-G1163)/(F1163+G1163),"")</f>
        <v/>
      </c>
      <c r="P1163" s="44">
        <f>IFERROR((I1163-J1163)/(I1163+J1163),"")</f>
        <v/>
      </c>
      <c r="Q1163" s="45">
        <f>IFERROR(O1163-P1163,"")</f>
        <v/>
      </c>
      <c r="R1163" s="44">
        <f>IFERROR((L1163-M1163)/(L1163+M1163),"")</f>
        <v/>
      </c>
      <c r="S1163" s="46">
        <f>H1163/SUMIFS(Counties!$H$2:$H$1583,Counties!$A$2:$A$1583,$A1163)</f>
        <v/>
      </c>
      <c r="T1163" s="44">
        <f>O1163+INDEX(Dashboard!$F$6:$F$22,MATCH($A1163,Dashboard!$A$6:$A$22,0))</f>
        <v/>
      </c>
      <c r="U1163" s="43">
        <f>AQ1163*INDEX(Dashboard!$G$6:$G$22,MATCH($A1163,Dashboard!$A$6:$A$22,0))</f>
        <v/>
      </c>
      <c r="V1163" s="47" t="n"/>
      <c r="W1163" s="47" t="n"/>
      <c r="X1163" s="47" t="n"/>
      <c r="Y1163" s="48" t="n"/>
      <c r="Z1163" s="49" t="n"/>
      <c r="AA1163" s="49" t="n"/>
      <c r="AB1163" s="49" t="n"/>
      <c r="AC1163" s="50" t="n"/>
      <c r="AD1163" s="43">
        <f>IF(Z1163&lt;&gt;"",Z1163,N(V1163))</f>
        <v/>
      </c>
      <c r="AE1163" s="43">
        <f>IF(AA1163&lt;&gt;"",AA1163,N(W1163))</f>
        <v/>
      </c>
      <c r="AF1163" s="43">
        <f>AD1163+AE1163</f>
        <v/>
      </c>
      <c r="AG1163" s="42">
        <f>IF(UPPER(AC1163)="Y",1,IF(AF1163=0,0,IF(AND(Z1163="",Y1163&lt;&gt;""),IF(Y1163&gt;=0.999,1,0),IF(AF1163&gt;=U1163,1,0))))</f>
        <v/>
      </c>
      <c r="AH1163" s="44">
        <f>IF(AF1163&gt;0,(AD1163-AE1163)/AF1163,"")</f>
        <v/>
      </c>
      <c r="AI1163" s="45">
        <f>IF(AG1163=1,AH1163-O1163,"")</f>
        <v/>
      </c>
      <c r="AJ1163" s="44">
        <f>IF(AG1163=1,AH1163,MAX(-1,MIN(1,O1163+INDEX(Types!$H:$H,MATCH($A1163&amp;"|"&amp;$D1163,Types!$A:$A,0)))))</f>
        <v/>
      </c>
      <c r="AK1163" s="43">
        <f>IF(AG1163=1,AF1163,MAX(AQ1163*AS1163,AF1163))</f>
        <v/>
      </c>
      <c r="AL1163" s="43">
        <f>IF(AG1163=1,AD1163,AK1163*(1+AJ1163)/2)</f>
        <v/>
      </c>
      <c r="AM1163" s="43">
        <f>IF(AG1163=1,AE1163,AK1163*(1-AJ1163)/2)</f>
        <v/>
      </c>
      <c r="AN1163" s="45">
        <f>IF(AH1163="","",AH1163-T1163)</f>
        <v/>
      </c>
      <c r="AO1163" s="51">
        <f>IF(AG1163=1,1,IF(U1163&gt;0,MIN(AF1163/U1163,0.99),0))</f>
        <v/>
      </c>
      <c r="AP1163" s="43">
        <f>IF(AG1163=1,AI1163*AF1163,0)</f>
        <v/>
      </c>
      <c r="AQ1163" s="43">
        <f>N1163*(F1163+G1163)/H1163</f>
        <v/>
      </c>
      <c r="AR1163" s="43">
        <f>O1163*AQ1163</f>
        <v/>
      </c>
      <c r="AS1163" s="52">
        <f>IF(AG1163=1,IF(AQ1163&gt;0,AF1163/AQ1163,1),IFERROR(INDEX(Types!$K:$K,MATCH($A1163&amp;"|"&amp;$D1163,Types!$A:$A,0)),INDEX(Dashboard!$X$6:$X$22,MATCH($A1163,Dashboard!$A$6:$A$22,0))))</f>
        <v/>
      </c>
      <c r="AT1163" s="43">
        <f>AQ1163*INDEX(Dashboard!$Y$6:$Y$22,MATCH($A1163,Dashboard!$A$6:$A$22,0))</f>
        <v/>
      </c>
      <c r="AU1163" s="53">
        <f>IF(AND(AG1163=1,AT1163&gt;0,AF1163&gt;0),100*AF1163/AT1163,"")</f>
        <v/>
      </c>
      <c r="AV1163" s="44">
        <f>IF(AU1163="","",T1163/(AU1163/100))</f>
        <v/>
      </c>
      <c r="AW1163" s="53">
        <f>IF(AU1163="","",IF(AND(ABS(AH1163)&gt;=0.1,ABS(T1163)&gt;=0.05,SIGN(AH1163)=SIGN(T1163)),100*T1163/AH1163,""))</f>
        <v/>
      </c>
      <c r="AX1163" s="45">
        <f>IF(AU1163="","",T1163-AV1163)</f>
        <v/>
      </c>
      <c r="AY1163" s="45">
        <f>IF(AU1163="","",AH1163-AV1163)</f>
        <v/>
      </c>
      <c r="AZ1163" s="54">
        <f>(AL1163-AM1163)-T1163*AT1163</f>
        <v/>
      </c>
      <c r="BA1163" s="43">
        <f>IF(AU1163="",0,(AH1163-T1163)*AF1163)</f>
        <v/>
      </c>
      <c r="BB1163" s="43">
        <f>IF(AU1163="",0,T1163*(AF1163-AT1163))</f>
        <v/>
      </c>
      <c r="BC1163" s="51" t="n">
        <v>0.1765390772813273</v>
      </c>
      <c r="BD1163" s="51" t="n">
        <v>0.2656818512589143</v>
      </c>
      <c r="BE1163" s="51" t="n">
        <v>0.1453272050776975</v>
      </c>
      <c r="BF1163" s="43" t="n">
        <v>13742</v>
      </c>
    </row>
    <row r="1164">
      <c r="A1164" s="42" t="inlineStr">
        <is>
          <t>TX</t>
        </is>
      </c>
      <c r="B1164" s="42" t="inlineStr">
        <is>
          <t>48315</t>
        </is>
      </c>
      <c r="C1164" s="42" t="inlineStr">
        <is>
          <t>Marion</t>
        </is>
      </c>
      <c r="D1164" s="42" t="inlineStr">
        <is>
          <t>Small town &amp; rural</t>
        </is>
      </c>
      <c r="E1164" s="42" t="inlineStr"/>
      <c r="F1164" s="43" t="n">
        <v>1101</v>
      </c>
      <c r="G1164" s="43" t="n">
        <v>3577</v>
      </c>
      <c r="H1164" s="43" t="n">
        <v>4714</v>
      </c>
      <c r="I1164" s="43" t="n">
        <v>1339</v>
      </c>
      <c r="J1164" s="43" t="n">
        <v>3470</v>
      </c>
      <c r="K1164" s="42" t="inlineStr">
        <is>
          <t>Governor</t>
        </is>
      </c>
      <c r="L1164" s="43" t="n">
        <v>700</v>
      </c>
      <c r="M1164" s="43" t="n">
        <v>2557</v>
      </c>
      <c r="N1164" s="43" t="n">
        <v>3302</v>
      </c>
      <c r="O1164" s="44">
        <f>IFERROR((F1164-G1164)/(F1164+G1164),"")</f>
        <v/>
      </c>
      <c r="P1164" s="44">
        <f>IFERROR((I1164-J1164)/(I1164+J1164),"")</f>
        <v/>
      </c>
      <c r="Q1164" s="45">
        <f>IFERROR(O1164-P1164,"")</f>
        <v/>
      </c>
      <c r="R1164" s="44">
        <f>IFERROR((L1164-M1164)/(L1164+M1164),"")</f>
        <v/>
      </c>
      <c r="S1164" s="46">
        <f>H1164/SUMIFS(Counties!$H$2:$H$1583,Counties!$A$2:$A$1583,$A1164)</f>
        <v/>
      </c>
      <c r="T1164" s="44">
        <f>O1164+INDEX(Dashboard!$F$6:$F$22,MATCH($A1164,Dashboard!$A$6:$A$22,0))</f>
        <v/>
      </c>
      <c r="U1164" s="43">
        <f>AQ1164*INDEX(Dashboard!$G$6:$G$22,MATCH($A1164,Dashboard!$A$6:$A$22,0))</f>
        <v/>
      </c>
      <c r="V1164" s="47" t="n"/>
      <c r="W1164" s="47" t="n"/>
      <c r="X1164" s="47" t="n"/>
      <c r="Y1164" s="48" t="n"/>
      <c r="Z1164" s="49" t="n"/>
      <c r="AA1164" s="49" t="n"/>
      <c r="AB1164" s="49" t="n"/>
      <c r="AC1164" s="50" t="n"/>
      <c r="AD1164" s="43">
        <f>IF(Z1164&lt;&gt;"",Z1164,N(V1164))</f>
        <v/>
      </c>
      <c r="AE1164" s="43">
        <f>IF(AA1164&lt;&gt;"",AA1164,N(W1164))</f>
        <v/>
      </c>
      <c r="AF1164" s="43">
        <f>AD1164+AE1164</f>
        <v/>
      </c>
      <c r="AG1164" s="42">
        <f>IF(UPPER(AC1164)="Y",1,IF(AF1164=0,0,IF(AND(Z1164="",Y1164&lt;&gt;""),IF(Y1164&gt;=0.999,1,0),IF(AF1164&gt;=U1164,1,0))))</f>
        <v/>
      </c>
      <c r="AH1164" s="44">
        <f>IF(AF1164&gt;0,(AD1164-AE1164)/AF1164,"")</f>
        <v/>
      </c>
      <c r="AI1164" s="45">
        <f>IF(AG1164=1,AH1164-O1164,"")</f>
        <v/>
      </c>
      <c r="AJ1164" s="44">
        <f>IF(AG1164=1,AH1164,MAX(-1,MIN(1,O1164+INDEX(Types!$H:$H,MATCH($A1164&amp;"|"&amp;$D1164,Types!$A:$A,0)))))</f>
        <v/>
      </c>
      <c r="AK1164" s="43">
        <f>IF(AG1164=1,AF1164,MAX(AQ1164*AS1164,AF1164))</f>
        <v/>
      </c>
      <c r="AL1164" s="43">
        <f>IF(AG1164=1,AD1164,AK1164*(1+AJ1164)/2)</f>
        <v/>
      </c>
      <c r="AM1164" s="43">
        <f>IF(AG1164=1,AE1164,AK1164*(1-AJ1164)/2)</f>
        <v/>
      </c>
      <c r="AN1164" s="45">
        <f>IF(AH1164="","",AH1164-T1164)</f>
        <v/>
      </c>
      <c r="AO1164" s="51">
        <f>IF(AG1164=1,1,IF(U1164&gt;0,MIN(AF1164/U1164,0.99),0))</f>
        <v/>
      </c>
      <c r="AP1164" s="43">
        <f>IF(AG1164=1,AI1164*AF1164,0)</f>
        <v/>
      </c>
      <c r="AQ1164" s="43">
        <f>N1164*(F1164+G1164)/H1164</f>
        <v/>
      </c>
      <c r="AR1164" s="43">
        <f>O1164*AQ1164</f>
        <v/>
      </c>
      <c r="AS1164" s="52">
        <f>IF(AG1164=1,IF(AQ1164&gt;0,AF1164/AQ1164,1),IFERROR(INDEX(Types!$K:$K,MATCH($A1164&amp;"|"&amp;$D1164,Types!$A:$A,0)),INDEX(Dashboard!$X$6:$X$22,MATCH($A1164,Dashboard!$A$6:$A$22,0))))</f>
        <v/>
      </c>
      <c r="AT1164" s="43">
        <f>AQ1164*INDEX(Dashboard!$Y$6:$Y$22,MATCH($A1164,Dashboard!$A$6:$A$22,0))</f>
        <v/>
      </c>
      <c r="AU1164" s="53">
        <f>IF(AND(AG1164=1,AT1164&gt;0,AF1164&gt;0),100*AF1164/AT1164,"")</f>
        <v/>
      </c>
      <c r="AV1164" s="44">
        <f>IF(AU1164="","",T1164/(AU1164/100))</f>
        <v/>
      </c>
      <c r="AW1164" s="53">
        <f>IF(AU1164="","",IF(AND(ABS(AH1164)&gt;=0.1,ABS(T1164)&gt;=0.05,SIGN(AH1164)=SIGN(T1164)),100*T1164/AH1164,""))</f>
        <v/>
      </c>
      <c r="AX1164" s="45">
        <f>IF(AU1164="","",T1164-AV1164)</f>
        <v/>
      </c>
      <c r="AY1164" s="45">
        <f>IF(AU1164="","",AH1164-AV1164)</f>
        <v/>
      </c>
      <c r="AZ1164" s="54">
        <f>(AL1164-AM1164)-T1164*AT1164</f>
        <v/>
      </c>
      <c r="BA1164" s="43">
        <f>IF(AU1164="",0,(AH1164-T1164)*AF1164)</f>
        <v/>
      </c>
      <c r="BB1164" s="43">
        <f>IF(AU1164="",0,T1164*(AF1164-AT1164))</f>
        <v/>
      </c>
      <c r="BC1164" s="51" t="n">
        <v>0.1928743078048271</v>
      </c>
      <c r="BD1164" s="51" t="n">
        <v>0.05443527322118901</v>
      </c>
      <c r="BE1164" s="51" t="n">
        <v>0.1599492671927847</v>
      </c>
      <c r="BF1164" s="43" t="n">
        <v>9571</v>
      </c>
    </row>
    <row r="1165">
      <c r="A1165" s="42" t="inlineStr">
        <is>
          <t>TX</t>
        </is>
      </c>
      <c r="B1165" s="42" t="inlineStr">
        <is>
          <t>48317</t>
        </is>
      </c>
      <c r="C1165" s="42" t="inlineStr">
        <is>
          <t>Martin</t>
        </is>
      </c>
      <c r="D1165" s="42" t="inlineStr">
        <is>
          <t>Hispanic</t>
        </is>
      </c>
      <c r="E1165" s="42" t="inlineStr"/>
      <c r="F1165" s="43" t="n">
        <v>247</v>
      </c>
      <c r="G1165" s="43" t="n">
        <v>1825</v>
      </c>
      <c r="H1165" s="43" t="n">
        <v>2083</v>
      </c>
      <c r="I1165" s="43" t="n">
        <v>288</v>
      </c>
      <c r="J1165" s="43" t="n">
        <v>1857</v>
      </c>
      <c r="K1165" s="42" t="inlineStr">
        <is>
          <t>Governor</t>
        </is>
      </c>
      <c r="L1165" s="43" t="n">
        <v>149</v>
      </c>
      <c r="M1165" s="43" t="n">
        <v>1341</v>
      </c>
      <c r="N1165" s="43" t="n">
        <v>1508</v>
      </c>
      <c r="O1165" s="44">
        <f>IFERROR((F1165-G1165)/(F1165+G1165),"")</f>
        <v/>
      </c>
      <c r="P1165" s="44">
        <f>IFERROR((I1165-J1165)/(I1165+J1165),"")</f>
        <v/>
      </c>
      <c r="Q1165" s="45">
        <f>IFERROR(O1165-P1165,"")</f>
        <v/>
      </c>
      <c r="R1165" s="44">
        <f>IFERROR((L1165-M1165)/(L1165+M1165),"")</f>
        <v/>
      </c>
      <c r="S1165" s="46">
        <f>H1165/SUMIFS(Counties!$H$2:$H$1583,Counties!$A$2:$A$1583,$A1165)</f>
        <v/>
      </c>
      <c r="T1165" s="44">
        <f>O1165+INDEX(Dashboard!$F$6:$F$22,MATCH($A1165,Dashboard!$A$6:$A$22,0))</f>
        <v/>
      </c>
      <c r="U1165" s="43">
        <f>AQ1165*INDEX(Dashboard!$G$6:$G$22,MATCH($A1165,Dashboard!$A$6:$A$22,0))</f>
        <v/>
      </c>
      <c r="V1165" s="47" t="n"/>
      <c r="W1165" s="47" t="n"/>
      <c r="X1165" s="47" t="n"/>
      <c r="Y1165" s="48" t="n"/>
      <c r="Z1165" s="49" t="n"/>
      <c r="AA1165" s="49" t="n"/>
      <c r="AB1165" s="49" t="n"/>
      <c r="AC1165" s="50" t="n"/>
      <c r="AD1165" s="43">
        <f>IF(Z1165&lt;&gt;"",Z1165,N(V1165))</f>
        <v/>
      </c>
      <c r="AE1165" s="43">
        <f>IF(AA1165&lt;&gt;"",AA1165,N(W1165))</f>
        <v/>
      </c>
      <c r="AF1165" s="43">
        <f>AD1165+AE1165</f>
        <v/>
      </c>
      <c r="AG1165" s="42">
        <f>IF(UPPER(AC1165)="Y",1,IF(AF1165=0,0,IF(AND(Z1165="",Y1165&lt;&gt;""),IF(Y1165&gt;=0.999,1,0),IF(AF1165&gt;=U1165,1,0))))</f>
        <v/>
      </c>
      <c r="AH1165" s="44">
        <f>IF(AF1165&gt;0,(AD1165-AE1165)/AF1165,"")</f>
        <v/>
      </c>
      <c r="AI1165" s="45">
        <f>IF(AG1165=1,AH1165-O1165,"")</f>
        <v/>
      </c>
      <c r="AJ1165" s="44">
        <f>IF(AG1165=1,AH1165,MAX(-1,MIN(1,O1165+INDEX(Types!$H:$H,MATCH($A1165&amp;"|"&amp;$D1165,Types!$A:$A,0)))))</f>
        <v/>
      </c>
      <c r="AK1165" s="43">
        <f>IF(AG1165=1,AF1165,MAX(AQ1165*AS1165,AF1165))</f>
        <v/>
      </c>
      <c r="AL1165" s="43">
        <f>IF(AG1165=1,AD1165,AK1165*(1+AJ1165)/2)</f>
        <v/>
      </c>
      <c r="AM1165" s="43">
        <f>IF(AG1165=1,AE1165,AK1165*(1-AJ1165)/2)</f>
        <v/>
      </c>
      <c r="AN1165" s="45">
        <f>IF(AH1165="","",AH1165-T1165)</f>
        <v/>
      </c>
      <c r="AO1165" s="51">
        <f>IF(AG1165=1,1,IF(U1165&gt;0,MIN(AF1165/U1165,0.99),0))</f>
        <v/>
      </c>
      <c r="AP1165" s="43">
        <f>IF(AG1165=1,AI1165*AF1165,0)</f>
        <v/>
      </c>
      <c r="AQ1165" s="43">
        <f>N1165*(F1165+G1165)/H1165</f>
        <v/>
      </c>
      <c r="AR1165" s="43">
        <f>O1165*AQ1165</f>
        <v/>
      </c>
      <c r="AS1165" s="52">
        <f>IF(AG1165=1,IF(AQ1165&gt;0,AF1165/AQ1165,1),IFERROR(INDEX(Types!$K:$K,MATCH($A1165&amp;"|"&amp;$D1165,Types!$A:$A,0)),INDEX(Dashboard!$X$6:$X$22,MATCH($A1165,Dashboard!$A$6:$A$22,0))))</f>
        <v/>
      </c>
      <c r="AT1165" s="43">
        <f>AQ1165*INDEX(Dashboard!$Y$6:$Y$22,MATCH($A1165,Dashboard!$A$6:$A$22,0))</f>
        <v/>
      </c>
      <c r="AU1165" s="53">
        <f>IF(AND(AG1165=1,AT1165&gt;0,AF1165&gt;0),100*AF1165/AT1165,"")</f>
        <v/>
      </c>
      <c r="AV1165" s="44">
        <f>IF(AU1165="","",T1165/(AU1165/100))</f>
        <v/>
      </c>
      <c r="AW1165" s="53">
        <f>IF(AU1165="","",IF(AND(ABS(AH1165)&gt;=0.1,ABS(T1165)&gt;=0.05,SIGN(AH1165)=SIGN(T1165)),100*T1165/AH1165,""))</f>
        <v/>
      </c>
      <c r="AX1165" s="45">
        <f>IF(AU1165="","",T1165-AV1165)</f>
        <v/>
      </c>
      <c r="AY1165" s="45">
        <f>IF(AU1165="","",AH1165-AV1165)</f>
        <v/>
      </c>
      <c r="AZ1165" s="54">
        <f>(AL1165-AM1165)-T1165*AT1165</f>
        <v/>
      </c>
      <c r="BA1165" s="43">
        <f>IF(AU1165="",0,(AH1165-T1165)*AF1165)</f>
        <v/>
      </c>
      <c r="BB1165" s="43">
        <f>IF(AU1165="",0,T1165*(AF1165-AT1165))</f>
        <v/>
      </c>
      <c r="BC1165" s="51" t="n">
        <v>0.02664877300613497</v>
      </c>
      <c r="BD1165" s="51" t="n">
        <v>0.4564800613496933</v>
      </c>
      <c r="BE1165" s="51" t="n">
        <v>0.1778816199376947</v>
      </c>
      <c r="BF1165" s="43" t="n">
        <v>5216</v>
      </c>
    </row>
    <row r="1166">
      <c r="A1166" s="42" t="inlineStr">
        <is>
          <t>TX</t>
        </is>
      </c>
      <c r="B1166" s="42" t="inlineStr">
        <is>
          <t>48319</t>
        </is>
      </c>
      <c r="C1166" s="42" t="inlineStr">
        <is>
          <t>Mason</t>
        </is>
      </c>
      <c r="D1166" s="42" t="inlineStr">
        <is>
          <t>Small town &amp; rural</t>
        </is>
      </c>
      <c r="E1166" s="42" t="inlineStr"/>
      <c r="F1166" s="43" t="n">
        <v>434</v>
      </c>
      <c r="G1166" s="43" t="n">
        <v>2076</v>
      </c>
      <c r="H1166" s="43" t="n">
        <v>2526</v>
      </c>
      <c r="I1166" s="43" t="n">
        <v>457</v>
      </c>
      <c r="J1166" s="43" t="n">
        <v>1991</v>
      </c>
      <c r="K1166" s="42" t="inlineStr">
        <is>
          <t>Governor</t>
        </is>
      </c>
      <c r="L1166" s="43" t="n">
        <v>339</v>
      </c>
      <c r="M1166" s="43" t="n">
        <v>1702</v>
      </c>
      <c r="N1166" s="43" t="n">
        <v>2061</v>
      </c>
      <c r="O1166" s="44">
        <f>IFERROR((F1166-G1166)/(F1166+G1166),"")</f>
        <v/>
      </c>
      <c r="P1166" s="44">
        <f>IFERROR((I1166-J1166)/(I1166+J1166),"")</f>
        <v/>
      </c>
      <c r="Q1166" s="45">
        <f>IFERROR(O1166-P1166,"")</f>
        <v/>
      </c>
      <c r="R1166" s="44">
        <f>IFERROR((L1166-M1166)/(L1166+M1166),"")</f>
        <v/>
      </c>
      <c r="S1166" s="46">
        <f>H1166/SUMIFS(Counties!$H$2:$H$1583,Counties!$A$2:$A$1583,$A1166)</f>
        <v/>
      </c>
      <c r="T1166" s="44">
        <f>O1166+INDEX(Dashboard!$F$6:$F$22,MATCH($A1166,Dashboard!$A$6:$A$22,0))</f>
        <v/>
      </c>
      <c r="U1166" s="43">
        <f>AQ1166*INDEX(Dashboard!$G$6:$G$22,MATCH($A1166,Dashboard!$A$6:$A$22,0))</f>
        <v/>
      </c>
      <c r="V1166" s="47" t="n"/>
      <c r="W1166" s="47" t="n"/>
      <c r="X1166" s="47" t="n"/>
      <c r="Y1166" s="48" t="n"/>
      <c r="Z1166" s="49" t="n"/>
      <c r="AA1166" s="49" t="n"/>
      <c r="AB1166" s="49" t="n"/>
      <c r="AC1166" s="50" t="n"/>
      <c r="AD1166" s="43">
        <f>IF(Z1166&lt;&gt;"",Z1166,N(V1166))</f>
        <v/>
      </c>
      <c r="AE1166" s="43">
        <f>IF(AA1166&lt;&gt;"",AA1166,N(W1166))</f>
        <v/>
      </c>
      <c r="AF1166" s="43">
        <f>AD1166+AE1166</f>
        <v/>
      </c>
      <c r="AG1166" s="42">
        <f>IF(UPPER(AC1166)="Y",1,IF(AF1166=0,0,IF(AND(Z1166="",Y1166&lt;&gt;""),IF(Y1166&gt;=0.999,1,0),IF(AF1166&gt;=U1166,1,0))))</f>
        <v/>
      </c>
      <c r="AH1166" s="44">
        <f>IF(AF1166&gt;0,(AD1166-AE1166)/AF1166,"")</f>
        <v/>
      </c>
      <c r="AI1166" s="45">
        <f>IF(AG1166=1,AH1166-O1166,"")</f>
        <v/>
      </c>
      <c r="AJ1166" s="44">
        <f>IF(AG1166=1,AH1166,MAX(-1,MIN(1,O1166+INDEX(Types!$H:$H,MATCH($A1166&amp;"|"&amp;$D1166,Types!$A:$A,0)))))</f>
        <v/>
      </c>
      <c r="AK1166" s="43">
        <f>IF(AG1166=1,AF1166,MAX(AQ1166*AS1166,AF1166))</f>
        <v/>
      </c>
      <c r="AL1166" s="43">
        <f>IF(AG1166=1,AD1166,AK1166*(1+AJ1166)/2)</f>
        <v/>
      </c>
      <c r="AM1166" s="43">
        <f>IF(AG1166=1,AE1166,AK1166*(1-AJ1166)/2)</f>
        <v/>
      </c>
      <c r="AN1166" s="45">
        <f>IF(AH1166="","",AH1166-T1166)</f>
        <v/>
      </c>
      <c r="AO1166" s="51">
        <f>IF(AG1166=1,1,IF(U1166&gt;0,MIN(AF1166/U1166,0.99),0))</f>
        <v/>
      </c>
      <c r="AP1166" s="43">
        <f>IF(AG1166=1,AI1166*AF1166,0)</f>
        <v/>
      </c>
      <c r="AQ1166" s="43">
        <f>N1166*(F1166+G1166)/H1166</f>
        <v/>
      </c>
      <c r="AR1166" s="43">
        <f>O1166*AQ1166</f>
        <v/>
      </c>
      <c r="AS1166" s="52">
        <f>IF(AG1166=1,IF(AQ1166&gt;0,AF1166/AQ1166,1),IFERROR(INDEX(Types!$K:$K,MATCH($A1166&amp;"|"&amp;$D1166,Types!$A:$A,0)),INDEX(Dashboard!$X$6:$X$22,MATCH($A1166,Dashboard!$A$6:$A$22,0))))</f>
        <v/>
      </c>
      <c r="AT1166" s="43">
        <f>AQ1166*INDEX(Dashboard!$Y$6:$Y$22,MATCH($A1166,Dashboard!$A$6:$A$22,0))</f>
        <v/>
      </c>
      <c r="AU1166" s="53">
        <f>IF(AND(AG1166=1,AT1166&gt;0,AF1166&gt;0),100*AF1166/AT1166,"")</f>
        <v/>
      </c>
      <c r="AV1166" s="44">
        <f>IF(AU1166="","",T1166/(AU1166/100))</f>
        <v/>
      </c>
      <c r="AW1166" s="53">
        <f>IF(AU1166="","",IF(AND(ABS(AH1166)&gt;=0.1,ABS(T1166)&gt;=0.05,SIGN(AH1166)=SIGN(T1166)),100*T1166/AH1166,""))</f>
        <v/>
      </c>
      <c r="AX1166" s="45">
        <f>IF(AU1166="","",T1166-AV1166)</f>
        <v/>
      </c>
      <c r="AY1166" s="45">
        <f>IF(AU1166="","",AH1166-AV1166)</f>
        <v/>
      </c>
      <c r="AZ1166" s="54">
        <f>(AL1166-AM1166)-T1166*AT1166</f>
        <v/>
      </c>
      <c r="BA1166" s="43">
        <f>IF(AU1166="",0,(AH1166-T1166)*AF1166)</f>
        <v/>
      </c>
      <c r="BB1166" s="43">
        <f>IF(AU1166="",0,T1166*(AF1166-AT1166))</f>
        <v/>
      </c>
      <c r="BC1166" s="51" t="n">
        <v>0.00534215212414144</v>
      </c>
      <c r="BD1166" s="51" t="n">
        <v>0.2348003052658357</v>
      </c>
      <c r="BE1166" s="51" t="n">
        <v>0.401294498381877</v>
      </c>
      <c r="BF1166" s="43" t="n">
        <v>3931</v>
      </c>
    </row>
    <row r="1167">
      <c r="A1167" s="42" t="inlineStr">
        <is>
          <t>TX</t>
        </is>
      </c>
      <c r="B1167" s="42" t="inlineStr">
        <is>
          <t>48321</t>
        </is>
      </c>
      <c r="C1167" s="42" t="inlineStr">
        <is>
          <t>Matagorda</t>
        </is>
      </c>
      <c r="D1167" s="42" t="inlineStr">
        <is>
          <t>Hispanic</t>
        </is>
      </c>
      <c r="E1167" s="42" t="inlineStr"/>
      <c r="F1167" s="43" t="n">
        <v>3231</v>
      </c>
      <c r="G1167" s="43" t="n">
        <v>9957</v>
      </c>
      <c r="H1167" s="43" t="n">
        <v>13308</v>
      </c>
      <c r="I1167" s="43" t="n">
        <v>3733</v>
      </c>
      <c r="J1167" s="43" t="n">
        <v>9845</v>
      </c>
      <c r="K1167" s="42" t="inlineStr">
        <is>
          <t>Governor</t>
        </is>
      </c>
      <c r="L1167" s="43" t="n">
        <v>2273</v>
      </c>
      <c r="M1167" s="43" t="n">
        <v>7350</v>
      </c>
      <c r="N1167" s="43" t="n">
        <v>9724</v>
      </c>
      <c r="O1167" s="44">
        <f>IFERROR((F1167-G1167)/(F1167+G1167),"")</f>
        <v/>
      </c>
      <c r="P1167" s="44">
        <f>IFERROR((I1167-J1167)/(I1167+J1167),"")</f>
        <v/>
      </c>
      <c r="Q1167" s="45">
        <f>IFERROR(O1167-P1167,"")</f>
        <v/>
      </c>
      <c r="R1167" s="44">
        <f>IFERROR((L1167-M1167)/(L1167+M1167),"")</f>
        <v/>
      </c>
      <c r="S1167" s="46">
        <f>H1167/SUMIFS(Counties!$H$2:$H$1583,Counties!$A$2:$A$1583,$A1167)</f>
        <v/>
      </c>
      <c r="T1167" s="44">
        <f>O1167+INDEX(Dashboard!$F$6:$F$22,MATCH($A1167,Dashboard!$A$6:$A$22,0))</f>
        <v/>
      </c>
      <c r="U1167" s="43">
        <f>AQ1167*INDEX(Dashboard!$G$6:$G$22,MATCH($A1167,Dashboard!$A$6:$A$22,0))</f>
        <v/>
      </c>
      <c r="V1167" s="47" t="n"/>
      <c r="W1167" s="47" t="n"/>
      <c r="X1167" s="47" t="n"/>
      <c r="Y1167" s="48" t="n"/>
      <c r="Z1167" s="49" t="n"/>
      <c r="AA1167" s="49" t="n"/>
      <c r="AB1167" s="49" t="n"/>
      <c r="AC1167" s="50" t="n"/>
      <c r="AD1167" s="43">
        <f>IF(Z1167&lt;&gt;"",Z1167,N(V1167))</f>
        <v/>
      </c>
      <c r="AE1167" s="43">
        <f>IF(AA1167&lt;&gt;"",AA1167,N(W1167))</f>
        <v/>
      </c>
      <c r="AF1167" s="43">
        <f>AD1167+AE1167</f>
        <v/>
      </c>
      <c r="AG1167" s="42">
        <f>IF(UPPER(AC1167)="Y",1,IF(AF1167=0,0,IF(AND(Z1167="",Y1167&lt;&gt;""),IF(Y1167&gt;=0.999,1,0),IF(AF1167&gt;=U1167,1,0))))</f>
        <v/>
      </c>
      <c r="AH1167" s="44">
        <f>IF(AF1167&gt;0,(AD1167-AE1167)/AF1167,"")</f>
        <v/>
      </c>
      <c r="AI1167" s="45">
        <f>IF(AG1167=1,AH1167-O1167,"")</f>
        <v/>
      </c>
      <c r="AJ1167" s="44">
        <f>IF(AG1167=1,AH1167,MAX(-1,MIN(1,O1167+INDEX(Types!$H:$H,MATCH($A1167&amp;"|"&amp;$D1167,Types!$A:$A,0)))))</f>
        <v/>
      </c>
      <c r="AK1167" s="43">
        <f>IF(AG1167=1,AF1167,MAX(AQ1167*AS1167,AF1167))</f>
        <v/>
      </c>
      <c r="AL1167" s="43">
        <f>IF(AG1167=1,AD1167,AK1167*(1+AJ1167)/2)</f>
        <v/>
      </c>
      <c r="AM1167" s="43">
        <f>IF(AG1167=1,AE1167,AK1167*(1-AJ1167)/2)</f>
        <v/>
      </c>
      <c r="AN1167" s="45">
        <f>IF(AH1167="","",AH1167-T1167)</f>
        <v/>
      </c>
      <c r="AO1167" s="51">
        <f>IF(AG1167=1,1,IF(U1167&gt;0,MIN(AF1167/U1167,0.99),0))</f>
        <v/>
      </c>
      <c r="AP1167" s="43">
        <f>IF(AG1167=1,AI1167*AF1167,0)</f>
        <v/>
      </c>
      <c r="AQ1167" s="43">
        <f>N1167*(F1167+G1167)/H1167</f>
        <v/>
      </c>
      <c r="AR1167" s="43">
        <f>O1167*AQ1167</f>
        <v/>
      </c>
      <c r="AS1167" s="52">
        <f>IF(AG1167=1,IF(AQ1167&gt;0,AF1167/AQ1167,1),IFERROR(INDEX(Types!$K:$K,MATCH($A1167&amp;"|"&amp;$D1167,Types!$A:$A,0)),INDEX(Dashboard!$X$6:$X$22,MATCH($A1167,Dashboard!$A$6:$A$22,0))))</f>
        <v/>
      </c>
      <c r="AT1167" s="43">
        <f>AQ1167*INDEX(Dashboard!$Y$6:$Y$22,MATCH($A1167,Dashboard!$A$6:$A$22,0))</f>
        <v/>
      </c>
      <c r="AU1167" s="53">
        <f>IF(AND(AG1167=1,AT1167&gt;0,AF1167&gt;0),100*AF1167/AT1167,"")</f>
        <v/>
      </c>
      <c r="AV1167" s="44">
        <f>IF(AU1167="","",T1167/(AU1167/100))</f>
        <v/>
      </c>
      <c r="AW1167" s="53">
        <f>IF(AU1167="","",IF(AND(ABS(AH1167)&gt;=0.1,ABS(T1167)&gt;=0.05,SIGN(AH1167)=SIGN(T1167)),100*T1167/AH1167,""))</f>
        <v/>
      </c>
      <c r="AX1167" s="45">
        <f>IF(AU1167="","",T1167-AV1167)</f>
        <v/>
      </c>
      <c r="AY1167" s="45">
        <f>IF(AU1167="","",AH1167-AV1167)</f>
        <v/>
      </c>
      <c r="AZ1167" s="54">
        <f>(AL1167-AM1167)-T1167*AT1167</f>
        <v/>
      </c>
      <c r="BA1167" s="43">
        <f>IF(AU1167="",0,(AH1167-T1167)*AF1167)</f>
        <v/>
      </c>
      <c r="BB1167" s="43">
        <f>IF(AU1167="",0,T1167*(AF1167-AT1167))</f>
        <v/>
      </c>
      <c r="BC1167" s="51" t="n">
        <v>0.1013504221788278</v>
      </c>
      <c r="BD1167" s="51" t="n">
        <v>0.4407161913143926</v>
      </c>
      <c r="BE1167" s="51" t="n">
        <v>0.2276956305034059</v>
      </c>
      <c r="BF1167" s="43" t="n">
        <v>36359</v>
      </c>
    </row>
    <row r="1168">
      <c r="A1168" s="42" t="inlineStr">
        <is>
          <t>TX</t>
        </is>
      </c>
      <c r="B1168" s="42" t="inlineStr">
        <is>
          <t>48323</t>
        </is>
      </c>
      <c r="C1168" s="42" t="inlineStr">
        <is>
          <t>Maverick</t>
        </is>
      </c>
      <c r="D1168" s="42" t="inlineStr">
        <is>
          <t>Hispanic</t>
        </is>
      </c>
      <c r="E1168" s="42" t="inlineStr"/>
      <c r="F1168" s="43" t="n">
        <v>6373</v>
      </c>
      <c r="G1168" s="43" t="n">
        <v>9285</v>
      </c>
      <c r="H1168" s="43" t="n">
        <v>15743</v>
      </c>
      <c r="I1168" s="43" t="n">
        <v>8332</v>
      </c>
      <c r="J1168" s="43" t="n">
        <v>6881</v>
      </c>
      <c r="K1168" s="42" t="inlineStr">
        <is>
          <t>Governor</t>
        </is>
      </c>
      <c r="L1168" s="43" t="n">
        <v>5555</v>
      </c>
      <c r="M1168" s="43" t="n">
        <v>3860</v>
      </c>
      <c r="N1168" s="43" t="n">
        <v>9581</v>
      </c>
      <c r="O1168" s="44">
        <f>IFERROR((F1168-G1168)/(F1168+G1168),"")</f>
        <v/>
      </c>
      <c r="P1168" s="44">
        <f>IFERROR((I1168-J1168)/(I1168+J1168),"")</f>
        <v/>
      </c>
      <c r="Q1168" s="45">
        <f>IFERROR(O1168-P1168,"")</f>
        <v/>
      </c>
      <c r="R1168" s="44">
        <f>IFERROR((L1168-M1168)/(L1168+M1168),"")</f>
        <v/>
      </c>
      <c r="S1168" s="46">
        <f>H1168/SUMIFS(Counties!$H$2:$H$1583,Counties!$A$2:$A$1583,$A1168)</f>
        <v/>
      </c>
      <c r="T1168" s="44">
        <f>O1168+INDEX(Dashboard!$F$6:$F$22,MATCH($A1168,Dashboard!$A$6:$A$22,0))</f>
        <v/>
      </c>
      <c r="U1168" s="43">
        <f>AQ1168*INDEX(Dashboard!$G$6:$G$22,MATCH($A1168,Dashboard!$A$6:$A$22,0))</f>
        <v/>
      </c>
      <c r="V1168" s="47" t="n"/>
      <c r="W1168" s="47" t="n"/>
      <c r="X1168" s="47" t="n"/>
      <c r="Y1168" s="48" t="n"/>
      <c r="Z1168" s="49" t="n"/>
      <c r="AA1168" s="49" t="n"/>
      <c r="AB1168" s="49" t="n"/>
      <c r="AC1168" s="50" t="n"/>
      <c r="AD1168" s="43">
        <f>IF(Z1168&lt;&gt;"",Z1168,N(V1168))</f>
        <v/>
      </c>
      <c r="AE1168" s="43">
        <f>IF(AA1168&lt;&gt;"",AA1168,N(W1168))</f>
        <v/>
      </c>
      <c r="AF1168" s="43">
        <f>AD1168+AE1168</f>
        <v/>
      </c>
      <c r="AG1168" s="42">
        <f>IF(UPPER(AC1168)="Y",1,IF(AF1168=0,0,IF(AND(Z1168="",Y1168&lt;&gt;""),IF(Y1168&gt;=0.999,1,0),IF(AF1168&gt;=U1168,1,0))))</f>
        <v/>
      </c>
      <c r="AH1168" s="44">
        <f>IF(AF1168&gt;0,(AD1168-AE1168)/AF1168,"")</f>
        <v/>
      </c>
      <c r="AI1168" s="45">
        <f>IF(AG1168=1,AH1168-O1168,"")</f>
        <v/>
      </c>
      <c r="AJ1168" s="44">
        <f>IF(AG1168=1,AH1168,MAX(-1,MIN(1,O1168+INDEX(Types!$H:$H,MATCH($A1168&amp;"|"&amp;$D1168,Types!$A:$A,0)))))</f>
        <v/>
      </c>
      <c r="AK1168" s="43">
        <f>IF(AG1168=1,AF1168,MAX(AQ1168*AS1168,AF1168))</f>
        <v/>
      </c>
      <c r="AL1168" s="43">
        <f>IF(AG1168=1,AD1168,AK1168*(1+AJ1168)/2)</f>
        <v/>
      </c>
      <c r="AM1168" s="43">
        <f>IF(AG1168=1,AE1168,AK1168*(1-AJ1168)/2)</f>
        <v/>
      </c>
      <c r="AN1168" s="45">
        <f>IF(AH1168="","",AH1168-T1168)</f>
        <v/>
      </c>
      <c r="AO1168" s="51">
        <f>IF(AG1168=1,1,IF(U1168&gt;0,MIN(AF1168/U1168,0.99),0))</f>
        <v/>
      </c>
      <c r="AP1168" s="43">
        <f>IF(AG1168=1,AI1168*AF1168,0)</f>
        <v/>
      </c>
      <c r="AQ1168" s="43">
        <f>N1168*(F1168+G1168)/H1168</f>
        <v/>
      </c>
      <c r="AR1168" s="43">
        <f>O1168*AQ1168</f>
        <v/>
      </c>
      <c r="AS1168" s="52">
        <f>IF(AG1168=1,IF(AQ1168&gt;0,AF1168/AQ1168,1),IFERROR(INDEX(Types!$K:$K,MATCH($A1168&amp;"|"&amp;$D1168,Types!$A:$A,0)),INDEX(Dashboard!$X$6:$X$22,MATCH($A1168,Dashboard!$A$6:$A$22,0))))</f>
        <v/>
      </c>
      <c r="AT1168" s="43">
        <f>AQ1168*INDEX(Dashboard!$Y$6:$Y$22,MATCH($A1168,Dashboard!$A$6:$A$22,0))</f>
        <v/>
      </c>
      <c r="AU1168" s="53">
        <f>IF(AND(AG1168=1,AT1168&gt;0,AF1168&gt;0),100*AF1168/AT1168,"")</f>
        <v/>
      </c>
      <c r="AV1168" s="44">
        <f>IF(AU1168="","",T1168/(AU1168/100))</f>
        <v/>
      </c>
      <c r="AW1168" s="53">
        <f>IF(AU1168="","",IF(AND(ABS(AH1168)&gt;=0.1,ABS(T1168)&gt;=0.05,SIGN(AH1168)=SIGN(T1168)),100*T1168/AH1168,""))</f>
        <v/>
      </c>
      <c r="AX1168" s="45">
        <f>IF(AU1168="","",T1168-AV1168)</f>
        <v/>
      </c>
      <c r="AY1168" s="45">
        <f>IF(AU1168="","",AH1168-AV1168)</f>
        <v/>
      </c>
      <c r="AZ1168" s="54">
        <f>(AL1168-AM1168)-T1168*AT1168</f>
        <v/>
      </c>
      <c r="BA1168" s="43">
        <f>IF(AU1168="",0,(AH1168-T1168)*AF1168)</f>
        <v/>
      </c>
      <c r="BB1168" s="43">
        <f>IF(AU1168="",0,T1168*(AF1168-AT1168))</f>
        <v/>
      </c>
      <c r="BC1168" s="51" t="n">
        <v>0.005539974377618504</v>
      </c>
      <c r="BD1168" s="51" t="n">
        <v>0.9469374329143728</v>
      </c>
      <c r="BE1168" s="51" t="n">
        <v>0.1532717567324417</v>
      </c>
      <c r="BF1168" s="43" t="n">
        <v>57762</v>
      </c>
    </row>
    <row r="1169">
      <c r="A1169" s="42" t="inlineStr">
        <is>
          <t>TX</t>
        </is>
      </c>
      <c r="B1169" s="42" t="inlineStr">
        <is>
          <t>48307</t>
        </is>
      </c>
      <c r="C1169" s="42" t="inlineStr">
        <is>
          <t>McCulloch</t>
        </is>
      </c>
      <c r="D1169" s="42" t="inlineStr">
        <is>
          <t>Small town &amp; rural</t>
        </is>
      </c>
      <c r="E1169" s="42" t="inlineStr"/>
      <c r="F1169" s="43" t="n">
        <v>455</v>
      </c>
      <c r="G1169" s="43" t="n">
        <v>3033</v>
      </c>
      <c r="H1169" s="43" t="n">
        <v>3513</v>
      </c>
      <c r="I1169" s="43" t="n">
        <v>490</v>
      </c>
      <c r="J1169" s="43" t="n">
        <v>2904</v>
      </c>
      <c r="K1169" s="42" t="inlineStr">
        <is>
          <t>Governor</t>
        </is>
      </c>
      <c r="L1169" s="43" t="n">
        <v>314</v>
      </c>
      <c r="M1169" s="43" t="n">
        <v>2221</v>
      </c>
      <c r="N1169" s="43" t="n">
        <v>2563</v>
      </c>
      <c r="O1169" s="44">
        <f>IFERROR((F1169-G1169)/(F1169+G1169),"")</f>
        <v/>
      </c>
      <c r="P1169" s="44">
        <f>IFERROR((I1169-J1169)/(I1169+J1169),"")</f>
        <v/>
      </c>
      <c r="Q1169" s="45">
        <f>IFERROR(O1169-P1169,"")</f>
        <v/>
      </c>
      <c r="R1169" s="44">
        <f>IFERROR((L1169-M1169)/(L1169+M1169),"")</f>
        <v/>
      </c>
      <c r="S1169" s="46">
        <f>H1169/SUMIFS(Counties!$H$2:$H$1583,Counties!$A$2:$A$1583,$A1169)</f>
        <v/>
      </c>
      <c r="T1169" s="44">
        <f>O1169+INDEX(Dashboard!$F$6:$F$22,MATCH($A1169,Dashboard!$A$6:$A$22,0))</f>
        <v/>
      </c>
      <c r="U1169" s="43">
        <f>AQ1169*INDEX(Dashboard!$G$6:$G$22,MATCH($A1169,Dashboard!$A$6:$A$22,0))</f>
        <v/>
      </c>
      <c r="V1169" s="47" t="n"/>
      <c r="W1169" s="47" t="n"/>
      <c r="X1169" s="47" t="n"/>
      <c r="Y1169" s="48" t="n"/>
      <c r="Z1169" s="49" t="n"/>
      <c r="AA1169" s="49" t="n"/>
      <c r="AB1169" s="49" t="n"/>
      <c r="AC1169" s="50" t="n"/>
      <c r="AD1169" s="43">
        <f>IF(Z1169&lt;&gt;"",Z1169,N(V1169))</f>
        <v/>
      </c>
      <c r="AE1169" s="43">
        <f>IF(AA1169&lt;&gt;"",AA1169,N(W1169))</f>
        <v/>
      </c>
      <c r="AF1169" s="43">
        <f>AD1169+AE1169</f>
        <v/>
      </c>
      <c r="AG1169" s="42">
        <f>IF(UPPER(AC1169)="Y",1,IF(AF1169=0,0,IF(AND(Z1169="",Y1169&lt;&gt;""),IF(Y1169&gt;=0.999,1,0),IF(AF1169&gt;=U1169,1,0))))</f>
        <v/>
      </c>
      <c r="AH1169" s="44">
        <f>IF(AF1169&gt;0,(AD1169-AE1169)/AF1169,"")</f>
        <v/>
      </c>
      <c r="AI1169" s="45">
        <f>IF(AG1169=1,AH1169-O1169,"")</f>
        <v/>
      </c>
      <c r="AJ1169" s="44">
        <f>IF(AG1169=1,AH1169,MAX(-1,MIN(1,O1169+INDEX(Types!$H:$H,MATCH($A1169&amp;"|"&amp;$D1169,Types!$A:$A,0)))))</f>
        <v/>
      </c>
      <c r="AK1169" s="43">
        <f>IF(AG1169=1,AF1169,MAX(AQ1169*AS1169,AF1169))</f>
        <v/>
      </c>
      <c r="AL1169" s="43">
        <f>IF(AG1169=1,AD1169,AK1169*(1+AJ1169)/2)</f>
        <v/>
      </c>
      <c r="AM1169" s="43">
        <f>IF(AG1169=1,AE1169,AK1169*(1-AJ1169)/2)</f>
        <v/>
      </c>
      <c r="AN1169" s="45">
        <f>IF(AH1169="","",AH1169-T1169)</f>
        <v/>
      </c>
      <c r="AO1169" s="51">
        <f>IF(AG1169=1,1,IF(U1169&gt;0,MIN(AF1169/U1169,0.99),0))</f>
        <v/>
      </c>
      <c r="AP1169" s="43">
        <f>IF(AG1169=1,AI1169*AF1169,0)</f>
        <v/>
      </c>
      <c r="AQ1169" s="43">
        <f>N1169*(F1169+G1169)/H1169</f>
        <v/>
      </c>
      <c r="AR1169" s="43">
        <f>O1169*AQ1169</f>
        <v/>
      </c>
      <c r="AS1169" s="52">
        <f>IF(AG1169=1,IF(AQ1169&gt;0,AF1169/AQ1169,1),IFERROR(INDEX(Types!$K:$K,MATCH($A1169&amp;"|"&amp;$D1169,Types!$A:$A,0)),INDEX(Dashboard!$X$6:$X$22,MATCH($A1169,Dashboard!$A$6:$A$22,0))))</f>
        <v/>
      </c>
      <c r="AT1169" s="43">
        <f>AQ1169*INDEX(Dashboard!$Y$6:$Y$22,MATCH($A1169,Dashboard!$A$6:$A$22,0))</f>
        <v/>
      </c>
      <c r="AU1169" s="53">
        <f>IF(AND(AG1169=1,AT1169&gt;0,AF1169&gt;0),100*AF1169/AT1169,"")</f>
        <v/>
      </c>
      <c r="AV1169" s="44">
        <f>IF(AU1169="","",T1169/(AU1169/100))</f>
        <v/>
      </c>
      <c r="AW1169" s="53">
        <f>IF(AU1169="","",IF(AND(ABS(AH1169)&gt;=0.1,ABS(T1169)&gt;=0.05,SIGN(AH1169)=SIGN(T1169)),100*T1169/AH1169,""))</f>
        <v/>
      </c>
      <c r="AX1169" s="45">
        <f>IF(AU1169="","",T1169-AV1169)</f>
        <v/>
      </c>
      <c r="AY1169" s="45">
        <f>IF(AU1169="","",AH1169-AV1169)</f>
        <v/>
      </c>
      <c r="AZ1169" s="54">
        <f>(AL1169-AM1169)-T1169*AT1169</f>
        <v/>
      </c>
      <c r="BA1169" s="43">
        <f>IF(AU1169="",0,(AH1169-T1169)*AF1169)</f>
        <v/>
      </c>
      <c r="BB1169" s="43">
        <f>IF(AU1169="",0,T1169*(AF1169-AT1169))</f>
        <v/>
      </c>
      <c r="BC1169" s="51" t="n">
        <v>0.02321524422973698</v>
      </c>
      <c r="BD1169" s="51" t="n">
        <v>0.3024691358024691</v>
      </c>
      <c r="BE1169" s="51" t="n">
        <v>0.196020085549563</v>
      </c>
      <c r="BF1169" s="43" t="n">
        <v>7452</v>
      </c>
    </row>
    <row r="1170">
      <c r="A1170" s="42" t="inlineStr">
        <is>
          <t>TX</t>
        </is>
      </c>
      <c r="B1170" s="42" t="inlineStr">
        <is>
          <t>48309</t>
        </is>
      </c>
      <c r="C1170" s="42" t="inlineStr">
        <is>
          <t>McLennan</t>
        </is>
      </c>
      <c r="D1170" s="42" t="inlineStr">
        <is>
          <t>Mid-size/working metro</t>
        </is>
      </c>
      <c r="E1170" s="42" t="inlineStr"/>
      <c r="F1170" s="43" t="n">
        <v>33863</v>
      </c>
      <c r="G1170" s="43" t="n">
        <v>64606</v>
      </c>
      <c r="H1170" s="43" t="n">
        <v>99490</v>
      </c>
      <c r="I1170" s="43" t="n">
        <v>36688</v>
      </c>
      <c r="J1170" s="43" t="n">
        <v>59543</v>
      </c>
      <c r="K1170" s="42" t="inlineStr">
        <is>
          <t>Governor</t>
        </is>
      </c>
      <c r="L1170" s="43" t="n">
        <v>23765</v>
      </c>
      <c r="M1170" s="43" t="n">
        <v>47875</v>
      </c>
      <c r="N1170" s="43" t="n">
        <v>72590</v>
      </c>
      <c r="O1170" s="44">
        <f>IFERROR((F1170-G1170)/(F1170+G1170),"")</f>
        <v/>
      </c>
      <c r="P1170" s="44">
        <f>IFERROR((I1170-J1170)/(I1170+J1170),"")</f>
        <v/>
      </c>
      <c r="Q1170" s="45">
        <f>IFERROR(O1170-P1170,"")</f>
        <v/>
      </c>
      <c r="R1170" s="44">
        <f>IFERROR((L1170-M1170)/(L1170+M1170),"")</f>
        <v/>
      </c>
      <c r="S1170" s="46">
        <f>H1170/SUMIFS(Counties!$H$2:$H$1583,Counties!$A$2:$A$1583,$A1170)</f>
        <v/>
      </c>
      <c r="T1170" s="44">
        <f>O1170+INDEX(Dashboard!$F$6:$F$22,MATCH($A1170,Dashboard!$A$6:$A$22,0))</f>
        <v/>
      </c>
      <c r="U1170" s="43">
        <f>AQ1170*INDEX(Dashboard!$G$6:$G$22,MATCH($A1170,Dashboard!$A$6:$A$22,0))</f>
        <v/>
      </c>
      <c r="V1170" s="47" t="n"/>
      <c r="W1170" s="47" t="n"/>
      <c r="X1170" s="47" t="n"/>
      <c r="Y1170" s="48" t="n"/>
      <c r="Z1170" s="49" t="n"/>
      <c r="AA1170" s="49" t="n"/>
      <c r="AB1170" s="49" t="n"/>
      <c r="AC1170" s="50" t="n"/>
      <c r="AD1170" s="43">
        <f>IF(Z1170&lt;&gt;"",Z1170,N(V1170))</f>
        <v/>
      </c>
      <c r="AE1170" s="43">
        <f>IF(AA1170&lt;&gt;"",AA1170,N(W1170))</f>
        <v/>
      </c>
      <c r="AF1170" s="43">
        <f>AD1170+AE1170</f>
        <v/>
      </c>
      <c r="AG1170" s="42">
        <f>IF(UPPER(AC1170)="Y",1,IF(AF1170=0,0,IF(AND(Z1170="",Y1170&lt;&gt;""),IF(Y1170&gt;=0.999,1,0),IF(AF1170&gt;=U1170,1,0))))</f>
        <v/>
      </c>
      <c r="AH1170" s="44">
        <f>IF(AF1170&gt;0,(AD1170-AE1170)/AF1170,"")</f>
        <v/>
      </c>
      <c r="AI1170" s="45">
        <f>IF(AG1170=1,AH1170-O1170,"")</f>
        <v/>
      </c>
      <c r="AJ1170" s="44">
        <f>IF(AG1170=1,AH1170,MAX(-1,MIN(1,O1170+INDEX(Types!$H:$H,MATCH($A1170&amp;"|"&amp;$D1170,Types!$A:$A,0)))))</f>
        <v/>
      </c>
      <c r="AK1170" s="43">
        <f>IF(AG1170=1,AF1170,MAX(AQ1170*AS1170,AF1170))</f>
        <v/>
      </c>
      <c r="AL1170" s="43">
        <f>IF(AG1170=1,AD1170,AK1170*(1+AJ1170)/2)</f>
        <v/>
      </c>
      <c r="AM1170" s="43">
        <f>IF(AG1170=1,AE1170,AK1170*(1-AJ1170)/2)</f>
        <v/>
      </c>
      <c r="AN1170" s="45">
        <f>IF(AH1170="","",AH1170-T1170)</f>
        <v/>
      </c>
      <c r="AO1170" s="51">
        <f>IF(AG1170=1,1,IF(U1170&gt;0,MIN(AF1170/U1170,0.99),0))</f>
        <v/>
      </c>
      <c r="AP1170" s="43">
        <f>IF(AG1170=1,AI1170*AF1170,0)</f>
        <v/>
      </c>
      <c r="AQ1170" s="43">
        <f>N1170*(F1170+G1170)/H1170</f>
        <v/>
      </c>
      <c r="AR1170" s="43">
        <f>O1170*AQ1170</f>
        <v/>
      </c>
      <c r="AS1170" s="52">
        <f>IF(AG1170=1,IF(AQ1170&gt;0,AF1170/AQ1170,1),IFERROR(INDEX(Types!$K:$K,MATCH($A1170&amp;"|"&amp;$D1170,Types!$A:$A,0)),INDEX(Dashboard!$X$6:$X$22,MATCH($A1170,Dashboard!$A$6:$A$22,0))))</f>
        <v/>
      </c>
      <c r="AT1170" s="43">
        <f>AQ1170*INDEX(Dashboard!$Y$6:$Y$22,MATCH($A1170,Dashboard!$A$6:$A$22,0))</f>
        <v/>
      </c>
      <c r="AU1170" s="53">
        <f>IF(AND(AG1170=1,AT1170&gt;0,AF1170&gt;0),100*AF1170/AT1170,"")</f>
        <v/>
      </c>
      <c r="AV1170" s="44">
        <f>IF(AU1170="","",T1170/(AU1170/100))</f>
        <v/>
      </c>
      <c r="AW1170" s="53">
        <f>IF(AU1170="","",IF(AND(ABS(AH1170)&gt;=0.1,ABS(T1170)&gt;=0.05,SIGN(AH1170)=SIGN(T1170)),100*T1170/AH1170,""))</f>
        <v/>
      </c>
      <c r="AX1170" s="45">
        <f>IF(AU1170="","",T1170-AV1170)</f>
        <v/>
      </c>
      <c r="AY1170" s="45">
        <f>IF(AU1170="","",AH1170-AV1170)</f>
        <v/>
      </c>
      <c r="AZ1170" s="54">
        <f>(AL1170-AM1170)-T1170*AT1170</f>
        <v/>
      </c>
      <c r="BA1170" s="43">
        <f>IF(AU1170="",0,(AH1170-T1170)*AF1170)</f>
        <v/>
      </c>
      <c r="BB1170" s="43">
        <f>IF(AU1170="",0,T1170*(AF1170-AT1170))</f>
        <v/>
      </c>
      <c r="BC1170" s="51" t="n">
        <v>0.139286552015578</v>
      </c>
      <c r="BD1170" s="51" t="n">
        <v>0.2716329775153304</v>
      </c>
      <c r="BE1170" s="51" t="n">
        <v>0.2777164426736075</v>
      </c>
      <c r="BF1170" s="43" t="n">
        <v>268583</v>
      </c>
    </row>
    <row r="1171">
      <c r="A1171" s="42" t="inlineStr">
        <is>
          <t>TX</t>
        </is>
      </c>
      <c r="B1171" s="42" t="inlineStr">
        <is>
          <t>48311</t>
        </is>
      </c>
      <c r="C1171" s="42" t="inlineStr">
        <is>
          <t>McMullen</t>
        </is>
      </c>
      <c r="D1171" s="42" t="inlineStr">
        <is>
          <t>Small town &amp; rural</t>
        </is>
      </c>
      <c r="E1171" s="42" t="inlineStr"/>
      <c r="F1171" s="43" t="n">
        <v>37</v>
      </c>
      <c r="G1171" s="43" t="n">
        <v>448</v>
      </c>
      <c r="H1171" s="43" t="n">
        <v>487</v>
      </c>
      <c r="I1171" s="43" t="n">
        <v>53</v>
      </c>
      <c r="J1171" s="43" t="n">
        <v>460</v>
      </c>
      <c r="K1171" s="42" t="inlineStr">
        <is>
          <t>Governor</t>
        </is>
      </c>
      <c r="L1171" s="43" t="n">
        <v>28</v>
      </c>
      <c r="M1171" s="43" t="n">
        <v>343</v>
      </c>
      <c r="N1171" s="43" t="n">
        <v>372</v>
      </c>
      <c r="O1171" s="44">
        <f>IFERROR((F1171-G1171)/(F1171+G1171),"")</f>
        <v/>
      </c>
      <c r="P1171" s="44">
        <f>IFERROR((I1171-J1171)/(I1171+J1171),"")</f>
        <v/>
      </c>
      <c r="Q1171" s="45">
        <f>IFERROR(O1171-P1171,"")</f>
        <v/>
      </c>
      <c r="R1171" s="44">
        <f>IFERROR((L1171-M1171)/(L1171+M1171),"")</f>
        <v/>
      </c>
      <c r="S1171" s="46">
        <f>H1171/SUMIFS(Counties!$H$2:$H$1583,Counties!$A$2:$A$1583,$A1171)</f>
        <v/>
      </c>
      <c r="T1171" s="44">
        <f>O1171+INDEX(Dashboard!$F$6:$F$22,MATCH($A1171,Dashboard!$A$6:$A$22,0))</f>
        <v/>
      </c>
      <c r="U1171" s="43">
        <f>AQ1171*INDEX(Dashboard!$G$6:$G$22,MATCH($A1171,Dashboard!$A$6:$A$22,0))</f>
        <v/>
      </c>
      <c r="V1171" s="47" t="n"/>
      <c r="W1171" s="47" t="n"/>
      <c r="X1171" s="47" t="n"/>
      <c r="Y1171" s="48" t="n"/>
      <c r="Z1171" s="49" t="n"/>
      <c r="AA1171" s="49" t="n"/>
      <c r="AB1171" s="49" t="n"/>
      <c r="AC1171" s="50" t="n"/>
      <c r="AD1171" s="43">
        <f>IF(Z1171&lt;&gt;"",Z1171,N(V1171))</f>
        <v/>
      </c>
      <c r="AE1171" s="43">
        <f>IF(AA1171&lt;&gt;"",AA1171,N(W1171))</f>
        <v/>
      </c>
      <c r="AF1171" s="43">
        <f>AD1171+AE1171</f>
        <v/>
      </c>
      <c r="AG1171" s="42">
        <f>IF(UPPER(AC1171)="Y",1,IF(AF1171=0,0,IF(AND(Z1171="",Y1171&lt;&gt;""),IF(Y1171&gt;=0.999,1,0),IF(AF1171&gt;=U1171,1,0))))</f>
        <v/>
      </c>
      <c r="AH1171" s="44">
        <f>IF(AF1171&gt;0,(AD1171-AE1171)/AF1171,"")</f>
        <v/>
      </c>
      <c r="AI1171" s="45">
        <f>IF(AG1171=1,AH1171-O1171,"")</f>
        <v/>
      </c>
      <c r="AJ1171" s="44">
        <f>IF(AG1171=1,AH1171,MAX(-1,MIN(1,O1171+INDEX(Types!$H:$H,MATCH($A1171&amp;"|"&amp;$D1171,Types!$A:$A,0)))))</f>
        <v/>
      </c>
      <c r="AK1171" s="43">
        <f>IF(AG1171=1,AF1171,MAX(AQ1171*AS1171,AF1171))</f>
        <v/>
      </c>
      <c r="AL1171" s="43">
        <f>IF(AG1171=1,AD1171,AK1171*(1+AJ1171)/2)</f>
        <v/>
      </c>
      <c r="AM1171" s="43">
        <f>IF(AG1171=1,AE1171,AK1171*(1-AJ1171)/2)</f>
        <v/>
      </c>
      <c r="AN1171" s="45">
        <f>IF(AH1171="","",AH1171-T1171)</f>
        <v/>
      </c>
      <c r="AO1171" s="51">
        <f>IF(AG1171=1,1,IF(U1171&gt;0,MIN(AF1171/U1171,0.99),0))</f>
        <v/>
      </c>
      <c r="AP1171" s="43">
        <f>IF(AG1171=1,AI1171*AF1171,0)</f>
        <v/>
      </c>
      <c r="AQ1171" s="43">
        <f>N1171*(F1171+G1171)/H1171</f>
        <v/>
      </c>
      <c r="AR1171" s="43">
        <f>O1171*AQ1171</f>
        <v/>
      </c>
      <c r="AS1171" s="52">
        <f>IF(AG1171=1,IF(AQ1171&gt;0,AF1171/AQ1171,1),IFERROR(INDEX(Types!$K:$K,MATCH($A1171&amp;"|"&amp;$D1171,Types!$A:$A,0)),INDEX(Dashboard!$X$6:$X$22,MATCH($A1171,Dashboard!$A$6:$A$22,0))))</f>
        <v/>
      </c>
      <c r="AT1171" s="43">
        <f>AQ1171*INDEX(Dashboard!$Y$6:$Y$22,MATCH($A1171,Dashboard!$A$6:$A$22,0))</f>
        <v/>
      </c>
      <c r="AU1171" s="53">
        <f>IF(AND(AG1171=1,AT1171&gt;0,AF1171&gt;0),100*AF1171/AT1171,"")</f>
        <v/>
      </c>
      <c r="AV1171" s="44">
        <f>IF(AU1171="","",T1171/(AU1171/100))</f>
        <v/>
      </c>
      <c r="AW1171" s="53">
        <f>IF(AU1171="","",IF(AND(ABS(AH1171)&gt;=0.1,ABS(T1171)&gt;=0.05,SIGN(AH1171)=SIGN(T1171)),100*T1171/AH1171,""))</f>
        <v/>
      </c>
      <c r="AX1171" s="45">
        <f>IF(AU1171="","",T1171-AV1171)</f>
        <v/>
      </c>
      <c r="AY1171" s="45">
        <f>IF(AU1171="","",AH1171-AV1171)</f>
        <v/>
      </c>
      <c r="AZ1171" s="54">
        <f>(AL1171-AM1171)-T1171*AT1171</f>
        <v/>
      </c>
      <c r="BA1171" s="43">
        <f>IF(AU1171="",0,(AH1171-T1171)*AF1171)</f>
        <v/>
      </c>
      <c r="BB1171" s="43">
        <f>IF(AU1171="",0,T1171*(AF1171-AT1171))</f>
        <v/>
      </c>
      <c r="BC1171" s="51" t="n">
        <v>0.02640845070422535</v>
      </c>
      <c r="BD1171" s="51" t="n">
        <v>0.3943661971830986</v>
      </c>
      <c r="BE1171" s="51" t="n">
        <v>0.1497175141242938</v>
      </c>
      <c r="BF1171" s="43" t="n">
        <v>568</v>
      </c>
    </row>
    <row r="1172">
      <c r="A1172" s="42" t="inlineStr">
        <is>
          <t>TX</t>
        </is>
      </c>
      <c r="B1172" s="42" t="inlineStr">
        <is>
          <t>48325</t>
        </is>
      </c>
      <c r="C1172" s="42" t="inlineStr">
        <is>
          <t>Medina</t>
        </is>
      </c>
      <c r="D1172" s="42" t="inlineStr">
        <is>
          <t>Hispanic</t>
        </is>
      </c>
      <c r="E1172" s="42" t="inlineStr"/>
      <c r="F1172" s="43" t="n">
        <v>6950</v>
      </c>
      <c r="G1172" s="43" t="n">
        <v>17464</v>
      </c>
      <c r="H1172" s="43" t="n">
        <v>24598</v>
      </c>
      <c r="I1172" s="43" t="n">
        <v>6773</v>
      </c>
      <c r="J1172" s="43" t="n">
        <v>15642</v>
      </c>
      <c r="K1172" s="42" t="inlineStr">
        <is>
          <t>Governor</t>
        </is>
      </c>
      <c r="L1172" s="43" t="n">
        <v>4591</v>
      </c>
      <c r="M1172" s="43" t="n">
        <v>12601</v>
      </c>
      <c r="N1172" s="43" t="n">
        <v>17366</v>
      </c>
      <c r="O1172" s="44">
        <f>IFERROR((F1172-G1172)/(F1172+G1172),"")</f>
        <v/>
      </c>
      <c r="P1172" s="44">
        <f>IFERROR((I1172-J1172)/(I1172+J1172),"")</f>
        <v/>
      </c>
      <c r="Q1172" s="45">
        <f>IFERROR(O1172-P1172,"")</f>
        <v/>
      </c>
      <c r="R1172" s="44">
        <f>IFERROR((L1172-M1172)/(L1172+M1172),"")</f>
        <v/>
      </c>
      <c r="S1172" s="46">
        <f>H1172/SUMIFS(Counties!$H$2:$H$1583,Counties!$A$2:$A$1583,$A1172)</f>
        <v/>
      </c>
      <c r="T1172" s="44">
        <f>O1172+INDEX(Dashboard!$F$6:$F$22,MATCH($A1172,Dashboard!$A$6:$A$22,0))</f>
        <v/>
      </c>
      <c r="U1172" s="43">
        <f>AQ1172*INDEX(Dashboard!$G$6:$G$22,MATCH($A1172,Dashboard!$A$6:$A$22,0))</f>
        <v/>
      </c>
      <c r="V1172" s="47" t="n"/>
      <c r="W1172" s="47" t="n"/>
      <c r="X1172" s="47" t="n"/>
      <c r="Y1172" s="48" t="n"/>
      <c r="Z1172" s="49" t="n"/>
      <c r="AA1172" s="49" t="n"/>
      <c r="AB1172" s="49" t="n"/>
      <c r="AC1172" s="50" t="n"/>
      <c r="AD1172" s="43">
        <f>IF(Z1172&lt;&gt;"",Z1172,N(V1172))</f>
        <v/>
      </c>
      <c r="AE1172" s="43">
        <f>IF(AA1172&lt;&gt;"",AA1172,N(W1172))</f>
        <v/>
      </c>
      <c r="AF1172" s="43">
        <f>AD1172+AE1172</f>
        <v/>
      </c>
      <c r="AG1172" s="42">
        <f>IF(UPPER(AC1172)="Y",1,IF(AF1172=0,0,IF(AND(Z1172="",Y1172&lt;&gt;""),IF(Y1172&gt;=0.999,1,0),IF(AF1172&gt;=U1172,1,0))))</f>
        <v/>
      </c>
      <c r="AH1172" s="44">
        <f>IF(AF1172&gt;0,(AD1172-AE1172)/AF1172,"")</f>
        <v/>
      </c>
      <c r="AI1172" s="45">
        <f>IF(AG1172=1,AH1172-O1172,"")</f>
        <v/>
      </c>
      <c r="AJ1172" s="44">
        <f>IF(AG1172=1,AH1172,MAX(-1,MIN(1,O1172+INDEX(Types!$H:$H,MATCH($A1172&amp;"|"&amp;$D1172,Types!$A:$A,0)))))</f>
        <v/>
      </c>
      <c r="AK1172" s="43">
        <f>IF(AG1172=1,AF1172,MAX(AQ1172*AS1172,AF1172))</f>
        <v/>
      </c>
      <c r="AL1172" s="43">
        <f>IF(AG1172=1,AD1172,AK1172*(1+AJ1172)/2)</f>
        <v/>
      </c>
      <c r="AM1172" s="43">
        <f>IF(AG1172=1,AE1172,AK1172*(1-AJ1172)/2)</f>
        <v/>
      </c>
      <c r="AN1172" s="45">
        <f>IF(AH1172="","",AH1172-T1172)</f>
        <v/>
      </c>
      <c r="AO1172" s="51">
        <f>IF(AG1172=1,1,IF(U1172&gt;0,MIN(AF1172/U1172,0.99),0))</f>
        <v/>
      </c>
      <c r="AP1172" s="43">
        <f>IF(AG1172=1,AI1172*AF1172,0)</f>
        <v/>
      </c>
      <c r="AQ1172" s="43">
        <f>N1172*(F1172+G1172)/H1172</f>
        <v/>
      </c>
      <c r="AR1172" s="43">
        <f>O1172*AQ1172</f>
        <v/>
      </c>
      <c r="AS1172" s="52">
        <f>IF(AG1172=1,IF(AQ1172&gt;0,AF1172/AQ1172,1),IFERROR(INDEX(Types!$K:$K,MATCH($A1172&amp;"|"&amp;$D1172,Types!$A:$A,0)),INDEX(Dashboard!$X$6:$X$22,MATCH($A1172,Dashboard!$A$6:$A$22,0))))</f>
        <v/>
      </c>
      <c r="AT1172" s="43">
        <f>AQ1172*INDEX(Dashboard!$Y$6:$Y$22,MATCH($A1172,Dashboard!$A$6:$A$22,0))</f>
        <v/>
      </c>
      <c r="AU1172" s="53">
        <f>IF(AND(AG1172=1,AT1172&gt;0,AF1172&gt;0),100*AF1172/AT1172,"")</f>
        <v/>
      </c>
      <c r="AV1172" s="44">
        <f>IF(AU1172="","",T1172/(AU1172/100))</f>
        <v/>
      </c>
      <c r="AW1172" s="53">
        <f>IF(AU1172="","",IF(AND(ABS(AH1172)&gt;=0.1,ABS(T1172)&gt;=0.05,SIGN(AH1172)=SIGN(T1172)),100*T1172/AH1172,""))</f>
        <v/>
      </c>
      <c r="AX1172" s="45">
        <f>IF(AU1172="","",T1172-AV1172)</f>
        <v/>
      </c>
      <c r="AY1172" s="45">
        <f>IF(AU1172="","",AH1172-AV1172)</f>
        <v/>
      </c>
      <c r="AZ1172" s="54">
        <f>(AL1172-AM1172)-T1172*AT1172</f>
        <v/>
      </c>
      <c r="BA1172" s="43">
        <f>IF(AU1172="",0,(AH1172-T1172)*AF1172)</f>
        <v/>
      </c>
      <c r="BB1172" s="43">
        <f>IF(AU1172="",0,T1172*(AF1172-AT1172))</f>
        <v/>
      </c>
      <c r="BC1172" s="51" t="n">
        <v>0.03443619176232275</v>
      </c>
      <c r="BD1172" s="51" t="n">
        <v>0.5209956749457088</v>
      </c>
      <c r="BE1172" s="51" t="n">
        <v>0.2215802316775587</v>
      </c>
      <c r="BF1172" s="43" t="n">
        <v>54797</v>
      </c>
    </row>
    <row r="1173">
      <c r="A1173" s="42" t="inlineStr">
        <is>
          <t>TX</t>
        </is>
      </c>
      <c r="B1173" s="42" t="inlineStr">
        <is>
          <t>48327</t>
        </is>
      </c>
      <c r="C1173" s="42" t="inlineStr">
        <is>
          <t>Menard</t>
        </is>
      </c>
      <c r="D1173" s="42" t="inlineStr">
        <is>
          <t>Small town &amp; rural</t>
        </is>
      </c>
      <c r="E1173" s="42" t="inlineStr"/>
      <c r="F1173" s="43" t="n">
        <v>170</v>
      </c>
      <c r="G1173" s="43" t="n">
        <v>861</v>
      </c>
      <c r="H1173" s="43" t="n">
        <v>1039</v>
      </c>
      <c r="I1173" s="43" t="n">
        <v>197</v>
      </c>
      <c r="J1173" s="43" t="n">
        <v>823</v>
      </c>
      <c r="K1173" s="42" t="inlineStr">
        <is>
          <t>Governor</t>
        </is>
      </c>
      <c r="L1173" s="43" t="n">
        <v>110</v>
      </c>
      <c r="M1173" s="43" t="n">
        <v>659</v>
      </c>
      <c r="N1173" s="43" t="n">
        <v>775</v>
      </c>
      <c r="O1173" s="44">
        <f>IFERROR((F1173-G1173)/(F1173+G1173),"")</f>
        <v/>
      </c>
      <c r="P1173" s="44">
        <f>IFERROR((I1173-J1173)/(I1173+J1173),"")</f>
        <v/>
      </c>
      <c r="Q1173" s="45">
        <f>IFERROR(O1173-P1173,"")</f>
        <v/>
      </c>
      <c r="R1173" s="44">
        <f>IFERROR((L1173-M1173)/(L1173+M1173),"")</f>
        <v/>
      </c>
      <c r="S1173" s="46">
        <f>H1173/SUMIFS(Counties!$H$2:$H$1583,Counties!$A$2:$A$1583,$A1173)</f>
        <v/>
      </c>
      <c r="T1173" s="44">
        <f>O1173+INDEX(Dashboard!$F$6:$F$22,MATCH($A1173,Dashboard!$A$6:$A$22,0))</f>
        <v/>
      </c>
      <c r="U1173" s="43">
        <f>AQ1173*INDEX(Dashboard!$G$6:$G$22,MATCH($A1173,Dashboard!$A$6:$A$22,0))</f>
        <v/>
      </c>
      <c r="V1173" s="47" t="n"/>
      <c r="W1173" s="47" t="n"/>
      <c r="X1173" s="47" t="n"/>
      <c r="Y1173" s="48" t="n"/>
      <c r="Z1173" s="49" t="n"/>
      <c r="AA1173" s="49" t="n"/>
      <c r="AB1173" s="49" t="n"/>
      <c r="AC1173" s="50" t="n"/>
      <c r="AD1173" s="43">
        <f>IF(Z1173&lt;&gt;"",Z1173,N(V1173))</f>
        <v/>
      </c>
      <c r="AE1173" s="43">
        <f>IF(AA1173&lt;&gt;"",AA1173,N(W1173))</f>
        <v/>
      </c>
      <c r="AF1173" s="43">
        <f>AD1173+AE1173</f>
        <v/>
      </c>
      <c r="AG1173" s="42">
        <f>IF(UPPER(AC1173)="Y",1,IF(AF1173=0,0,IF(AND(Z1173="",Y1173&lt;&gt;""),IF(Y1173&gt;=0.999,1,0),IF(AF1173&gt;=U1173,1,0))))</f>
        <v/>
      </c>
      <c r="AH1173" s="44">
        <f>IF(AF1173&gt;0,(AD1173-AE1173)/AF1173,"")</f>
        <v/>
      </c>
      <c r="AI1173" s="45">
        <f>IF(AG1173=1,AH1173-O1173,"")</f>
        <v/>
      </c>
      <c r="AJ1173" s="44">
        <f>IF(AG1173=1,AH1173,MAX(-1,MIN(1,O1173+INDEX(Types!$H:$H,MATCH($A1173&amp;"|"&amp;$D1173,Types!$A:$A,0)))))</f>
        <v/>
      </c>
      <c r="AK1173" s="43">
        <f>IF(AG1173=1,AF1173,MAX(AQ1173*AS1173,AF1173))</f>
        <v/>
      </c>
      <c r="AL1173" s="43">
        <f>IF(AG1173=1,AD1173,AK1173*(1+AJ1173)/2)</f>
        <v/>
      </c>
      <c r="AM1173" s="43">
        <f>IF(AG1173=1,AE1173,AK1173*(1-AJ1173)/2)</f>
        <v/>
      </c>
      <c r="AN1173" s="45">
        <f>IF(AH1173="","",AH1173-T1173)</f>
        <v/>
      </c>
      <c r="AO1173" s="51">
        <f>IF(AG1173=1,1,IF(U1173&gt;0,MIN(AF1173/U1173,0.99),0))</f>
        <v/>
      </c>
      <c r="AP1173" s="43">
        <f>IF(AG1173=1,AI1173*AF1173,0)</f>
        <v/>
      </c>
      <c r="AQ1173" s="43">
        <f>N1173*(F1173+G1173)/H1173</f>
        <v/>
      </c>
      <c r="AR1173" s="43">
        <f>O1173*AQ1173</f>
        <v/>
      </c>
      <c r="AS1173" s="52">
        <f>IF(AG1173=1,IF(AQ1173&gt;0,AF1173/AQ1173,1),IFERROR(INDEX(Types!$K:$K,MATCH($A1173&amp;"|"&amp;$D1173,Types!$A:$A,0)),INDEX(Dashboard!$X$6:$X$22,MATCH($A1173,Dashboard!$A$6:$A$22,0))))</f>
        <v/>
      </c>
      <c r="AT1173" s="43">
        <f>AQ1173*INDEX(Dashboard!$Y$6:$Y$22,MATCH($A1173,Dashboard!$A$6:$A$22,0))</f>
        <v/>
      </c>
      <c r="AU1173" s="53">
        <f>IF(AND(AG1173=1,AT1173&gt;0,AF1173&gt;0),100*AF1173/AT1173,"")</f>
        <v/>
      </c>
      <c r="AV1173" s="44">
        <f>IF(AU1173="","",T1173/(AU1173/100))</f>
        <v/>
      </c>
      <c r="AW1173" s="53">
        <f>IF(AU1173="","",IF(AND(ABS(AH1173)&gt;=0.1,ABS(T1173)&gt;=0.05,SIGN(AH1173)=SIGN(T1173)),100*T1173/AH1173,""))</f>
        <v/>
      </c>
      <c r="AX1173" s="45">
        <f>IF(AU1173="","",T1173-AV1173)</f>
        <v/>
      </c>
      <c r="AY1173" s="45">
        <f>IF(AU1173="","",AH1173-AV1173)</f>
        <v/>
      </c>
      <c r="AZ1173" s="54">
        <f>(AL1173-AM1173)-T1173*AT1173</f>
        <v/>
      </c>
      <c r="BA1173" s="43">
        <f>IF(AU1173="",0,(AH1173-T1173)*AF1173)</f>
        <v/>
      </c>
      <c r="BB1173" s="43">
        <f>IF(AU1173="",0,T1173*(AF1173-AT1173))</f>
        <v/>
      </c>
      <c r="BC1173" s="51" t="n">
        <v>0.02145045965270685</v>
      </c>
      <c r="BD1173" s="51" t="n">
        <v>0.3370786516853932</v>
      </c>
      <c r="BE1173" s="51" t="n">
        <v>0.2290233837689133</v>
      </c>
      <c r="BF1173" s="43" t="n">
        <v>1958</v>
      </c>
    </row>
    <row r="1174">
      <c r="A1174" s="42" t="inlineStr">
        <is>
          <t>TX</t>
        </is>
      </c>
      <c r="B1174" s="42" t="inlineStr">
        <is>
          <t>48329</t>
        </is>
      </c>
      <c r="C1174" s="42" t="inlineStr">
        <is>
          <t>Midland</t>
        </is>
      </c>
      <c r="D1174" s="42" t="inlineStr">
        <is>
          <t>Hispanic</t>
        </is>
      </c>
      <c r="E1174" s="42" t="inlineStr"/>
      <c r="F1174" s="43" t="n">
        <v>11351</v>
      </c>
      <c r="G1174" s="43" t="n">
        <v>46944</v>
      </c>
      <c r="H1174" s="43" t="n">
        <v>58800</v>
      </c>
      <c r="I1174" s="43" t="n">
        <v>12329</v>
      </c>
      <c r="J1174" s="43" t="n">
        <v>45624</v>
      </c>
      <c r="K1174" s="42" t="inlineStr">
        <is>
          <t>Governor</t>
        </is>
      </c>
      <c r="L1174" s="43" t="n">
        <v>7154</v>
      </c>
      <c r="M1174" s="43" t="n">
        <v>32389</v>
      </c>
      <c r="N1174" s="43" t="n">
        <v>40069</v>
      </c>
      <c r="O1174" s="44">
        <f>IFERROR((F1174-G1174)/(F1174+G1174),"")</f>
        <v/>
      </c>
      <c r="P1174" s="44">
        <f>IFERROR((I1174-J1174)/(I1174+J1174),"")</f>
        <v/>
      </c>
      <c r="Q1174" s="45">
        <f>IFERROR(O1174-P1174,"")</f>
        <v/>
      </c>
      <c r="R1174" s="44">
        <f>IFERROR((L1174-M1174)/(L1174+M1174),"")</f>
        <v/>
      </c>
      <c r="S1174" s="46">
        <f>H1174/SUMIFS(Counties!$H$2:$H$1583,Counties!$A$2:$A$1583,$A1174)</f>
        <v/>
      </c>
      <c r="T1174" s="44">
        <f>O1174+INDEX(Dashboard!$F$6:$F$22,MATCH($A1174,Dashboard!$A$6:$A$22,0))</f>
        <v/>
      </c>
      <c r="U1174" s="43">
        <f>AQ1174*INDEX(Dashboard!$G$6:$G$22,MATCH($A1174,Dashboard!$A$6:$A$22,0))</f>
        <v/>
      </c>
      <c r="V1174" s="47" t="n"/>
      <c r="W1174" s="47" t="n"/>
      <c r="X1174" s="47" t="n"/>
      <c r="Y1174" s="48" t="n"/>
      <c r="Z1174" s="49" t="n"/>
      <c r="AA1174" s="49" t="n"/>
      <c r="AB1174" s="49" t="n"/>
      <c r="AC1174" s="50" t="n"/>
      <c r="AD1174" s="43">
        <f>IF(Z1174&lt;&gt;"",Z1174,N(V1174))</f>
        <v/>
      </c>
      <c r="AE1174" s="43">
        <f>IF(AA1174&lt;&gt;"",AA1174,N(W1174))</f>
        <v/>
      </c>
      <c r="AF1174" s="43">
        <f>AD1174+AE1174</f>
        <v/>
      </c>
      <c r="AG1174" s="42">
        <f>IF(UPPER(AC1174)="Y",1,IF(AF1174=0,0,IF(AND(Z1174="",Y1174&lt;&gt;""),IF(Y1174&gt;=0.999,1,0),IF(AF1174&gt;=U1174,1,0))))</f>
        <v/>
      </c>
      <c r="AH1174" s="44">
        <f>IF(AF1174&gt;0,(AD1174-AE1174)/AF1174,"")</f>
        <v/>
      </c>
      <c r="AI1174" s="45">
        <f>IF(AG1174=1,AH1174-O1174,"")</f>
        <v/>
      </c>
      <c r="AJ1174" s="44">
        <f>IF(AG1174=1,AH1174,MAX(-1,MIN(1,O1174+INDEX(Types!$H:$H,MATCH($A1174&amp;"|"&amp;$D1174,Types!$A:$A,0)))))</f>
        <v/>
      </c>
      <c r="AK1174" s="43">
        <f>IF(AG1174=1,AF1174,MAX(AQ1174*AS1174,AF1174))</f>
        <v/>
      </c>
      <c r="AL1174" s="43">
        <f>IF(AG1174=1,AD1174,AK1174*(1+AJ1174)/2)</f>
        <v/>
      </c>
      <c r="AM1174" s="43">
        <f>IF(AG1174=1,AE1174,AK1174*(1-AJ1174)/2)</f>
        <v/>
      </c>
      <c r="AN1174" s="45">
        <f>IF(AH1174="","",AH1174-T1174)</f>
        <v/>
      </c>
      <c r="AO1174" s="51">
        <f>IF(AG1174=1,1,IF(U1174&gt;0,MIN(AF1174/U1174,0.99),0))</f>
        <v/>
      </c>
      <c r="AP1174" s="43">
        <f>IF(AG1174=1,AI1174*AF1174,0)</f>
        <v/>
      </c>
      <c r="AQ1174" s="43">
        <f>N1174*(F1174+G1174)/H1174</f>
        <v/>
      </c>
      <c r="AR1174" s="43">
        <f>O1174*AQ1174</f>
        <v/>
      </c>
      <c r="AS1174" s="52">
        <f>IF(AG1174=1,IF(AQ1174&gt;0,AF1174/AQ1174,1),IFERROR(INDEX(Types!$K:$K,MATCH($A1174&amp;"|"&amp;$D1174,Types!$A:$A,0)),INDEX(Dashboard!$X$6:$X$22,MATCH($A1174,Dashboard!$A$6:$A$22,0))))</f>
        <v/>
      </c>
      <c r="AT1174" s="43">
        <f>AQ1174*INDEX(Dashboard!$Y$6:$Y$22,MATCH($A1174,Dashboard!$A$6:$A$22,0))</f>
        <v/>
      </c>
      <c r="AU1174" s="53">
        <f>IF(AND(AG1174=1,AT1174&gt;0,AF1174&gt;0),100*AF1174/AT1174,"")</f>
        <v/>
      </c>
      <c r="AV1174" s="44">
        <f>IF(AU1174="","",T1174/(AU1174/100))</f>
        <v/>
      </c>
      <c r="AW1174" s="53">
        <f>IF(AU1174="","",IF(AND(ABS(AH1174)&gt;=0.1,ABS(T1174)&gt;=0.05,SIGN(AH1174)=SIGN(T1174)),100*T1174/AH1174,""))</f>
        <v/>
      </c>
      <c r="AX1174" s="45">
        <f>IF(AU1174="","",T1174-AV1174)</f>
        <v/>
      </c>
      <c r="AY1174" s="45">
        <f>IF(AU1174="","",AH1174-AV1174)</f>
        <v/>
      </c>
      <c r="AZ1174" s="54">
        <f>(AL1174-AM1174)-T1174*AT1174</f>
        <v/>
      </c>
      <c r="BA1174" s="43">
        <f>IF(AU1174="",0,(AH1174-T1174)*AF1174)</f>
        <v/>
      </c>
      <c r="BB1174" s="43">
        <f>IF(AU1174="",0,T1174*(AF1174-AT1174))</f>
        <v/>
      </c>
      <c r="BC1174" s="51" t="n">
        <v>0.06725274973462519</v>
      </c>
      <c r="BD1174" s="51" t="n">
        <v>0.4705772748831222</v>
      </c>
      <c r="BE1174" s="51" t="n">
        <v>0.3094332958442935</v>
      </c>
      <c r="BF1174" s="43" t="n">
        <v>177108</v>
      </c>
    </row>
    <row r="1175">
      <c r="A1175" s="42" t="inlineStr">
        <is>
          <t>TX</t>
        </is>
      </c>
      <c r="B1175" s="42" t="inlineStr">
        <is>
          <t>48331</t>
        </is>
      </c>
      <c r="C1175" s="42" t="inlineStr">
        <is>
          <t>Milam</t>
        </is>
      </c>
      <c r="D1175" s="42" t="inlineStr">
        <is>
          <t>Small town &amp; rural</t>
        </is>
      </c>
      <c r="E1175" s="42" t="inlineStr"/>
      <c r="F1175" s="43" t="n">
        <v>2331</v>
      </c>
      <c r="G1175" s="43" t="n">
        <v>8691</v>
      </c>
      <c r="H1175" s="43" t="n">
        <v>11093</v>
      </c>
      <c r="I1175" s="43" t="n">
        <v>2496</v>
      </c>
      <c r="J1175" s="43" t="n">
        <v>7984</v>
      </c>
      <c r="K1175" s="42" t="inlineStr">
        <is>
          <t>Governor</t>
        </is>
      </c>
      <c r="L1175" s="43" t="n">
        <v>1559</v>
      </c>
      <c r="M1175" s="43" t="n">
        <v>6717</v>
      </c>
      <c r="N1175" s="43" t="n">
        <v>8358</v>
      </c>
      <c r="O1175" s="44">
        <f>IFERROR((F1175-G1175)/(F1175+G1175),"")</f>
        <v/>
      </c>
      <c r="P1175" s="44">
        <f>IFERROR((I1175-J1175)/(I1175+J1175),"")</f>
        <v/>
      </c>
      <c r="Q1175" s="45">
        <f>IFERROR(O1175-P1175,"")</f>
        <v/>
      </c>
      <c r="R1175" s="44">
        <f>IFERROR((L1175-M1175)/(L1175+M1175),"")</f>
        <v/>
      </c>
      <c r="S1175" s="46">
        <f>H1175/SUMIFS(Counties!$H$2:$H$1583,Counties!$A$2:$A$1583,$A1175)</f>
        <v/>
      </c>
      <c r="T1175" s="44">
        <f>O1175+INDEX(Dashboard!$F$6:$F$22,MATCH($A1175,Dashboard!$A$6:$A$22,0))</f>
        <v/>
      </c>
      <c r="U1175" s="43">
        <f>AQ1175*INDEX(Dashboard!$G$6:$G$22,MATCH($A1175,Dashboard!$A$6:$A$22,0))</f>
        <v/>
      </c>
      <c r="V1175" s="47" t="n"/>
      <c r="W1175" s="47" t="n"/>
      <c r="X1175" s="47" t="n"/>
      <c r="Y1175" s="48" t="n"/>
      <c r="Z1175" s="49" t="n"/>
      <c r="AA1175" s="49" t="n"/>
      <c r="AB1175" s="49" t="n"/>
      <c r="AC1175" s="50" t="n"/>
      <c r="AD1175" s="43">
        <f>IF(Z1175&lt;&gt;"",Z1175,N(V1175))</f>
        <v/>
      </c>
      <c r="AE1175" s="43">
        <f>IF(AA1175&lt;&gt;"",AA1175,N(W1175))</f>
        <v/>
      </c>
      <c r="AF1175" s="43">
        <f>AD1175+AE1175</f>
        <v/>
      </c>
      <c r="AG1175" s="42">
        <f>IF(UPPER(AC1175)="Y",1,IF(AF1175=0,0,IF(AND(Z1175="",Y1175&lt;&gt;""),IF(Y1175&gt;=0.999,1,0),IF(AF1175&gt;=U1175,1,0))))</f>
        <v/>
      </c>
      <c r="AH1175" s="44">
        <f>IF(AF1175&gt;0,(AD1175-AE1175)/AF1175,"")</f>
        <v/>
      </c>
      <c r="AI1175" s="45">
        <f>IF(AG1175=1,AH1175-O1175,"")</f>
        <v/>
      </c>
      <c r="AJ1175" s="44">
        <f>IF(AG1175=1,AH1175,MAX(-1,MIN(1,O1175+INDEX(Types!$H:$H,MATCH($A1175&amp;"|"&amp;$D1175,Types!$A:$A,0)))))</f>
        <v/>
      </c>
      <c r="AK1175" s="43">
        <f>IF(AG1175=1,AF1175,MAX(AQ1175*AS1175,AF1175))</f>
        <v/>
      </c>
      <c r="AL1175" s="43">
        <f>IF(AG1175=1,AD1175,AK1175*(1+AJ1175)/2)</f>
        <v/>
      </c>
      <c r="AM1175" s="43">
        <f>IF(AG1175=1,AE1175,AK1175*(1-AJ1175)/2)</f>
        <v/>
      </c>
      <c r="AN1175" s="45">
        <f>IF(AH1175="","",AH1175-T1175)</f>
        <v/>
      </c>
      <c r="AO1175" s="51">
        <f>IF(AG1175=1,1,IF(U1175&gt;0,MIN(AF1175/U1175,0.99),0))</f>
        <v/>
      </c>
      <c r="AP1175" s="43">
        <f>IF(AG1175=1,AI1175*AF1175,0)</f>
        <v/>
      </c>
      <c r="AQ1175" s="43">
        <f>N1175*(F1175+G1175)/H1175</f>
        <v/>
      </c>
      <c r="AR1175" s="43">
        <f>O1175*AQ1175</f>
        <v/>
      </c>
      <c r="AS1175" s="52">
        <f>IF(AG1175=1,IF(AQ1175&gt;0,AF1175/AQ1175,1),IFERROR(INDEX(Types!$K:$K,MATCH($A1175&amp;"|"&amp;$D1175,Types!$A:$A,0)),INDEX(Dashboard!$X$6:$X$22,MATCH($A1175,Dashboard!$A$6:$A$22,0))))</f>
        <v/>
      </c>
      <c r="AT1175" s="43">
        <f>AQ1175*INDEX(Dashboard!$Y$6:$Y$22,MATCH($A1175,Dashboard!$A$6:$A$22,0))</f>
        <v/>
      </c>
      <c r="AU1175" s="53">
        <f>IF(AND(AG1175=1,AT1175&gt;0,AF1175&gt;0),100*AF1175/AT1175,"")</f>
        <v/>
      </c>
      <c r="AV1175" s="44">
        <f>IF(AU1175="","",T1175/(AU1175/100))</f>
        <v/>
      </c>
      <c r="AW1175" s="53">
        <f>IF(AU1175="","",IF(AND(ABS(AH1175)&gt;=0.1,ABS(T1175)&gt;=0.05,SIGN(AH1175)=SIGN(T1175)),100*T1175/AH1175,""))</f>
        <v/>
      </c>
      <c r="AX1175" s="45">
        <f>IF(AU1175="","",T1175-AV1175)</f>
        <v/>
      </c>
      <c r="AY1175" s="45">
        <f>IF(AU1175="","",AH1175-AV1175)</f>
        <v/>
      </c>
      <c r="AZ1175" s="54">
        <f>(AL1175-AM1175)-T1175*AT1175</f>
        <v/>
      </c>
      <c r="BA1175" s="43">
        <f>IF(AU1175="",0,(AH1175-T1175)*AF1175)</f>
        <v/>
      </c>
      <c r="BB1175" s="43">
        <f>IF(AU1175="",0,T1175*(AF1175-AT1175))</f>
        <v/>
      </c>
      <c r="BC1175" s="51" t="n">
        <v>0.08350352587568879</v>
      </c>
      <c r="BD1175" s="51" t="n">
        <v>0.2595275711918616</v>
      </c>
      <c r="BE1175" s="51" t="n">
        <v>0.1951681395615747</v>
      </c>
      <c r="BF1175" s="43" t="n">
        <v>25951</v>
      </c>
    </row>
    <row r="1176">
      <c r="A1176" s="42" t="inlineStr">
        <is>
          <t>TX</t>
        </is>
      </c>
      <c r="B1176" s="42" t="inlineStr">
        <is>
          <t>48333</t>
        </is>
      </c>
      <c r="C1176" s="42" t="inlineStr">
        <is>
          <t>Mills</t>
        </is>
      </c>
      <c r="D1176" s="42" t="inlineStr">
        <is>
          <t>Small town &amp; rural</t>
        </is>
      </c>
      <c r="E1176" s="42" t="inlineStr"/>
      <c r="F1176" s="43" t="n">
        <v>310</v>
      </c>
      <c r="G1176" s="43" t="n">
        <v>2418</v>
      </c>
      <c r="H1176" s="43" t="n">
        <v>2741</v>
      </c>
      <c r="I1176" s="43" t="n">
        <v>271</v>
      </c>
      <c r="J1176" s="43" t="n">
        <v>2217</v>
      </c>
      <c r="K1176" s="42" t="inlineStr">
        <is>
          <t>Governor</t>
        </is>
      </c>
      <c r="L1176" s="43" t="n">
        <v>198</v>
      </c>
      <c r="M1176" s="43" t="n">
        <v>1894</v>
      </c>
      <c r="N1176" s="43" t="n">
        <v>2121</v>
      </c>
      <c r="O1176" s="44">
        <f>IFERROR((F1176-G1176)/(F1176+G1176),"")</f>
        <v/>
      </c>
      <c r="P1176" s="44">
        <f>IFERROR((I1176-J1176)/(I1176+J1176),"")</f>
        <v/>
      </c>
      <c r="Q1176" s="45">
        <f>IFERROR(O1176-P1176,"")</f>
        <v/>
      </c>
      <c r="R1176" s="44">
        <f>IFERROR((L1176-M1176)/(L1176+M1176),"")</f>
        <v/>
      </c>
      <c r="S1176" s="46">
        <f>H1176/SUMIFS(Counties!$H$2:$H$1583,Counties!$A$2:$A$1583,$A1176)</f>
        <v/>
      </c>
      <c r="T1176" s="44">
        <f>O1176+INDEX(Dashboard!$F$6:$F$22,MATCH($A1176,Dashboard!$A$6:$A$22,0))</f>
        <v/>
      </c>
      <c r="U1176" s="43">
        <f>AQ1176*INDEX(Dashboard!$G$6:$G$22,MATCH($A1176,Dashboard!$A$6:$A$22,0))</f>
        <v/>
      </c>
      <c r="V1176" s="47" t="n"/>
      <c r="W1176" s="47" t="n"/>
      <c r="X1176" s="47" t="n"/>
      <c r="Y1176" s="48" t="n"/>
      <c r="Z1176" s="49" t="n"/>
      <c r="AA1176" s="49" t="n"/>
      <c r="AB1176" s="49" t="n"/>
      <c r="AC1176" s="50" t="n"/>
      <c r="AD1176" s="43">
        <f>IF(Z1176&lt;&gt;"",Z1176,N(V1176))</f>
        <v/>
      </c>
      <c r="AE1176" s="43">
        <f>IF(AA1176&lt;&gt;"",AA1176,N(W1176))</f>
        <v/>
      </c>
      <c r="AF1176" s="43">
        <f>AD1176+AE1176</f>
        <v/>
      </c>
      <c r="AG1176" s="42">
        <f>IF(UPPER(AC1176)="Y",1,IF(AF1176=0,0,IF(AND(Z1176="",Y1176&lt;&gt;""),IF(Y1176&gt;=0.999,1,0),IF(AF1176&gt;=U1176,1,0))))</f>
        <v/>
      </c>
      <c r="AH1176" s="44">
        <f>IF(AF1176&gt;0,(AD1176-AE1176)/AF1176,"")</f>
        <v/>
      </c>
      <c r="AI1176" s="45">
        <f>IF(AG1176=1,AH1176-O1176,"")</f>
        <v/>
      </c>
      <c r="AJ1176" s="44">
        <f>IF(AG1176=1,AH1176,MAX(-1,MIN(1,O1176+INDEX(Types!$H:$H,MATCH($A1176&amp;"|"&amp;$D1176,Types!$A:$A,0)))))</f>
        <v/>
      </c>
      <c r="AK1176" s="43">
        <f>IF(AG1176=1,AF1176,MAX(AQ1176*AS1176,AF1176))</f>
        <v/>
      </c>
      <c r="AL1176" s="43">
        <f>IF(AG1176=1,AD1176,AK1176*(1+AJ1176)/2)</f>
        <v/>
      </c>
      <c r="AM1176" s="43">
        <f>IF(AG1176=1,AE1176,AK1176*(1-AJ1176)/2)</f>
        <v/>
      </c>
      <c r="AN1176" s="45">
        <f>IF(AH1176="","",AH1176-T1176)</f>
        <v/>
      </c>
      <c r="AO1176" s="51">
        <f>IF(AG1176=1,1,IF(U1176&gt;0,MIN(AF1176/U1176,0.99),0))</f>
        <v/>
      </c>
      <c r="AP1176" s="43">
        <f>IF(AG1176=1,AI1176*AF1176,0)</f>
        <v/>
      </c>
      <c r="AQ1176" s="43">
        <f>N1176*(F1176+G1176)/H1176</f>
        <v/>
      </c>
      <c r="AR1176" s="43">
        <f>O1176*AQ1176</f>
        <v/>
      </c>
      <c r="AS1176" s="52">
        <f>IF(AG1176=1,IF(AQ1176&gt;0,AF1176/AQ1176,1),IFERROR(INDEX(Types!$K:$K,MATCH($A1176&amp;"|"&amp;$D1176,Types!$A:$A,0)),INDEX(Dashboard!$X$6:$X$22,MATCH($A1176,Dashboard!$A$6:$A$22,0))))</f>
        <v/>
      </c>
      <c r="AT1176" s="43">
        <f>AQ1176*INDEX(Dashboard!$Y$6:$Y$22,MATCH($A1176,Dashboard!$A$6:$A$22,0))</f>
        <v/>
      </c>
      <c r="AU1176" s="53">
        <f>IF(AND(AG1176=1,AT1176&gt;0,AF1176&gt;0),100*AF1176/AT1176,"")</f>
        <v/>
      </c>
      <c r="AV1176" s="44">
        <f>IF(AU1176="","",T1176/(AU1176/100))</f>
        <v/>
      </c>
      <c r="AW1176" s="53">
        <f>IF(AU1176="","",IF(AND(ABS(AH1176)&gt;=0.1,ABS(T1176)&gt;=0.05,SIGN(AH1176)=SIGN(T1176)),100*T1176/AH1176,""))</f>
        <v/>
      </c>
      <c r="AX1176" s="45">
        <f>IF(AU1176="","",T1176-AV1176)</f>
        <v/>
      </c>
      <c r="AY1176" s="45">
        <f>IF(AU1176="","",AH1176-AV1176)</f>
        <v/>
      </c>
      <c r="AZ1176" s="54">
        <f>(AL1176-AM1176)-T1176*AT1176</f>
        <v/>
      </c>
      <c r="BA1176" s="43">
        <f>IF(AU1176="",0,(AH1176-T1176)*AF1176)</f>
        <v/>
      </c>
      <c r="BB1176" s="43">
        <f>IF(AU1176="",0,T1176*(AF1176-AT1176))</f>
        <v/>
      </c>
      <c r="BC1176" s="51" t="n">
        <v>0.01473175021987687</v>
      </c>
      <c r="BD1176" s="51" t="n">
        <v>0.173702726473175</v>
      </c>
      <c r="BE1176" s="51" t="n">
        <v>0.2808695652173913</v>
      </c>
      <c r="BF1176" s="43" t="n">
        <v>4548</v>
      </c>
    </row>
    <row r="1177">
      <c r="A1177" s="42" t="inlineStr">
        <is>
          <t>TX</t>
        </is>
      </c>
      <c r="B1177" s="42" t="inlineStr">
        <is>
          <t>48335</t>
        </is>
      </c>
      <c r="C1177" s="42" t="inlineStr">
        <is>
          <t>Mitchell</t>
        </is>
      </c>
      <c r="D1177" s="42" t="inlineStr">
        <is>
          <t>Small town &amp; rural</t>
        </is>
      </c>
      <c r="E1177" s="42" t="inlineStr"/>
      <c r="F1177" s="43" t="n">
        <v>352</v>
      </c>
      <c r="G1177" s="43" t="n">
        <v>2144</v>
      </c>
      <c r="H1177" s="43" t="n">
        <v>2513</v>
      </c>
      <c r="I1177" s="43" t="n">
        <v>397</v>
      </c>
      <c r="J1177" s="43" t="n">
        <v>2170</v>
      </c>
      <c r="K1177" s="42" t="inlineStr">
        <is>
          <t>Governor</t>
        </is>
      </c>
      <c r="L1177" s="43" t="n">
        <v>185</v>
      </c>
      <c r="M1177" s="43" t="n">
        <v>1576</v>
      </c>
      <c r="N1177" s="43" t="n">
        <v>1781</v>
      </c>
      <c r="O1177" s="44">
        <f>IFERROR((F1177-G1177)/(F1177+G1177),"")</f>
        <v/>
      </c>
      <c r="P1177" s="44">
        <f>IFERROR((I1177-J1177)/(I1177+J1177),"")</f>
        <v/>
      </c>
      <c r="Q1177" s="45">
        <f>IFERROR(O1177-P1177,"")</f>
        <v/>
      </c>
      <c r="R1177" s="44">
        <f>IFERROR((L1177-M1177)/(L1177+M1177),"")</f>
        <v/>
      </c>
      <c r="S1177" s="46">
        <f>H1177/SUMIFS(Counties!$H$2:$H$1583,Counties!$A$2:$A$1583,$A1177)</f>
        <v/>
      </c>
      <c r="T1177" s="44">
        <f>O1177+INDEX(Dashboard!$F$6:$F$22,MATCH($A1177,Dashboard!$A$6:$A$22,0))</f>
        <v/>
      </c>
      <c r="U1177" s="43">
        <f>AQ1177*INDEX(Dashboard!$G$6:$G$22,MATCH($A1177,Dashboard!$A$6:$A$22,0))</f>
        <v/>
      </c>
      <c r="V1177" s="47" t="n"/>
      <c r="W1177" s="47" t="n"/>
      <c r="X1177" s="47" t="n"/>
      <c r="Y1177" s="48" t="n"/>
      <c r="Z1177" s="49" t="n"/>
      <c r="AA1177" s="49" t="n"/>
      <c r="AB1177" s="49" t="n"/>
      <c r="AC1177" s="50" t="n"/>
      <c r="AD1177" s="43">
        <f>IF(Z1177&lt;&gt;"",Z1177,N(V1177))</f>
        <v/>
      </c>
      <c r="AE1177" s="43">
        <f>IF(AA1177&lt;&gt;"",AA1177,N(W1177))</f>
        <v/>
      </c>
      <c r="AF1177" s="43">
        <f>AD1177+AE1177</f>
        <v/>
      </c>
      <c r="AG1177" s="42">
        <f>IF(UPPER(AC1177)="Y",1,IF(AF1177=0,0,IF(AND(Z1177="",Y1177&lt;&gt;""),IF(Y1177&gt;=0.999,1,0),IF(AF1177&gt;=U1177,1,0))))</f>
        <v/>
      </c>
      <c r="AH1177" s="44">
        <f>IF(AF1177&gt;0,(AD1177-AE1177)/AF1177,"")</f>
        <v/>
      </c>
      <c r="AI1177" s="45">
        <f>IF(AG1177=1,AH1177-O1177,"")</f>
        <v/>
      </c>
      <c r="AJ1177" s="44">
        <f>IF(AG1177=1,AH1177,MAX(-1,MIN(1,O1177+INDEX(Types!$H:$H,MATCH($A1177&amp;"|"&amp;$D1177,Types!$A:$A,0)))))</f>
        <v/>
      </c>
      <c r="AK1177" s="43">
        <f>IF(AG1177=1,AF1177,MAX(AQ1177*AS1177,AF1177))</f>
        <v/>
      </c>
      <c r="AL1177" s="43">
        <f>IF(AG1177=1,AD1177,AK1177*(1+AJ1177)/2)</f>
        <v/>
      </c>
      <c r="AM1177" s="43">
        <f>IF(AG1177=1,AE1177,AK1177*(1-AJ1177)/2)</f>
        <v/>
      </c>
      <c r="AN1177" s="45">
        <f>IF(AH1177="","",AH1177-T1177)</f>
        <v/>
      </c>
      <c r="AO1177" s="51">
        <f>IF(AG1177=1,1,IF(U1177&gt;0,MIN(AF1177/U1177,0.99),0))</f>
        <v/>
      </c>
      <c r="AP1177" s="43">
        <f>IF(AG1177=1,AI1177*AF1177,0)</f>
        <v/>
      </c>
      <c r="AQ1177" s="43">
        <f>N1177*(F1177+G1177)/H1177</f>
        <v/>
      </c>
      <c r="AR1177" s="43">
        <f>O1177*AQ1177</f>
        <v/>
      </c>
      <c r="AS1177" s="52">
        <f>IF(AG1177=1,IF(AQ1177&gt;0,AF1177/AQ1177,1),IFERROR(INDEX(Types!$K:$K,MATCH($A1177&amp;"|"&amp;$D1177,Types!$A:$A,0)),INDEX(Dashboard!$X$6:$X$22,MATCH($A1177,Dashboard!$A$6:$A$22,0))))</f>
        <v/>
      </c>
      <c r="AT1177" s="43">
        <f>AQ1177*INDEX(Dashboard!$Y$6:$Y$22,MATCH($A1177,Dashboard!$A$6:$A$22,0))</f>
        <v/>
      </c>
      <c r="AU1177" s="53">
        <f>IF(AND(AG1177=1,AT1177&gt;0,AF1177&gt;0),100*AF1177/AT1177,"")</f>
        <v/>
      </c>
      <c r="AV1177" s="44">
        <f>IF(AU1177="","",T1177/(AU1177/100))</f>
        <v/>
      </c>
      <c r="AW1177" s="53">
        <f>IF(AU1177="","",IF(AND(ABS(AH1177)&gt;=0.1,ABS(T1177)&gt;=0.05,SIGN(AH1177)=SIGN(T1177)),100*T1177/AH1177,""))</f>
        <v/>
      </c>
      <c r="AX1177" s="45">
        <f>IF(AU1177="","",T1177-AV1177)</f>
        <v/>
      </c>
      <c r="AY1177" s="45">
        <f>IF(AU1177="","",AH1177-AV1177)</f>
        <v/>
      </c>
      <c r="AZ1177" s="54">
        <f>(AL1177-AM1177)-T1177*AT1177</f>
        <v/>
      </c>
      <c r="BA1177" s="43">
        <f>IF(AU1177="",0,(AH1177-T1177)*AF1177)</f>
        <v/>
      </c>
      <c r="BB1177" s="43">
        <f>IF(AU1177="",0,T1177*(AF1177-AT1177))</f>
        <v/>
      </c>
      <c r="BC1177" s="51" t="n">
        <v>0.1117355371900826</v>
      </c>
      <c r="BD1177" s="51" t="n">
        <v>0.3885399449035813</v>
      </c>
      <c r="BE1177" s="51" t="n">
        <v>0.1391947411668036</v>
      </c>
      <c r="BF1177" s="43" t="n">
        <v>9075</v>
      </c>
    </row>
    <row r="1178">
      <c r="A1178" s="42" t="inlineStr">
        <is>
          <t>TX</t>
        </is>
      </c>
      <c r="B1178" s="42" t="inlineStr">
        <is>
          <t>48337</t>
        </is>
      </c>
      <c r="C1178" s="42" t="inlineStr">
        <is>
          <t>Montague</t>
        </is>
      </c>
      <c r="D1178" s="42" t="inlineStr">
        <is>
          <t>Small town &amp; rural</t>
        </is>
      </c>
      <c r="E1178" s="42" t="inlineStr"/>
      <c r="F1178" s="43" t="n">
        <v>1208</v>
      </c>
      <c r="G1178" s="43" t="n">
        <v>9825</v>
      </c>
      <c r="H1178" s="43" t="n">
        <v>11097</v>
      </c>
      <c r="I1178" s="43" t="n">
        <v>1097</v>
      </c>
      <c r="J1178" s="43" t="n">
        <v>8615</v>
      </c>
      <c r="K1178" s="42" t="inlineStr">
        <is>
          <t>Governor</t>
        </is>
      </c>
      <c r="L1178" s="43" t="n">
        <v>765</v>
      </c>
      <c r="M1178" s="43" t="n">
        <v>7004</v>
      </c>
      <c r="N1178" s="43" t="n">
        <v>7857</v>
      </c>
      <c r="O1178" s="44">
        <f>IFERROR((F1178-G1178)/(F1178+G1178),"")</f>
        <v/>
      </c>
      <c r="P1178" s="44">
        <f>IFERROR((I1178-J1178)/(I1178+J1178),"")</f>
        <v/>
      </c>
      <c r="Q1178" s="45">
        <f>IFERROR(O1178-P1178,"")</f>
        <v/>
      </c>
      <c r="R1178" s="44">
        <f>IFERROR((L1178-M1178)/(L1178+M1178),"")</f>
        <v/>
      </c>
      <c r="S1178" s="46">
        <f>H1178/SUMIFS(Counties!$H$2:$H$1583,Counties!$A$2:$A$1583,$A1178)</f>
        <v/>
      </c>
      <c r="T1178" s="44">
        <f>O1178+INDEX(Dashboard!$F$6:$F$22,MATCH($A1178,Dashboard!$A$6:$A$22,0))</f>
        <v/>
      </c>
      <c r="U1178" s="43">
        <f>AQ1178*INDEX(Dashboard!$G$6:$G$22,MATCH($A1178,Dashboard!$A$6:$A$22,0))</f>
        <v/>
      </c>
      <c r="V1178" s="47" t="n"/>
      <c r="W1178" s="47" t="n"/>
      <c r="X1178" s="47" t="n"/>
      <c r="Y1178" s="48" t="n"/>
      <c r="Z1178" s="49" t="n"/>
      <c r="AA1178" s="49" t="n"/>
      <c r="AB1178" s="49" t="n"/>
      <c r="AC1178" s="50" t="n"/>
      <c r="AD1178" s="43">
        <f>IF(Z1178&lt;&gt;"",Z1178,N(V1178))</f>
        <v/>
      </c>
      <c r="AE1178" s="43">
        <f>IF(AA1178&lt;&gt;"",AA1178,N(W1178))</f>
        <v/>
      </c>
      <c r="AF1178" s="43">
        <f>AD1178+AE1178</f>
        <v/>
      </c>
      <c r="AG1178" s="42">
        <f>IF(UPPER(AC1178)="Y",1,IF(AF1178=0,0,IF(AND(Z1178="",Y1178&lt;&gt;""),IF(Y1178&gt;=0.999,1,0),IF(AF1178&gt;=U1178,1,0))))</f>
        <v/>
      </c>
      <c r="AH1178" s="44">
        <f>IF(AF1178&gt;0,(AD1178-AE1178)/AF1178,"")</f>
        <v/>
      </c>
      <c r="AI1178" s="45">
        <f>IF(AG1178=1,AH1178-O1178,"")</f>
        <v/>
      </c>
      <c r="AJ1178" s="44">
        <f>IF(AG1178=1,AH1178,MAX(-1,MIN(1,O1178+INDEX(Types!$H:$H,MATCH($A1178&amp;"|"&amp;$D1178,Types!$A:$A,0)))))</f>
        <v/>
      </c>
      <c r="AK1178" s="43">
        <f>IF(AG1178=1,AF1178,MAX(AQ1178*AS1178,AF1178))</f>
        <v/>
      </c>
      <c r="AL1178" s="43">
        <f>IF(AG1178=1,AD1178,AK1178*(1+AJ1178)/2)</f>
        <v/>
      </c>
      <c r="AM1178" s="43">
        <f>IF(AG1178=1,AE1178,AK1178*(1-AJ1178)/2)</f>
        <v/>
      </c>
      <c r="AN1178" s="45">
        <f>IF(AH1178="","",AH1178-T1178)</f>
        <v/>
      </c>
      <c r="AO1178" s="51">
        <f>IF(AG1178=1,1,IF(U1178&gt;0,MIN(AF1178/U1178,0.99),0))</f>
        <v/>
      </c>
      <c r="AP1178" s="43">
        <f>IF(AG1178=1,AI1178*AF1178,0)</f>
        <v/>
      </c>
      <c r="AQ1178" s="43">
        <f>N1178*(F1178+G1178)/H1178</f>
        <v/>
      </c>
      <c r="AR1178" s="43">
        <f>O1178*AQ1178</f>
        <v/>
      </c>
      <c r="AS1178" s="52">
        <f>IF(AG1178=1,IF(AQ1178&gt;0,AF1178/AQ1178,1),IFERROR(INDEX(Types!$K:$K,MATCH($A1178&amp;"|"&amp;$D1178,Types!$A:$A,0)),INDEX(Dashboard!$X$6:$X$22,MATCH($A1178,Dashboard!$A$6:$A$22,0))))</f>
        <v/>
      </c>
      <c r="AT1178" s="43">
        <f>AQ1178*INDEX(Dashboard!$Y$6:$Y$22,MATCH($A1178,Dashboard!$A$6:$A$22,0))</f>
        <v/>
      </c>
      <c r="AU1178" s="53">
        <f>IF(AND(AG1178=1,AT1178&gt;0,AF1178&gt;0),100*AF1178/AT1178,"")</f>
        <v/>
      </c>
      <c r="AV1178" s="44">
        <f>IF(AU1178="","",T1178/(AU1178/100))</f>
        <v/>
      </c>
      <c r="AW1178" s="53">
        <f>IF(AU1178="","",IF(AND(ABS(AH1178)&gt;=0.1,ABS(T1178)&gt;=0.05,SIGN(AH1178)=SIGN(T1178)),100*T1178/AH1178,""))</f>
        <v/>
      </c>
      <c r="AX1178" s="45">
        <f>IF(AU1178="","",T1178-AV1178)</f>
        <v/>
      </c>
      <c r="AY1178" s="45">
        <f>IF(AU1178="","",AH1178-AV1178)</f>
        <v/>
      </c>
      <c r="AZ1178" s="54">
        <f>(AL1178-AM1178)-T1178*AT1178</f>
        <v/>
      </c>
      <c r="BA1178" s="43">
        <f>IF(AU1178="",0,(AH1178-T1178)*AF1178)</f>
        <v/>
      </c>
      <c r="BB1178" s="43">
        <f>IF(AU1178="",0,T1178*(AF1178-AT1178))</f>
        <v/>
      </c>
      <c r="BC1178" s="51" t="n">
        <v>0.009352717844244837</v>
      </c>
      <c r="BD1178" s="51" t="n">
        <v>0.1244559681451986</v>
      </c>
      <c r="BE1178" s="51" t="n">
        <v>0.1784057067663966</v>
      </c>
      <c r="BF1178" s="43" t="n">
        <v>21598</v>
      </c>
    </row>
    <row r="1179">
      <c r="A1179" s="42" t="inlineStr">
        <is>
          <t>TX</t>
        </is>
      </c>
      <c r="B1179" s="42" t="inlineStr">
        <is>
          <t>48339</t>
        </is>
      </c>
      <c r="C1179" s="42" t="inlineStr">
        <is>
          <t>Montgomery</t>
        </is>
      </c>
      <c r="D1179" s="42" t="inlineStr">
        <is>
          <t>Mid-size/working metro</t>
        </is>
      </c>
      <c r="E1179" s="42" t="inlineStr">
        <is>
          <t>★</t>
        </is>
      </c>
      <c r="F1179" s="43" t="n">
        <v>82277</v>
      </c>
      <c r="G1179" s="43" t="n">
        <v>221964</v>
      </c>
      <c r="H1179" s="43" t="n">
        <v>307134</v>
      </c>
      <c r="I1179" s="43" t="n">
        <v>74377</v>
      </c>
      <c r="J1179" s="43" t="n">
        <v>193382</v>
      </c>
      <c r="K1179" s="42" t="inlineStr">
        <is>
          <t>Governor</t>
        </is>
      </c>
      <c r="L1179" s="43" t="n">
        <v>52654</v>
      </c>
      <c r="M1179" s="43" t="n">
        <v>152694</v>
      </c>
      <c r="N1179" s="43" t="n">
        <v>208009</v>
      </c>
      <c r="O1179" s="44">
        <f>IFERROR((F1179-G1179)/(F1179+G1179),"")</f>
        <v/>
      </c>
      <c r="P1179" s="44">
        <f>IFERROR((I1179-J1179)/(I1179+J1179),"")</f>
        <v/>
      </c>
      <c r="Q1179" s="45">
        <f>IFERROR(O1179-P1179,"")</f>
        <v/>
      </c>
      <c r="R1179" s="44">
        <f>IFERROR((L1179-M1179)/(L1179+M1179),"")</f>
        <v/>
      </c>
      <c r="S1179" s="46">
        <f>H1179/SUMIFS(Counties!$H$2:$H$1583,Counties!$A$2:$A$1583,$A1179)</f>
        <v/>
      </c>
      <c r="T1179" s="44">
        <f>O1179+INDEX(Dashboard!$F$6:$F$22,MATCH($A1179,Dashboard!$A$6:$A$22,0))</f>
        <v/>
      </c>
      <c r="U1179" s="43">
        <f>AQ1179*INDEX(Dashboard!$G$6:$G$22,MATCH($A1179,Dashboard!$A$6:$A$22,0))</f>
        <v/>
      </c>
      <c r="V1179" s="47" t="n"/>
      <c r="W1179" s="47" t="n"/>
      <c r="X1179" s="47" t="n"/>
      <c r="Y1179" s="48" t="n"/>
      <c r="Z1179" s="49" t="n"/>
      <c r="AA1179" s="49" t="n"/>
      <c r="AB1179" s="49" t="n"/>
      <c r="AC1179" s="50" t="n"/>
      <c r="AD1179" s="43">
        <f>IF(Z1179&lt;&gt;"",Z1179,N(V1179))</f>
        <v/>
      </c>
      <c r="AE1179" s="43">
        <f>IF(AA1179&lt;&gt;"",AA1179,N(W1179))</f>
        <v/>
      </c>
      <c r="AF1179" s="43">
        <f>AD1179+AE1179</f>
        <v/>
      </c>
      <c r="AG1179" s="42">
        <f>IF(UPPER(AC1179)="Y",1,IF(AF1179=0,0,IF(AND(Z1179="",Y1179&lt;&gt;""),IF(Y1179&gt;=0.999,1,0),IF(AF1179&gt;=U1179,1,0))))</f>
        <v/>
      </c>
      <c r="AH1179" s="44">
        <f>IF(AF1179&gt;0,(AD1179-AE1179)/AF1179,"")</f>
        <v/>
      </c>
      <c r="AI1179" s="45">
        <f>IF(AG1179=1,AH1179-O1179,"")</f>
        <v/>
      </c>
      <c r="AJ1179" s="44">
        <f>IF(AG1179=1,AH1179,MAX(-1,MIN(1,O1179+INDEX(Types!$H:$H,MATCH($A1179&amp;"|"&amp;$D1179,Types!$A:$A,0)))))</f>
        <v/>
      </c>
      <c r="AK1179" s="43">
        <f>IF(AG1179=1,AF1179,MAX(AQ1179*AS1179,AF1179))</f>
        <v/>
      </c>
      <c r="AL1179" s="43">
        <f>IF(AG1179=1,AD1179,AK1179*(1+AJ1179)/2)</f>
        <v/>
      </c>
      <c r="AM1179" s="43">
        <f>IF(AG1179=1,AE1179,AK1179*(1-AJ1179)/2)</f>
        <v/>
      </c>
      <c r="AN1179" s="45">
        <f>IF(AH1179="","",AH1179-T1179)</f>
        <v/>
      </c>
      <c r="AO1179" s="51">
        <f>IF(AG1179=1,1,IF(U1179&gt;0,MIN(AF1179/U1179,0.99),0))</f>
        <v/>
      </c>
      <c r="AP1179" s="43">
        <f>IF(AG1179=1,AI1179*AF1179,0)</f>
        <v/>
      </c>
      <c r="AQ1179" s="43">
        <f>N1179*(F1179+G1179)/H1179</f>
        <v/>
      </c>
      <c r="AR1179" s="43">
        <f>O1179*AQ1179</f>
        <v/>
      </c>
      <c r="AS1179" s="52">
        <f>IF(AG1179=1,IF(AQ1179&gt;0,AF1179/AQ1179,1),IFERROR(INDEX(Types!$K:$K,MATCH($A1179&amp;"|"&amp;$D1179,Types!$A:$A,0)),INDEX(Dashboard!$X$6:$X$22,MATCH($A1179,Dashboard!$A$6:$A$22,0))))</f>
        <v/>
      </c>
      <c r="AT1179" s="43">
        <f>AQ1179*INDEX(Dashboard!$Y$6:$Y$22,MATCH($A1179,Dashboard!$A$6:$A$22,0))</f>
        <v/>
      </c>
      <c r="AU1179" s="53">
        <f>IF(AND(AG1179=1,AT1179&gt;0,AF1179&gt;0),100*AF1179/AT1179,"")</f>
        <v/>
      </c>
      <c r="AV1179" s="44">
        <f>IF(AU1179="","",T1179/(AU1179/100))</f>
        <v/>
      </c>
      <c r="AW1179" s="53">
        <f>IF(AU1179="","",IF(AND(ABS(AH1179)&gt;=0.1,ABS(T1179)&gt;=0.05,SIGN(AH1179)=SIGN(T1179)),100*T1179/AH1179,""))</f>
        <v/>
      </c>
      <c r="AX1179" s="45">
        <f>IF(AU1179="","",T1179-AV1179)</f>
        <v/>
      </c>
      <c r="AY1179" s="45">
        <f>IF(AU1179="","",AH1179-AV1179)</f>
        <v/>
      </c>
      <c r="AZ1179" s="54">
        <f>(AL1179-AM1179)-T1179*AT1179</f>
        <v/>
      </c>
      <c r="BA1179" s="43">
        <f>IF(AU1179="",0,(AH1179-T1179)*AF1179)</f>
        <v/>
      </c>
      <c r="BB1179" s="43">
        <f>IF(AU1179="",0,T1179*(AF1179-AT1179))</f>
        <v/>
      </c>
      <c r="BC1179" s="51" t="n">
        <v>0.07081003269820652</v>
      </c>
      <c r="BD1179" s="51" t="n">
        <v>0.282579418967209</v>
      </c>
      <c r="BE1179" s="51" t="n">
        <v>0.3789510465075649</v>
      </c>
      <c r="BF1179" s="43" t="n">
        <v>711354</v>
      </c>
    </row>
    <row r="1180">
      <c r="A1180" s="42" t="inlineStr">
        <is>
          <t>TX</t>
        </is>
      </c>
      <c r="B1180" s="42" t="inlineStr">
        <is>
          <t>48341</t>
        </is>
      </c>
      <c r="C1180" s="42" t="inlineStr">
        <is>
          <t>Moore</t>
        </is>
      </c>
      <c r="D1180" s="42" t="inlineStr">
        <is>
          <t>Hispanic</t>
        </is>
      </c>
      <c r="E1180" s="42" t="inlineStr"/>
      <c r="F1180" s="43" t="n">
        <v>860</v>
      </c>
      <c r="G1180" s="43" t="n">
        <v>4458</v>
      </c>
      <c r="H1180" s="43" t="n">
        <v>5359</v>
      </c>
      <c r="I1180" s="43" t="n">
        <v>1062</v>
      </c>
      <c r="J1180" s="43" t="n">
        <v>4359</v>
      </c>
      <c r="K1180" s="42" t="inlineStr">
        <is>
          <t>Governor</t>
        </is>
      </c>
      <c r="L1180" s="43" t="n">
        <v>479</v>
      </c>
      <c r="M1180" s="43" t="n">
        <v>3081</v>
      </c>
      <c r="N1180" s="43" t="n">
        <v>3603</v>
      </c>
      <c r="O1180" s="44">
        <f>IFERROR((F1180-G1180)/(F1180+G1180),"")</f>
        <v/>
      </c>
      <c r="P1180" s="44">
        <f>IFERROR((I1180-J1180)/(I1180+J1180),"")</f>
        <v/>
      </c>
      <c r="Q1180" s="45">
        <f>IFERROR(O1180-P1180,"")</f>
        <v/>
      </c>
      <c r="R1180" s="44">
        <f>IFERROR((L1180-M1180)/(L1180+M1180),"")</f>
        <v/>
      </c>
      <c r="S1180" s="46">
        <f>H1180/SUMIFS(Counties!$H$2:$H$1583,Counties!$A$2:$A$1583,$A1180)</f>
        <v/>
      </c>
      <c r="T1180" s="44">
        <f>O1180+INDEX(Dashboard!$F$6:$F$22,MATCH($A1180,Dashboard!$A$6:$A$22,0))</f>
        <v/>
      </c>
      <c r="U1180" s="43">
        <f>AQ1180*INDEX(Dashboard!$G$6:$G$22,MATCH($A1180,Dashboard!$A$6:$A$22,0))</f>
        <v/>
      </c>
      <c r="V1180" s="47" t="n"/>
      <c r="W1180" s="47" t="n"/>
      <c r="X1180" s="47" t="n"/>
      <c r="Y1180" s="48" t="n"/>
      <c r="Z1180" s="49" t="n"/>
      <c r="AA1180" s="49" t="n"/>
      <c r="AB1180" s="49" t="n"/>
      <c r="AC1180" s="50" t="n"/>
      <c r="AD1180" s="43">
        <f>IF(Z1180&lt;&gt;"",Z1180,N(V1180))</f>
        <v/>
      </c>
      <c r="AE1180" s="43">
        <f>IF(AA1180&lt;&gt;"",AA1180,N(W1180))</f>
        <v/>
      </c>
      <c r="AF1180" s="43">
        <f>AD1180+AE1180</f>
        <v/>
      </c>
      <c r="AG1180" s="42">
        <f>IF(UPPER(AC1180)="Y",1,IF(AF1180=0,0,IF(AND(Z1180="",Y1180&lt;&gt;""),IF(Y1180&gt;=0.999,1,0),IF(AF1180&gt;=U1180,1,0))))</f>
        <v/>
      </c>
      <c r="AH1180" s="44">
        <f>IF(AF1180&gt;0,(AD1180-AE1180)/AF1180,"")</f>
        <v/>
      </c>
      <c r="AI1180" s="45">
        <f>IF(AG1180=1,AH1180-O1180,"")</f>
        <v/>
      </c>
      <c r="AJ1180" s="44">
        <f>IF(AG1180=1,AH1180,MAX(-1,MIN(1,O1180+INDEX(Types!$H:$H,MATCH($A1180&amp;"|"&amp;$D1180,Types!$A:$A,0)))))</f>
        <v/>
      </c>
      <c r="AK1180" s="43">
        <f>IF(AG1180=1,AF1180,MAX(AQ1180*AS1180,AF1180))</f>
        <v/>
      </c>
      <c r="AL1180" s="43">
        <f>IF(AG1180=1,AD1180,AK1180*(1+AJ1180)/2)</f>
        <v/>
      </c>
      <c r="AM1180" s="43">
        <f>IF(AG1180=1,AE1180,AK1180*(1-AJ1180)/2)</f>
        <v/>
      </c>
      <c r="AN1180" s="45">
        <f>IF(AH1180="","",AH1180-T1180)</f>
        <v/>
      </c>
      <c r="AO1180" s="51">
        <f>IF(AG1180=1,1,IF(U1180&gt;0,MIN(AF1180/U1180,0.99),0))</f>
        <v/>
      </c>
      <c r="AP1180" s="43">
        <f>IF(AG1180=1,AI1180*AF1180,0)</f>
        <v/>
      </c>
      <c r="AQ1180" s="43">
        <f>N1180*(F1180+G1180)/H1180</f>
        <v/>
      </c>
      <c r="AR1180" s="43">
        <f>O1180*AQ1180</f>
        <v/>
      </c>
      <c r="AS1180" s="52">
        <f>IF(AG1180=1,IF(AQ1180&gt;0,AF1180/AQ1180,1),IFERROR(INDEX(Types!$K:$K,MATCH($A1180&amp;"|"&amp;$D1180,Types!$A:$A,0)),INDEX(Dashboard!$X$6:$X$22,MATCH($A1180,Dashboard!$A$6:$A$22,0))))</f>
        <v/>
      </c>
      <c r="AT1180" s="43">
        <f>AQ1180*INDEX(Dashboard!$Y$6:$Y$22,MATCH($A1180,Dashboard!$A$6:$A$22,0))</f>
        <v/>
      </c>
      <c r="AU1180" s="53">
        <f>IF(AND(AG1180=1,AT1180&gt;0,AF1180&gt;0),100*AF1180/AT1180,"")</f>
        <v/>
      </c>
      <c r="AV1180" s="44">
        <f>IF(AU1180="","",T1180/(AU1180/100))</f>
        <v/>
      </c>
      <c r="AW1180" s="53">
        <f>IF(AU1180="","",IF(AND(ABS(AH1180)&gt;=0.1,ABS(T1180)&gt;=0.05,SIGN(AH1180)=SIGN(T1180)),100*T1180/AH1180,""))</f>
        <v/>
      </c>
      <c r="AX1180" s="45">
        <f>IF(AU1180="","",T1180-AV1180)</f>
        <v/>
      </c>
      <c r="AY1180" s="45">
        <f>IF(AU1180="","",AH1180-AV1180)</f>
        <v/>
      </c>
      <c r="AZ1180" s="54">
        <f>(AL1180-AM1180)-T1180*AT1180</f>
        <v/>
      </c>
      <c r="BA1180" s="43">
        <f>IF(AU1180="",0,(AH1180-T1180)*AF1180)</f>
        <v/>
      </c>
      <c r="BB1180" s="43">
        <f>IF(AU1180="",0,T1180*(AF1180-AT1180))</f>
        <v/>
      </c>
      <c r="BC1180" s="51" t="n">
        <v>0.04841906559697971</v>
      </c>
      <c r="BD1180" s="51" t="n">
        <v>0.6149126946672959</v>
      </c>
      <c r="BE1180" s="51" t="n">
        <v>0.1204559948979592</v>
      </c>
      <c r="BF1180" s="43" t="n">
        <v>21190</v>
      </c>
    </row>
    <row r="1181">
      <c r="A1181" s="42" t="inlineStr">
        <is>
          <t>TX</t>
        </is>
      </c>
      <c r="B1181" s="42" t="inlineStr">
        <is>
          <t>48343</t>
        </is>
      </c>
      <c r="C1181" s="42" t="inlineStr">
        <is>
          <t>Morris</t>
        </is>
      </c>
      <c r="D1181" s="42" t="inlineStr">
        <is>
          <t>Small town &amp; rural</t>
        </is>
      </c>
      <c r="E1181" s="42" t="inlineStr"/>
      <c r="F1181" s="43" t="n">
        <v>1312</v>
      </c>
      <c r="G1181" s="43" t="n">
        <v>4092</v>
      </c>
      <c r="H1181" s="43" t="n">
        <v>5433</v>
      </c>
      <c r="I1181" s="43" t="n">
        <v>1669</v>
      </c>
      <c r="J1181" s="43" t="n">
        <v>3872</v>
      </c>
      <c r="K1181" s="42" t="inlineStr">
        <is>
          <t>Governor</t>
        </is>
      </c>
      <c r="L1181" s="43" t="n">
        <v>921</v>
      </c>
      <c r="M1181" s="43" t="n">
        <v>3041</v>
      </c>
      <c r="N1181" s="43" t="n">
        <v>3998</v>
      </c>
      <c r="O1181" s="44">
        <f>IFERROR((F1181-G1181)/(F1181+G1181),"")</f>
        <v/>
      </c>
      <c r="P1181" s="44">
        <f>IFERROR((I1181-J1181)/(I1181+J1181),"")</f>
        <v/>
      </c>
      <c r="Q1181" s="45">
        <f>IFERROR(O1181-P1181,"")</f>
        <v/>
      </c>
      <c r="R1181" s="44">
        <f>IFERROR((L1181-M1181)/(L1181+M1181),"")</f>
        <v/>
      </c>
      <c r="S1181" s="46">
        <f>H1181/SUMIFS(Counties!$H$2:$H$1583,Counties!$A$2:$A$1583,$A1181)</f>
        <v/>
      </c>
      <c r="T1181" s="44">
        <f>O1181+INDEX(Dashboard!$F$6:$F$22,MATCH($A1181,Dashboard!$A$6:$A$22,0))</f>
        <v/>
      </c>
      <c r="U1181" s="43">
        <f>AQ1181*INDEX(Dashboard!$G$6:$G$22,MATCH($A1181,Dashboard!$A$6:$A$22,0))</f>
        <v/>
      </c>
      <c r="V1181" s="47" t="n"/>
      <c r="W1181" s="47" t="n"/>
      <c r="X1181" s="47" t="n"/>
      <c r="Y1181" s="48" t="n"/>
      <c r="Z1181" s="49" t="n"/>
      <c r="AA1181" s="49" t="n"/>
      <c r="AB1181" s="49" t="n"/>
      <c r="AC1181" s="50" t="n"/>
      <c r="AD1181" s="43">
        <f>IF(Z1181&lt;&gt;"",Z1181,N(V1181))</f>
        <v/>
      </c>
      <c r="AE1181" s="43">
        <f>IF(AA1181&lt;&gt;"",AA1181,N(W1181))</f>
        <v/>
      </c>
      <c r="AF1181" s="43">
        <f>AD1181+AE1181</f>
        <v/>
      </c>
      <c r="AG1181" s="42">
        <f>IF(UPPER(AC1181)="Y",1,IF(AF1181=0,0,IF(AND(Z1181="",Y1181&lt;&gt;""),IF(Y1181&gt;=0.999,1,0),IF(AF1181&gt;=U1181,1,0))))</f>
        <v/>
      </c>
      <c r="AH1181" s="44">
        <f>IF(AF1181&gt;0,(AD1181-AE1181)/AF1181,"")</f>
        <v/>
      </c>
      <c r="AI1181" s="45">
        <f>IF(AG1181=1,AH1181-O1181,"")</f>
        <v/>
      </c>
      <c r="AJ1181" s="44">
        <f>IF(AG1181=1,AH1181,MAX(-1,MIN(1,O1181+INDEX(Types!$H:$H,MATCH($A1181&amp;"|"&amp;$D1181,Types!$A:$A,0)))))</f>
        <v/>
      </c>
      <c r="AK1181" s="43">
        <f>IF(AG1181=1,AF1181,MAX(AQ1181*AS1181,AF1181))</f>
        <v/>
      </c>
      <c r="AL1181" s="43">
        <f>IF(AG1181=1,AD1181,AK1181*(1+AJ1181)/2)</f>
        <v/>
      </c>
      <c r="AM1181" s="43">
        <f>IF(AG1181=1,AE1181,AK1181*(1-AJ1181)/2)</f>
        <v/>
      </c>
      <c r="AN1181" s="45">
        <f>IF(AH1181="","",AH1181-T1181)</f>
        <v/>
      </c>
      <c r="AO1181" s="51">
        <f>IF(AG1181=1,1,IF(U1181&gt;0,MIN(AF1181/U1181,0.99),0))</f>
        <v/>
      </c>
      <c r="AP1181" s="43">
        <f>IF(AG1181=1,AI1181*AF1181,0)</f>
        <v/>
      </c>
      <c r="AQ1181" s="43">
        <f>N1181*(F1181+G1181)/H1181</f>
        <v/>
      </c>
      <c r="AR1181" s="43">
        <f>O1181*AQ1181</f>
        <v/>
      </c>
      <c r="AS1181" s="52">
        <f>IF(AG1181=1,IF(AQ1181&gt;0,AF1181/AQ1181,1),IFERROR(INDEX(Types!$K:$K,MATCH($A1181&amp;"|"&amp;$D1181,Types!$A:$A,0)),INDEX(Dashboard!$X$6:$X$22,MATCH($A1181,Dashboard!$A$6:$A$22,0))))</f>
        <v/>
      </c>
      <c r="AT1181" s="43">
        <f>AQ1181*INDEX(Dashboard!$Y$6:$Y$22,MATCH($A1181,Dashboard!$A$6:$A$22,0))</f>
        <v/>
      </c>
      <c r="AU1181" s="53">
        <f>IF(AND(AG1181=1,AT1181&gt;0,AF1181&gt;0),100*AF1181/AT1181,"")</f>
        <v/>
      </c>
      <c r="AV1181" s="44">
        <f>IF(AU1181="","",T1181/(AU1181/100))</f>
        <v/>
      </c>
      <c r="AW1181" s="53">
        <f>IF(AU1181="","",IF(AND(ABS(AH1181)&gt;=0.1,ABS(T1181)&gt;=0.05,SIGN(AH1181)=SIGN(T1181)),100*T1181/AH1181,""))</f>
        <v/>
      </c>
      <c r="AX1181" s="45">
        <f>IF(AU1181="","",T1181-AV1181)</f>
        <v/>
      </c>
      <c r="AY1181" s="45">
        <f>IF(AU1181="","",AH1181-AV1181)</f>
        <v/>
      </c>
      <c r="AZ1181" s="54">
        <f>(AL1181-AM1181)-T1181*AT1181</f>
        <v/>
      </c>
      <c r="BA1181" s="43">
        <f>IF(AU1181="",0,(AH1181-T1181)*AF1181)</f>
        <v/>
      </c>
      <c r="BB1181" s="43">
        <f>IF(AU1181="",0,T1181*(AF1181-AT1181))</f>
        <v/>
      </c>
      <c r="BC1181" s="51" t="n">
        <v>0.2115033979777888</v>
      </c>
      <c r="BD1181" s="51" t="n">
        <v>0.1161942648765125</v>
      </c>
      <c r="BE1181" s="51" t="n">
        <v>0.1553775188152464</v>
      </c>
      <c r="BF1181" s="43" t="n">
        <v>12066</v>
      </c>
    </row>
    <row r="1182">
      <c r="A1182" s="42" t="inlineStr">
        <is>
          <t>TX</t>
        </is>
      </c>
      <c r="B1182" s="42" t="inlineStr">
        <is>
          <t>48345</t>
        </is>
      </c>
      <c r="C1182" s="42" t="inlineStr">
        <is>
          <t>Motley</t>
        </is>
      </c>
      <c r="D1182" s="42" t="inlineStr">
        <is>
          <t>Small town &amp; rural</t>
        </is>
      </c>
      <c r="E1182" s="42" t="inlineStr"/>
      <c r="F1182" s="43" t="n">
        <v>35</v>
      </c>
      <c r="G1182" s="43" t="n">
        <v>612</v>
      </c>
      <c r="H1182" s="43" t="n">
        <v>650</v>
      </c>
      <c r="I1182" s="43" t="n">
        <v>46</v>
      </c>
      <c r="J1182" s="43" t="n">
        <v>604</v>
      </c>
      <c r="K1182" s="42" t="inlineStr">
        <is>
          <t>Governor</t>
        </is>
      </c>
      <c r="L1182" s="43" t="n">
        <v>18</v>
      </c>
      <c r="M1182" s="43" t="n">
        <v>482</v>
      </c>
      <c r="N1182" s="43" t="n">
        <v>505</v>
      </c>
      <c r="O1182" s="44">
        <f>IFERROR((F1182-G1182)/(F1182+G1182),"")</f>
        <v/>
      </c>
      <c r="P1182" s="44">
        <f>IFERROR((I1182-J1182)/(I1182+J1182),"")</f>
        <v/>
      </c>
      <c r="Q1182" s="45">
        <f>IFERROR(O1182-P1182,"")</f>
        <v/>
      </c>
      <c r="R1182" s="44">
        <f>IFERROR((L1182-M1182)/(L1182+M1182),"")</f>
        <v/>
      </c>
      <c r="S1182" s="46">
        <f>H1182/SUMIFS(Counties!$H$2:$H$1583,Counties!$A$2:$A$1583,$A1182)</f>
        <v/>
      </c>
      <c r="T1182" s="44">
        <f>O1182+INDEX(Dashboard!$F$6:$F$22,MATCH($A1182,Dashboard!$A$6:$A$22,0))</f>
        <v/>
      </c>
      <c r="U1182" s="43">
        <f>AQ1182*INDEX(Dashboard!$G$6:$G$22,MATCH($A1182,Dashboard!$A$6:$A$22,0))</f>
        <v/>
      </c>
      <c r="V1182" s="47" t="n"/>
      <c r="W1182" s="47" t="n"/>
      <c r="X1182" s="47" t="n"/>
      <c r="Y1182" s="48" t="n"/>
      <c r="Z1182" s="49" t="n"/>
      <c r="AA1182" s="49" t="n"/>
      <c r="AB1182" s="49" t="n"/>
      <c r="AC1182" s="50" t="n"/>
      <c r="AD1182" s="43">
        <f>IF(Z1182&lt;&gt;"",Z1182,N(V1182))</f>
        <v/>
      </c>
      <c r="AE1182" s="43">
        <f>IF(AA1182&lt;&gt;"",AA1182,N(W1182))</f>
        <v/>
      </c>
      <c r="AF1182" s="43">
        <f>AD1182+AE1182</f>
        <v/>
      </c>
      <c r="AG1182" s="42">
        <f>IF(UPPER(AC1182)="Y",1,IF(AF1182=0,0,IF(AND(Z1182="",Y1182&lt;&gt;""),IF(Y1182&gt;=0.999,1,0),IF(AF1182&gt;=U1182,1,0))))</f>
        <v/>
      </c>
      <c r="AH1182" s="44">
        <f>IF(AF1182&gt;0,(AD1182-AE1182)/AF1182,"")</f>
        <v/>
      </c>
      <c r="AI1182" s="45">
        <f>IF(AG1182=1,AH1182-O1182,"")</f>
        <v/>
      </c>
      <c r="AJ1182" s="44">
        <f>IF(AG1182=1,AH1182,MAX(-1,MIN(1,O1182+INDEX(Types!$H:$H,MATCH($A1182&amp;"|"&amp;$D1182,Types!$A:$A,0)))))</f>
        <v/>
      </c>
      <c r="AK1182" s="43">
        <f>IF(AG1182=1,AF1182,MAX(AQ1182*AS1182,AF1182))</f>
        <v/>
      </c>
      <c r="AL1182" s="43">
        <f>IF(AG1182=1,AD1182,AK1182*(1+AJ1182)/2)</f>
        <v/>
      </c>
      <c r="AM1182" s="43">
        <f>IF(AG1182=1,AE1182,AK1182*(1-AJ1182)/2)</f>
        <v/>
      </c>
      <c r="AN1182" s="45">
        <f>IF(AH1182="","",AH1182-T1182)</f>
        <v/>
      </c>
      <c r="AO1182" s="51">
        <f>IF(AG1182=1,1,IF(U1182&gt;0,MIN(AF1182/U1182,0.99),0))</f>
        <v/>
      </c>
      <c r="AP1182" s="43">
        <f>IF(AG1182=1,AI1182*AF1182,0)</f>
        <v/>
      </c>
      <c r="AQ1182" s="43">
        <f>N1182*(F1182+G1182)/H1182</f>
        <v/>
      </c>
      <c r="AR1182" s="43">
        <f>O1182*AQ1182</f>
        <v/>
      </c>
      <c r="AS1182" s="52">
        <f>IF(AG1182=1,IF(AQ1182&gt;0,AF1182/AQ1182,1),IFERROR(INDEX(Types!$K:$K,MATCH($A1182&amp;"|"&amp;$D1182,Types!$A:$A,0)),INDEX(Dashboard!$X$6:$X$22,MATCH($A1182,Dashboard!$A$6:$A$22,0))))</f>
        <v/>
      </c>
      <c r="AT1182" s="43">
        <f>AQ1182*INDEX(Dashboard!$Y$6:$Y$22,MATCH($A1182,Dashboard!$A$6:$A$22,0))</f>
        <v/>
      </c>
      <c r="AU1182" s="53">
        <f>IF(AND(AG1182=1,AT1182&gt;0,AF1182&gt;0),100*AF1182/AT1182,"")</f>
        <v/>
      </c>
      <c r="AV1182" s="44">
        <f>IF(AU1182="","",T1182/(AU1182/100))</f>
        <v/>
      </c>
      <c r="AW1182" s="53">
        <f>IF(AU1182="","",IF(AND(ABS(AH1182)&gt;=0.1,ABS(T1182)&gt;=0.05,SIGN(AH1182)=SIGN(T1182)),100*T1182/AH1182,""))</f>
        <v/>
      </c>
      <c r="AX1182" s="45">
        <f>IF(AU1182="","",T1182-AV1182)</f>
        <v/>
      </c>
      <c r="AY1182" s="45">
        <f>IF(AU1182="","",AH1182-AV1182)</f>
        <v/>
      </c>
      <c r="AZ1182" s="54">
        <f>(AL1182-AM1182)-T1182*AT1182</f>
        <v/>
      </c>
      <c r="BA1182" s="43">
        <f>IF(AU1182="",0,(AH1182-T1182)*AF1182)</f>
        <v/>
      </c>
      <c r="BB1182" s="43">
        <f>IF(AU1182="",0,T1182*(AF1182-AT1182))</f>
        <v/>
      </c>
      <c r="BC1182" s="51" t="n">
        <v>0.02843137254901961</v>
      </c>
      <c r="BD1182" s="51" t="n">
        <v>0.1607843137254902</v>
      </c>
      <c r="BE1182" s="51" t="n">
        <v>0.2203567681007345</v>
      </c>
      <c r="BF1182" s="43" t="n">
        <v>1020</v>
      </c>
    </row>
    <row r="1183">
      <c r="A1183" s="42" t="inlineStr">
        <is>
          <t>TX</t>
        </is>
      </c>
      <c r="B1183" s="42" t="inlineStr">
        <is>
          <t>48347</t>
        </is>
      </c>
      <c r="C1183" s="42" t="inlineStr">
        <is>
          <t>Nacogdoches</t>
        </is>
      </c>
      <c r="D1183" s="42" t="inlineStr">
        <is>
          <t>Small town &amp; rural</t>
        </is>
      </c>
      <c r="E1183" s="42" t="inlineStr"/>
      <c r="F1183" s="43" t="n">
        <v>7690</v>
      </c>
      <c r="G1183" s="43" t="n">
        <v>17575</v>
      </c>
      <c r="H1183" s="43" t="n">
        <v>25470</v>
      </c>
      <c r="I1183" s="43" t="n">
        <v>9000</v>
      </c>
      <c r="J1183" s="43" t="n">
        <v>17378</v>
      </c>
      <c r="K1183" s="42" t="inlineStr">
        <is>
          <t>Governor</t>
        </is>
      </c>
      <c r="L1183" s="43" t="n">
        <v>5480</v>
      </c>
      <c r="M1183" s="43" t="n">
        <v>13248</v>
      </c>
      <c r="N1183" s="43" t="n">
        <v>18956</v>
      </c>
      <c r="O1183" s="44">
        <f>IFERROR((F1183-G1183)/(F1183+G1183),"")</f>
        <v/>
      </c>
      <c r="P1183" s="44">
        <f>IFERROR((I1183-J1183)/(I1183+J1183),"")</f>
        <v/>
      </c>
      <c r="Q1183" s="45">
        <f>IFERROR(O1183-P1183,"")</f>
        <v/>
      </c>
      <c r="R1183" s="44">
        <f>IFERROR((L1183-M1183)/(L1183+M1183),"")</f>
        <v/>
      </c>
      <c r="S1183" s="46">
        <f>H1183/SUMIFS(Counties!$H$2:$H$1583,Counties!$A$2:$A$1583,$A1183)</f>
        <v/>
      </c>
      <c r="T1183" s="44">
        <f>O1183+INDEX(Dashboard!$F$6:$F$22,MATCH($A1183,Dashboard!$A$6:$A$22,0))</f>
        <v/>
      </c>
      <c r="U1183" s="43">
        <f>AQ1183*INDEX(Dashboard!$G$6:$G$22,MATCH($A1183,Dashboard!$A$6:$A$22,0))</f>
        <v/>
      </c>
      <c r="V1183" s="47" t="n"/>
      <c r="W1183" s="47" t="n"/>
      <c r="X1183" s="47" t="n"/>
      <c r="Y1183" s="48" t="n"/>
      <c r="Z1183" s="49" t="n"/>
      <c r="AA1183" s="49" t="n"/>
      <c r="AB1183" s="49" t="n"/>
      <c r="AC1183" s="50" t="n"/>
      <c r="AD1183" s="43">
        <f>IF(Z1183&lt;&gt;"",Z1183,N(V1183))</f>
        <v/>
      </c>
      <c r="AE1183" s="43">
        <f>IF(AA1183&lt;&gt;"",AA1183,N(W1183))</f>
        <v/>
      </c>
      <c r="AF1183" s="43">
        <f>AD1183+AE1183</f>
        <v/>
      </c>
      <c r="AG1183" s="42">
        <f>IF(UPPER(AC1183)="Y",1,IF(AF1183=0,0,IF(AND(Z1183="",Y1183&lt;&gt;""),IF(Y1183&gt;=0.999,1,0),IF(AF1183&gt;=U1183,1,0))))</f>
        <v/>
      </c>
      <c r="AH1183" s="44">
        <f>IF(AF1183&gt;0,(AD1183-AE1183)/AF1183,"")</f>
        <v/>
      </c>
      <c r="AI1183" s="45">
        <f>IF(AG1183=1,AH1183-O1183,"")</f>
        <v/>
      </c>
      <c r="AJ1183" s="44">
        <f>IF(AG1183=1,AH1183,MAX(-1,MIN(1,O1183+INDEX(Types!$H:$H,MATCH($A1183&amp;"|"&amp;$D1183,Types!$A:$A,0)))))</f>
        <v/>
      </c>
      <c r="AK1183" s="43">
        <f>IF(AG1183=1,AF1183,MAX(AQ1183*AS1183,AF1183))</f>
        <v/>
      </c>
      <c r="AL1183" s="43">
        <f>IF(AG1183=1,AD1183,AK1183*(1+AJ1183)/2)</f>
        <v/>
      </c>
      <c r="AM1183" s="43">
        <f>IF(AG1183=1,AE1183,AK1183*(1-AJ1183)/2)</f>
        <v/>
      </c>
      <c r="AN1183" s="45">
        <f>IF(AH1183="","",AH1183-T1183)</f>
        <v/>
      </c>
      <c r="AO1183" s="51">
        <f>IF(AG1183=1,1,IF(U1183&gt;0,MIN(AF1183/U1183,0.99),0))</f>
        <v/>
      </c>
      <c r="AP1183" s="43">
        <f>IF(AG1183=1,AI1183*AF1183,0)</f>
        <v/>
      </c>
      <c r="AQ1183" s="43">
        <f>N1183*(F1183+G1183)/H1183</f>
        <v/>
      </c>
      <c r="AR1183" s="43">
        <f>O1183*AQ1183</f>
        <v/>
      </c>
      <c r="AS1183" s="52">
        <f>IF(AG1183=1,IF(AQ1183&gt;0,AF1183/AQ1183,1),IFERROR(INDEX(Types!$K:$K,MATCH($A1183&amp;"|"&amp;$D1183,Types!$A:$A,0)),INDEX(Dashboard!$X$6:$X$22,MATCH($A1183,Dashboard!$A$6:$A$22,0))))</f>
        <v/>
      </c>
      <c r="AT1183" s="43">
        <f>AQ1183*INDEX(Dashboard!$Y$6:$Y$22,MATCH($A1183,Dashboard!$A$6:$A$22,0))</f>
        <v/>
      </c>
      <c r="AU1183" s="53">
        <f>IF(AND(AG1183=1,AT1183&gt;0,AF1183&gt;0),100*AF1183/AT1183,"")</f>
        <v/>
      </c>
      <c r="AV1183" s="44">
        <f>IF(AU1183="","",T1183/(AU1183/100))</f>
        <v/>
      </c>
      <c r="AW1183" s="53">
        <f>IF(AU1183="","",IF(AND(ABS(AH1183)&gt;=0.1,ABS(T1183)&gt;=0.05,SIGN(AH1183)=SIGN(T1183)),100*T1183/AH1183,""))</f>
        <v/>
      </c>
      <c r="AX1183" s="45">
        <f>IF(AU1183="","",T1183-AV1183)</f>
        <v/>
      </c>
      <c r="AY1183" s="45">
        <f>IF(AU1183="","",AH1183-AV1183)</f>
        <v/>
      </c>
      <c r="AZ1183" s="54">
        <f>(AL1183-AM1183)-T1183*AT1183</f>
        <v/>
      </c>
      <c r="BA1183" s="43">
        <f>IF(AU1183="",0,(AH1183-T1183)*AF1183)</f>
        <v/>
      </c>
      <c r="BB1183" s="43">
        <f>IF(AU1183="",0,T1183*(AF1183-AT1183))</f>
        <v/>
      </c>
      <c r="BC1183" s="51" t="n">
        <v>0.1652313575525813</v>
      </c>
      <c r="BD1183" s="51" t="n">
        <v>0.2183709369024857</v>
      </c>
      <c r="BE1183" s="51" t="n">
        <v>0.2650526149220666</v>
      </c>
      <c r="BF1183" s="43" t="n">
        <v>65375</v>
      </c>
    </row>
    <row r="1184">
      <c r="A1184" s="42" t="inlineStr">
        <is>
          <t>TX</t>
        </is>
      </c>
      <c r="B1184" s="42" t="inlineStr">
        <is>
          <t>48349</t>
        </is>
      </c>
      <c r="C1184" s="42" t="inlineStr">
        <is>
          <t>Navarro</t>
        </is>
      </c>
      <c r="D1184" s="42" t="inlineStr">
        <is>
          <t>Small town &amp; rural</t>
        </is>
      </c>
      <c r="E1184" s="42" t="inlineStr"/>
      <c r="F1184" s="43" t="n">
        <v>4708</v>
      </c>
      <c r="G1184" s="43" t="n">
        <v>14983</v>
      </c>
      <c r="H1184" s="43" t="n">
        <v>19829</v>
      </c>
      <c r="I1184" s="43" t="n">
        <v>5101</v>
      </c>
      <c r="J1184" s="43" t="n">
        <v>13800</v>
      </c>
      <c r="K1184" s="42" t="inlineStr">
        <is>
          <t>Governor</t>
        </is>
      </c>
      <c r="L1184" s="43" t="n">
        <v>3157</v>
      </c>
      <c r="M1184" s="43" t="n">
        <v>10829</v>
      </c>
      <c r="N1184" s="43" t="n">
        <v>14142</v>
      </c>
      <c r="O1184" s="44">
        <f>IFERROR((F1184-G1184)/(F1184+G1184),"")</f>
        <v/>
      </c>
      <c r="P1184" s="44">
        <f>IFERROR((I1184-J1184)/(I1184+J1184),"")</f>
        <v/>
      </c>
      <c r="Q1184" s="45">
        <f>IFERROR(O1184-P1184,"")</f>
        <v/>
      </c>
      <c r="R1184" s="44">
        <f>IFERROR((L1184-M1184)/(L1184+M1184),"")</f>
        <v/>
      </c>
      <c r="S1184" s="46">
        <f>H1184/SUMIFS(Counties!$H$2:$H$1583,Counties!$A$2:$A$1583,$A1184)</f>
        <v/>
      </c>
      <c r="T1184" s="44">
        <f>O1184+INDEX(Dashboard!$F$6:$F$22,MATCH($A1184,Dashboard!$A$6:$A$22,0))</f>
        <v/>
      </c>
      <c r="U1184" s="43">
        <f>AQ1184*INDEX(Dashboard!$G$6:$G$22,MATCH($A1184,Dashboard!$A$6:$A$22,0))</f>
        <v/>
      </c>
      <c r="V1184" s="47" t="n"/>
      <c r="W1184" s="47" t="n"/>
      <c r="X1184" s="47" t="n"/>
      <c r="Y1184" s="48" t="n"/>
      <c r="Z1184" s="49" t="n"/>
      <c r="AA1184" s="49" t="n"/>
      <c r="AB1184" s="49" t="n"/>
      <c r="AC1184" s="50" t="n"/>
      <c r="AD1184" s="43">
        <f>IF(Z1184&lt;&gt;"",Z1184,N(V1184))</f>
        <v/>
      </c>
      <c r="AE1184" s="43">
        <f>IF(AA1184&lt;&gt;"",AA1184,N(W1184))</f>
        <v/>
      </c>
      <c r="AF1184" s="43">
        <f>AD1184+AE1184</f>
        <v/>
      </c>
      <c r="AG1184" s="42">
        <f>IF(UPPER(AC1184)="Y",1,IF(AF1184=0,0,IF(AND(Z1184="",Y1184&lt;&gt;""),IF(Y1184&gt;=0.999,1,0),IF(AF1184&gt;=U1184,1,0))))</f>
        <v/>
      </c>
      <c r="AH1184" s="44">
        <f>IF(AF1184&gt;0,(AD1184-AE1184)/AF1184,"")</f>
        <v/>
      </c>
      <c r="AI1184" s="45">
        <f>IF(AG1184=1,AH1184-O1184,"")</f>
        <v/>
      </c>
      <c r="AJ1184" s="44">
        <f>IF(AG1184=1,AH1184,MAX(-1,MIN(1,O1184+INDEX(Types!$H:$H,MATCH($A1184&amp;"|"&amp;$D1184,Types!$A:$A,0)))))</f>
        <v/>
      </c>
      <c r="AK1184" s="43">
        <f>IF(AG1184=1,AF1184,MAX(AQ1184*AS1184,AF1184))</f>
        <v/>
      </c>
      <c r="AL1184" s="43">
        <f>IF(AG1184=1,AD1184,AK1184*(1+AJ1184)/2)</f>
        <v/>
      </c>
      <c r="AM1184" s="43">
        <f>IF(AG1184=1,AE1184,AK1184*(1-AJ1184)/2)</f>
        <v/>
      </c>
      <c r="AN1184" s="45">
        <f>IF(AH1184="","",AH1184-T1184)</f>
        <v/>
      </c>
      <c r="AO1184" s="51">
        <f>IF(AG1184=1,1,IF(U1184&gt;0,MIN(AF1184/U1184,0.99),0))</f>
        <v/>
      </c>
      <c r="AP1184" s="43">
        <f>IF(AG1184=1,AI1184*AF1184,0)</f>
        <v/>
      </c>
      <c r="AQ1184" s="43">
        <f>N1184*(F1184+G1184)/H1184</f>
        <v/>
      </c>
      <c r="AR1184" s="43">
        <f>O1184*AQ1184</f>
        <v/>
      </c>
      <c r="AS1184" s="52">
        <f>IF(AG1184=1,IF(AQ1184&gt;0,AF1184/AQ1184,1),IFERROR(INDEX(Types!$K:$K,MATCH($A1184&amp;"|"&amp;$D1184,Types!$A:$A,0)),INDEX(Dashboard!$X$6:$X$22,MATCH($A1184,Dashboard!$A$6:$A$22,0))))</f>
        <v/>
      </c>
      <c r="AT1184" s="43">
        <f>AQ1184*INDEX(Dashboard!$Y$6:$Y$22,MATCH($A1184,Dashboard!$A$6:$A$22,0))</f>
        <v/>
      </c>
      <c r="AU1184" s="53">
        <f>IF(AND(AG1184=1,AT1184&gt;0,AF1184&gt;0),100*AF1184/AT1184,"")</f>
        <v/>
      </c>
      <c r="AV1184" s="44">
        <f>IF(AU1184="","",T1184/(AU1184/100))</f>
        <v/>
      </c>
      <c r="AW1184" s="53">
        <f>IF(AU1184="","",IF(AND(ABS(AH1184)&gt;=0.1,ABS(T1184)&gt;=0.05,SIGN(AH1184)=SIGN(T1184)),100*T1184/AH1184,""))</f>
        <v/>
      </c>
      <c r="AX1184" s="45">
        <f>IF(AU1184="","",T1184-AV1184)</f>
        <v/>
      </c>
      <c r="AY1184" s="45">
        <f>IF(AU1184="","",AH1184-AV1184)</f>
        <v/>
      </c>
      <c r="AZ1184" s="54">
        <f>(AL1184-AM1184)-T1184*AT1184</f>
        <v/>
      </c>
      <c r="BA1184" s="43">
        <f>IF(AU1184="",0,(AH1184-T1184)*AF1184)</f>
        <v/>
      </c>
      <c r="BB1184" s="43">
        <f>IF(AU1184="",0,T1184*(AF1184-AT1184))</f>
        <v/>
      </c>
      <c r="BC1184" s="51" t="n">
        <v>0.1173721578143255</v>
      </c>
      <c r="BD1184" s="51" t="n">
        <v>0.3276714298553069</v>
      </c>
      <c r="BE1184" s="51" t="n">
        <v>0.1707195593577874</v>
      </c>
      <c r="BF1184" s="43" t="n">
        <v>55635</v>
      </c>
    </row>
    <row r="1185">
      <c r="A1185" s="42" t="inlineStr">
        <is>
          <t>TX</t>
        </is>
      </c>
      <c r="B1185" s="42" t="inlineStr">
        <is>
          <t>48351</t>
        </is>
      </c>
      <c r="C1185" s="42" t="inlineStr">
        <is>
          <t>Newton</t>
        </is>
      </c>
      <c r="D1185" s="42" t="inlineStr">
        <is>
          <t>Small town &amp; rural</t>
        </is>
      </c>
      <c r="E1185" s="42" t="inlineStr"/>
      <c r="F1185" s="43" t="n">
        <v>952</v>
      </c>
      <c r="G1185" s="43" t="n">
        <v>4781</v>
      </c>
      <c r="H1185" s="43" t="n">
        <v>5749</v>
      </c>
      <c r="I1185" s="43" t="n">
        <v>1173</v>
      </c>
      <c r="J1185" s="43" t="n">
        <v>4882</v>
      </c>
      <c r="K1185" s="42" t="inlineStr">
        <is>
          <t>Governor</t>
        </is>
      </c>
      <c r="L1185" s="43" t="n">
        <v>689</v>
      </c>
      <c r="M1185" s="43" t="n">
        <v>3660</v>
      </c>
      <c r="N1185" s="43" t="n">
        <v>4373</v>
      </c>
      <c r="O1185" s="44">
        <f>IFERROR((F1185-G1185)/(F1185+G1185),"")</f>
        <v/>
      </c>
      <c r="P1185" s="44">
        <f>IFERROR((I1185-J1185)/(I1185+J1185),"")</f>
        <v/>
      </c>
      <c r="Q1185" s="45">
        <f>IFERROR(O1185-P1185,"")</f>
        <v/>
      </c>
      <c r="R1185" s="44">
        <f>IFERROR((L1185-M1185)/(L1185+M1185),"")</f>
        <v/>
      </c>
      <c r="S1185" s="46">
        <f>H1185/SUMIFS(Counties!$H$2:$H$1583,Counties!$A$2:$A$1583,$A1185)</f>
        <v/>
      </c>
      <c r="T1185" s="44">
        <f>O1185+INDEX(Dashboard!$F$6:$F$22,MATCH($A1185,Dashboard!$A$6:$A$22,0))</f>
        <v/>
      </c>
      <c r="U1185" s="43">
        <f>AQ1185*INDEX(Dashboard!$G$6:$G$22,MATCH($A1185,Dashboard!$A$6:$A$22,0))</f>
        <v/>
      </c>
      <c r="V1185" s="47" t="n"/>
      <c r="W1185" s="47" t="n"/>
      <c r="X1185" s="47" t="n"/>
      <c r="Y1185" s="48" t="n"/>
      <c r="Z1185" s="49" t="n"/>
      <c r="AA1185" s="49" t="n"/>
      <c r="AB1185" s="49" t="n"/>
      <c r="AC1185" s="50" t="n"/>
      <c r="AD1185" s="43">
        <f>IF(Z1185&lt;&gt;"",Z1185,N(V1185))</f>
        <v/>
      </c>
      <c r="AE1185" s="43">
        <f>IF(AA1185&lt;&gt;"",AA1185,N(W1185))</f>
        <v/>
      </c>
      <c r="AF1185" s="43">
        <f>AD1185+AE1185</f>
        <v/>
      </c>
      <c r="AG1185" s="42">
        <f>IF(UPPER(AC1185)="Y",1,IF(AF1185=0,0,IF(AND(Z1185="",Y1185&lt;&gt;""),IF(Y1185&gt;=0.999,1,0),IF(AF1185&gt;=U1185,1,0))))</f>
        <v/>
      </c>
      <c r="AH1185" s="44">
        <f>IF(AF1185&gt;0,(AD1185-AE1185)/AF1185,"")</f>
        <v/>
      </c>
      <c r="AI1185" s="45">
        <f>IF(AG1185=1,AH1185-O1185,"")</f>
        <v/>
      </c>
      <c r="AJ1185" s="44">
        <f>IF(AG1185=1,AH1185,MAX(-1,MIN(1,O1185+INDEX(Types!$H:$H,MATCH($A1185&amp;"|"&amp;$D1185,Types!$A:$A,0)))))</f>
        <v/>
      </c>
      <c r="AK1185" s="43">
        <f>IF(AG1185=1,AF1185,MAX(AQ1185*AS1185,AF1185))</f>
        <v/>
      </c>
      <c r="AL1185" s="43">
        <f>IF(AG1185=1,AD1185,AK1185*(1+AJ1185)/2)</f>
        <v/>
      </c>
      <c r="AM1185" s="43">
        <f>IF(AG1185=1,AE1185,AK1185*(1-AJ1185)/2)</f>
        <v/>
      </c>
      <c r="AN1185" s="45">
        <f>IF(AH1185="","",AH1185-T1185)</f>
        <v/>
      </c>
      <c r="AO1185" s="51">
        <f>IF(AG1185=1,1,IF(U1185&gt;0,MIN(AF1185/U1185,0.99),0))</f>
        <v/>
      </c>
      <c r="AP1185" s="43">
        <f>IF(AG1185=1,AI1185*AF1185,0)</f>
        <v/>
      </c>
      <c r="AQ1185" s="43">
        <f>N1185*(F1185+G1185)/H1185</f>
        <v/>
      </c>
      <c r="AR1185" s="43">
        <f>O1185*AQ1185</f>
        <v/>
      </c>
      <c r="AS1185" s="52">
        <f>IF(AG1185=1,IF(AQ1185&gt;0,AF1185/AQ1185,1),IFERROR(INDEX(Types!$K:$K,MATCH($A1185&amp;"|"&amp;$D1185,Types!$A:$A,0)),INDEX(Dashboard!$X$6:$X$22,MATCH($A1185,Dashboard!$A$6:$A$22,0))))</f>
        <v/>
      </c>
      <c r="AT1185" s="43">
        <f>AQ1185*INDEX(Dashboard!$Y$6:$Y$22,MATCH($A1185,Dashboard!$A$6:$A$22,0))</f>
        <v/>
      </c>
      <c r="AU1185" s="53">
        <f>IF(AND(AG1185=1,AT1185&gt;0,AF1185&gt;0),100*AF1185/AT1185,"")</f>
        <v/>
      </c>
      <c r="AV1185" s="44">
        <f>IF(AU1185="","",T1185/(AU1185/100))</f>
        <v/>
      </c>
      <c r="AW1185" s="53">
        <f>IF(AU1185="","",IF(AND(ABS(AH1185)&gt;=0.1,ABS(T1185)&gt;=0.05,SIGN(AH1185)=SIGN(T1185)),100*T1185/AH1185,""))</f>
        <v/>
      </c>
      <c r="AX1185" s="45">
        <f>IF(AU1185="","",T1185-AV1185)</f>
        <v/>
      </c>
      <c r="AY1185" s="45">
        <f>IF(AU1185="","",AH1185-AV1185)</f>
        <v/>
      </c>
      <c r="AZ1185" s="54">
        <f>(AL1185-AM1185)-T1185*AT1185</f>
        <v/>
      </c>
      <c r="BA1185" s="43">
        <f>IF(AU1185="",0,(AH1185-T1185)*AF1185)</f>
        <v/>
      </c>
      <c r="BB1185" s="43">
        <f>IF(AU1185="",0,T1185*(AF1185-AT1185))</f>
        <v/>
      </c>
      <c r="BC1185" s="51" t="n">
        <v>0.165794501204419</v>
      </c>
      <c r="BD1185" s="51" t="n">
        <v>0.03903978735775396</v>
      </c>
      <c r="BE1185" s="51" t="n">
        <v>0.06230176710466697</v>
      </c>
      <c r="BF1185" s="43" t="n">
        <v>12039</v>
      </c>
    </row>
    <row r="1186">
      <c r="A1186" s="42" t="inlineStr">
        <is>
          <t>TX</t>
        </is>
      </c>
      <c r="B1186" s="42" t="inlineStr">
        <is>
          <t>48353</t>
        </is>
      </c>
      <c r="C1186" s="42" t="inlineStr">
        <is>
          <t>Nolan</t>
        </is>
      </c>
      <c r="D1186" s="42" t="inlineStr">
        <is>
          <t>Small town &amp; rural</t>
        </is>
      </c>
      <c r="E1186" s="42" t="inlineStr"/>
      <c r="F1186" s="43" t="n">
        <v>1020</v>
      </c>
      <c r="G1186" s="43" t="n">
        <v>4048</v>
      </c>
      <c r="H1186" s="43" t="n">
        <v>5114</v>
      </c>
      <c r="I1186" s="43" t="n">
        <v>1162</v>
      </c>
      <c r="J1186" s="43" t="n">
        <v>4131</v>
      </c>
      <c r="K1186" s="42" t="inlineStr">
        <is>
          <t>Governor</t>
        </is>
      </c>
      <c r="L1186" s="43" t="n">
        <v>647</v>
      </c>
      <c r="M1186" s="43" t="n">
        <v>3093</v>
      </c>
      <c r="N1186" s="43" t="n">
        <v>3803</v>
      </c>
      <c r="O1186" s="44">
        <f>IFERROR((F1186-G1186)/(F1186+G1186),"")</f>
        <v/>
      </c>
      <c r="P1186" s="44">
        <f>IFERROR((I1186-J1186)/(I1186+J1186),"")</f>
        <v/>
      </c>
      <c r="Q1186" s="45">
        <f>IFERROR(O1186-P1186,"")</f>
        <v/>
      </c>
      <c r="R1186" s="44">
        <f>IFERROR((L1186-M1186)/(L1186+M1186),"")</f>
        <v/>
      </c>
      <c r="S1186" s="46">
        <f>H1186/SUMIFS(Counties!$H$2:$H$1583,Counties!$A$2:$A$1583,$A1186)</f>
        <v/>
      </c>
      <c r="T1186" s="44">
        <f>O1186+INDEX(Dashboard!$F$6:$F$22,MATCH($A1186,Dashboard!$A$6:$A$22,0))</f>
        <v/>
      </c>
      <c r="U1186" s="43">
        <f>AQ1186*INDEX(Dashboard!$G$6:$G$22,MATCH($A1186,Dashboard!$A$6:$A$22,0))</f>
        <v/>
      </c>
      <c r="V1186" s="47" t="n"/>
      <c r="W1186" s="47" t="n"/>
      <c r="X1186" s="47" t="n"/>
      <c r="Y1186" s="48" t="n"/>
      <c r="Z1186" s="49" t="n"/>
      <c r="AA1186" s="49" t="n"/>
      <c r="AB1186" s="49" t="n"/>
      <c r="AC1186" s="50" t="n"/>
      <c r="AD1186" s="43">
        <f>IF(Z1186&lt;&gt;"",Z1186,N(V1186))</f>
        <v/>
      </c>
      <c r="AE1186" s="43">
        <f>IF(AA1186&lt;&gt;"",AA1186,N(W1186))</f>
        <v/>
      </c>
      <c r="AF1186" s="43">
        <f>AD1186+AE1186</f>
        <v/>
      </c>
      <c r="AG1186" s="42">
        <f>IF(UPPER(AC1186)="Y",1,IF(AF1186=0,0,IF(AND(Z1186="",Y1186&lt;&gt;""),IF(Y1186&gt;=0.999,1,0),IF(AF1186&gt;=U1186,1,0))))</f>
        <v/>
      </c>
      <c r="AH1186" s="44">
        <f>IF(AF1186&gt;0,(AD1186-AE1186)/AF1186,"")</f>
        <v/>
      </c>
      <c r="AI1186" s="45">
        <f>IF(AG1186=1,AH1186-O1186,"")</f>
        <v/>
      </c>
      <c r="AJ1186" s="44">
        <f>IF(AG1186=1,AH1186,MAX(-1,MIN(1,O1186+INDEX(Types!$H:$H,MATCH($A1186&amp;"|"&amp;$D1186,Types!$A:$A,0)))))</f>
        <v/>
      </c>
      <c r="AK1186" s="43">
        <f>IF(AG1186=1,AF1186,MAX(AQ1186*AS1186,AF1186))</f>
        <v/>
      </c>
      <c r="AL1186" s="43">
        <f>IF(AG1186=1,AD1186,AK1186*(1+AJ1186)/2)</f>
        <v/>
      </c>
      <c r="AM1186" s="43">
        <f>IF(AG1186=1,AE1186,AK1186*(1-AJ1186)/2)</f>
        <v/>
      </c>
      <c r="AN1186" s="45">
        <f>IF(AH1186="","",AH1186-T1186)</f>
        <v/>
      </c>
      <c r="AO1186" s="51">
        <f>IF(AG1186=1,1,IF(U1186&gt;0,MIN(AF1186/U1186,0.99),0))</f>
        <v/>
      </c>
      <c r="AP1186" s="43">
        <f>IF(AG1186=1,AI1186*AF1186,0)</f>
        <v/>
      </c>
      <c r="AQ1186" s="43">
        <f>N1186*(F1186+G1186)/H1186</f>
        <v/>
      </c>
      <c r="AR1186" s="43">
        <f>O1186*AQ1186</f>
        <v/>
      </c>
      <c r="AS1186" s="52">
        <f>IF(AG1186=1,IF(AQ1186&gt;0,AF1186/AQ1186,1),IFERROR(INDEX(Types!$K:$K,MATCH($A1186&amp;"|"&amp;$D1186,Types!$A:$A,0)),INDEX(Dashboard!$X$6:$X$22,MATCH($A1186,Dashboard!$A$6:$A$22,0))))</f>
        <v/>
      </c>
      <c r="AT1186" s="43">
        <f>AQ1186*INDEX(Dashboard!$Y$6:$Y$22,MATCH($A1186,Dashboard!$A$6:$A$22,0))</f>
        <v/>
      </c>
      <c r="AU1186" s="53">
        <f>IF(AND(AG1186=1,AT1186&gt;0,AF1186&gt;0),100*AF1186/AT1186,"")</f>
        <v/>
      </c>
      <c r="AV1186" s="44">
        <f>IF(AU1186="","",T1186/(AU1186/100))</f>
        <v/>
      </c>
      <c r="AW1186" s="53">
        <f>IF(AU1186="","",IF(AND(ABS(AH1186)&gt;=0.1,ABS(T1186)&gt;=0.05,SIGN(AH1186)=SIGN(T1186)),100*T1186/AH1186,""))</f>
        <v/>
      </c>
      <c r="AX1186" s="45">
        <f>IF(AU1186="","",T1186-AV1186)</f>
        <v/>
      </c>
      <c r="AY1186" s="45">
        <f>IF(AU1186="","",AH1186-AV1186)</f>
        <v/>
      </c>
      <c r="AZ1186" s="54">
        <f>(AL1186-AM1186)-T1186*AT1186</f>
        <v/>
      </c>
      <c r="BA1186" s="43">
        <f>IF(AU1186="",0,(AH1186-T1186)*AF1186)</f>
        <v/>
      </c>
      <c r="BB1186" s="43">
        <f>IF(AU1186="",0,T1186*(AF1186-AT1186))</f>
        <v/>
      </c>
      <c r="BC1186" s="51" t="n">
        <v>0.04585488606179226</v>
      </c>
      <c r="BD1186" s="51" t="n">
        <v>0.3787921151964211</v>
      </c>
      <c r="BE1186" s="51" t="n">
        <v>0.1372078464106845</v>
      </c>
      <c r="BF1186" s="43" t="n">
        <v>14306</v>
      </c>
    </row>
    <row r="1187">
      <c r="A1187" s="42" t="inlineStr">
        <is>
          <t>TX</t>
        </is>
      </c>
      <c r="B1187" s="42" t="inlineStr">
        <is>
          <t>48355</t>
        </is>
      </c>
      <c r="C1187" s="42" t="inlineStr">
        <is>
          <t>Nueces</t>
        </is>
      </c>
      <c r="D1187" s="42" t="inlineStr">
        <is>
          <t>Hispanic</t>
        </is>
      </c>
      <c r="E1187" s="42" t="inlineStr"/>
      <c r="F1187" s="43" t="n">
        <v>53248</v>
      </c>
      <c r="G1187" s="43" t="n">
        <v>67201</v>
      </c>
      <c r="H1187" s="43" t="n">
        <v>121614</v>
      </c>
      <c r="I1187" s="43" t="n">
        <v>60925</v>
      </c>
      <c r="J1187" s="43" t="n">
        <v>64617</v>
      </c>
      <c r="K1187" s="42" t="inlineStr">
        <is>
          <t>Governor</t>
        </is>
      </c>
      <c r="L1187" s="43" t="n">
        <v>40474</v>
      </c>
      <c r="M1187" s="43" t="n">
        <v>47567</v>
      </c>
      <c r="N1187" s="43" t="n">
        <v>89305</v>
      </c>
      <c r="O1187" s="44">
        <f>IFERROR((F1187-G1187)/(F1187+G1187),"")</f>
        <v/>
      </c>
      <c r="P1187" s="44">
        <f>IFERROR((I1187-J1187)/(I1187+J1187),"")</f>
        <v/>
      </c>
      <c r="Q1187" s="45">
        <f>IFERROR(O1187-P1187,"")</f>
        <v/>
      </c>
      <c r="R1187" s="44">
        <f>IFERROR((L1187-M1187)/(L1187+M1187),"")</f>
        <v/>
      </c>
      <c r="S1187" s="46">
        <f>H1187/SUMIFS(Counties!$H$2:$H$1583,Counties!$A$2:$A$1583,$A1187)</f>
        <v/>
      </c>
      <c r="T1187" s="44">
        <f>O1187+INDEX(Dashboard!$F$6:$F$22,MATCH($A1187,Dashboard!$A$6:$A$22,0))</f>
        <v/>
      </c>
      <c r="U1187" s="43">
        <f>AQ1187*INDEX(Dashboard!$G$6:$G$22,MATCH($A1187,Dashboard!$A$6:$A$22,0))</f>
        <v/>
      </c>
      <c r="V1187" s="47" t="n"/>
      <c r="W1187" s="47" t="n"/>
      <c r="X1187" s="47" t="n"/>
      <c r="Y1187" s="48" t="n"/>
      <c r="Z1187" s="49" t="n"/>
      <c r="AA1187" s="49" t="n"/>
      <c r="AB1187" s="49" t="n"/>
      <c r="AC1187" s="50" t="n"/>
      <c r="AD1187" s="43">
        <f>IF(Z1187&lt;&gt;"",Z1187,N(V1187))</f>
        <v/>
      </c>
      <c r="AE1187" s="43">
        <f>IF(AA1187&lt;&gt;"",AA1187,N(W1187))</f>
        <v/>
      </c>
      <c r="AF1187" s="43">
        <f>AD1187+AE1187</f>
        <v/>
      </c>
      <c r="AG1187" s="42">
        <f>IF(UPPER(AC1187)="Y",1,IF(AF1187=0,0,IF(AND(Z1187="",Y1187&lt;&gt;""),IF(Y1187&gt;=0.999,1,0),IF(AF1187&gt;=U1187,1,0))))</f>
        <v/>
      </c>
      <c r="AH1187" s="44">
        <f>IF(AF1187&gt;0,(AD1187-AE1187)/AF1187,"")</f>
        <v/>
      </c>
      <c r="AI1187" s="45">
        <f>IF(AG1187=1,AH1187-O1187,"")</f>
        <v/>
      </c>
      <c r="AJ1187" s="44">
        <f>IF(AG1187=1,AH1187,MAX(-1,MIN(1,O1187+INDEX(Types!$H:$H,MATCH($A1187&amp;"|"&amp;$D1187,Types!$A:$A,0)))))</f>
        <v/>
      </c>
      <c r="AK1187" s="43">
        <f>IF(AG1187=1,AF1187,MAX(AQ1187*AS1187,AF1187))</f>
        <v/>
      </c>
      <c r="AL1187" s="43">
        <f>IF(AG1187=1,AD1187,AK1187*(1+AJ1187)/2)</f>
        <v/>
      </c>
      <c r="AM1187" s="43">
        <f>IF(AG1187=1,AE1187,AK1187*(1-AJ1187)/2)</f>
        <v/>
      </c>
      <c r="AN1187" s="45">
        <f>IF(AH1187="","",AH1187-T1187)</f>
        <v/>
      </c>
      <c r="AO1187" s="51">
        <f>IF(AG1187=1,1,IF(U1187&gt;0,MIN(AF1187/U1187,0.99),0))</f>
        <v/>
      </c>
      <c r="AP1187" s="43">
        <f>IF(AG1187=1,AI1187*AF1187,0)</f>
        <v/>
      </c>
      <c r="AQ1187" s="43">
        <f>N1187*(F1187+G1187)/H1187</f>
        <v/>
      </c>
      <c r="AR1187" s="43">
        <f>O1187*AQ1187</f>
        <v/>
      </c>
      <c r="AS1187" s="52">
        <f>IF(AG1187=1,IF(AQ1187&gt;0,AF1187/AQ1187,1),IFERROR(INDEX(Types!$K:$K,MATCH($A1187&amp;"|"&amp;$D1187,Types!$A:$A,0)),INDEX(Dashboard!$X$6:$X$22,MATCH($A1187,Dashboard!$A$6:$A$22,0))))</f>
        <v/>
      </c>
      <c r="AT1187" s="43">
        <f>AQ1187*INDEX(Dashboard!$Y$6:$Y$22,MATCH($A1187,Dashboard!$A$6:$A$22,0))</f>
        <v/>
      </c>
      <c r="AU1187" s="53">
        <f>IF(AND(AG1187=1,AT1187&gt;0,AF1187&gt;0),100*AF1187/AT1187,"")</f>
        <v/>
      </c>
      <c r="AV1187" s="44">
        <f>IF(AU1187="","",T1187/(AU1187/100))</f>
        <v/>
      </c>
      <c r="AW1187" s="53">
        <f>IF(AU1187="","",IF(AND(ABS(AH1187)&gt;=0.1,ABS(T1187)&gt;=0.05,SIGN(AH1187)=SIGN(T1187)),100*T1187/AH1187,""))</f>
        <v/>
      </c>
      <c r="AX1187" s="45">
        <f>IF(AU1187="","",T1187-AV1187)</f>
        <v/>
      </c>
      <c r="AY1187" s="45">
        <f>IF(AU1187="","",AH1187-AV1187)</f>
        <v/>
      </c>
      <c r="AZ1187" s="54">
        <f>(AL1187-AM1187)-T1187*AT1187</f>
        <v/>
      </c>
      <c r="BA1187" s="43">
        <f>IF(AU1187="",0,(AH1187-T1187)*AF1187)</f>
        <v/>
      </c>
      <c r="BB1187" s="43">
        <f>IF(AU1187="",0,T1187*(AF1187-AT1187))</f>
        <v/>
      </c>
      <c r="BC1187" s="51" t="n">
        <v>0.03711441458575204</v>
      </c>
      <c r="BD1187" s="51" t="n">
        <v>0.6291709363619075</v>
      </c>
      <c r="BE1187" s="51" t="n">
        <v>0.2368495354129947</v>
      </c>
      <c r="BF1187" s="43" t="n">
        <v>352289</v>
      </c>
    </row>
    <row r="1188">
      <c r="A1188" s="42" t="inlineStr">
        <is>
          <t>TX</t>
        </is>
      </c>
      <c r="B1188" s="42" t="inlineStr">
        <is>
          <t>48357</t>
        </is>
      </c>
      <c r="C1188" s="42" t="inlineStr">
        <is>
          <t>Ochiltree</t>
        </is>
      </c>
      <c r="D1188" s="42" t="inlineStr">
        <is>
          <t>Hispanic</t>
        </is>
      </c>
      <c r="E1188" s="42" t="inlineStr"/>
      <c r="F1188" s="43" t="n">
        <v>269</v>
      </c>
      <c r="G1188" s="43" t="n">
        <v>2723</v>
      </c>
      <c r="H1188" s="43" t="n">
        <v>3008</v>
      </c>
      <c r="I1188" s="43" t="n">
        <v>302</v>
      </c>
      <c r="J1188" s="43" t="n">
        <v>2812</v>
      </c>
      <c r="K1188" s="42" t="inlineStr">
        <is>
          <t>Governor</t>
        </is>
      </c>
      <c r="L1188" s="43" t="n">
        <v>135</v>
      </c>
      <c r="M1188" s="43" t="n">
        <v>1975</v>
      </c>
      <c r="N1188" s="43" t="n">
        <v>2127</v>
      </c>
      <c r="O1188" s="44">
        <f>IFERROR((F1188-G1188)/(F1188+G1188),"")</f>
        <v/>
      </c>
      <c r="P1188" s="44">
        <f>IFERROR((I1188-J1188)/(I1188+J1188),"")</f>
        <v/>
      </c>
      <c r="Q1188" s="45">
        <f>IFERROR(O1188-P1188,"")</f>
        <v/>
      </c>
      <c r="R1188" s="44">
        <f>IFERROR((L1188-M1188)/(L1188+M1188),"")</f>
        <v/>
      </c>
      <c r="S1188" s="46">
        <f>H1188/SUMIFS(Counties!$H$2:$H$1583,Counties!$A$2:$A$1583,$A1188)</f>
        <v/>
      </c>
      <c r="T1188" s="44">
        <f>O1188+INDEX(Dashboard!$F$6:$F$22,MATCH($A1188,Dashboard!$A$6:$A$22,0))</f>
        <v/>
      </c>
      <c r="U1188" s="43">
        <f>AQ1188*INDEX(Dashboard!$G$6:$G$22,MATCH($A1188,Dashboard!$A$6:$A$22,0))</f>
        <v/>
      </c>
      <c r="V1188" s="47" t="n"/>
      <c r="W1188" s="47" t="n"/>
      <c r="X1188" s="47" t="n"/>
      <c r="Y1188" s="48" t="n"/>
      <c r="Z1188" s="49" t="n"/>
      <c r="AA1188" s="49" t="n"/>
      <c r="AB1188" s="49" t="n"/>
      <c r="AC1188" s="50" t="n"/>
      <c r="AD1188" s="43">
        <f>IF(Z1188&lt;&gt;"",Z1188,N(V1188))</f>
        <v/>
      </c>
      <c r="AE1188" s="43">
        <f>IF(AA1188&lt;&gt;"",AA1188,N(W1188))</f>
        <v/>
      </c>
      <c r="AF1188" s="43">
        <f>AD1188+AE1188</f>
        <v/>
      </c>
      <c r="AG1188" s="42">
        <f>IF(UPPER(AC1188)="Y",1,IF(AF1188=0,0,IF(AND(Z1188="",Y1188&lt;&gt;""),IF(Y1188&gt;=0.999,1,0),IF(AF1188&gt;=U1188,1,0))))</f>
        <v/>
      </c>
      <c r="AH1188" s="44">
        <f>IF(AF1188&gt;0,(AD1188-AE1188)/AF1188,"")</f>
        <v/>
      </c>
      <c r="AI1188" s="45">
        <f>IF(AG1188=1,AH1188-O1188,"")</f>
        <v/>
      </c>
      <c r="AJ1188" s="44">
        <f>IF(AG1188=1,AH1188,MAX(-1,MIN(1,O1188+INDEX(Types!$H:$H,MATCH($A1188&amp;"|"&amp;$D1188,Types!$A:$A,0)))))</f>
        <v/>
      </c>
      <c r="AK1188" s="43">
        <f>IF(AG1188=1,AF1188,MAX(AQ1188*AS1188,AF1188))</f>
        <v/>
      </c>
      <c r="AL1188" s="43">
        <f>IF(AG1188=1,AD1188,AK1188*(1+AJ1188)/2)</f>
        <v/>
      </c>
      <c r="AM1188" s="43">
        <f>IF(AG1188=1,AE1188,AK1188*(1-AJ1188)/2)</f>
        <v/>
      </c>
      <c r="AN1188" s="45">
        <f>IF(AH1188="","",AH1188-T1188)</f>
        <v/>
      </c>
      <c r="AO1188" s="51">
        <f>IF(AG1188=1,1,IF(U1188&gt;0,MIN(AF1188/U1188,0.99),0))</f>
        <v/>
      </c>
      <c r="AP1188" s="43">
        <f>IF(AG1188=1,AI1188*AF1188,0)</f>
        <v/>
      </c>
      <c r="AQ1188" s="43">
        <f>N1188*(F1188+G1188)/H1188</f>
        <v/>
      </c>
      <c r="AR1188" s="43">
        <f>O1188*AQ1188</f>
        <v/>
      </c>
      <c r="AS1188" s="52">
        <f>IF(AG1188=1,IF(AQ1188&gt;0,AF1188/AQ1188,1),IFERROR(INDEX(Types!$K:$K,MATCH($A1188&amp;"|"&amp;$D1188,Types!$A:$A,0)),INDEX(Dashboard!$X$6:$X$22,MATCH($A1188,Dashboard!$A$6:$A$22,0))))</f>
        <v/>
      </c>
      <c r="AT1188" s="43">
        <f>AQ1188*INDEX(Dashboard!$Y$6:$Y$22,MATCH($A1188,Dashboard!$A$6:$A$22,0))</f>
        <v/>
      </c>
      <c r="AU1188" s="53">
        <f>IF(AND(AG1188=1,AT1188&gt;0,AF1188&gt;0),100*AF1188/AT1188,"")</f>
        <v/>
      </c>
      <c r="AV1188" s="44">
        <f>IF(AU1188="","",T1188/(AU1188/100))</f>
        <v/>
      </c>
      <c r="AW1188" s="53">
        <f>IF(AU1188="","",IF(AND(ABS(AH1188)&gt;=0.1,ABS(T1188)&gt;=0.05,SIGN(AH1188)=SIGN(T1188)),100*T1188/AH1188,""))</f>
        <v/>
      </c>
      <c r="AX1188" s="45">
        <f>IF(AU1188="","",T1188-AV1188)</f>
        <v/>
      </c>
      <c r="AY1188" s="45">
        <f>IF(AU1188="","",AH1188-AV1188)</f>
        <v/>
      </c>
      <c r="AZ1188" s="54">
        <f>(AL1188-AM1188)-T1188*AT1188</f>
        <v/>
      </c>
      <c r="BA1188" s="43">
        <f>IF(AU1188="",0,(AH1188-T1188)*AF1188)</f>
        <v/>
      </c>
      <c r="BB1188" s="43">
        <f>IF(AU1188="",0,T1188*(AF1188-AT1188))</f>
        <v/>
      </c>
      <c r="BC1188" s="51" t="n">
        <v>0.006079967023907667</v>
      </c>
      <c r="BD1188" s="51" t="n">
        <v>0.5782151690024732</v>
      </c>
      <c r="BE1188" s="51" t="n">
        <v>0.1901408450704225</v>
      </c>
      <c r="BF1188" s="43" t="n">
        <v>9704</v>
      </c>
    </row>
    <row r="1189">
      <c r="A1189" s="42" t="inlineStr">
        <is>
          <t>TX</t>
        </is>
      </c>
      <c r="B1189" s="42" t="inlineStr">
        <is>
          <t>48359</t>
        </is>
      </c>
      <c r="C1189" s="42" t="inlineStr">
        <is>
          <t>Oldham</t>
        </is>
      </c>
      <c r="D1189" s="42" t="inlineStr">
        <is>
          <t>Small town &amp; rural</t>
        </is>
      </c>
      <c r="E1189" s="42" t="inlineStr"/>
      <c r="F1189" s="43" t="n">
        <v>74</v>
      </c>
      <c r="G1189" s="43" t="n">
        <v>895</v>
      </c>
      <c r="H1189" s="43" t="n">
        <v>974</v>
      </c>
      <c r="I1189" s="43" t="n">
        <v>81</v>
      </c>
      <c r="J1189" s="43" t="n">
        <v>917</v>
      </c>
      <c r="K1189" s="42" t="inlineStr">
        <is>
          <t>Governor</t>
        </is>
      </c>
      <c r="L1189" s="43" t="n">
        <v>50</v>
      </c>
      <c r="M1189" s="43" t="n">
        <v>710</v>
      </c>
      <c r="N1189" s="43" t="n">
        <v>770</v>
      </c>
      <c r="O1189" s="44">
        <f>IFERROR((F1189-G1189)/(F1189+G1189),"")</f>
        <v/>
      </c>
      <c r="P1189" s="44">
        <f>IFERROR((I1189-J1189)/(I1189+J1189),"")</f>
        <v/>
      </c>
      <c r="Q1189" s="45">
        <f>IFERROR(O1189-P1189,"")</f>
        <v/>
      </c>
      <c r="R1189" s="44">
        <f>IFERROR((L1189-M1189)/(L1189+M1189),"")</f>
        <v/>
      </c>
      <c r="S1189" s="46">
        <f>H1189/SUMIFS(Counties!$H$2:$H$1583,Counties!$A$2:$A$1583,$A1189)</f>
        <v/>
      </c>
      <c r="T1189" s="44">
        <f>O1189+INDEX(Dashboard!$F$6:$F$22,MATCH($A1189,Dashboard!$A$6:$A$22,0))</f>
        <v/>
      </c>
      <c r="U1189" s="43">
        <f>AQ1189*INDEX(Dashboard!$G$6:$G$22,MATCH($A1189,Dashboard!$A$6:$A$22,0))</f>
        <v/>
      </c>
      <c r="V1189" s="47" t="n"/>
      <c r="W1189" s="47" t="n"/>
      <c r="X1189" s="47" t="n"/>
      <c r="Y1189" s="48" t="n"/>
      <c r="Z1189" s="49" t="n"/>
      <c r="AA1189" s="49" t="n"/>
      <c r="AB1189" s="49" t="n"/>
      <c r="AC1189" s="50" t="n"/>
      <c r="AD1189" s="43">
        <f>IF(Z1189&lt;&gt;"",Z1189,N(V1189))</f>
        <v/>
      </c>
      <c r="AE1189" s="43">
        <f>IF(AA1189&lt;&gt;"",AA1189,N(W1189))</f>
        <v/>
      </c>
      <c r="AF1189" s="43">
        <f>AD1189+AE1189</f>
        <v/>
      </c>
      <c r="AG1189" s="42">
        <f>IF(UPPER(AC1189)="Y",1,IF(AF1189=0,0,IF(AND(Z1189="",Y1189&lt;&gt;""),IF(Y1189&gt;=0.999,1,0),IF(AF1189&gt;=U1189,1,0))))</f>
        <v/>
      </c>
      <c r="AH1189" s="44">
        <f>IF(AF1189&gt;0,(AD1189-AE1189)/AF1189,"")</f>
        <v/>
      </c>
      <c r="AI1189" s="45">
        <f>IF(AG1189=1,AH1189-O1189,"")</f>
        <v/>
      </c>
      <c r="AJ1189" s="44">
        <f>IF(AG1189=1,AH1189,MAX(-1,MIN(1,O1189+INDEX(Types!$H:$H,MATCH($A1189&amp;"|"&amp;$D1189,Types!$A:$A,0)))))</f>
        <v/>
      </c>
      <c r="AK1189" s="43">
        <f>IF(AG1189=1,AF1189,MAX(AQ1189*AS1189,AF1189))</f>
        <v/>
      </c>
      <c r="AL1189" s="43">
        <f>IF(AG1189=1,AD1189,AK1189*(1+AJ1189)/2)</f>
        <v/>
      </c>
      <c r="AM1189" s="43">
        <f>IF(AG1189=1,AE1189,AK1189*(1-AJ1189)/2)</f>
        <v/>
      </c>
      <c r="AN1189" s="45">
        <f>IF(AH1189="","",AH1189-T1189)</f>
        <v/>
      </c>
      <c r="AO1189" s="51">
        <f>IF(AG1189=1,1,IF(U1189&gt;0,MIN(AF1189/U1189,0.99),0))</f>
        <v/>
      </c>
      <c r="AP1189" s="43">
        <f>IF(AG1189=1,AI1189*AF1189,0)</f>
        <v/>
      </c>
      <c r="AQ1189" s="43">
        <f>N1189*(F1189+G1189)/H1189</f>
        <v/>
      </c>
      <c r="AR1189" s="43">
        <f>O1189*AQ1189</f>
        <v/>
      </c>
      <c r="AS1189" s="52">
        <f>IF(AG1189=1,IF(AQ1189&gt;0,AF1189/AQ1189,1),IFERROR(INDEX(Types!$K:$K,MATCH($A1189&amp;"|"&amp;$D1189,Types!$A:$A,0)),INDEX(Dashboard!$X$6:$X$22,MATCH($A1189,Dashboard!$A$6:$A$22,0))))</f>
        <v/>
      </c>
      <c r="AT1189" s="43">
        <f>AQ1189*INDEX(Dashboard!$Y$6:$Y$22,MATCH($A1189,Dashboard!$A$6:$A$22,0))</f>
        <v/>
      </c>
      <c r="AU1189" s="53">
        <f>IF(AND(AG1189=1,AT1189&gt;0,AF1189&gt;0),100*AF1189/AT1189,"")</f>
        <v/>
      </c>
      <c r="AV1189" s="44">
        <f>IF(AU1189="","",T1189/(AU1189/100))</f>
        <v/>
      </c>
      <c r="AW1189" s="53">
        <f>IF(AU1189="","",IF(AND(ABS(AH1189)&gt;=0.1,ABS(T1189)&gt;=0.05,SIGN(AH1189)=SIGN(T1189)),100*T1189/AH1189,""))</f>
        <v/>
      </c>
      <c r="AX1189" s="45">
        <f>IF(AU1189="","",T1189-AV1189)</f>
        <v/>
      </c>
      <c r="AY1189" s="45">
        <f>IF(AU1189="","",AH1189-AV1189)</f>
        <v/>
      </c>
      <c r="AZ1189" s="54">
        <f>(AL1189-AM1189)-T1189*AT1189</f>
        <v/>
      </c>
      <c r="BA1189" s="43">
        <f>IF(AU1189="",0,(AH1189-T1189)*AF1189)</f>
        <v/>
      </c>
      <c r="BB1189" s="43">
        <f>IF(AU1189="",0,T1189*(AF1189-AT1189))</f>
        <v/>
      </c>
      <c r="BC1189" s="51" t="n">
        <v>0.03196859226023556</v>
      </c>
      <c r="BD1189" s="51" t="n">
        <v>0.2063937184520471</v>
      </c>
      <c r="BE1189" s="51" t="n">
        <v>0.2526062550120289</v>
      </c>
      <c r="BF1189" s="43" t="n">
        <v>1783</v>
      </c>
    </row>
    <row r="1190">
      <c r="A1190" s="42" t="inlineStr">
        <is>
          <t>TX</t>
        </is>
      </c>
      <c r="B1190" s="42" t="inlineStr">
        <is>
          <t>48361</t>
        </is>
      </c>
      <c r="C1190" s="42" t="inlineStr">
        <is>
          <t>Orange</t>
        </is>
      </c>
      <c r="D1190" s="42" t="inlineStr">
        <is>
          <t>Small town &amp; rural</t>
        </is>
      </c>
      <c r="E1190" s="42" t="inlineStr"/>
      <c r="F1190" s="43" t="n">
        <v>5945</v>
      </c>
      <c r="G1190" s="43" t="n">
        <v>30191</v>
      </c>
      <c r="H1190" s="43" t="n">
        <v>36328</v>
      </c>
      <c r="I1190" s="43" t="n">
        <v>6357</v>
      </c>
      <c r="J1190" s="43" t="n">
        <v>29186</v>
      </c>
      <c r="K1190" s="42" t="inlineStr">
        <is>
          <t>Governor</t>
        </is>
      </c>
      <c r="L1190" s="43" t="n">
        <v>3722</v>
      </c>
      <c r="M1190" s="43" t="n">
        <v>21153</v>
      </c>
      <c r="N1190" s="43" t="n">
        <v>25113</v>
      </c>
      <c r="O1190" s="44">
        <f>IFERROR((F1190-G1190)/(F1190+G1190),"")</f>
        <v/>
      </c>
      <c r="P1190" s="44">
        <f>IFERROR((I1190-J1190)/(I1190+J1190),"")</f>
        <v/>
      </c>
      <c r="Q1190" s="45">
        <f>IFERROR(O1190-P1190,"")</f>
        <v/>
      </c>
      <c r="R1190" s="44">
        <f>IFERROR((L1190-M1190)/(L1190+M1190),"")</f>
        <v/>
      </c>
      <c r="S1190" s="46">
        <f>H1190/SUMIFS(Counties!$H$2:$H$1583,Counties!$A$2:$A$1583,$A1190)</f>
        <v/>
      </c>
      <c r="T1190" s="44">
        <f>O1190+INDEX(Dashboard!$F$6:$F$22,MATCH($A1190,Dashboard!$A$6:$A$22,0))</f>
        <v/>
      </c>
      <c r="U1190" s="43">
        <f>AQ1190*INDEX(Dashboard!$G$6:$G$22,MATCH($A1190,Dashboard!$A$6:$A$22,0))</f>
        <v/>
      </c>
      <c r="V1190" s="47" t="n"/>
      <c r="W1190" s="47" t="n"/>
      <c r="X1190" s="47" t="n"/>
      <c r="Y1190" s="48" t="n"/>
      <c r="Z1190" s="49" t="n"/>
      <c r="AA1190" s="49" t="n"/>
      <c r="AB1190" s="49" t="n"/>
      <c r="AC1190" s="50" t="n"/>
      <c r="AD1190" s="43">
        <f>IF(Z1190&lt;&gt;"",Z1190,N(V1190))</f>
        <v/>
      </c>
      <c r="AE1190" s="43">
        <f>IF(AA1190&lt;&gt;"",AA1190,N(W1190))</f>
        <v/>
      </c>
      <c r="AF1190" s="43">
        <f>AD1190+AE1190</f>
        <v/>
      </c>
      <c r="AG1190" s="42">
        <f>IF(UPPER(AC1190)="Y",1,IF(AF1190=0,0,IF(AND(Z1190="",Y1190&lt;&gt;""),IF(Y1190&gt;=0.999,1,0),IF(AF1190&gt;=U1190,1,0))))</f>
        <v/>
      </c>
      <c r="AH1190" s="44">
        <f>IF(AF1190&gt;0,(AD1190-AE1190)/AF1190,"")</f>
        <v/>
      </c>
      <c r="AI1190" s="45">
        <f>IF(AG1190=1,AH1190-O1190,"")</f>
        <v/>
      </c>
      <c r="AJ1190" s="44">
        <f>IF(AG1190=1,AH1190,MAX(-1,MIN(1,O1190+INDEX(Types!$H:$H,MATCH($A1190&amp;"|"&amp;$D1190,Types!$A:$A,0)))))</f>
        <v/>
      </c>
      <c r="AK1190" s="43">
        <f>IF(AG1190=1,AF1190,MAX(AQ1190*AS1190,AF1190))</f>
        <v/>
      </c>
      <c r="AL1190" s="43">
        <f>IF(AG1190=1,AD1190,AK1190*(1+AJ1190)/2)</f>
        <v/>
      </c>
      <c r="AM1190" s="43">
        <f>IF(AG1190=1,AE1190,AK1190*(1-AJ1190)/2)</f>
        <v/>
      </c>
      <c r="AN1190" s="45">
        <f>IF(AH1190="","",AH1190-T1190)</f>
        <v/>
      </c>
      <c r="AO1190" s="51">
        <f>IF(AG1190=1,1,IF(U1190&gt;0,MIN(AF1190/U1190,0.99),0))</f>
        <v/>
      </c>
      <c r="AP1190" s="43">
        <f>IF(AG1190=1,AI1190*AF1190,0)</f>
        <v/>
      </c>
      <c r="AQ1190" s="43">
        <f>N1190*(F1190+G1190)/H1190</f>
        <v/>
      </c>
      <c r="AR1190" s="43">
        <f>O1190*AQ1190</f>
        <v/>
      </c>
      <c r="AS1190" s="52">
        <f>IF(AG1190=1,IF(AQ1190&gt;0,AF1190/AQ1190,1),IFERROR(INDEX(Types!$K:$K,MATCH($A1190&amp;"|"&amp;$D1190,Types!$A:$A,0)),INDEX(Dashboard!$X$6:$X$22,MATCH($A1190,Dashboard!$A$6:$A$22,0))))</f>
        <v/>
      </c>
      <c r="AT1190" s="43">
        <f>AQ1190*INDEX(Dashboard!$Y$6:$Y$22,MATCH($A1190,Dashboard!$A$6:$A$22,0))</f>
        <v/>
      </c>
      <c r="AU1190" s="53">
        <f>IF(AND(AG1190=1,AT1190&gt;0,AF1190&gt;0),100*AF1190/AT1190,"")</f>
        <v/>
      </c>
      <c r="AV1190" s="44">
        <f>IF(AU1190="","",T1190/(AU1190/100))</f>
        <v/>
      </c>
      <c r="AW1190" s="53">
        <f>IF(AU1190="","",IF(AND(ABS(AH1190)&gt;=0.1,ABS(T1190)&gt;=0.05,SIGN(AH1190)=SIGN(T1190)),100*T1190/AH1190,""))</f>
        <v/>
      </c>
      <c r="AX1190" s="45">
        <f>IF(AU1190="","",T1190-AV1190)</f>
        <v/>
      </c>
      <c r="AY1190" s="45">
        <f>IF(AU1190="","",AH1190-AV1190)</f>
        <v/>
      </c>
      <c r="AZ1190" s="54">
        <f>(AL1190-AM1190)-T1190*AT1190</f>
        <v/>
      </c>
      <c r="BA1190" s="43">
        <f>IF(AU1190="",0,(AH1190-T1190)*AF1190)</f>
        <v/>
      </c>
      <c r="BB1190" s="43">
        <f>IF(AU1190="",0,T1190*(AF1190-AT1190))</f>
        <v/>
      </c>
      <c r="BC1190" s="51" t="n">
        <v>0.08962693357597816</v>
      </c>
      <c r="BD1190" s="51" t="n">
        <v>0.1002543104453932</v>
      </c>
      <c r="BE1190" s="51" t="n">
        <v>0.1779387088227501</v>
      </c>
      <c r="BF1190" s="43" t="n">
        <v>85722</v>
      </c>
    </row>
    <row r="1191">
      <c r="A1191" s="42" t="inlineStr">
        <is>
          <t>TX</t>
        </is>
      </c>
      <c r="B1191" s="42" t="inlineStr">
        <is>
          <t>48363</t>
        </is>
      </c>
      <c r="C1191" s="42" t="inlineStr">
        <is>
          <t>Palo Pinto</t>
        </is>
      </c>
      <c r="D1191" s="42" t="inlineStr">
        <is>
          <t>Small town &amp; rural</t>
        </is>
      </c>
      <c r="E1191" s="42" t="inlineStr"/>
      <c r="F1191" s="43" t="n">
        <v>2143</v>
      </c>
      <c r="G1191" s="43" t="n">
        <v>11093</v>
      </c>
      <c r="H1191" s="43" t="n">
        <v>13333</v>
      </c>
      <c r="I1191" s="43" t="n">
        <v>2178</v>
      </c>
      <c r="J1191" s="43" t="n">
        <v>10179</v>
      </c>
      <c r="K1191" s="42" t="inlineStr">
        <is>
          <t>Governor</t>
        </is>
      </c>
      <c r="L1191" s="43" t="n">
        <v>1486</v>
      </c>
      <c r="M1191" s="43" t="n">
        <v>7896</v>
      </c>
      <c r="N1191" s="43" t="n">
        <v>9491</v>
      </c>
      <c r="O1191" s="44">
        <f>IFERROR((F1191-G1191)/(F1191+G1191),"")</f>
        <v/>
      </c>
      <c r="P1191" s="44">
        <f>IFERROR((I1191-J1191)/(I1191+J1191),"")</f>
        <v/>
      </c>
      <c r="Q1191" s="45">
        <f>IFERROR(O1191-P1191,"")</f>
        <v/>
      </c>
      <c r="R1191" s="44">
        <f>IFERROR((L1191-M1191)/(L1191+M1191),"")</f>
        <v/>
      </c>
      <c r="S1191" s="46">
        <f>H1191/SUMIFS(Counties!$H$2:$H$1583,Counties!$A$2:$A$1583,$A1191)</f>
        <v/>
      </c>
      <c r="T1191" s="44">
        <f>O1191+INDEX(Dashboard!$F$6:$F$22,MATCH($A1191,Dashboard!$A$6:$A$22,0))</f>
        <v/>
      </c>
      <c r="U1191" s="43">
        <f>AQ1191*INDEX(Dashboard!$G$6:$G$22,MATCH($A1191,Dashboard!$A$6:$A$22,0))</f>
        <v/>
      </c>
      <c r="V1191" s="47" t="n"/>
      <c r="W1191" s="47" t="n"/>
      <c r="X1191" s="47" t="n"/>
      <c r="Y1191" s="48" t="n"/>
      <c r="Z1191" s="49" t="n"/>
      <c r="AA1191" s="49" t="n"/>
      <c r="AB1191" s="49" t="n"/>
      <c r="AC1191" s="50" t="n"/>
      <c r="AD1191" s="43">
        <f>IF(Z1191&lt;&gt;"",Z1191,N(V1191))</f>
        <v/>
      </c>
      <c r="AE1191" s="43">
        <f>IF(AA1191&lt;&gt;"",AA1191,N(W1191))</f>
        <v/>
      </c>
      <c r="AF1191" s="43">
        <f>AD1191+AE1191</f>
        <v/>
      </c>
      <c r="AG1191" s="42">
        <f>IF(UPPER(AC1191)="Y",1,IF(AF1191=0,0,IF(AND(Z1191="",Y1191&lt;&gt;""),IF(Y1191&gt;=0.999,1,0),IF(AF1191&gt;=U1191,1,0))))</f>
        <v/>
      </c>
      <c r="AH1191" s="44">
        <f>IF(AF1191&gt;0,(AD1191-AE1191)/AF1191,"")</f>
        <v/>
      </c>
      <c r="AI1191" s="45">
        <f>IF(AG1191=1,AH1191-O1191,"")</f>
        <v/>
      </c>
      <c r="AJ1191" s="44">
        <f>IF(AG1191=1,AH1191,MAX(-1,MIN(1,O1191+INDEX(Types!$H:$H,MATCH($A1191&amp;"|"&amp;$D1191,Types!$A:$A,0)))))</f>
        <v/>
      </c>
      <c r="AK1191" s="43">
        <f>IF(AG1191=1,AF1191,MAX(AQ1191*AS1191,AF1191))</f>
        <v/>
      </c>
      <c r="AL1191" s="43">
        <f>IF(AG1191=1,AD1191,AK1191*(1+AJ1191)/2)</f>
        <v/>
      </c>
      <c r="AM1191" s="43">
        <f>IF(AG1191=1,AE1191,AK1191*(1-AJ1191)/2)</f>
        <v/>
      </c>
      <c r="AN1191" s="45">
        <f>IF(AH1191="","",AH1191-T1191)</f>
        <v/>
      </c>
      <c r="AO1191" s="51">
        <f>IF(AG1191=1,1,IF(U1191&gt;0,MIN(AF1191/U1191,0.99),0))</f>
        <v/>
      </c>
      <c r="AP1191" s="43">
        <f>IF(AG1191=1,AI1191*AF1191,0)</f>
        <v/>
      </c>
      <c r="AQ1191" s="43">
        <f>N1191*(F1191+G1191)/H1191</f>
        <v/>
      </c>
      <c r="AR1191" s="43">
        <f>O1191*AQ1191</f>
        <v/>
      </c>
      <c r="AS1191" s="52">
        <f>IF(AG1191=1,IF(AQ1191&gt;0,AF1191/AQ1191,1),IFERROR(INDEX(Types!$K:$K,MATCH($A1191&amp;"|"&amp;$D1191,Types!$A:$A,0)),INDEX(Dashboard!$X$6:$X$22,MATCH($A1191,Dashboard!$A$6:$A$22,0))))</f>
        <v/>
      </c>
      <c r="AT1191" s="43">
        <f>AQ1191*INDEX(Dashboard!$Y$6:$Y$22,MATCH($A1191,Dashboard!$A$6:$A$22,0))</f>
        <v/>
      </c>
      <c r="AU1191" s="53">
        <f>IF(AND(AG1191=1,AT1191&gt;0,AF1191&gt;0),100*AF1191/AT1191,"")</f>
        <v/>
      </c>
      <c r="AV1191" s="44">
        <f>IF(AU1191="","",T1191/(AU1191/100))</f>
        <v/>
      </c>
      <c r="AW1191" s="53">
        <f>IF(AU1191="","",IF(AND(ABS(AH1191)&gt;=0.1,ABS(T1191)&gt;=0.05,SIGN(AH1191)=SIGN(T1191)),100*T1191/AH1191,""))</f>
        <v/>
      </c>
      <c r="AX1191" s="45">
        <f>IF(AU1191="","",T1191-AV1191)</f>
        <v/>
      </c>
      <c r="AY1191" s="45">
        <f>IF(AU1191="","",AH1191-AV1191)</f>
        <v/>
      </c>
      <c r="AZ1191" s="54">
        <f>(AL1191-AM1191)-T1191*AT1191</f>
        <v/>
      </c>
      <c r="BA1191" s="43">
        <f>IF(AU1191="",0,(AH1191-T1191)*AF1191)</f>
        <v/>
      </c>
      <c r="BB1191" s="43">
        <f>IF(AU1191="",0,T1191*(AF1191-AT1191))</f>
        <v/>
      </c>
      <c r="BC1191" s="51" t="n">
        <v>0.02262413016438632</v>
      </c>
      <c r="BD1191" s="51" t="n">
        <v>0.2075503412108784</v>
      </c>
      <c r="BE1191" s="51" t="n">
        <v>0.1867651492312331</v>
      </c>
      <c r="BF1191" s="43" t="n">
        <v>29747</v>
      </c>
    </row>
    <row r="1192">
      <c r="A1192" s="42" t="inlineStr">
        <is>
          <t>TX</t>
        </is>
      </c>
      <c r="B1192" s="42" t="inlineStr">
        <is>
          <t>48365</t>
        </is>
      </c>
      <c r="C1192" s="42" t="inlineStr">
        <is>
          <t>Panola</t>
        </is>
      </c>
      <c r="D1192" s="42" t="inlineStr">
        <is>
          <t>Small town &amp; rural</t>
        </is>
      </c>
      <c r="E1192" s="42" t="inlineStr"/>
      <c r="F1192" s="43" t="n">
        <v>1905</v>
      </c>
      <c r="G1192" s="43" t="n">
        <v>9500</v>
      </c>
      <c r="H1192" s="43" t="n">
        <v>11437</v>
      </c>
      <c r="I1192" s="43" t="n">
        <v>2057</v>
      </c>
      <c r="J1192" s="43" t="n">
        <v>9326</v>
      </c>
      <c r="K1192" s="42" t="inlineStr">
        <is>
          <t>Governor</t>
        </is>
      </c>
      <c r="L1192" s="43" t="n">
        <v>1213</v>
      </c>
      <c r="M1192" s="43" t="n">
        <v>7039</v>
      </c>
      <c r="N1192" s="43" t="n">
        <v>8311</v>
      </c>
      <c r="O1192" s="44">
        <f>IFERROR((F1192-G1192)/(F1192+G1192),"")</f>
        <v/>
      </c>
      <c r="P1192" s="44">
        <f>IFERROR((I1192-J1192)/(I1192+J1192),"")</f>
        <v/>
      </c>
      <c r="Q1192" s="45">
        <f>IFERROR(O1192-P1192,"")</f>
        <v/>
      </c>
      <c r="R1192" s="44">
        <f>IFERROR((L1192-M1192)/(L1192+M1192),"")</f>
        <v/>
      </c>
      <c r="S1192" s="46">
        <f>H1192/SUMIFS(Counties!$H$2:$H$1583,Counties!$A$2:$A$1583,$A1192)</f>
        <v/>
      </c>
      <c r="T1192" s="44">
        <f>O1192+INDEX(Dashboard!$F$6:$F$22,MATCH($A1192,Dashboard!$A$6:$A$22,0))</f>
        <v/>
      </c>
      <c r="U1192" s="43">
        <f>AQ1192*INDEX(Dashboard!$G$6:$G$22,MATCH($A1192,Dashboard!$A$6:$A$22,0))</f>
        <v/>
      </c>
      <c r="V1192" s="47" t="n"/>
      <c r="W1192" s="47" t="n"/>
      <c r="X1192" s="47" t="n"/>
      <c r="Y1192" s="48" t="n"/>
      <c r="Z1192" s="49" t="n"/>
      <c r="AA1192" s="49" t="n"/>
      <c r="AB1192" s="49" t="n"/>
      <c r="AC1192" s="50" t="n"/>
      <c r="AD1192" s="43">
        <f>IF(Z1192&lt;&gt;"",Z1192,N(V1192))</f>
        <v/>
      </c>
      <c r="AE1192" s="43">
        <f>IF(AA1192&lt;&gt;"",AA1192,N(W1192))</f>
        <v/>
      </c>
      <c r="AF1192" s="43">
        <f>AD1192+AE1192</f>
        <v/>
      </c>
      <c r="AG1192" s="42">
        <f>IF(UPPER(AC1192)="Y",1,IF(AF1192=0,0,IF(AND(Z1192="",Y1192&lt;&gt;""),IF(Y1192&gt;=0.999,1,0),IF(AF1192&gt;=U1192,1,0))))</f>
        <v/>
      </c>
      <c r="AH1192" s="44">
        <f>IF(AF1192&gt;0,(AD1192-AE1192)/AF1192,"")</f>
        <v/>
      </c>
      <c r="AI1192" s="45">
        <f>IF(AG1192=1,AH1192-O1192,"")</f>
        <v/>
      </c>
      <c r="AJ1192" s="44">
        <f>IF(AG1192=1,AH1192,MAX(-1,MIN(1,O1192+INDEX(Types!$H:$H,MATCH($A1192&amp;"|"&amp;$D1192,Types!$A:$A,0)))))</f>
        <v/>
      </c>
      <c r="AK1192" s="43">
        <f>IF(AG1192=1,AF1192,MAX(AQ1192*AS1192,AF1192))</f>
        <v/>
      </c>
      <c r="AL1192" s="43">
        <f>IF(AG1192=1,AD1192,AK1192*(1+AJ1192)/2)</f>
        <v/>
      </c>
      <c r="AM1192" s="43">
        <f>IF(AG1192=1,AE1192,AK1192*(1-AJ1192)/2)</f>
        <v/>
      </c>
      <c r="AN1192" s="45">
        <f>IF(AH1192="","",AH1192-T1192)</f>
        <v/>
      </c>
      <c r="AO1192" s="51">
        <f>IF(AG1192=1,1,IF(U1192&gt;0,MIN(AF1192/U1192,0.99),0))</f>
        <v/>
      </c>
      <c r="AP1192" s="43">
        <f>IF(AG1192=1,AI1192*AF1192,0)</f>
        <v/>
      </c>
      <c r="AQ1192" s="43">
        <f>N1192*(F1192+G1192)/H1192</f>
        <v/>
      </c>
      <c r="AR1192" s="43">
        <f>O1192*AQ1192</f>
        <v/>
      </c>
      <c r="AS1192" s="52">
        <f>IF(AG1192=1,IF(AQ1192&gt;0,AF1192/AQ1192,1),IFERROR(INDEX(Types!$K:$K,MATCH($A1192&amp;"|"&amp;$D1192,Types!$A:$A,0)),INDEX(Dashboard!$X$6:$X$22,MATCH($A1192,Dashboard!$A$6:$A$22,0))))</f>
        <v/>
      </c>
      <c r="AT1192" s="43">
        <f>AQ1192*INDEX(Dashboard!$Y$6:$Y$22,MATCH($A1192,Dashboard!$A$6:$A$22,0))</f>
        <v/>
      </c>
      <c r="AU1192" s="53">
        <f>IF(AND(AG1192=1,AT1192&gt;0,AF1192&gt;0),100*AF1192/AT1192,"")</f>
        <v/>
      </c>
      <c r="AV1192" s="44">
        <f>IF(AU1192="","",T1192/(AU1192/100))</f>
        <v/>
      </c>
      <c r="AW1192" s="53">
        <f>IF(AU1192="","",IF(AND(ABS(AH1192)&gt;=0.1,ABS(T1192)&gt;=0.05,SIGN(AH1192)=SIGN(T1192)),100*T1192/AH1192,""))</f>
        <v/>
      </c>
      <c r="AX1192" s="45">
        <f>IF(AU1192="","",T1192-AV1192)</f>
        <v/>
      </c>
      <c r="AY1192" s="45">
        <f>IF(AU1192="","",AH1192-AV1192)</f>
        <v/>
      </c>
      <c r="AZ1192" s="54">
        <f>(AL1192-AM1192)-T1192*AT1192</f>
        <v/>
      </c>
      <c r="BA1192" s="43">
        <f>IF(AU1192="",0,(AH1192-T1192)*AF1192)</f>
        <v/>
      </c>
      <c r="BB1192" s="43">
        <f>IF(AU1192="",0,T1192*(AF1192-AT1192))</f>
        <v/>
      </c>
      <c r="BC1192" s="51" t="n">
        <v>0.1501007093440757</v>
      </c>
      <c r="BD1192" s="51" t="n">
        <v>0.1059637446361328</v>
      </c>
      <c r="BE1192" s="51" t="n">
        <v>0.1787470877556303</v>
      </c>
      <c r="BF1192" s="43" t="n">
        <v>22838</v>
      </c>
    </row>
    <row r="1193">
      <c r="A1193" s="42" t="inlineStr">
        <is>
          <t>TX</t>
        </is>
      </c>
      <c r="B1193" s="42" t="inlineStr">
        <is>
          <t>48367</t>
        </is>
      </c>
      <c r="C1193" s="42" t="inlineStr">
        <is>
          <t>Parker</t>
        </is>
      </c>
      <c r="D1193" s="42" t="inlineStr">
        <is>
          <t>Mid-size/working metro</t>
        </is>
      </c>
      <c r="E1193" s="42" t="inlineStr"/>
      <c r="F1193" s="43" t="n">
        <v>14872</v>
      </c>
      <c r="G1193" s="43" t="n">
        <v>75168</v>
      </c>
      <c r="H1193" s="43" t="n">
        <v>90802</v>
      </c>
      <c r="I1193" s="43" t="n">
        <v>13017</v>
      </c>
      <c r="J1193" s="43" t="n">
        <v>62045</v>
      </c>
      <c r="K1193" s="42" t="inlineStr">
        <is>
          <t>Governor</t>
        </is>
      </c>
      <c r="L1193" s="43" t="n">
        <v>10123</v>
      </c>
      <c r="M1193" s="43" t="n">
        <v>52523</v>
      </c>
      <c r="N1193" s="43" t="n">
        <v>63468</v>
      </c>
      <c r="O1193" s="44">
        <f>IFERROR((F1193-G1193)/(F1193+G1193),"")</f>
        <v/>
      </c>
      <c r="P1193" s="44">
        <f>IFERROR((I1193-J1193)/(I1193+J1193),"")</f>
        <v/>
      </c>
      <c r="Q1193" s="45">
        <f>IFERROR(O1193-P1193,"")</f>
        <v/>
      </c>
      <c r="R1193" s="44">
        <f>IFERROR((L1193-M1193)/(L1193+M1193),"")</f>
        <v/>
      </c>
      <c r="S1193" s="46">
        <f>H1193/SUMIFS(Counties!$H$2:$H$1583,Counties!$A$2:$A$1583,$A1193)</f>
        <v/>
      </c>
      <c r="T1193" s="44">
        <f>O1193+INDEX(Dashboard!$F$6:$F$22,MATCH($A1193,Dashboard!$A$6:$A$22,0))</f>
        <v/>
      </c>
      <c r="U1193" s="43">
        <f>AQ1193*INDEX(Dashboard!$G$6:$G$22,MATCH($A1193,Dashboard!$A$6:$A$22,0))</f>
        <v/>
      </c>
      <c r="V1193" s="47" t="n"/>
      <c r="W1193" s="47" t="n"/>
      <c r="X1193" s="47" t="n"/>
      <c r="Y1193" s="48" t="n"/>
      <c r="Z1193" s="49" t="n"/>
      <c r="AA1193" s="49" t="n"/>
      <c r="AB1193" s="49" t="n"/>
      <c r="AC1193" s="50" t="n"/>
      <c r="AD1193" s="43">
        <f>IF(Z1193&lt;&gt;"",Z1193,N(V1193))</f>
        <v/>
      </c>
      <c r="AE1193" s="43">
        <f>IF(AA1193&lt;&gt;"",AA1193,N(W1193))</f>
        <v/>
      </c>
      <c r="AF1193" s="43">
        <f>AD1193+AE1193</f>
        <v/>
      </c>
      <c r="AG1193" s="42">
        <f>IF(UPPER(AC1193)="Y",1,IF(AF1193=0,0,IF(AND(Z1193="",Y1193&lt;&gt;""),IF(Y1193&gt;=0.999,1,0),IF(AF1193&gt;=U1193,1,0))))</f>
        <v/>
      </c>
      <c r="AH1193" s="44">
        <f>IF(AF1193&gt;0,(AD1193-AE1193)/AF1193,"")</f>
        <v/>
      </c>
      <c r="AI1193" s="45">
        <f>IF(AG1193=1,AH1193-O1193,"")</f>
        <v/>
      </c>
      <c r="AJ1193" s="44">
        <f>IF(AG1193=1,AH1193,MAX(-1,MIN(1,O1193+INDEX(Types!$H:$H,MATCH($A1193&amp;"|"&amp;$D1193,Types!$A:$A,0)))))</f>
        <v/>
      </c>
      <c r="AK1193" s="43">
        <f>IF(AG1193=1,AF1193,MAX(AQ1193*AS1193,AF1193))</f>
        <v/>
      </c>
      <c r="AL1193" s="43">
        <f>IF(AG1193=1,AD1193,AK1193*(1+AJ1193)/2)</f>
        <v/>
      </c>
      <c r="AM1193" s="43">
        <f>IF(AG1193=1,AE1193,AK1193*(1-AJ1193)/2)</f>
        <v/>
      </c>
      <c r="AN1193" s="45">
        <f>IF(AH1193="","",AH1193-T1193)</f>
        <v/>
      </c>
      <c r="AO1193" s="51">
        <f>IF(AG1193=1,1,IF(U1193&gt;0,MIN(AF1193/U1193,0.99),0))</f>
        <v/>
      </c>
      <c r="AP1193" s="43">
        <f>IF(AG1193=1,AI1193*AF1193,0)</f>
        <v/>
      </c>
      <c r="AQ1193" s="43">
        <f>N1193*(F1193+G1193)/H1193</f>
        <v/>
      </c>
      <c r="AR1193" s="43">
        <f>O1193*AQ1193</f>
        <v/>
      </c>
      <c r="AS1193" s="52">
        <f>IF(AG1193=1,IF(AQ1193&gt;0,AF1193/AQ1193,1),IFERROR(INDEX(Types!$K:$K,MATCH($A1193&amp;"|"&amp;$D1193,Types!$A:$A,0)),INDEX(Dashboard!$X$6:$X$22,MATCH($A1193,Dashboard!$A$6:$A$22,0))))</f>
        <v/>
      </c>
      <c r="AT1193" s="43">
        <f>AQ1193*INDEX(Dashboard!$Y$6:$Y$22,MATCH($A1193,Dashboard!$A$6:$A$22,0))</f>
        <v/>
      </c>
      <c r="AU1193" s="53">
        <f>IF(AND(AG1193=1,AT1193&gt;0,AF1193&gt;0),100*AF1193/AT1193,"")</f>
        <v/>
      </c>
      <c r="AV1193" s="44">
        <f>IF(AU1193="","",T1193/(AU1193/100))</f>
        <v/>
      </c>
      <c r="AW1193" s="53">
        <f>IF(AU1193="","",IF(AND(ABS(AH1193)&gt;=0.1,ABS(T1193)&gt;=0.05,SIGN(AH1193)=SIGN(T1193)),100*T1193/AH1193,""))</f>
        <v/>
      </c>
      <c r="AX1193" s="45">
        <f>IF(AU1193="","",T1193-AV1193)</f>
        <v/>
      </c>
      <c r="AY1193" s="45">
        <f>IF(AU1193="","",AH1193-AV1193)</f>
        <v/>
      </c>
      <c r="AZ1193" s="54">
        <f>(AL1193-AM1193)-T1193*AT1193</f>
        <v/>
      </c>
      <c r="BA1193" s="43">
        <f>IF(AU1193="",0,(AH1193-T1193)*AF1193)</f>
        <v/>
      </c>
      <c r="BB1193" s="43">
        <f>IF(AU1193="",0,T1193*(AF1193-AT1193))</f>
        <v/>
      </c>
      <c r="BC1193" s="51" t="n">
        <v>0.01823694191153585</v>
      </c>
      <c r="BD1193" s="51" t="n">
        <v>0.1513885206404832</v>
      </c>
      <c r="BE1193" s="51" t="n">
        <v>0.3158184807383328</v>
      </c>
      <c r="BF1193" s="43" t="n">
        <v>173494</v>
      </c>
    </row>
    <row r="1194">
      <c r="A1194" s="42" t="inlineStr">
        <is>
          <t>TX</t>
        </is>
      </c>
      <c r="B1194" s="42" t="inlineStr">
        <is>
          <t>48369</t>
        </is>
      </c>
      <c r="C1194" s="42" t="inlineStr">
        <is>
          <t>Parmer</t>
        </is>
      </c>
      <c r="D1194" s="42" t="inlineStr">
        <is>
          <t>Hispanic</t>
        </is>
      </c>
      <c r="E1194" s="42" t="inlineStr"/>
      <c r="F1194" s="43" t="n">
        <v>368</v>
      </c>
      <c r="G1194" s="43" t="n">
        <v>2123</v>
      </c>
      <c r="H1194" s="43" t="n">
        <v>2504</v>
      </c>
      <c r="I1194" s="43" t="n">
        <v>488</v>
      </c>
      <c r="J1194" s="43" t="n">
        <v>2135</v>
      </c>
      <c r="K1194" s="42" t="inlineStr">
        <is>
          <t>Governor</t>
        </is>
      </c>
      <c r="L1194" s="43" t="n">
        <v>202</v>
      </c>
      <c r="M1194" s="43" t="n">
        <v>1546</v>
      </c>
      <c r="N1194" s="43" t="n">
        <v>1768</v>
      </c>
      <c r="O1194" s="44">
        <f>IFERROR((F1194-G1194)/(F1194+G1194),"")</f>
        <v/>
      </c>
      <c r="P1194" s="44">
        <f>IFERROR((I1194-J1194)/(I1194+J1194),"")</f>
        <v/>
      </c>
      <c r="Q1194" s="45">
        <f>IFERROR(O1194-P1194,"")</f>
        <v/>
      </c>
      <c r="R1194" s="44">
        <f>IFERROR((L1194-M1194)/(L1194+M1194),"")</f>
        <v/>
      </c>
      <c r="S1194" s="46">
        <f>H1194/SUMIFS(Counties!$H$2:$H$1583,Counties!$A$2:$A$1583,$A1194)</f>
        <v/>
      </c>
      <c r="T1194" s="44">
        <f>O1194+INDEX(Dashboard!$F$6:$F$22,MATCH($A1194,Dashboard!$A$6:$A$22,0))</f>
        <v/>
      </c>
      <c r="U1194" s="43">
        <f>AQ1194*INDEX(Dashboard!$G$6:$G$22,MATCH($A1194,Dashboard!$A$6:$A$22,0))</f>
        <v/>
      </c>
      <c r="V1194" s="47" t="n"/>
      <c r="W1194" s="47" t="n"/>
      <c r="X1194" s="47" t="n"/>
      <c r="Y1194" s="48" t="n"/>
      <c r="Z1194" s="49" t="n"/>
      <c r="AA1194" s="49" t="n"/>
      <c r="AB1194" s="49" t="n"/>
      <c r="AC1194" s="50" t="n"/>
      <c r="AD1194" s="43">
        <f>IF(Z1194&lt;&gt;"",Z1194,N(V1194))</f>
        <v/>
      </c>
      <c r="AE1194" s="43">
        <f>IF(AA1194&lt;&gt;"",AA1194,N(W1194))</f>
        <v/>
      </c>
      <c r="AF1194" s="43">
        <f>AD1194+AE1194</f>
        <v/>
      </c>
      <c r="AG1194" s="42">
        <f>IF(UPPER(AC1194)="Y",1,IF(AF1194=0,0,IF(AND(Z1194="",Y1194&lt;&gt;""),IF(Y1194&gt;=0.999,1,0),IF(AF1194&gt;=U1194,1,0))))</f>
        <v/>
      </c>
      <c r="AH1194" s="44">
        <f>IF(AF1194&gt;0,(AD1194-AE1194)/AF1194,"")</f>
        <v/>
      </c>
      <c r="AI1194" s="45">
        <f>IF(AG1194=1,AH1194-O1194,"")</f>
        <v/>
      </c>
      <c r="AJ1194" s="44">
        <f>IF(AG1194=1,AH1194,MAX(-1,MIN(1,O1194+INDEX(Types!$H:$H,MATCH($A1194&amp;"|"&amp;$D1194,Types!$A:$A,0)))))</f>
        <v/>
      </c>
      <c r="AK1194" s="43">
        <f>IF(AG1194=1,AF1194,MAX(AQ1194*AS1194,AF1194))</f>
        <v/>
      </c>
      <c r="AL1194" s="43">
        <f>IF(AG1194=1,AD1194,AK1194*(1+AJ1194)/2)</f>
        <v/>
      </c>
      <c r="AM1194" s="43">
        <f>IF(AG1194=1,AE1194,AK1194*(1-AJ1194)/2)</f>
        <v/>
      </c>
      <c r="AN1194" s="45">
        <f>IF(AH1194="","",AH1194-T1194)</f>
        <v/>
      </c>
      <c r="AO1194" s="51">
        <f>IF(AG1194=1,1,IF(U1194&gt;0,MIN(AF1194/U1194,0.99),0))</f>
        <v/>
      </c>
      <c r="AP1194" s="43">
        <f>IF(AG1194=1,AI1194*AF1194,0)</f>
        <v/>
      </c>
      <c r="AQ1194" s="43">
        <f>N1194*(F1194+G1194)/H1194</f>
        <v/>
      </c>
      <c r="AR1194" s="43">
        <f>O1194*AQ1194</f>
        <v/>
      </c>
      <c r="AS1194" s="52">
        <f>IF(AG1194=1,IF(AQ1194&gt;0,AF1194/AQ1194,1),IFERROR(INDEX(Types!$K:$K,MATCH($A1194&amp;"|"&amp;$D1194,Types!$A:$A,0)),INDEX(Dashboard!$X$6:$X$22,MATCH($A1194,Dashboard!$A$6:$A$22,0))))</f>
        <v/>
      </c>
      <c r="AT1194" s="43">
        <f>AQ1194*INDEX(Dashboard!$Y$6:$Y$22,MATCH($A1194,Dashboard!$A$6:$A$22,0))</f>
        <v/>
      </c>
      <c r="AU1194" s="53">
        <f>IF(AND(AG1194=1,AT1194&gt;0,AF1194&gt;0),100*AF1194/AT1194,"")</f>
        <v/>
      </c>
      <c r="AV1194" s="44">
        <f>IF(AU1194="","",T1194/(AU1194/100))</f>
        <v/>
      </c>
      <c r="AW1194" s="53">
        <f>IF(AU1194="","",IF(AND(ABS(AH1194)&gt;=0.1,ABS(T1194)&gt;=0.05,SIGN(AH1194)=SIGN(T1194)),100*T1194/AH1194,""))</f>
        <v/>
      </c>
      <c r="AX1194" s="45">
        <f>IF(AU1194="","",T1194-AV1194)</f>
        <v/>
      </c>
      <c r="AY1194" s="45">
        <f>IF(AU1194="","",AH1194-AV1194)</f>
        <v/>
      </c>
      <c r="AZ1194" s="54">
        <f>(AL1194-AM1194)-T1194*AT1194</f>
        <v/>
      </c>
      <c r="BA1194" s="43">
        <f>IF(AU1194="",0,(AH1194-T1194)*AF1194)</f>
        <v/>
      </c>
      <c r="BB1194" s="43">
        <f>IF(AU1194="",0,T1194*(AF1194-AT1194))</f>
        <v/>
      </c>
      <c r="BC1194" s="51" t="n">
        <v>0.01237392118124155</v>
      </c>
      <c r="BD1194" s="51" t="n">
        <v>0.6676718311323697</v>
      </c>
      <c r="BE1194" s="51" t="n">
        <v>0.166936790923825</v>
      </c>
      <c r="BF1194" s="43" t="n">
        <v>9617</v>
      </c>
    </row>
    <row r="1195">
      <c r="A1195" s="42" t="inlineStr">
        <is>
          <t>TX</t>
        </is>
      </c>
      <c r="B1195" s="42" t="inlineStr">
        <is>
          <t>48371</t>
        </is>
      </c>
      <c r="C1195" s="42" t="inlineStr">
        <is>
          <t>Pecos</t>
        </is>
      </c>
      <c r="D1195" s="42" t="inlineStr">
        <is>
          <t>Hispanic</t>
        </is>
      </c>
      <c r="E1195" s="42" t="inlineStr"/>
      <c r="F1195" s="43" t="n">
        <v>1144</v>
      </c>
      <c r="G1195" s="43" t="n">
        <v>3042</v>
      </c>
      <c r="H1195" s="43" t="n">
        <v>4233</v>
      </c>
      <c r="I1195" s="43" t="n">
        <v>1382</v>
      </c>
      <c r="J1195" s="43" t="n">
        <v>3215</v>
      </c>
      <c r="K1195" s="42" t="inlineStr">
        <is>
          <t>Governor</t>
        </is>
      </c>
      <c r="L1195" s="43" t="n">
        <v>1043</v>
      </c>
      <c r="M1195" s="43" t="n">
        <v>2548</v>
      </c>
      <c r="N1195" s="43" t="n">
        <v>3685</v>
      </c>
      <c r="O1195" s="44">
        <f>IFERROR((F1195-G1195)/(F1195+G1195),"")</f>
        <v/>
      </c>
      <c r="P1195" s="44">
        <f>IFERROR((I1195-J1195)/(I1195+J1195),"")</f>
        <v/>
      </c>
      <c r="Q1195" s="45">
        <f>IFERROR(O1195-P1195,"")</f>
        <v/>
      </c>
      <c r="R1195" s="44">
        <f>IFERROR((L1195-M1195)/(L1195+M1195),"")</f>
        <v/>
      </c>
      <c r="S1195" s="46">
        <f>H1195/SUMIFS(Counties!$H$2:$H$1583,Counties!$A$2:$A$1583,$A1195)</f>
        <v/>
      </c>
      <c r="T1195" s="44">
        <f>O1195+INDEX(Dashboard!$F$6:$F$22,MATCH($A1195,Dashboard!$A$6:$A$22,0))</f>
        <v/>
      </c>
      <c r="U1195" s="43">
        <f>AQ1195*INDEX(Dashboard!$G$6:$G$22,MATCH($A1195,Dashboard!$A$6:$A$22,0))</f>
        <v/>
      </c>
      <c r="V1195" s="47" t="n"/>
      <c r="W1195" s="47" t="n"/>
      <c r="X1195" s="47" t="n"/>
      <c r="Y1195" s="48" t="n"/>
      <c r="Z1195" s="49" t="n"/>
      <c r="AA1195" s="49" t="n"/>
      <c r="AB1195" s="49" t="n"/>
      <c r="AC1195" s="50" t="n"/>
      <c r="AD1195" s="43">
        <f>IF(Z1195&lt;&gt;"",Z1195,N(V1195))</f>
        <v/>
      </c>
      <c r="AE1195" s="43">
        <f>IF(AA1195&lt;&gt;"",AA1195,N(W1195))</f>
        <v/>
      </c>
      <c r="AF1195" s="43">
        <f>AD1195+AE1195</f>
        <v/>
      </c>
      <c r="AG1195" s="42">
        <f>IF(UPPER(AC1195)="Y",1,IF(AF1195=0,0,IF(AND(Z1195="",Y1195&lt;&gt;""),IF(Y1195&gt;=0.999,1,0),IF(AF1195&gt;=U1195,1,0))))</f>
        <v/>
      </c>
      <c r="AH1195" s="44">
        <f>IF(AF1195&gt;0,(AD1195-AE1195)/AF1195,"")</f>
        <v/>
      </c>
      <c r="AI1195" s="45">
        <f>IF(AG1195=1,AH1195-O1195,"")</f>
        <v/>
      </c>
      <c r="AJ1195" s="44">
        <f>IF(AG1195=1,AH1195,MAX(-1,MIN(1,O1195+INDEX(Types!$H:$H,MATCH($A1195&amp;"|"&amp;$D1195,Types!$A:$A,0)))))</f>
        <v/>
      </c>
      <c r="AK1195" s="43">
        <f>IF(AG1195=1,AF1195,MAX(AQ1195*AS1195,AF1195))</f>
        <v/>
      </c>
      <c r="AL1195" s="43">
        <f>IF(AG1195=1,AD1195,AK1195*(1+AJ1195)/2)</f>
        <v/>
      </c>
      <c r="AM1195" s="43">
        <f>IF(AG1195=1,AE1195,AK1195*(1-AJ1195)/2)</f>
        <v/>
      </c>
      <c r="AN1195" s="45">
        <f>IF(AH1195="","",AH1195-T1195)</f>
        <v/>
      </c>
      <c r="AO1195" s="51">
        <f>IF(AG1195=1,1,IF(U1195&gt;0,MIN(AF1195/U1195,0.99),0))</f>
        <v/>
      </c>
      <c r="AP1195" s="43">
        <f>IF(AG1195=1,AI1195*AF1195,0)</f>
        <v/>
      </c>
      <c r="AQ1195" s="43">
        <f>N1195*(F1195+G1195)/H1195</f>
        <v/>
      </c>
      <c r="AR1195" s="43">
        <f>O1195*AQ1195</f>
        <v/>
      </c>
      <c r="AS1195" s="52">
        <f>IF(AG1195=1,IF(AQ1195&gt;0,AF1195/AQ1195,1),IFERROR(INDEX(Types!$K:$K,MATCH($A1195&amp;"|"&amp;$D1195,Types!$A:$A,0)),INDEX(Dashboard!$X$6:$X$22,MATCH($A1195,Dashboard!$A$6:$A$22,0))))</f>
        <v/>
      </c>
      <c r="AT1195" s="43">
        <f>AQ1195*INDEX(Dashboard!$Y$6:$Y$22,MATCH($A1195,Dashboard!$A$6:$A$22,0))</f>
        <v/>
      </c>
      <c r="AU1195" s="53">
        <f>IF(AND(AG1195=1,AT1195&gt;0,AF1195&gt;0),100*AF1195/AT1195,"")</f>
        <v/>
      </c>
      <c r="AV1195" s="44">
        <f>IF(AU1195="","",T1195/(AU1195/100))</f>
        <v/>
      </c>
      <c r="AW1195" s="53">
        <f>IF(AU1195="","",IF(AND(ABS(AH1195)&gt;=0.1,ABS(T1195)&gt;=0.05,SIGN(AH1195)=SIGN(T1195)),100*T1195/AH1195,""))</f>
        <v/>
      </c>
      <c r="AX1195" s="45">
        <f>IF(AU1195="","",T1195-AV1195)</f>
        <v/>
      </c>
      <c r="AY1195" s="45">
        <f>IF(AU1195="","",AH1195-AV1195)</f>
        <v/>
      </c>
      <c r="AZ1195" s="54">
        <f>(AL1195-AM1195)-T1195*AT1195</f>
        <v/>
      </c>
      <c r="BA1195" s="43">
        <f>IF(AU1195="",0,(AH1195-T1195)*AF1195)</f>
        <v/>
      </c>
      <c r="BB1195" s="43">
        <f>IF(AU1195="",0,T1195*(AF1195-AT1195))</f>
        <v/>
      </c>
      <c r="BC1195" s="51" t="n">
        <v>0.03918484579087739</v>
      </c>
      <c r="BD1195" s="51" t="n">
        <v>0.713738630923887</v>
      </c>
      <c r="BE1195" s="51" t="n">
        <v>0.1341752170481452</v>
      </c>
      <c r="BF1195" s="43" t="n">
        <v>14623</v>
      </c>
    </row>
    <row r="1196">
      <c r="A1196" s="42" t="inlineStr">
        <is>
          <t>TX</t>
        </is>
      </c>
      <c r="B1196" s="42" t="inlineStr">
        <is>
          <t>48373</t>
        </is>
      </c>
      <c r="C1196" s="42" t="inlineStr">
        <is>
          <t>Polk</t>
        </is>
      </c>
      <c r="D1196" s="42" t="inlineStr">
        <is>
          <t>Small town &amp; rural</t>
        </is>
      </c>
      <c r="E1196" s="42" t="inlineStr"/>
      <c r="F1196" s="43" t="n">
        <v>4910</v>
      </c>
      <c r="G1196" s="43" t="n">
        <v>19216</v>
      </c>
      <c r="H1196" s="43" t="n">
        <v>24285</v>
      </c>
      <c r="I1196" s="43" t="n">
        <v>5387</v>
      </c>
      <c r="J1196" s="43" t="n">
        <v>18573</v>
      </c>
      <c r="K1196" s="42" t="inlineStr">
        <is>
          <t>Governor</t>
        </is>
      </c>
      <c r="L1196" s="43" t="n">
        <v>3229</v>
      </c>
      <c r="M1196" s="43" t="n">
        <v>13377</v>
      </c>
      <c r="N1196" s="43" t="n">
        <v>16776</v>
      </c>
      <c r="O1196" s="44">
        <f>IFERROR((F1196-G1196)/(F1196+G1196),"")</f>
        <v/>
      </c>
      <c r="P1196" s="44">
        <f>IFERROR((I1196-J1196)/(I1196+J1196),"")</f>
        <v/>
      </c>
      <c r="Q1196" s="45">
        <f>IFERROR(O1196-P1196,"")</f>
        <v/>
      </c>
      <c r="R1196" s="44">
        <f>IFERROR((L1196-M1196)/(L1196+M1196),"")</f>
        <v/>
      </c>
      <c r="S1196" s="46">
        <f>H1196/SUMIFS(Counties!$H$2:$H$1583,Counties!$A$2:$A$1583,$A1196)</f>
        <v/>
      </c>
      <c r="T1196" s="44">
        <f>O1196+INDEX(Dashboard!$F$6:$F$22,MATCH($A1196,Dashboard!$A$6:$A$22,0))</f>
        <v/>
      </c>
      <c r="U1196" s="43">
        <f>AQ1196*INDEX(Dashboard!$G$6:$G$22,MATCH($A1196,Dashboard!$A$6:$A$22,0))</f>
        <v/>
      </c>
      <c r="V1196" s="47" t="n"/>
      <c r="W1196" s="47" t="n"/>
      <c r="X1196" s="47" t="n"/>
      <c r="Y1196" s="48" t="n"/>
      <c r="Z1196" s="49" t="n"/>
      <c r="AA1196" s="49" t="n"/>
      <c r="AB1196" s="49" t="n"/>
      <c r="AC1196" s="50" t="n"/>
      <c r="AD1196" s="43">
        <f>IF(Z1196&lt;&gt;"",Z1196,N(V1196))</f>
        <v/>
      </c>
      <c r="AE1196" s="43">
        <f>IF(AA1196&lt;&gt;"",AA1196,N(W1196))</f>
        <v/>
      </c>
      <c r="AF1196" s="43">
        <f>AD1196+AE1196</f>
        <v/>
      </c>
      <c r="AG1196" s="42">
        <f>IF(UPPER(AC1196)="Y",1,IF(AF1196=0,0,IF(AND(Z1196="",Y1196&lt;&gt;""),IF(Y1196&gt;=0.999,1,0),IF(AF1196&gt;=U1196,1,0))))</f>
        <v/>
      </c>
      <c r="AH1196" s="44">
        <f>IF(AF1196&gt;0,(AD1196-AE1196)/AF1196,"")</f>
        <v/>
      </c>
      <c r="AI1196" s="45">
        <f>IF(AG1196=1,AH1196-O1196,"")</f>
        <v/>
      </c>
      <c r="AJ1196" s="44">
        <f>IF(AG1196=1,AH1196,MAX(-1,MIN(1,O1196+INDEX(Types!$H:$H,MATCH($A1196&amp;"|"&amp;$D1196,Types!$A:$A,0)))))</f>
        <v/>
      </c>
      <c r="AK1196" s="43">
        <f>IF(AG1196=1,AF1196,MAX(AQ1196*AS1196,AF1196))</f>
        <v/>
      </c>
      <c r="AL1196" s="43">
        <f>IF(AG1196=1,AD1196,AK1196*(1+AJ1196)/2)</f>
        <v/>
      </c>
      <c r="AM1196" s="43">
        <f>IF(AG1196=1,AE1196,AK1196*(1-AJ1196)/2)</f>
        <v/>
      </c>
      <c r="AN1196" s="45">
        <f>IF(AH1196="","",AH1196-T1196)</f>
        <v/>
      </c>
      <c r="AO1196" s="51">
        <f>IF(AG1196=1,1,IF(U1196&gt;0,MIN(AF1196/U1196,0.99),0))</f>
        <v/>
      </c>
      <c r="AP1196" s="43">
        <f>IF(AG1196=1,AI1196*AF1196,0)</f>
        <v/>
      </c>
      <c r="AQ1196" s="43">
        <f>N1196*(F1196+G1196)/H1196</f>
        <v/>
      </c>
      <c r="AR1196" s="43">
        <f>O1196*AQ1196</f>
        <v/>
      </c>
      <c r="AS1196" s="52">
        <f>IF(AG1196=1,IF(AQ1196&gt;0,AF1196/AQ1196,1),IFERROR(INDEX(Types!$K:$K,MATCH($A1196&amp;"|"&amp;$D1196,Types!$A:$A,0)),INDEX(Dashboard!$X$6:$X$22,MATCH($A1196,Dashboard!$A$6:$A$22,0))))</f>
        <v/>
      </c>
      <c r="AT1196" s="43">
        <f>AQ1196*INDEX(Dashboard!$Y$6:$Y$22,MATCH($A1196,Dashboard!$A$6:$A$22,0))</f>
        <v/>
      </c>
      <c r="AU1196" s="53">
        <f>IF(AND(AG1196=1,AT1196&gt;0,AF1196&gt;0),100*AF1196/AT1196,"")</f>
        <v/>
      </c>
      <c r="AV1196" s="44">
        <f>IF(AU1196="","",T1196/(AU1196/100))</f>
        <v/>
      </c>
      <c r="AW1196" s="53">
        <f>IF(AU1196="","",IF(AND(ABS(AH1196)&gt;=0.1,ABS(T1196)&gt;=0.05,SIGN(AH1196)=SIGN(T1196)),100*T1196/AH1196,""))</f>
        <v/>
      </c>
      <c r="AX1196" s="45">
        <f>IF(AU1196="","",T1196-AV1196)</f>
        <v/>
      </c>
      <c r="AY1196" s="45">
        <f>IF(AU1196="","",AH1196-AV1196)</f>
        <v/>
      </c>
      <c r="AZ1196" s="54">
        <f>(AL1196-AM1196)-T1196*AT1196</f>
        <v/>
      </c>
      <c r="BA1196" s="43">
        <f>IF(AU1196="",0,(AH1196-T1196)*AF1196)</f>
        <v/>
      </c>
      <c r="BB1196" s="43">
        <f>IF(AU1196="",0,T1196*(AF1196-AT1196))</f>
        <v/>
      </c>
      <c r="BC1196" s="51" t="n">
        <v>0.08865758683054664</v>
      </c>
      <c r="BD1196" s="51" t="n">
        <v>0.1557782453032149</v>
      </c>
      <c r="BE1196" s="51" t="n">
        <v>0.1340729848950675</v>
      </c>
      <c r="BF1196" s="43" t="n">
        <v>54186</v>
      </c>
    </row>
    <row r="1197">
      <c r="A1197" s="42" t="inlineStr">
        <is>
          <t>TX</t>
        </is>
      </c>
      <c r="B1197" s="42" t="inlineStr">
        <is>
          <t>48375</t>
        </is>
      </c>
      <c r="C1197" s="42" t="inlineStr">
        <is>
          <t>Potter</t>
        </is>
      </c>
      <c r="D1197" s="42" t="inlineStr">
        <is>
          <t>Mid-size/working metro</t>
        </is>
      </c>
      <c r="E1197" s="42" t="inlineStr"/>
      <c r="F1197" s="43" t="n">
        <v>8748</v>
      </c>
      <c r="G1197" s="43" t="n">
        <v>23007</v>
      </c>
      <c r="H1197" s="43" t="n">
        <v>32091</v>
      </c>
      <c r="I1197" s="43" t="n">
        <v>9921</v>
      </c>
      <c r="J1197" s="43" t="n">
        <v>22820</v>
      </c>
      <c r="K1197" s="42" t="inlineStr">
        <is>
          <t>Governor</t>
        </is>
      </c>
      <c r="L1197" s="43" t="n">
        <v>5361</v>
      </c>
      <c r="M1197" s="43" t="n">
        <v>16082</v>
      </c>
      <c r="N1197" s="43" t="n">
        <v>21806</v>
      </c>
      <c r="O1197" s="44">
        <f>IFERROR((F1197-G1197)/(F1197+G1197),"")</f>
        <v/>
      </c>
      <c r="P1197" s="44">
        <f>IFERROR((I1197-J1197)/(I1197+J1197),"")</f>
        <v/>
      </c>
      <c r="Q1197" s="45">
        <f>IFERROR(O1197-P1197,"")</f>
        <v/>
      </c>
      <c r="R1197" s="44">
        <f>IFERROR((L1197-M1197)/(L1197+M1197),"")</f>
        <v/>
      </c>
      <c r="S1197" s="46">
        <f>H1197/SUMIFS(Counties!$H$2:$H$1583,Counties!$A$2:$A$1583,$A1197)</f>
        <v/>
      </c>
      <c r="T1197" s="44">
        <f>O1197+INDEX(Dashboard!$F$6:$F$22,MATCH($A1197,Dashboard!$A$6:$A$22,0))</f>
        <v/>
      </c>
      <c r="U1197" s="43">
        <f>AQ1197*INDEX(Dashboard!$G$6:$G$22,MATCH($A1197,Dashboard!$A$6:$A$22,0))</f>
        <v/>
      </c>
      <c r="V1197" s="47" t="n"/>
      <c r="W1197" s="47" t="n"/>
      <c r="X1197" s="47" t="n"/>
      <c r="Y1197" s="48" t="n"/>
      <c r="Z1197" s="49" t="n"/>
      <c r="AA1197" s="49" t="n"/>
      <c r="AB1197" s="49" t="n"/>
      <c r="AC1197" s="50" t="n"/>
      <c r="AD1197" s="43">
        <f>IF(Z1197&lt;&gt;"",Z1197,N(V1197))</f>
        <v/>
      </c>
      <c r="AE1197" s="43">
        <f>IF(AA1197&lt;&gt;"",AA1197,N(W1197))</f>
        <v/>
      </c>
      <c r="AF1197" s="43">
        <f>AD1197+AE1197</f>
        <v/>
      </c>
      <c r="AG1197" s="42">
        <f>IF(UPPER(AC1197)="Y",1,IF(AF1197=0,0,IF(AND(Z1197="",Y1197&lt;&gt;""),IF(Y1197&gt;=0.999,1,0),IF(AF1197&gt;=U1197,1,0))))</f>
        <v/>
      </c>
      <c r="AH1197" s="44">
        <f>IF(AF1197&gt;0,(AD1197-AE1197)/AF1197,"")</f>
        <v/>
      </c>
      <c r="AI1197" s="45">
        <f>IF(AG1197=1,AH1197-O1197,"")</f>
        <v/>
      </c>
      <c r="AJ1197" s="44">
        <f>IF(AG1197=1,AH1197,MAX(-1,MIN(1,O1197+INDEX(Types!$H:$H,MATCH($A1197&amp;"|"&amp;$D1197,Types!$A:$A,0)))))</f>
        <v/>
      </c>
      <c r="AK1197" s="43">
        <f>IF(AG1197=1,AF1197,MAX(AQ1197*AS1197,AF1197))</f>
        <v/>
      </c>
      <c r="AL1197" s="43">
        <f>IF(AG1197=1,AD1197,AK1197*(1+AJ1197)/2)</f>
        <v/>
      </c>
      <c r="AM1197" s="43">
        <f>IF(AG1197=1,AE1197,AK1197*(1-AJ1197)/2)</f>
        <v/>
      </c>
      <c r="AN1197" s="45">
        <f>IF(AH1197="","",AH1197-T1197)</f>
        <v/>
      </c>
      <c r="AO1197" s="51">
        <f>IF(AG1197=1,1,IF(U1197&gt;0,MIN(AF1197/U1197,0.99),0))</f>
        <v/>
      </c>
      <c r="AP1197" s="43">
        <f>IF(AG1197=1,AI1197*AF1197,0)</f>
        <v/>
      </c>
      <c r="AQ1197" s="43">
        <f>N1197*(F1197+G1197)/H1197</f>
        <v/>
      </c>
      <c r="AR1197" s="43">
        <f>O1197*AQ1197</f>
        <v/>
      </c>
      <c r="AS1197" s="52">
        <f>IF(AG1197=1,IF(AQ1197&gt;0,AF1197/AQ1197,1),IFERROR(INDEX(Types!$K:$K,MATCH($A1197&amp;"|"&amp;$D1197,Types!$A:$A,0)),INDEX(Dashboard!$X$6:$X$22,MATCH($A1197,Dashboard!$A$6:$A$22,0))))</f>
        <v/>
      </c>
      <c r="AT1197" s="43">
        <f>AQ1197*INDEX(Dashboard!$Y$6:$Y$22,MATCH($A1197,Dashboard!$A$6:$A$22,0))</f>
        <v/>
      </c>
      <c r="AU1197" s="53">
        <f>IF(AND(AG1197=1,AT1197&gt;0,AF1197&gt;0),100*AF1197/AT1197,"")</f>
        <v/>
      </c>
      <c r="AV1197" s="44">
        <f>IF(AU1197="","",T1197/(AU1197/100))</f>
        <v/>
      </c>
      <c r="AW1197" s="53">
        <f>IF(AU1197="","",IF(AND(ABS(AH1197)&gt;=0.1,ABS(T1197)&gt;=0.05,SIGN(AH1197)=SIGN(T1197)),100*T1197/AH1197,""))</f>
        <v/>
      </c>
      <c r="AX1197" s="45">
        <f>IF(AU1197="","",T1197-AV1197)</f>
        <v/>
      </c>
      <c r="AY1197" s="45">
        <f>IF(AU1197="","",AH1197-AV1197)</f>
        <v/>
      </c>
      <c r="AZ1197" s="54">
        <f>(AL1197-AM1197)-T1197*AT1197</f>
        <v/>
      </c>
      <c r="BA1197" s="43">
        <f>IF(AU1197="",0,(AH1197-T1197)*AF1197)</f>
        <v/>
      </c>
      <c r="BB1197" s="43">
        <f>IF(AU1197="",0,T1197*(AF1197-AT1197))</f>
        <v/>
      </c>
      <c r="BC1197" s="51" t="n">
        <v>0.1031863023018483</v>
      </c>
      <c r="BD1197" s="51" t="n">
        <v>0.3985102095999023</v>
      </c>
      <c r="BE1197" s="51" t="n">
        <v>0.1733556597454789</v>
      </c>
      <c r="BF1197" s="43" t="n">
        <v>114647</v>
      </c>
    </row>
    <row r="1198">
      <c r="A1198" s="42" t="inlineStr">
        <is>
          <t>TX</t>
        </is>
      </c>
      <c r="B1198" s="42" t="inlineStr">
        <is>
          <t>48377</t>
        </is>
      </c>
      <c r="C1198" s="42" t="inlineStr">
        <is>
          <t>Presidio</t>
        </is>
      </c>
      <c r="D1198" s="42" t="inlineStr">
        <is>
          <t>Hispanic</t>
        </is>
      </c>
      <c r="E1198" s="42" t="inlineStr"/>
      <c r="F1198" s="43" t="n">
        <v>1289</v>
      </c>
      <c r="G1198" s="43" t="n">
        <v>686</v>
      </c>
      <c r="H1198" s="43" t="n">
        <v>1994</v>
      </c>
      <c r="I1198" s="43" t="n">
        <v>1463</v>
      </c>
      <c r="J1198" s="43" t="n">
        <v>721</v>
      </c>
      <c r="K1198" s="42" t="inlineStr">
        <is>
          <t>Governor</t>
        </is>
      </c>
      <c r="L1198" s="43" t="n">
        <v>1133</v>
      </c>
      <c r="M1198" s="43" t="n">
        <v>561</v>
      </c>
      <c r="N1198" s="43" t="n">
        <v>1724</v>
      </c>
      <c r="O1198" s="44">
        <f>IFERROR((F1198-G1198)/(F1198+G1198),"")</f>
        <v/>
      </c>
      <c r="P1198" s="44">
        <f>IFERROR((I1198-J1198)/(I1198+J1198),"")</f>
        <v/>
      </c>
      <c r="Q1198" s="45">
        <f>IFERROR(O1198-P1198,"")</f>
        <v/>
      </c>
      <c r="R1198" s="44">
        <f>IFERROR((L1198-M1198)/(L1198+M1198),"")</f>
        <v/>
      </c>
      <c r="S1198" s="46">
        <f>H1198/SUMIFS(Counties!$H$2:$H$1583,Counties!$A$2:$A$1583,$A1198)</f>
        <v/>
      </c>
      <c r="T1198" s="44">
        <f>O1198+INDEX(Dashboard!$F$6:$F$22,MATCH($A1198,Dashboard!$A$6:$A$22,0))</f>
        <v/>
      </c>
      <c r="U1198" s="43">
        <f>AQ1198*INDEX(Dashboard!$G$6:$G$22,MATCH($A1198,Dashboard!$A$6:$A$22,0))</f>
        <v/>
      </c>
      <c r="V1198" s="47" t="n"/>
      <c r="W1198" s="47" t="n"/>
      <c r="X1198" s="47" t="n"/>
      <c r="Y1198" s="48" t="n"/>
      <c r="Z1198" s="49" t="n"/>
      <c r="AA1198" s="49" t="n"/>
      <c r="AB1198" s="49" t="n"/>
      <c r="AC1198" s="50" t="n"/>
      <c r="AD1198" s="43">
        <f>IF(Z1198&lt;&gt;"",Z1198,N(V1198))</f>
        <v/>
      </c>
      <c r="AE1198" s="43">
        <f>IF(AA1198&lt;&gt;"",AA1198,N(W1198))</f>
        <v/>
      </c>
      <c r="AF1198" s="43">
        <f>AD1198+AE1198</f>
        <v/>
      </c>
      <c r="AG1198" s="42">
        <f>IF(UPPER(AC1198)="Y",1,IF(AF1198=0,0,IF(AND(Z1198="",Y1198&lt;&gt;""),IF(Y1198&gt;=0.999,1,0),IF(AF1198&gt;=U1198,1,0))))</f>
        <v/>
      </c>
      <c r="AH1198" s="44">
        <f>IF(AF1198&gt;0,(AD1198-AE1198)/AF1198,"")</f>
        <v/>
      </c>
      <c r="AI1198" s="45">
        <f>IF(AG1198=1,AH1198-O1198,"")</f>
        <v/>
      </c>
      <c r="AJ1198" s="44">
        <f>IF(AG1198=1,AH1198,MAX(-1,MIN(1,O1198+INDEX(Types!$H:$H,MATCH($A1198&amp;"|"&amp;$D1198,Types!$A:$A,0)))))</f>
        <v/>
      </c>
      <c r="AK1198" s="43">
        <f>IF(AG1198=1,AF1198,MAX(AQ1198*AS1198,AF1198))</f>
        <v/>
      </c>
      <c r="AL1198" s="43">
        <f>IF(AG1198=1,AD1198,AK1198*(1+AJ1198)/2)</f>
        <v/>
      </c>
      <c r="AM1198" s="43">
        <f>IF(AG1198=1,AE1198,AK1198*(1-AJ1198)/2)</f>
        <v/>
      </c>
      <c r="AN1198" s="45">
        <f>IF(AH1198="","",AH1198-T1198)</f>
        <v/>
      </c>
      <c r="AO1198" s="51">
        <f>IF(AG1198=1,1,IF(U1198&gt;0,MIN(AF1198/U1198,0.99),0))</f>
        <v/>
      </c>
      <c r="AP1198" s="43">
        <f>IF(AG1198=1,AI1198*AF1198,0)</f>
        <v/>
      </c>
      <c r="AQ1198" s="43">
        <f>N1198*(F1198+G1198)/H1198</f>
        <v/>
      </c>
      <c r="AR1198" s="43">
        <f>O1198*AQ1198</f>
        <v/>
      </c>
      <c r="AS1198" s="52">
        <f>IF(AG1198=1,IF(AQ1198&gt;0,AF1198/AQ1198,1),IFERROR(INDEX(Types!$K:$K,MATCH($A1198&amp;"|"&amp;$D1198,Types!$A:$A,0)),INDEX(Dashboard!$X$6:$X$22,MATCH($A1198,Dashboard!$A$6:$A$22,0))))</f>
        <v/>
      </c>
      <c r="AT1198" s="43">
        <f>AQ1198*INDEX(Dashboard!$Y$6:$Y$22,MATCH($A1198,Dashboard!$A$6:$A$22,0))</f>
        <v/>
      </c>
      <c r="AU1198" s="53">
        <f>IF(AND(AG1198=1,AT1198&gt;0,AF1198&gt;0),100*AF1198/AT1198,"")</f>
        <v/>
      </c>
      <c r="AV1198" s="44">
        <f>IF(AU1198="","",T1198/(AU1198/100))</f>
        <v/>
      </c>
      <c r="AW1198" s="53">
        <f>IF(AU1198="","",IF(AND(ABS(AH1198)&gt;=0.1,ABS(T1198)&gt;=0.05,SIGN(AH1198)=SIGN(T1198)),100*T1198/AH1198,""))</f>
        <v/>
      </c>
      <c r="AX1198" s="45">
        <f>IF(AU1198="","",T1198-AV1198)</f>
        <v/>
      </c>
      <c r="AY1198" s="45">
        <f>IF(AU1198="","",AH1198-AV1198)</f>
        <v/>
      </c>
      <c r="AZ1198" s="54">
        <f>(AL1198-AM1198)-T1198*AT1198</f>
        <v/>
      </c>
      <c r="BA1198" s="43">
        <f>IF(AU1198="",0,(AH1198-T1198)*AF1198)</f>
        <v/>
      </c>
      <c r="BB1198" s="43">
        <f>IF(AU1198="",0,T1198*(AF1198-AT1198))</f>
        <v/>
      </c>
      <c r="BC1198" s="51" t="n">
        <v>0.01880931837791199</v>
      </c>
      <c r="BD1198" s="51" t="n">
        <v>0.8241587575496118</v>
      </c>
      <c r="BE1198" s="51" t="n">
        <v>0.2019717559285905</v>
      </c>
      <c r="BF1198" s="43" t="n">
        <v>5795</v>
      </c>
    </row>
    <row r="1199">
      <c r="A1199" s="42" t="inlineStr">
        <is>
          <t>TX</t>
        </is>
      </c>
      <c r="B1199" s="42" t="inlineStr">
        <is>
          <t>48379</t>
        </is>
      </c>
      <c r="C1199" s="42" t="inlineStr">
        <is>
          <t>Rains</t>
        </is>
      </c>
      <c r="D1199" s="42" t="inlineStr">
        <is>
          <t>Small town &amp; rural</t>
        </is>
      </c>
      <c r="E1199" s="42" t="inlineStr"/>
      <c r="F1199" s="43" t="n">
        <v>869</v>
      </c>
      <c r="G1199" s="43" t="n">
        <v>5649</v>
      </c>
      <c r="H1199" s="43" t="n">
        <v>6554</v>
      </c>
      <c r="I1199" s="43" t="n">
        <v>842</v>
      </c>
      <c r="J1199" s="43" t="n">
        <v>5155</v>
      </c>
      <c r="K1199" s="42" t="inlineStr">
        <is>
          <t>Governor</t>
        </is>
      </c>
      <c r="L1199" s="43" t="n">
        <v>596</v>
      </c>
      <c r="M1199" s="43" t="n">
        <v>4339</v>
      </c>
      <c r="N1199" s="43" t="n">
        <v>4987</v>
      </c>
      <c r="O1199" s="44">
        <f>IFERROR((F1199-G1199)/(F1199+G1199),"")</f>
        <v/>
      </c>
      <c r="P1199" s="44">
        <f>IFERROR((I1199-J1199)/(I1199+J1199),"")</f>
        <v/>
      </c>
      <c r="Q1199" s="45">
        <f>IFERROR(O1199-P1199,"")</f>
        <v/>
      </c>
      <c r="R1199" s="44">
        <f>IFERROR((L1199-M1199)/(L1199+M1199),"")</f>
        <v/>
      </c>
      <c r="S1199" s="46">
        <f>H1199/SUMIFS(Counties!$H$2:$H$1583,Counties!$A$2:$A$1583,$A1199)</f>
        <v/>
      </c>
      <c r="T1199" s="44">
        <f>O1199+INDEX(Dashboard!$F$6:$F$22,MATCH($A1199,Dashboard!$A$6:$A$22,0))</f>
        <v/>
      </c>
      <c r="U1199" s="43">
        <f>AQ1199*INDEX(Dashboard!$G$6:$G$22,MATCH($A1199,Dashboard!$A$6:$A$22,0))</f>
        <v/>
      </c>
      <c r="V1199" s="47" t="n"/>
      <c r="W1199" s="47" t="n"/>
      <c r="X1199" s="47" t="n"/>
      <c r="Y1199" s="48" t="n"/>
      <c r="Z1199" s="49" t="n"/>
      <c r="AA1199" s="49" t="n"/>
      <c r="AB1199" s="49" t="n"/>
      <c r="AC1199" s="50" t="n"/>
      <c r="AD1199" s="43">
        <f>IF(Z1199&lt;&gt;"",Z1199,N(V1199))</f>
        <v/>
      </c>
      <c r="AE1199" s="43">
        <f>IF(AA1199&lt;&gt;"",AA1199,N(W1199))</f>
        <v/>
      </c>
      <c r="AF1199" s="43">
        <f>AD1199+AE1199</f>
        <v/>
      </c>
      <c r="AG1199" s="42">
        <f>IF(UPPER(AC1199)="Y",1,IF(AF1199=0,0,IF(AND(Z1199="",Y1199&lt;&gt;""),IF(Y1199&gt;=0.999,1,0),IF(AF1199&gt;=U1199,1,0))))</f>
        <v/>
      </c>
      <c r="AH1199" s="44">
        <f>IF(AF1199&gt;0,(AD1199-AE1199)/AF1199,"")</f>
        <v/>
      </c>
      <c r="AI1199" s="45">
        <f>IF(AG1199=1,AH1199-O1199,"")</f>
        <v/>
      </c>
      <c r="AJ1199" s="44">
        <f>IF(AG1199=1,AH1199,MAX(-1,MIN(1,O1199+INDEX(Types!$H:$H,MATCH($A1199&amp;"|"&amp;$D1199,Types!$A:$A,0)))))</f>
        <v/>
      </c>
      <c r="AK1199" s="43">
        <f>IF(AG1199=1,AF1199,MAX(AQ1199*AS1199,AF1199))</f>
        <v/>
      </c>
      <c r="AL1199" s="43">
        <f>IF(AG1199=1,AD1199,AK1199*(1+AJ1199)/2)</f>
        <v/>
      </c>
      <c r="AM1199" s="43">
        <f>IF(AG1199=1,AE1199,AK1199*(1-AJ1199)/2)</f>
        <v/>
      </c>
      <c r="AN1199" s="45">
        <f>IF(AH1199="","",AH1199-T1199)</f>
        <v/>
      </c>
      <c r="AO1199" s="51">
        <f>IF(AG1199=1,1,IF(U1199&gt;0,MIN(AF1199/U1199,0.99),0))</f>
        <v/>
      </c>
      <c r="AP1199" s="43">
        <f>IF(AG1199=1,AI1199*AF1199,0)</f>
        <v/>
      </c>
      <c r="AQ1199" s="43">
        <f>N1199*(F1199+G1199)/H1199</f>
        <v/>
      </c>
      <c r="AR1199" s="43">
        <f>O1199*AQ1199</f>
        <v/>
      </c>
      <c r="AS1199" s="52">
        <f>IF(AG1199=1,IF(AQ1199&gt;0,AF1199/AQ1199,1),IFERROR(INDEX(Types!$K:$K,MATCH($A1199&amp;"|"&amp;$D1199,Types!$A:$A,0)),INDEX(Dashboard!$X$6:$X$22,MATCH($A1199,Dashboard!$A$6:$A$22,0))))</f>
        <v/>
      </c>
      <c r="AT1199" s="43">
        <f>AQ1199*INDEX(Dashboard!$Y$6:$Y$22,MATCH($A1199,Dashboard!$A$6:$A$22,0))</f>
        <v/>
      </c>
      <c r="AU1199" s="53">
        <f>IF(AND(AG1199=1,AT1199&gt;0,AF1199&gt;0),100*AF1199/AT1199,"")</f>
        <v/>
      </c>
      <c r="AV1199" s="44">
        <f>IF(AU1199="","",T1199/(AU1199/100))</f>
        <v/>
      </c>
      <c r="AW1199" s="53">
        <f>IF(AU1199="","",IF(AND(ABS(AH1199)&gt;=0.1,ABS(T1199)&gt;=0.05,SIGN(AH1199)=SIGN(T1199)),100*T1199/AH1199,""))</f>
        <v/>
      </c>
      <c r="AX1199" s="45">
        <f>IF(AU1199="","",T1199-AV1199)</f>
        <v/>
      </c>
      <c r="AY1199" s="45">
        <f>IF(AU1199="","",AH1199-AV1199)</f>
        <v/>
      </c>
      <c r="AZ1199" s="54">
        <f>(AL1199-AM1199)-T1199*AT1199</f>
        <v/>
      </c>
      <c r="BA1199" s="43">
        <f>IF(AU1199="",0,(AH1199-T1199)*AF1199)</f>
        <v/>
      </c>
      <c r="BB1199" s="43">
        <f>IF(AU1199="",0,T1199*(AF1199-AT1199))</f>
        <v/>
      </c>
      <c r="BC1199" s="51" t="n">
        <v>0.02756815031572463</v>
      </c>
      <c r="BD1199" s="51" t="n">
        <v>0.1069613429847528</v>
      </c>
      <c r="BE1199" s="51" t="n">
        <v>0.2515943877551021</v>
      </c>
      <c r="BF1199" s="43" t="n">
        <v>12986</v>
      </c>
    </row>
    <row r="1200">
      <c r="A1200" s="42" t="inlineStr">
        <is>
          <t>TX</t>
        </is>
      </c>
      <c r="B1200" s="42" t="inlineStr">
        <is>
          <t>48381</t>
        </is>
      </c>
      <c r="C1200" s="42" t="inlineStr">
        <is>
          <t>Randall</t>
        </is>
      </c>
      <c r="D1200" s="42" t="inlineStr">
        <is>
          <t>Mid-size/working metro</t>
        </is>
      </c>
      <c r="E1200" s="42" t="inlineStr"/>
      <c r="F1200" s="43" t="n">
        <v>12935</v>
      </c>
      <c r="G1200" s="43" t="n">
        <v>53314</v>
      </c>
      <c r="H1200" s="43" t="n">
        <v>66854</v>
      </c>
      <c r="I1200" s="43" t="n">
        <v>12802</v>
      </c>
      <c r="J1200" s="43" t="n">
        <v>50796</v>
      </c>
      <c r="K1200" s="42" t="inlineStr">
        <is>
          <t>Governor</t>
        </is>
      </c>
      <c r="L1200" s="43" t="n">
        <v>8228</v>
      </c>
      <c r="M1200" s="43" t="n">
        <v>39243</v>
      </c>
      <c r="N1200" s="43" t="n">
        <v>48032</v>
      </c>
      <c r="O1200" s="44">
        <f>IFERROR((F1200-G1200)/(F1200+G1200),"")</f>
        <v/>
      </c>
      <c r="P1200" s="44">
        <f>IFERROR((I1200-J1200)/(I1200+J1200),"")</f>
        <v/>
      </c>
      <c r="Q1200" s="45">
        <f>IFERROR(O1200-P1200,"")</f>
        <v/>
      </c>
      <c r="R1200" s="44">
        <f>IFERROR((L1200-M1200)/(L1200+M1200),"")</f>
        <v/>
      </c>
      <c r="S1200" s="46">
        <f>H1200/SUMIFS(Counties!$H$2:$H$1583,Counties!$A$2:$A$1583,$A1200)</f>
        <v/>
      </c>
      <c r="T1200" s="44">
        <f>O1200+INDEX(Dashboard!$F$6:$F$22,MATCH($A1200,Dashboard!$A$6:$A$22,0))</f>
        <v/>
      </c>
      <c r="U1200" s="43">
        <f>AQ1200*INDEX(Dashboard!$G$6:$G$22,MATCH($A1200,Dashboard!$A$6:$A$22,0))</f>
        <v/>
      </c>
      <c r="V1200" s="47" t="n"/>
      <c r="W1200" s="47" t="n"/>
      <c r="X1200" s="47" t="n"/>
      <c r="Y1200" s="48" t="n"/>
      <c r="Z1200" s="49" t="n"/>
      <c r="AA1200" s="49" t="n"/>
      <c r="AB1200" s="49" t="n"/>
      <c r="AC1200" s="50" t="n"/>
      <c r="AD1200" s="43">
        <f>IF(Z1200&lt;&gt;"",Z1200,N(V1200))</f>
        <v/>
      </c>
      <c r="AE1200" s="43">
        <f>IF(AA1200&lt;&gt;"",AA1200,N(W1200))</f>
        <v/>
      </c>
      <c r="AF1200" s="43">
        <f>AD1200+AE1200</f>
        <v/>
      </c>
      <c r="AG1200" s="42">
        <f>IF(UPPER(AC1200)="Y",1,IF(AF1200=0,0,IF(AND(Z1200="",Y1200&lt;&gt;""),IF(Y1200&gt;=0.999,1,0),IF(AF1200&gt;=U1200,1,0))))</f>
        <v/>
      </c>
      <c r="AH1200" s="44">
        <f>IF(AF1200&gt;0,(AD1200-AE1200)/AF1200,"")</f>
        <v/>
      </c>
      <c r="AI1200" s="45">
        <f>IF(AG1200=1,AH1200-O1200,"")</f>
        <v/>
      </c>
      <c r="AJ1200" s="44">
        <f>IF(AG1200=1,AH1200,MAX(-1,MIN(1,O1200+INDEX(Types!$H:$H,MATCH($A1200&amp;"|"&amp;$D1200,Types!$A:$A,0)))))</f>
        <v/>
      </c>
      <c r="AK1200" s="43">
        <f>IF(AG1200=1,AF1200,MAX(AQ1200*AS1200,AF1200))</f>
        <v/>
      </c>
      <c r="AL1200" s="43">
        <f>IF(AG1200=1,AD1200,AK1200*(1+AJ1200)/2)</f>
        <v/>
      </c>
      <c r="AM1200" s="43">
        <f>IF(AG1200=1,AE1200,AK1200*(1-AJ1200)/2)</f>
        <v/>
      </c>
      <c r="AN1200" s="45">
        <f>IF(AH1200="","",AH1200-T1200)</f>
        <v/>
      </c>
      <c r="AO1200" s="51">
        <f>IF(AG1200=1,1,IF(U1200&gt;0,MIN(AF1200/U1200,0.99),0))</f>
        <v/>
      </c>
      <c r="AP1200" s="43">
        <f>IF(AG1200=1,AI1200*AF1200,0)</f>
        <v/>
      </c>
      <c r="AQ1200" s="43">
        <f>N1200*(F1200+G1200)/H1200</f>
        <v/>
      </c>
      <c r="AR1200" s="43">
        <f>O1200*AQ1200</f>
        <v/>
      </c>
      <c r="AS1200" s="52">
        <f>IF(AG1200=1,IF(AQ1200&gt;0,AF1200/AQ1200,1),IFERROR(INDEX(Types!$K:$K,MATCH($A1200&amp;"|"&amp;$D1200,Types!$A:$A,0)),INDEX(Dashboard!$X$6:$X$22,MATCH($A1200,Dashboard!$A$6:$A$22,0))))</f>
        <v/>
      </c>
      <c r="AT1200" s="43">
        <f>AQ1200*INDEX(Dashboard!$Y$6:$Y$22,MATCH($A1200,Dashboard!$A$6:$A$22,0))</f>
        <v/>
      </c>
      <c r="AU1200" s="53">
        <f>IF(AND(AG1200=1,AT1200&gt;0,AF1200&gt;0),100*AF1200/AT1200,"")</f>
        <v/>
      </c>
      <c r="AV1200" s="44">
        <f>IF(AU1200="","",T1200/(AU1200/100))</f>
        <v/>
      </c>
      <c r="AW1200" s="53">
        <f>IF(AU1200="","",IF(AND(ABS(AH1200)&gt;=0.1,ABS(T1200)&gt;=0.05,SIGN(AH1200)=SIGN(T1200)),100*T1200/AH1200,""))</f>
        <v/>
      </c>
      <c r="AX1200" s="45">
        <f>IF(AU1200="","",T1200-AV1200)</f>
        <v/>
      </c>
      <c r="AY1200" s="45">
        <f>IF(AU1200="","",AH1200-AV1200)</f>
        <v/>
      </c>
      <c r="AZ1200" s="54">
        <f>(AL1200-AM1200)-T1200*AT1200</f>
        <v/>
      </c>
      <c r="BA1200" s="43">
        <f>IF(AU1200="",0,(AH1200-T1200)*AF1200)</f>
        <v/>
      </c>
      <c r="BB1200" s="43">
        <f>IF(AU1200="",0,T1200*(AF1200-AT1200))</f>
        <v/>
      </c>
      <c r="BC1200" s="51" t="n">
        <v>0.03761087315773498</v>
      </c>
      <c r="BD1200" s="51" t="n">
        <v>0.2531246838217935</v>
      </c>
      <c r="BE1200" s="51" t="n">
        <v>0.3205227797606551</v>
      </c>
      <c r="BF1200" s="43" t="n">
        <v>148255</v>
      </c>
    </row>
    <row r="1201">
      <c r="A1201" s="42" t="inlineStr">
        <is>
          <t>TX</t>
        </is>
      </c>
      <c r="B1201" s="42" t="inlineStr">
        <is>
          <t>48383</t>
        </is>
      </c>
      <c r="C1201" s="42" t="inlineStr">
        <is>
          <t>Reagan</t>
        </is>
      </c>
      <c r="D1201" s="42" t="inlineStr">
        <is>
          <t>Hispanic</t>
        </is>
      </c>
      <c r="E1201" s="42" t="inlineStr"/>
      <c r="F1201" s="43" t="n">
        <v>141</v>
      </c>
      <c r="G1201" s="43" t="n">
        <v>800</v>
      </c>
      <c r="H1201" s="43" t="n">
        <v>949</v>
      </c>
      <c r="I1201" s="43" t="n">
        <v>172</v>
      </c>
      <c r="J1201" s="43" t="n">
        <v>942</v>
      </c>
      <c r="K1201" s="42" t="inlineStr">
        <is>
          <t>Governor</t>
        </is>
      </c>
      <c r="L1201" s="43" t="n">
        <v>90</v>
      </c>
      <c r="M1201" s="43" t="n">
        <v>616</v>
      </c>
      <c r="N1201" s="43" t="n">
        <v>716</v>
      </c>
      <c r="O1201" s="44">
        <f>IFERROR((F1201-G1201)/(F1201+G1201),"")</f>
        <v/>
      </c>
      <c r="P1201" s="44">
        <f>IFERROR((I1201-J1201)/(I1201+J1201),"")</f>
        <v/>
      </c>
      <c r="Q1201" s="45">
        <f>IFERROR(O1201-P1201,"")</f>
        <v/>
      </c>
      <c r="R1201" s="44">
        <f>IFERROR((L1201-M1201)/(L1201+M1201),"")</f>
        <v/>
      </c>
      <c r="S1201" s="46">
        <f>H1201/SUMIFS(Counties!$H$2:$H$1583,Counties!$A$2:$A$1583,$A1201)</f>
        <v/>
      </c>
      <c r="T1201" s="44">
        <f>O1201+INDEX(Dashboard!$F$6:$F$22,MATCH($A1201,Dashboard!$A$6:$A$22,0))</f>
        <v/>
      </c>
      <c r="U1201" s="43">
        <f>AQ1201*INDEX(Dashboard!$G$6:$G$22,MATCH($A1201,Dashboard!$A$6:$A$22,0))</f>
        <v/>
      </c>
      <c r="V1201" s="47" t="n"/>
      <c r="W1201" s="47" t="n"/>
      <c r="X1201" s="47" t="n"/>
      <c r="Y1201" s="48" t="n"/>
      <c r="Z1201" s="49" t="n"/>
      <c r="AA1201" s="49" t="n"/>
      <c r="AB1201" s="49" t="n"/>
      <c r="AC1201" s="50" t="n"/>
      <c r="AD1201" s="43">
        <f>IF(Z1201&lt;&gt;"",Z1201,N(V1201))</f>
        <v/>
      </c>
      <c r="AE1201" s="43">
        <f>IF(AA1201&lt;&gt;"",AA1201,N(W1201))</f>
        <v/>
      </c>
      <c r="AF1201" s="43">
        <f>AD1201+AE1201</f>
        <v/>
      </c>
      <c r="AG1201" s="42">
        <f>IF(UPPER(AC1201)="Y",1,IF(AF1201=0,0,IF(AND(Z1201="",Y1201&lt;&gt;""),IF(Y1201&gt;=0.999,1,0),IF(AF1201&gt;=U1201,1,0))))</f>
        <v/>
      </c>
      <c r="AH1201" s="44">
        <f>IF(AF1201&gt;0,(AD1201-AE1201)/AF1201,"")</f>
        <v/>
      </c>
      <c r="AI1201" s="45">
        <f>IF(AG1201=1,AH1201-O1201,"")</f>
        <v/>
      </c>
      <c r="AJ1201" s="44">
        <f>IF(AG1201=1,AH1201,MAX(-1,MIN(1,O1201+INDEX(Types!$H:$H,MATCH($A1201&amp;"|"&amp;$D1201,Types!$A:$A,0)))))</f>
        <v/>
      </c>
      <c r="AK1201" s="43">
        <f>IF(AG1201=1,AF1201,MAX(AQ1201*AS1201,AF1201))</f>
        <v/>
      </c>
      <c r="AL1201" s="43">
        <f>IF(AG1201=1,AD1201,AK1201*(1+AJ1201)/2)</f>
        <v/>
      </c>
      <c r="AM1201" s="43">
        <f>IF(AG1201=1,AE1201,AK1201*(1-AJ1201)/2)</f>
        <v/>
      </c>
      <c r="AN1201" s="45">
        <f>IF(AH1201="","",AH1201-T1201)</f>
        <v/>
      </c>
      <c r="AO1201" s="51">
        <f>IF(AG1201=1,1,IF(U1201&gt;0,MIN(AF1201/U1201,0.99),0))</f>
        <v/>
      </c>
      <c r="AP1201" s="43">
        <f>IF(AG1201=1,AI1201*AF1201,0)</f>
        <v/>
      </c>
      <c r="AQ1201" s="43">
        <f>N1201*(F1201+G1201)/H1201</f>
        <v/>
      </c>
      <c r="AR1201" s="43">
        <f>O1201*AQ1201</f>
        <v/>
      </c>
      <c r="AS1201" s="52">
        <f>IF(AG1201=1,IF(AQ1201&gt;0,AF1201/AQ1201,1),IFERROR(INDEX(Types!$K:$K,MATCH($A1201&amp;"|"&amp;$D1201,Types!$A:$A,0)),INDEX(Dashboard!$X$6:$X$22,MATCH($A1201,Dashboard!$A$6:$A$22,0))))</f>
        <v/>
      </c>
      <c r="AT1201" s="43">
        <f>AQ1201*INDEX(Dashboard!$Y$6:$Y$22,MATCH($A1201,Dashboard!$A$6:$A$22,0))</f>
        <v/>
      </c>
      <c r="AU1201" s="53">
        <f>IF(AND(AG1201=1,AT1201&gt;0,AF1201&gt;0),100*AF1201/AT1201,"")</f>
        <v/>
      </c>
      <c r="AV1201" s="44">
        <f>IF(AU1201="","",T1201/(AU1201/100))</f>
        <v/>
      </c>
      <c r="AW1201" s="53">
        <f>IF(AU1201="","",IF(AND(ABS(AH1201)&gt;=0.1,ABS(T1201)&gt;=0.05,SIGN(AH1201)=SIGN(T1201)),100*T1201/AH1201,""))</f>
        <v/>
      </c>
      <c r="AX1201" s="45">
        <f>IF(AU1201="","",T1201-AV1201)</f>
        <v/>
      </c>
      <c r="AY1201" s="45">
        <f>IF(AU1201="","",AH1201-AV1201)</f>
        <v/>
      </c>
      <c r="AZ1201" s="54">
        <f>(AL1201-AM1201)-T1201*AT1201</f>
        <v/>
      </c>
      <c r="BA1201" s="43">
        <f>IF(AU1201="",0,(AH1201-T1201)*AF1201)</f>
        <v/>
      </c>
      <c r="BB1201" s="43">
        <f>IF(AU1201="",0,T1201*(AF1201-AT1201))</f>
        <v/>
      </c>
      <c r="BC1201" s="51" t="n">
        <v>0.03088188475007959</v>
      </c>
      <c r="BD1201" s="51" t="n">
        <v>0.685132123527539</v>
      </c>
      <c r="BE1201" s="51" t="n">
        <v>0.1704863051984349</v>
      </c>
      <c r="BF1201" s="43" t="n">
        <v>3141</v>
      </c>
    </row>
    <row r="1202">
      <c r="A1202" s="42" t="inlineStr">
        <is>
          <t>TX</t>
        </is>
      </c>
      <c r="B1202" s="42" t="inlineStr">
        <is>
          <t>48385</t>
        </is>
      </c>
      <c r="C1202" s="42" t="inlineStr">
        <is>
          <t>Real</t>
        </is>
      </c>
      <c r="D1202" s="42" t="inlineStr">
        <is>
          <t>Small town &amp; rural</t>
        </is>
      </c>
      <c r="E1202" s="42" t="inlineStr"/>
      <c r="F1202" s="43" t="n">
        <v>315</v>
      </c>
      <c r="G1202" s="43" t="n">
        <v>1625</v>
      </c>
      <c r="H1202" s="43" t="n">
        <v>1958</v>
      </c>
      <c r="I1202" s="43" t="n">
        <v>320</v>
      </c>
      <c r="J1202" s="43" t="n">
        <v>1643</v>
      </c>
      <c r="K1202" s="42" t="inlineStr">
        <is>
          <t>Governor</t>
        </is>
      </c>
      <c r="L1202" s="43" t="n">
        <v>218</v>
      </c>
      <c r="M1202" s="43" t="n">
        <v>1337</v>
      </c>
      <c r="N1202" s="43" t="n">
        <v>1566</v>
      </c>
      <c r="O1202" s="44">
        <f>IFERROR((F1202-G1202)/(F1202+G1202),"")</f>
        <v/>
      </c>
      <c r="P1202" s="44">
        <f>IFERROR((I1202-J1202)/(I1202+J1202),"")</f>
        <v/>
      </c>
      <c r="Q1202" s="45">
        <f>IFERROR(O1202-P1202,"")</f>
        <v/>
      </c>
      <c r="R1202" s="44">
        <f>IFERROR((L1202-M1202)/(L1202+M1202),"")</f>
        <v/>
      </c>
      <c r="S1202" s="46">
        <f>H1202/SUMIFS(Counties!$H$2:$H$1583,Counties!$A$2:$A$1583,$A1202)</f>
        <v/>
      </c>
      <c r="T1202" s="44">
        <f>O1202+INDEX(Dashboard!$F$6:$F$22,MATCH($A1202,Dashboard!$A$6:$A$22,0))</f>
        <v/>
      </c>
      <c r="U1202" s="43">
        <f>AQ1202*INDEX(Dashboard!$G$6:$G$22,MATCH($A1202,Dashboard!$A$6:$A$22,0))</f>
        <v/>
      </c>
      <c r="V1202" s="47" t="n"/>
      <c r="W1202" s="47" t="n"/>
      <c r="X1202" s="47" t="n"/>
      <c r="Y1202" s="48" t="n"/>
      <c r="Z1202" s="49" t="n"/>
      <c r="AA1202" s="49" t="n"/>
      <c r="AB1202" s="49" t="n"/>
      <c r="AC1202" s="50" t="n"/>
      <c r="AD1202" s="43">
        <f>IF(Z1202&lt;&gt;"",Z1202,N(V1202))</f>
        <v/>
      </c>
      <c r="AE1202" s="43">
        <f>IF(AA1202&lt;&gt;"",AA1202,N(W1202))</f>
        <v/>
      </c>
      <c r="AF1202" s="43">
        <f>AD1202+AE1202</f>
        <v/>
      </c>
      <c r="AG1202" s="42">
        <f>IF(UPPER(AC1202)="Y",1,IF(AF1202=0,0,IF(AND(Z1202="",Y1202&lt;&gt;""),IF(Y1202&gt;=0.999,1,0),IF(AF1202&gt;=U1202,1,0))))</f>
        <v/>
      </c>
      <c r="AH1202" s="44">
        <f>IF(AF1202&gt;0,(AD1202-AE1202)/AF1202,"")</f>
        <v/>
      </c>
      <c r="AI1202" s="45">
        <f>IF(AG1202=1,AH1202-O1202,"")</f>
        <v/>
      </c>
      <c r="AJ1202" s="44">
        <f>IF(AG1202=1,AH1202,MAX(-1,MIN(1,O1202+INDEX(Types!$H:$H,MATCH($A1202&amp;"|"&amp;$D1202,Types!$A:$A,0)))))</f>
        <v/>
      </c>
      <c r="AK1202" s="43">
        <f>IF(AG1202=1,AF1202,MAX(AQ1202*AS1202,AF1202))</f>
        <v/>
      </c>
      <c r="AL1202" s="43">
        <f>IF(AG1202=1,AD1202,AK1202*(1+AJ1202)/2)</f>
        <v/>
      </c>
      <c r="AM1202" s="43">
        <f>IF(AG1202=1,AE1202,AK1202*(1-AJ1202)/2)</f>
        <v/>
      </c>
      <c r="AN1202" s="45">
        <f>IF(AH1202="","",AH1202-T1202)</f>
        <v/>
      </c>
      <c r="AO1202" s="51">
        <f>IF(AG1202=1,1,IF(U1202&gt;0,MIN(AF1202/U1202,0.99),0))</f>
        <v/>
      </c>
      <c r="AP1202" s="43">
        <f>IF(AG1202=1,AI1202*AF1202,0)</f>
        <v/>
      </c>
      <c r="AQ1202" s="43">
        <f>N1202*(F1202+G1202)/H1202</f>
        <v/>
      </c>
      <c r="AR1202" s="43">
        <f>O1202*AQ1202</f>
        <v/>
      </c>
      <c r="AS1202" s="52">
        <f>IF(AG1202=1,IF(AQ1202&gt;0,AF1202/AQ1202,1),IFERROR(INDEX(Types!$K:$K,MATCH($A1202&amp;"|"&amp;$D1202,Types!$A:$A,0)),INDEX(Dashboard!$X$6:$X$22,MATCH($A1202,Dashboard!$A$6:$A$22,0))))</f>
        <v/>
      </c>
      <c r="AT1202" s="43">
        <f>AQ1202*INDEX(Dashboard!$Y$6:$Y$22,MATCH($A1202,Dashboard!$A$6:$A$22,0))</f>
        <v/>
      </c>
      <c r="AU1202" s="53">
        <f>IF(AND(AG1202=1,AT1202&gt;0,AF1202&gt;0),100*AF1202/AT1202,"")</f>
        <v/>
      </c>
      <c r="AV1202" s="44">
        <f>IF(AU1202="","",T1202/(AU1202/100))</f>
        <v/>
      </c>
      <c r="AW1202" s="53">
        <f>IF(AU1202="","",IF(AND(ABS(AH1202)&gt;=0.1,ABS(T1202)&gt;=0.05,SIGN(AH1202)=SIGN(T1202)),100*T1202/AH1202,""))</f>
        <v/>
      </c>
      <c r="AX1202" s="45">
        <f>IF(AU1202="","",T1202-AV1202)</f>
        <v/>
      </c>
      <c r="AY1202" s="45">
        <f>IF(AU1202="","",AH1202-AV1202)</f>
        <v/>
      </c>
      <c r="AZ1202" s="54">
        <f>(AL1202-AM1202)-T1202*AT1202</f>
        <v/>
      </c>
      <c r="BA1202" s="43">
        <f>IF(AU1202="",0,(AH1202-T1202)*AF1202)</f>
        <v/>
      </c>
      <c r="BB1202" s="43">
        <f>IF(AU1202="",0,T1202*(AF1202-AT1202))</f>
        <v/>
      </c>
      <c r="BC1202" s="51" t="n">
        <v>0.01822004204625088</v>
      </c>
      <c r="BD1202" s="51" t="n">
        <v>0.2771548703573931</v>
      </c>
      <c r="BE1202" s="51" t="n">
        <v>0.1914565105506948</v>
      </c>
      <c r="BF1202" s="43" t="n">
        <v>2854</v>
      </c>
    </row>
    <row r="1203">
      <c r="A1203" s="42" t="inlineStr">
        <is>
          <t>TX</t>
        </is>
      </c>
      <c r="B1203" s="42" t="inlineStr">
        <is>
          <t>48387</t>
        </is>
      </c>
      <c r="C1203" s="42" t="inlineStr">
        <is>
          <t>Red River</t>
        </is>
      </c>
      <c r="D1203" s="42" t="inlineStr">
        <is>
          <t>Small town &amp; rural</t>
        </is>
      </c>
      <c r="E1203" s="42" t="inlineStr"/>
      <c r="F1203" s="43" t="n">
        <v>1103</v>
      </c>
      <c r="G1203" s="43" t="n">
        <v>4682</v>
      </c>
      <c r="H1203" s="43" t="n">
        <v>5796</v>
      </c>
      <c r="I1203" s="43" t="n">
        <v>1246</v>
      </c>
      <c r="J1203" s="43" t="n">
        <v>4517</v>
      </c>
      <c r="K1203" s="42" t="inlineStr">
        <is>
          <t>Governor</t>
        </is>
      </c>
      <c r="L1203" s="43" t="n">
        <v>764</v>
      </c>
      <c r="M1203" s="43" t="n">
        <v>3482</v>
      </c>
      <c r="N1203" s="43" t="n">
        <v>4274</v>
      </c>
      <c r="O1203" s="44">
        <f>IFERROR((F1203-G1203)/(F1203+G1203),"")</f>
        <v/>
      </c>
      <c r="P1203" s="44">
        <f>IFERROR((I1203-J1203)/(I1203+J1203),"")</f>
        <v/>
      </c>
      <c r="Q1203" s="45">
        <f>IFERROR(O1203-P1203,"")</f>
        <v/>
      </c>
      <c r="R1203" s="44">
        <f>IFERROR((L1203-M1203)/(L1203+M1203),"")</f>
        <v/>
      </c>
      <c r="S1203" s="46">
        <f>H1203/SUMIFS(Counties!$H$2:$H$1583,Counties!$A$2:$A$1583,$A1203)</f>
        <v/>
      </c>
      <c r="T1203" s="44">
        <f>O1203+INDEX(Dashboard!$F$6:$F$22,MATCH($A1203,Dashboard!$A$6:$A$22,0))</f>
        <v/>
      </c>
      <c r="U1203" s="43">
        <f>AQ1203*INDEX(Dashboard!$G$6:$G$22,MATCH($A1203,Dashboard!$A$6:$A$22,0))</f>
        <v/>
      </c>
      <c r="V1203" s="47" t="n"/>
      <c r="W1203" s="47" t="n"/>
      <c r="X1203" s="47" t="n"/>
      <c r="Y1203" s="48" t="n"/>
      <c r="Z1203" s="49" t="n"/>
      <c r="AA1203" s="49" t="n"/>
      <c r="AB1203" s="49" t="n"/>
      <c r="AC1203" s="50" t="n"/>
      <c r="AD1203" s="43">
        <f>IF(Z1203&lt;&gt;"",Z1203,N(V1203))</f>
        <v/>
      </c>
      <c r="AE1203" s="43">
        <f>IF(AA1203&lt;&gt;"",AA1203,N(W1203))</f>
        <v/>
      </c>
      <c r="AF1203" s="43">
        <f>AD1203+AE1203</f>
        <v/>
      </c>
      <c r="AG1203" s="42">
        <f>IF(UPPER(AC1203)="Y",1,IF(AF1203=0,0,IF(AND(Z1203="",Y1203&lt;&gt;""),IF(Y1203&gt;=0.999,1,0),IF(AF1203&gt;=U1203,1,0))))</f>
        <v/>
      </c>
      <c r="AH1203" s="44">
        <f>IF(AF1203&gt;0,(AD1203-AE1203)/AF1203,"")</f>
        <v/>
      </c>
      <c r="AI1203" s="45">
        <f>IF(AG1203=1,AH1203-O1203,"")</f>
        <v/>
      </c>
      <c r="AJ1203" s="44">
        <f>IF(AG1203=1,AH1203,MAX(-1,MIN(1,O1203+INDEX(Types!$H:$H,MATCH($A1203&amp;"|"&amp;$D1203,Types!$A:$A,0)))))</f>
        <v/>
      </c>
      <c r="AK1203" s="43">
        <f>IF(AG1203=1,AF1203,MAX(AQ1203*AS1203,AF1203))</f>
        <v/>
      </c>
      <c r="AL1203" s="43">
        <f>IF(AG1203=1,AD1203,AK1203*(1+AJ1203)/2)</f>
        <v/>
      </c>
      <c r="AM1203" s="43">
        <f>IF(AG1203=1,AE1203,AK1203*(1-AJ1203)/2)</f>
        <v/>
      </c>
      <c r="AN1203" s="45">
        <f>IF(AH1203="","",AH1203-T1203)</f>
        <v/>
      </c>
      <c r="AO1203" s="51">
        <f>IF(AG1203=1,1,IF(U1203&gt;0,MIN(AF1203/U1203,0.99),0))</f>
        <v/>
      </c>
      <c r="AP1203" s="43">
        <f>IF(AG1203=1,AI1203*AF1203,0)</f>
        <v/>
      </c>
      <c r="AQ1203" s="43">
        <f>N1203*(F1203+G1203)/H1203</f>
        <v/>
      </c>
      <c r="AR1203" s="43">
        <f>O1203*AQ1203</f>
        <v/>
      </c>
      <c r="AS1203" s="52">
        <f>IF(AG1203=1,IF(AQ1203&gt;0,AF1203/AQ1203,1),IFERROR(INDEX(Types!$K:$K,MATCH($A1203&amp;"|"&amp;$D1203,Types!$A:$A,0)),INDEX(Dashboard!$X$6:$X$22,MATCH($A1203,Dashboard!$A$6:$A$22,0))))</f>
        <v/>
      </c>
      <c r="AT1203" s="43">
        <f>AQ1203*INDEX(Dashboard!$Y$6:$Y$22,MATCH($A1203,Dashboard!$A$6:$A$22,0))</f>
        <v/>
      </c>
      <c r="AU1203" s="53">
        <f>IF(AND(AG1203=1,AT1203&gt;0,AF1203&gt;0),100*AF1203/AT1203,"")</f>
        <v/>
      </c>
      <c r="AV1203" s="44">
        <f>IF(AU1203="","",T1203/(AU1203/100))</f>
        <v/>
      </c>
      <c r="AW1203" s="53">
        <f>IF(AU1203="","",IF(AND(ABS(AH1203)&gt;=0.1,ABS(T1203)&gt;=0.05,SIGN(AH1203)=SIGN(T1203)),100*T1203/AH1203,""))</f>
        <v/>
      </c>
      <c r="AX1203" s="45">
        <f>IF(AU1203="","",T1203-AV1203)</f>
        <v/>
      </c>
      <c r="AY1203" s="45">
        <f>IF(AU1203="","",AH1203-AV1203)</f>
        <v/>
      </c>
      <c r="AZ1203" s="54">
        <f>(AL1203-AM1203)-T1203*AT1203</f>
        <v/>
      </c>
      <c r="BA1203" s="43">
        <f>IF(AU1203="",0,(AH1203-T1203)*AF1203)</f>
        <v/>
      </c>
      <c r="BB1203" s="43">
        <f>IF(AU1203="",0,T1203*(AF1203-AT1203))</f>
        <v/>
      </c>
      <c r="BC1203" s="51" t="n">
        <v>0.1508820003425244</v>
      </c>
      <c r="BD1203" s="51" t="n">
        <v>0.07972255523206029</v>
      </c>
      <c r="BE1203" s="51" t="n">
        <v>0.1563742690058479</v>
      </c>
      <c r="BF1203" s="43" t="n">
        <v>11678</v>
      </c>
    </row>
    <row r="1204">
      <c r="A1204" s="42" t="inlineStr">
        <is>
          <t>TX</t>
        </is>
      </c>
      <c r="B1204" s="42" t="inlineStr">
        <is>
          <t>48389</t>
        </is>
      </c>
      <c r="C1204" s="42" t="inlineStr">
        <is>
          <t>Reeves</t>
        </is>
      </c>
      <c r="D1204" s="42" t="inlineStr">
        <is>
          <t>Hispanic</t>
        </is>
      </c>
      <c r="E1204" s="42" t="inlineStr"/>
      <c r="F1204" s="43" t="n">
        <v>1070</v>
      </c>
      <c r="G1204" s="43" t="n">
        <v>2340</v>
      </c>
      <c r="H1204" s="43" t="n">
        <v>3439</v>
      </c>
      <c r="I1204" s="43" t="n">
        <v>1395</v>
      </c>
      <c r="J1204" s="43" t="n">
        <v>2254</v>
      </c>
      <c r="K1204" s="42" t="inlineStr">
        <is>
          <t>Governor</t>
        </is>
      </c>
      <c r="L1204" s="43" t="n">
        <v>801</v>
      </c>
      <c r="M1204" s="43" t="n">
        <v>1341</v>
      </c>
      <c r="N1204" s="43" t="n">
        <v>2177</v>
      </c>
      <c r="O1204" s="44">
        <f>IFERROR((F1204-G1204)/(F1204+G1204),"")</f>
        <v/>
      </c>
      <c r="P1204" s="44">
        <f>IFERROR((I1204-J1204)/(I1204+J1204),"")</f>
        <v/>
      </c>
      <c r="Q1204" s="45">
        <f>IFERROR(O1204-P1204,"")</f>
        <v/>
      </c>
      <c r="R1204" s="44">
        <f>IFERROR((L1204-M1204)/(L1204+M1204),"")</f>
        <v/>
      </c>
      <c r="S1204" s="46">
        <f>H1204/SUMIFS(Counties!$H$2:$H$1583,Counties!$A$2:$A$1583,$A1204)</f>
        <v/>
      </c>
      <c r="T1204" s="44">
        <f>O1204+INDEX(Dashboard!$F$6:$F$22,MATCH($A1204,Dashboard!$A$6:$A$22,0))</f>
        <v/>
      </c>
      <c r="U1204" s="43">
        <f>AQ1204*INDEX(Dashboard!$G$6:$G$22,MATCH($A1204,Dashboard!$A$6:$A$22,0))</f>
        <v/>
      </c>
      <c r="V1204" s="47" t="n"/>
      <c r="W1204" s="47" t="n"/>
      <c r="X1204" s="47" t="n"/>
      <c r="Y1204" s="48" t="n"/>
      <c r="Z1204" s="49" t="n"/>
      <c r="AA1204" s="49" t="n"/>
      <c r="AB1204" s="49" t="n"/>
      <c r="AC1204" s="50" t="n"/>
      <c r="AD1204" s="43">
        <f>IF(Z1204&lt;&gt;"",Z1204,N(V1204))</f>
        <v/>
      </c>
      <c r="AE1204" s="43">
        <f>IF(AA1204&lt;&gt;"",AA1204,N(W1204))</f>
        <v/>
      </c>
      <c r="AF1204" s="43">
        <f>AD1204+AE1204</f>
        <v/>
      </c>
      <c r="AG1204" s="42">
        <f>IF(UPPER(AC1204)="Y",1,IF(AF1204=0,0,IF(AND(Z1204="",Y1204&lt;&gt;""),IF(Y1204&gt;=0.999,1,0),IF(AF1204&gt;=U1204,1,0))))</f>
        <v/>
      </c>
      <c r="AH1204" s="44">
        <f>IF(AF1204&gt;0,(AD1204-AE1204)/AF1204,"")</f>
        <v/>
      </c>
      <c r="AI1204" s="45">
        <f>IF(AG1204=1,AH1204-O1204,"")</f>
        <v/>
      </c>
      <c r="AJ1204" s="44">
        <f>IF(AG1204=1,AH1204,MAX(-1,MIN(1,O1204+INDEX(Types!$H:$H,MATCH($A1204&amp;"|"&amp;$D1204,Types!$A:$A,0)))))</f>
        <v/>
      </c>
      <c r="AK1204" s="43">
        <f>IF(AG1204=1,AF1204,MAX(AQ1204*AS1204,AF1204))</f>
        <v/>
      </c>
      <c r="AL1204" s="43">
        <f>IF(AG1204=1,AD1204,AK1204*(1+AJ1204)/2)</f>
        <v/>
      </c>
      <c r="AM1204" s="43">
        <f>IF(AG1204=1,AE1204,AK1204*(1-AJ1204)/2)</f>
        <v/>
      </c>
      <c r="AN1204" s="45">
        <f>IF(AH1204="","",AH1204-T1204)</f>
        <v/>
      </c>
      <c r="AO1204" s="51">
        <f>IF(AG1204=1,1,IF(U1204&gt;0,MIN(AF1204/U1204,0.99),0))</f>
        <v/>
      </c>
      <c r="AP1204" s="43">
        <f>IF(AG1204=1,AI1204*AF1204,0)</f>
        <v/>
      </c>
      <c r="AQ1204" s="43">
        <f>N1204*(F1204+G1204)/H1204</f>
        <v/>
      </c>
      <c r="AR1204" s="43">
        <f>O1204*AQ1204</f>
        <v/>
      </c>
      <c r="AS1204" s="52">
        <f>IF(AG1204=1,IF(AQ1204&gt;0,AF1204/AQ1204,1),IFERROR(INDEX(Types!$K:$K,MATCH($A1204&amp;"|"&amp;$D1204,Types!$A:$A,0)),INDEX(Dashboard!$X$6:$X$22,MATCH($A1204,Dashboard!$A$6:$A$22,0))))</f>
        <v/>
      </c>
      <c r="AT1204" s="43">
        <f>AQ1204*INDEX(Dashboard!$Y$6:$Y$22,MATCH($A1204,Dashboard!$A$6:$A$22,0))</f>
        <v/>
      </c>
      <c r="AU1204" s="53">
        <f>IF(AND(AG1204=1,AT1204&gt;0,AF1204&gt;0),100*AF1204/AT1204,"")</f>
        <v/>
      </c>
      <c r="AV1204" s="44">
        <f>IF(AU1204="","",T1204/(AU1204/100))</f>
        <v/>
      </c>
      <c r="AW1204" s="53">
        <f>IF(AU1204="","",IF(AND(ABS(AH1204)&gt;=0.1,ABS(T1204)&gt;=0.05,SIGN(AH1204)=SIGN(T1204)),100*T1204/AH1204,""))</f>
        <v/>
      </c>
      <c r="AX1204" s="45">
        <f>IF(AU1204="","",T1204-AV1204)</f>
        <v/>
      </c>
      <c r="AY1204" s="45">
        <f>IF(AU1204="","",AH1204-AV1204)</f>
        <v/>
      </c>
      <c r="AZ1204" s="54">
        <f>(AL1204-AM1204)-T1204*AT1204</f>
        <v/>
      </c>
      <c r="BA1204" s="43">
        <f>IF(AU1204="",0,(AH1204-T1204)*AF1204)</f>
        <v/>
      </c>
      <c r="BB1204" s="43">
        <f>IF(AU1204="",0,T1204*(AF1204-AT1204))</f>
        <v/>
      </c>
      <c r="BC1204" s="51" t="n">
        <v>0.01971112999150382</v>
      </c>
      <c r="BD1204" s="51" t="n">
        <v>0.8569243840271877</v>
      </c>
      <c r="BE1204" s="51" t="n">
        <v>0.06871414913957935</v>
      </c>
      <c r="BF1204" s="43" t="n">
        <v>11770</v>
      </c>
    </row>
    <row r="1205">
      <c r="A1205" s="42" t="inlineStr">
        <is>
          <t>TX</t>
        </is>
      </c>
      <c r="B1205" s="42" t="inlineStr">
        <is>
          <t>48391</t>
        </is>
      </c>
      <c r="C1205" s="42" t="inlineStr">
        <is>
          <t>Refugio</t>
        </is>
      </c>
      <c r="D1205" s="42" t="inlineStr">
        <is>
          <t>Hispanic</t>
        </is>
      </c>
      <c r="E1205" s="42" t="inlineStr"/>
      <c r="F1205" s="43" t="n">
        <v>919</v>
      </c>
      <c r="G1205" s="43" t="n">
        <v>2134</v>
      </c>
      <c r="H1205" s="43" t="n">
        <v>3072</v>
      </c>
      <c r="I1205" s="43" t="n">
        <v>1108</v>
      </c>
      <c r="J1205" s="43" t="n">
        <v>2210</v>
      </c>
      <c r="K1205" s="42" t="inlineStr">
        <is>
          <t>Governor</t>
        </is>
      </c>
      <c r="L1205" s="43" t="n">
        <v>639</v>
      </c>
      <c r="M1205" s="43" t="n">
        <v>1658</v>
      </c>
      <c r="N1205" s="43" t="n">
        <v>2317</v>
      </c>
      <c r="O1205" s="44">
        <f>IFERROR((F1205-G1205)/(F1205+G1205),"")</f>
        <v/>
      </c>
      <c r="P1205" s="44">
        <f>IFERROR((I1205-J1205)/(I1205+J1205),"")</f>
        <v/>
      </c>
      <c r="Q1205" s="45">
        <f>IFERROR(O1205-P1205,"")</f>
        <v/>
      </c>
      <c r="R1205" s="44">
        <f>IFERROR((L1205-M1205)/(L1205+M1205),"")</f>
        <v/>
      </c>
      <c r="S1205" s="46">
        <f>H1205/SUMIFS(Counties!$H$2:$H$1583,Counties!$A$2:$A$1583,$A1205)</f>
        <v/>
      </c>
      <c r="T1205" s="44">
        <f>O1205+INDEX(Dashboard!$F$6:$F$22,MATCH($A1205,Dashboard!$A$6:$A$22,0))</f>
        <v/>
      </c>
      <c r="U1205" s="43">
        <f>AQ1205*INDEX(Dashboard!$G$6:$G$22,MATCH($A1205,Dashboard!$A$6:$A$22,0))</f>
        <v/>
      </c>
      <c r="V1205" s="47" t="n"/>
      <c r="W1205" s="47" t="n"/>
      <c r="X1205" s="47" t="n"/>
      <c r="Y1205" s="48" t="n"/>
      <c r="Z1205" s="49" t="n"/>
      <c r="AA1205" s="49" t="n"/>
      <c r="AB1205" s="49" t="n"/>
      <c r="AC1205" s="50" t="n"/>
      <c r="AD1205" s="43">
        <f>IF(Z1205&lt;&gt;"",Z1205,N(V1205))</f>
        <v/>
      </c>
      <c r="AE1205" s="43">
        <f>IF(AA1205&lt;&gt;"",AA1205,N(W1205))</f>
        <v/>
      </c>
      <c r="AF1205" s="43">
        <f>AD1205+AE1205</f>
        <v/>
      </c>
      <c r="AG1205" s="42">
        <f>IF(UPPER(AC1205)="Y",1,IF(AF1205=0,0,IF(AND(Z1205="",Y1205&lt;&gt;""),IF(Y1205&gt;=0.999,1,0),IF(AF1205&gt;=U1205,1,0))))</f>
        <v/>
      </c>
      <c r="AH1205" s="44">
        <f>IF(AF1205&gt;0,(AD1205-AE1205)/AF1205,"")</f>
        <v/>
      </c>
      <c r="AI1205" s="45">
        <f>IF(AG1205=1,AH1205-O1205,"")</f>
        <v/>
      </c>
      <c r="AJ1205" s="44">
        <f>IF(AG1205=1,AH1205,MAX(-1,MIN(1,O1205+INDEX(Types!$H:$H,MATCH($A1205&amp;"|"&amp;$D1205,Types!$A:$A,0)))))</f>
        <v/>
      </c>
      <c r="AK1205" s="43">
        <f>IF(AG1205=1,AF1205,MAX(AQ1205*AS1205,AF1205))</f>
        <v/>
      </c>
      <c r="AL1205" s="43">
        <f>IF(AG1205=1,AD1205,AK1205*(1+AJ1205)/2)</f>
        <v/>
      </c>
      <c r="AM1205" s="43">
        <f>IF(AG1205=1,AE1205,AK1205*(1-AJ1205)/2)</f>
        <v/>
      </c>
      <c r="AN1205" s="45">
        <f>IF(AH1205="","",AH1205-T1205)</f>
        <v/>
      </c>
      <c r="AO1205" s="51">
        <f>IF(AG1205=1,1,IF(U1205&gt;0,MIN(AF1205/U1205,0.99),0))</f>
        <v/>
      </c>
      <c r="AP1205" s="43">
        <f>IF(AG1205=1,AI1205*AF1205,0)</f>
        <v/>
      </c>
      <c r="AQ1205" s="43">
        <f>N1205*(F1205+G1205)/H1205</f>
        <v/>
      </c>
      <c r="AR1205" s="43">
        <f>O1205*AQ1205</f>
        <v/>
      </c>
      <c r="AS1205" s="52">
        <f>IF(AG1205=1,IF(AQ1205&gt;0,AF1205/AQ1205,1),IFERROR(INDEX(Types!$K:$K,MATCH($A1205&amp;"|"&amp;$D1205,Types!$A:$A,0)),INDEX(Dashboard!$X$6:$X$22,MATCH($A1205,Dashboard!$A$6:$A$22,0))))</f>
        <v/>
      </c>
      <c r="AT1205" s="43">
        <f>AQ1205*INDEX(Dashboard!$Y$6:$Y$22,MATCH($A1205,Dashboard!$A$6:$A$22,0))</f>
        <v/>
      </c>
      <c r="AU1205" s="53">
        <f>IF(AND(AG1205=1,AT1205&gt;0,AF1205&gt;0),100*AF1205/AT1205,"")</f>
        <v/>
      </c>
      <c r="AV1205" s="44">
        <f>IF(AU1205="","",T1205/(AU1205/100))</f>
        <v/>
      </c>
      <c r="AW1205" s="53">
        <f>IF(AU1205="","",IF(AND(ABS(AH1205)&gt;=0.1,ABS(T1205)&gt;=0.05,SIGN(AH1205)=SIGN(T1205)),100*T1205/AH1205,""))</f>
        <v/>
      </c>
      <c r="AX1205" s="45">
        <f>IF(AU1205="","",T1205-AV1205)</f>
        <v/>
      </c>
      <c r="AY1205" s="45">
        <f>IF(AU1205="","",AH1205-AV1205)</f>
        <v/>
      </c>
      <c r="AZ1205" s="54">
        <f>(AL1205-AM1205)-T1205*AT1205</f>
        <v/>
      </c>
      <c r="BA1205" s="43">
        <f>IF(AU1205="",0,(AH1205-T1205)*AF1205)</f>
        <v/>
      </c>
      <c r="BB1205" s="43">
        <f>IF(AU1205="",0,T1205*(AF1205-AT1205))</f>
        <v/>
      </c>
      <c r="BC1205" s="51" t="n">
        <v>0.05850585058505851</v>
      </c>
      <c r="BD1205" s="51" t="n">
        <v>0.5103510351035103</v>
      </c>
      <c r="BE1205" s="51" t="n">
        <v>0.1380263717566993</v>
      </c>
      <c r="BF1205" s="43" t="n">
        <v>6666</v>
      </c>
    </row>
    <row r="1206">
      <c r="A1206" s="42" t="inlineStr">
        <is>
          <t>TX</t>
        </is>
      </c>
      <c r="B1206" s="42" t="inlineStr">
        <is>
          <t>48393</t>
        </is>
      </c>
      <c r="C1206" s="42" t="inlineStr">
        <is>
          <t>Roberts</t>
        </is>
      </c>
      <c r="D1206" s="42" t="inlineStr">
        <is>
          <t>Small town &amp; rural</t>
        </is>
      </c>
      <c r="E1206" s="42" t="inlineStr"/>
      <c r="F1206" s="43" t="n">
        <v>20</v>
      </c>
      <c r="G1206" s="43" t="n">
        <v>547</v>
      </c>
      <c r="H1206" s="43" t="n">
        <v>570</v>
      </c>
      <c r="I1206" s="43" t="n">
        <v>17</v>
      </c>
      <c r="J1206" s="43" t="n">
        <v>529</v>
      </c>
      <c r="K1206" s="42" t="inlineStr">
        <is>
          <t>Governor</t>
        </is>
      </c>
      <c r="L1206" s="43" t="n">
        <v>7</v>
      </c>
      <c r="M1206" s="43" t="n">
        <v>430</v>
      </c>
      <c r="N1206" s="43" t="n">
        <v>444</v>
      </c>
      <c r="O1206" s="44">
        <f>IFERROR((F1206-G1206)/(F1206+G1206),"")</f>
        <v/>
      </c>
      <c r="P1206" s="44">
        <f>IFERROR((I1206-J1206)/(I1206+J1206),"")</f>
        <v/>
      </c>
      <c r="Q1206" s="45">
        <f>IFERROR(O1206-P1206,"")</f>
        <v/>
      </c>
      <c r="R1206" s="44">
        <f>IFERROR((L1206-M1206)/(L1206+M1206),"")</f>
        <v/>
      </c>
      <c r="S1206" s="46">
        <f>H1206/SUMIFS(Counties!$H$2:$H$1583,Counties!$A$2:$A$1583,$A1206)</f>
        <v/>
      </c>
      <c r="T1206" s="44">
        <f>O1206+INDEX(Dashboard!$F$6:$F$22,MATCH($A1206,Dashboard!$A$6:$A$22,0))</f>
        <v/>
      </c>
      <c r="U1206" s="43">
        <f>AQ1206*INDEX(Dashboard!$G$6:$G$22,MATCH($A1206,Dashboard!$A$6:$A$22,0))</f>
        <v/>
      </c>
      <c r="V1206" s="47" t="n"/>
      <c r="W1206" s="47" t="n"/>
      <c r="X1206" s="47" t="n"/>
      <c r="Y1206" s="48" t="n"/>
      <c r="Z1206" s="49" t="n"/>
      <c r="AA1206" s="49" t="n"/>
      <c r="AB1206" s="49" t="n"/>
      <c r="AC1206" s="50" t="n"/>
      <c r="AD1206" s="43">
        <f>IF(Z1206&lt;&gt;"",Z1206,N(V1206))</f>
        <v/>
      </c>
      <c r="AE1206" s="43">
        <f>IF(AA1206&lt;&gt;"",AA1206,N(W1206))</f>
        <v/>
      </c>
      <c r="AF1206" s="43">
        <f>AD1206+AE1206</f>
        <v/>
      </c>
      <c r="AG1206" s="42">
        <f>IF(UPPER(AC1206)="Y",1,IF(AF1206=0,0,IF(AND(Z1206="",Y1206&lt;&gt;""),IF(Y1206&gt;=0.999,1,0),IF(AF1206&gt;=U1206,1,0))))</f>
        <v/>
      </c>
      <c r="AH1206" s="44">
        <f>IF(AF1206&gt;0,(AD1206-AE1206)/AF1206,"")</f>
        <v/>
      </c>
      <c r="AI1206" s="45">
        <f>IF(AG1206=1,AH1206-O1206,"")</f>
        <v/>
      </c>
      <c r="AJ1206" s="44">
        <f>IF(AG1206=1,AH1206,MAX(-1,MIN(1,O1206+INDEX(Types!$H:$H,MATCH($A1206&amp;"|"&amp;$D1206,Types!$A:$A,0)))))</f>
        <v/>
      </c>
      <c r="AK1206" s="43">
        <f>IF(AG1206=1,AF1206,MAX(AQ1206*AS1206,AF1206))</f>
        <v/>
      </c>
      <c r="AL1206" s="43">
        <f>IF(AG1206=1,AD1206,AK1206*(1+AJ1206)/2)</f>
        <v/>
      </c>
      <c r="AM1206" s="43">
        <f>IF(AG1206=1,AE1206,AK1206*(1-AJ1206)/2)</f>
        <v/>
      </c>
      <c r="AN1206" s="45">
        <f>IF(AH1206="","",AH1206-T1206)</f>
        <v/>
      </c>
      <c r="AO1206" s="51">
        <f>IF(AG1206=1,1,IF(U1206&gt;0,MIN(AF1206/U1206,0.99),0))</f>
        <v/>
      </c>
      <c r="AP1206" s="43">
        <f>IF(AG1206=1,AI1206*AF1206,0)</f>
        <v/>
      </c>
      <c r="AQ1206" s="43">
        <f>N1206*(F1206+G1206)/H1206</f>
        <v/>
      </c>
      <c r="AR1206" s="43">
        <f>O1206*AQ1206</f>
        <v/>
      </c>
      <c r="AS1206" s="52">
        <f>IF(AG1206=1,IF(AQ1206&gt;0,AF1206/AQ1206,1),IFERROR(INDEX(Types!$K:$K,MATCH($A1206&amp;"|"&amp;$D1206,Types!$A:$A,0)),INDEX(Dashboard!$X$6:$X$22,MATCH($A1206,Dashboard!$A$6:$A$22,0))))</f>
        <v/>
      </c>
      <c r="AT1206" s="43">
        <f>AQ1206*INDEX(Dashboard!$Y$6:$Y$22,MATCH($A1206,Dashboard!$A$6:$A$22,0))</f>
        <v/>
      </c>
      <c r="AU1206" s="53">
        <f>IF(AND(AG1206=1,AT1206&gt;0,AF1206&gt;0),100*AF1206/AT1206,"")</f>
        <v/>
      </c>
      <c r="AV1206" s="44">
        <f>IF(AU1206="","",T1206/(AU1206/100))</f>
        <v/>
      </c>
      <c r="AW1206" s="53">
        <f>IF(AU1206="","",IF(AND(ABS(AH1206)&gt;=0.1,ABS(T1206)&gt;=0.05,SIGN(AH1206)=SIGN(T1206)),100*T1206/AH1206,""))</f>
        <v/>
      </c>
      <c r="AX1206" s="45">
        <f>IF(AU1206="","",T1206-AV1206)</f>
        <v/>
      </c>
      <c r="AY1206" s="45">
        <f>IF(AU1206="","",AH1206-AV1206)</f>
        <v/>
      </c>
      <c r="AZ1206" s="54">
        <f>(AL1206-AM1206)-T1206*AT1206</f>
        <v/>
      </c>
      <c r="BA1206" s="43">
        <f>IF(AU1206="",0,(AH1206-T1206)*AF1206)</f>
        <v/>
      </c>
      <c r="BB1206" s="43">
        <f>IF(AU1206="",0,T1206*(AF1206-AT1206))</f>
        <v/>
      </c>
      <c r="BC1206" s="51" t="n">
        <v>0.002380952380952381</v>
      </c>
      <c r="BD1206" s="51" t="n">
        <v>0.1273809523809524</v>
      </c>
      <c r="BE1206" s="51" t="n">
        <v>0.2203065134099617</v>
      </c>
      <c r="BF1206" s="43" t="n">
        <v>840</v>
      </c>
    </row>
    <row r="1207">
      <c r="A1207" s="42" t="inlineStr">
        <is>
          <t>TX</t>
        </is>
      </c>
      <c r="B1207" s="42" t="inlineStr">
        <is>
          <t>48395</t>
        </is>
      </c>
      <c r="C1207" s="42" t="inlineStr">
        <is>
          <t>Robertson</t>
        </is>
      </c>
      <c r="D1207" s="42" t="inlineStr">
        <is>
          <t>Small town &amp; rural</t>
        </is>
      </c>
      <c r="E1207" s="42" t="inlineStr"/>
      <c r="F1207" s="43" t="n">
        <v>1926</v>
      </c>
      <c r="G1207" s="43" t="n">
        <v>6177</v>
      </c>
      <c r="H1207" s="43" t="n">
        <v>8154</v>
      </c>
      <c r="I1207" s="43" t="n">
        <v>2374</v>
      </c>
      <c r="J1207" s="43" t="n">
        <v>5646</v>
      </c>
      <c r="K1207" s="42" t="inlineStr">
        <is>
          <t>Governor</t>
        </is>
      </c>
      <c r="L1207" s="43" t="n">
        <v>1293</v>
      </c>
      <c r="M1207" s="43" t="n">
        <v>4643</v>
      </c>
      <c r="N1207" s="43" t="n">
        <v>6017</v>
      </c>
      <c r="O1207" s="44">
        <f>IFERROR((F1207-G1207)/(F1207+G1207),"")</f>
        <v/>
      </c>
      <c r="P1207" s="44">
        <f>IFERROR((I1207-J1207)/(I1207+J1207),"")</f>
        <v/>
      </c>
      <c r="Q1207" s="45">
        <f>IFERROR(O1207-P1207,"")</f>
        <v/>
      </c>
      <c r="R1207" s="44">
        <f>IFERROR((L1207-M1207)/(L1207+M1207),"")</f>
        <v/>
      </c>
      <c r="S1207" s="46">
        <f>H1207/SUMIFS(Counties!$H$2:$H$1583,Counties!$A$2:$A$1583,$A1207)</f>
        <v/>
      </c>
      <c r="T1207" s="44">
        <f>O1207+INDEX(Dashboard!$F$6:$F$22,MATCH($A1207,Dashboard!$A$6:$A$22,0))</f>
        <v/>
      </c>
      <c r="U1207" s="43">
        <f>AQ1207*INDEX(Dashboard!$G$6:$G$22,MATCH($A1207,Dashboard!$A$6:$A$22,0))</f>
        <v/>
      </c>
      <c r="V1207" s="47" t="n"/>
      <c r="W1207" s="47" t="n"/>
      <c r="X1207" s="47" t="n"/>
      <c r="Y1207" s="48" t="n"/>
      <c r="Z1207" s="49" t="n"/>
      <c r="AA1207" s="49" t="n"/>
      <c r="AB1207" s="49" t="n"/>
      <c r="AC1207" s="50" t="n"/>
      <c r="AD1207" s="43">
        <f>IF(Z1207&lt;&gt;"",Z1207,N(V1207))</f>
        <v/>
      </c>
      <c r="AE1207" s="43">
        <f>IF(AA1207&lt;&gt;"",AA1207,N(W1207))</f>
        <v/>
      </c>
      <c r="AF1207" s="43">
        <f>AD1207+AE1207</f>
        <v/>
      </c>
      <c r="AG1207" s="42">
        <f>IF(UPPER(AC1207)="Y",1,IF(AF1207=0,0,IF(AND(Z1207="",Y1207&lt;&gt;""),IF(Y1207&gt;=0.999,1,0),IF(AF1207&gt;=U1207,1,0))))</f>
        <v/>
      </c>
      <c r="AH1207" s="44">
        <f>IF(AF1207&gt;0,(AD1207-AE1207)/AF1207,"")</f>
        <v/>
      </c>
      <c r="AI1207" s="45">
        <f>IF(AG1207=1,AH1207-O1207,"")</f>
        <v/>
      </c>
      <c r="AJ1207" s="44">
        <f>IF(AG1207=1,AH1207,MAX(-1,MIN(1,O1207+INDEX(Types!$H:$H,MATCH($A1207&amp;"|"&amp;$D1207,Types!$A:$A,0)))))</f>
        <v/>
      </c>
      <c r="AK1207" s="43">
        <f>IF(AG1207=1,AF1207,MAX(AQ1207*AS1207,AF1207))</f>
        <v/>
      </c>
      <c r="AL1207" s="43">
        <f>IF(AG1207=1,AD1207,AK1207*(1+AJ1207)/2)</f>
        <v/>
      </c>
      <c r="AM1207" s="43">
        <f>IF(AG1207=1,AE1207,AK1207*(1-AJ1207)/2)</f>
        <v/>
      </c>
      <c r="AN1207" s="45">
        <f>IF(AH1207="","",AH1207-T1207)</f>
        <v/>
      </c>
      <c r="AO1207" s="51">
        <f>IF(AG1207=1,1,IF(U1207&gt;0,MIN(AF1207/U1207,0.99),0))</f>
        <v/>
      </c>
      <c r="AP1207" s="43">
        <f>IF(AG1207=1,AI1207*AF1207,0)</f>
        <v/>
      </c>
      <c r="AQ1207" s="43">
        <f>N1207*(F1207+G1207)/H1207</f>
        <v/>
      </c>
      <c r="AR1207" s="43">
        <f>O1207*AQ1207</f>
        <v/>
      </c>
      <c r="AS1207" s="52">
        <f>IF(AG1207=1,IF(AQ1207&gt;0,AF1207/AQ1207,1),IFERROR(INDEX(Types!$K:$K,MATCH($A1207&amp;"|"&amp;$D1207,Types!$A:$A,0)),INDEX(Dashboard!$X$6:$X$22,MATCH($A1207,Dashboard!$A$6:$A$22,0))))</f>
        <v/>
      </c>
      <c r="AT1207" s="43">
        <f>AQ1207*INDEX(Dashboard!$Y$6:$Y$22,MATCH($A1207,Dashboard!$A$6:$A$22,0))</f>
        <v/>
      </c>
      <c r="AU1207" s="53">
        <f>IF(AND(AG1207=1,AT1207&gt;0,AF1207&gt;0),100*AF1207/AT1207,"")</f>
        <v/>
      </c>
      <c r="AV1207" s="44">
        <f>IF(AU1207="","",T1207/(AU1207/100))</f>
        <v/>
      </c>
      <c r="AW1207" s="53">
        <f>IF(AU1207="","",IF(AND(ABS(AH1207)&gt;=0.1,ABS(T1207)&gt;=0.05,SIGN(AH1207)=SIGN(T1207)),100*T1207/AH1207,""))</f>
        <v/>
      </c>
      <c r="AX1207" s="45">
        <f>IF(AU1207="","",T1207-AV1207)</f>
        <v/>
      </c>
      <c r="AY1207" s="45">
        <f>IF(AU1207="","",AH1207-AV1207)</f>
        <v/>
      </c>
      <c r="AZ1207" s="54">
        <f>(AL1207-AM1207)-T1207*AT1207</f>
        <v/>
      </c>
      <c r="BA1207" s="43">
        <f>IF(AU1207="",0,(AH1207-T1207)*AF1207)</f>
        <v/>
      </c>
      <c r="BB1207" s="43">
        <f>IF(AU1207="",0,T1207*(AF1207-AT1207))</f>
        <v/>
      </c>
      <c r="BC1207" s="51" t="n">
        <v>0.1809810621416575</v>
      </c>
      <c r="BD1207" s="51" t="n">
        <v>0.2269068164707245</v>
      </c>
      <c r="BE1207" s="51" t="n">
        <v>0.1913058478523374</v>
      </c>
      <c r="BF1207" s="43" t="n">
        <v>17267</v>
      </c>
    </row>
    <row r="1208">
      <c r="A1208" s="42" t="inlineStr">
        <is>
          <t>TX</t>
        </is>
      </c>
      <c r="B1208" s="42" t="inlineStr">
        <is>
          <t>48397</t>
        </is>
      </c>
      <c r="C1208" s="42" t="inlineStr">
        <is>
          <t>Rockwall</t>
        </is>
      </c>
      <c r="D1208" s="42" t="inlineStr">
        <is>
          <t>College suburb/metro</t>
        </is>
      </c>
      <c r="E1208" s="42" t="inlineStr"/>
      <c r="F1208" s="43" t="n">
        <v>18092</v>
      </c>
      <c r="G1208" s="43" t="n">
        <v>43542</v>
      </c>
      <c r="H1208" s="43" t="n">
        <v>62251</v>
      </c>
      <c r="I1208" s="43" t="n">
        <v>16412</v>
      </c>
      <c r="J1208" s="43" t="n">
        <v>36726</v>
      </c>
      <c r="K1208" s="42" t="inlineStr">
        <is>
          <t>Governor</t>
        </is>
      </c>
      <c r="L1208" s="43" t="n">
        <v>12132</v>
      </c>
      <c r="M1208" s="43" t="n">
        <v>30211</v>
      </c>
      <c r="N1208" s="43" t="n">
        <v>42871</v>
      </c>
      <c r="O1208" s="44">
        <f>IFERROR((F1208-G1208)/(F1208+G1208),"")</f>
        <v/>
      </c>
      <c r="P1208" s="44">
        <f>IFERROR((I1208-J1208)/(I1208+J1208),"")</f>
        <v/>
      </c>
      <c r="Q1208" s="45">
        <f>IFERROR(O1208-P1208,"")</f>
        <v/>
      </c>
      <c r="R1208" s="44">
        <f>IFERROR((L1208-M1208)/(L1208+M1208),"")</f>
        <v/>
      </c>
      <c r="S1208" s="46">
        <f>H1208/SUMIFS(Counties!$H$2:$H$1583,Counties!$A$2:$A$1583,$A1208)</f>
        <v/>
      </c>
      <c r="T1208" s="44">
        <f>O1208+INDEX(Dashboard!$F$6:$F$22,MATCH($A1208,Dashboard!$A$6:$A$22,0))</f>
        <v/>
      </c>
      <c r="U1208" s="43">
        <f>AQ1208*INDEX(Dashboard!$G$6:$G$22,MATCH($A1208,Dashboard!$A$6:$A$22,0))</f>
        <v/>
      </c>
      <c r="V1208" s="47" t="n"/>
      <c r="W1208" s="47" t="n"/>
      <c r="X1208" s="47" t="n"/>
      <c r="Y1208" s="48" t="n"/>
      <c r="Z1208" s="49" t="n"/>
      <c r="AA1208" s="49" t="n"/>
      <c r="AB1208" s="49" t="n"/>
      <c r="AC1208" s="50" t="n"/>
      <c r="AD1208" s="43">
        <f>IF(Z1208&lt;&gt;"",Z1208,N(V1208))</f>
        <v/>
      </c>
      <c r="AE1208" s="43">
        <f>IF(AA1208&lt;&gt;"",AA1208,N(W1208))</f>
        <v/>
      </c>
      <c r="AF1208" s="43">
        <f>AD1208+AE1208</f>
        <v/>
      </c>
      <c r="AG1208" s="42">
        <f>IF(UPPER(AC1208)="Y",1,IF(AF1208=0,0,IF(AND(Z1208="",Y1208&lt;&gt;""),IF(Y1208&gt;=0.999,1,0),IF(AF1208&gt;=U1208,1,0))))</f>
        <v/>
      </c>
      <c r="AH1208" s="44">
        <f>IF(AF1208&gt;0,(AD1208-AE1208)/AF1208,"")</f>
        <v/>
      </c>
      <c r="AI1208" s="45">
        <f>IF(AG1208=1,AH1208-O1208,"")</f>
        <v/>
      </c>
      <c r="AJ1208" s="44">
        <f>IF(AG1208=1,AH1208,MAX(-1,MIN(1,O1208+INDEX(Types!$H:$H,MATCH($A1208&amp;"|"&amp;$D1208,Types!$A:$A,0)))))</f>
        <v/>
      </c>
      <c r="AK1208" s="43">
        <f>IF(AG1208=1,AF1208,MAX(AQ1208*AS1208,AF1208))</f>
        <v/>
      </c>
      <c r="AL1208" s="43">
        <f>IF(AG1208=1,AD1208,AK1208*(1+AJ1208)/2)</f>
        <v/>
      </c>
      <c r="AM1208" s="43">
        <f>IF(AG1208=1,AE1208,AK1208*(1-AJ1208)/2)</f>
        <v/>
      </c>
      <c r="AN1208" s="45">
        <f>IF(AH1208="","",AH1208-T1208)</f>
        <v/>
      </c>
      <c r="AO1208" s="51">
        <f>IF(AG1208=1,1,IF(U1208&gt;0,MIN(AF1208/U1208,0.99),0))</f>
        <v/>
      </c>
      <c r="AP1208" s="43">
        <f>IF(AG1208=1,AI1208*AF1208,0)</f>
        <v/>
      </c>
      <c r="AQ1208" s="43">
        <f>N1208*(F1208+G1208)/H1208</f>
        <v/>
      </c>
      <c r="AR1208" s="43">
        <f>O1208*AQ1208</f>
        <v/>
      </c>
      <c r="AS1208" s="52">
        <f>IF(AG1208=1,IF(AQ1208&gt;0,AF1208/AQ1208,1),IFERROR(INDEX(Types!$K:$K,MATCH($A1208&amp;"|"&amp;$D1208,Types!$A:$A,0)),INDEX(Dashboard!$X$6:$X$22,MATCH($A1208,Dashboard!$A$6:$A$22,0))))</f>
        <v/>
      </c>
      <c r="AT1208" s="43">
        <f>AQ1208*INDEX(Dashboard!$Y$6:$Y$22,MATCH($A1208,Dashboard!$A$6:$A$22,0))</f>
        <v/>
      </c>
      <c r="AU1208" s="53">
        <f>IF(AND(AG1208=1,AT1208&gt;0,AF1208&gt;0),100*AF1208/AT1208,"")</f>
        <v/>
      </c>
      <c r="AV1208" s="44">
        <f>IF(AU1208="","",T1208/(AU1208/100))</f>
        <v/>
      </c>
      <c r="AW1208" s="53">
        <f>IF(AU1208="","",IF(AND(ABS(AH1208)&gt;=0.1,ABS(T1208)&gt;=0.05,SIGN(AH1208)=SIGN(T1208)),100*T1208/AH1208,""))</f>
        <v/>
      </c>
      <c r="AX1208" s="45">
        <f>IF(AU1208="","",T1208-AV1208)</f>
        <v/>
      </c>
      <c r="AY1208" s="45">
        <f>IF(AU1208="","",AH1208-AV1208)</f>
        <v/>
      </c>
      <c r="AZ1208" s="54">
        <f>(AL1208-AM1208)-T1208*AT1208</f>
        <v/>
      </c>
      <c r="BA1208" s="43">
        <f>IF(AU1208="",0,(AH1208-T1208)*AF1208)</f>
        <v/>
      </c>
      <c r="BB1208" s="43">
        <f>IF(AU1208="",0,T1208*(AF1208-AT1208))</f>
        <v/>
      </c>
      <c r="BC1208" s="51" t="n">
        <v>0.09921024774002909</v>
      </c>
      <c r="BD1208" s="51" t="n">
        <v>0.2148628785974853</v>
      </c>
      <c r="BE1208" s="51" t="n">
        <v>0.4397219749725116</v>
      </c>
      <c r="BF1208" s="43" t="n">
        <v>131307</v>
      </c>
    </row>
    <row r="1209">
      <c r="A1209" s="42" t="inlineStr">
        <is>
          <t>TX</t>
        </is>
      </c>
      <c r="B1209" s="42" t="inlineStr">
        <is>
          <t>48399</t>
        </is>
      </c>
      <c r="C1209" s="42" t="inlineStr">
        <is>
          <t>Runnels</t>
        </is>
      </c>
      <c r="D1209" s="42" t="inlineStr">
        <is>
          <t>Small town &amp; rural</t>
        </is>
      </c>
      <c r="E1209" s="42" t="inlineStr"/>
      <c r="F1209" s="43" t="n">
        <v>452</v>
      </c>
      <c r="G1209" s="43" t="n">
        <v>3580</v>
      </c>
      <c r="H1209" s="43" t="n">
        <v>4056</v>
      </c>
      <c r="I1209" s="43" t="n">
        <v>552</v>
      </c>
      <c r="J1209" s="43" t="n">
        <v>3807</v>
      </c>
      <c r="K1209" s="42" t="inlineStr">
        <is>
          <t>Governor</t>
        </is>
      </c>
      <c r="L1209" s="43" t="n">
        <v>277</v>
      </c>
      <c r="M1209" s="43" t="n">
        <v>2924</v>
      </c>
      <c r="N1209" s="43" t="n">
        <v>3234</v>
      </c>
      <c r="O1209" s="44">
        <f>IFERROR((F1209-G1209)/(F1209+G1209),"")</f>
        <v/>
      </c>
      <c r="P1209" s="44">
        <f>IFERROR((I1209-J1209)/(I1209+J1209),"")</f>
        <v/>
      </c>
      <c r="Q1209" s="45">
        <f>IFERROR(O1209-P1209,"")</f>
        <v/>
      </c>
      <c r="R1209" s="44">
        <f>IFERROR((L1209-M1209)/(L1209+M1209),"")</f>
        <v/>
      </c>
      <c r="S1209" s="46">
        <f>H1209/SUMIFS(Counties!$H$2:$H$1583,Counties!$A$2:$A$1583,$A1209)</f>
        <v/>
      </c>
      <c r="T1209" s="44">
        <f>O1209+INDEX(Dashboard!$F$6:$F$22,MATCH($A1209,Dashboard!$A$6:$A$22,0))</f>
        <v/>
      </c>
      <c r="U1209" s="43">
        <f>AQ1209*INDEX(Dashboard!$G$6:$G$22,MATCH($A1209,Dashboard!$A$6:$A$22,0))</f>
        <v/>
      </c>
      <c r="V1209" s="47" t="n"/>
      <c r="W1209" s="47" t="n"/>
      <c r="X1209" s="47" t="n"/>
      <c r="Y1209" s="48" t="n"/>
      <c r="Z1209" s="49" t="n"/>
      <c r="AA1209" s="49" t="n"/>
      <c r="AB1209" s="49" t="n"/>
      <c r="AC1209" s="50" t="n"/>
      <c r="AD1209" s="43">
        <f>IF(Z1209&lt;&gt;"",Z1209,N(V1209))</f>
        <v/>
      </c>
      <c r="AE1209" s="43">
        <f>IF(AA1209&lt;&gt;"",AA1209,N(W1209))</f>
        <v/>
      </c>
      <c r="AF1209" s="43">
        <f>AD1209+AE1209</f>
        <v/>
      </c>
      <c r="AG1209" s="42">
        <f>IF(UPPER(AC1209)="Y",1,IF(AF1209=0,0,IF(AND(Z1209="",Y1209&lt;&gt;""),IF(Y1209&gt;=0.999,1,0),IF(AF1209&gt;=U1209,1,0))))</f>
        <v/>
      </c>
      <c r="AH1209" s="44">
        <f>IF(AF1209&gt;0,(AD1209-AE1209)/AF1209,"")</f>
        <v/>
      </c>
      <c r="AI1209" s="45">
        <f>IF(AG1209=1,AH1209-O1209,"")</f>
        <v/>
      </c>
      <c r="AJ1209" s="44">
        <f>IF(AG1209=1,AH1209,MAX(-1,MIN(1,O1209+INDEX(Types!$H:$H,MATCH($A1209&amp;"|"&amp;$D1209,Types!$A:$A,0)))))</f>
        <v/>
      </c>
      <c r="AK1209" s="43">
        <f>IF(AG1209=1,AF1209,MAX(AQ1209*AS1209,AF1209))</f>
        <v/>
      </c>
      <c r="AL1209" s="43">
        <f>IF(AG1209=1,AD1209,AK1209*(1+AJ1209)/2)</f>
        <v/>
      </c>
      <c r="AM1209" s="43">
        <f>IF(AG1209=1,AE1209,AK1209*(1-AJ1209)/2)</f>
        <v/>
      </c>
      <c r="AN1209" s="45">
        <f>IF(AH1209="","",AH1209-T1209)</f>
        <v/>
      </c>
      <c r="AO1209" s="51">
        <f>IF(AG1209=1,1,IF(U1209&gt;0,MIN(AF1209/U1209,0.99),0))</f>
        <v/>
      </c>
      <c r="AP1209" s="43">
        <f>IF(AG1209=1,AI1209*AF1209,0)</f>
        <v/>
      </c>
      <c r="AQ1209" s="43">
        <f>N1209*(F1209+G1209)/H1209</f>
        <v/>
      </c>
      <c r="AR1209" s="43">
        <f>O1209*AQ1209</f>
        <v/>
      </c>
      <c r="AS1209" s="52">
        <f>IF(AG1209=1,IF(AQ1209&gt;0,AF1209/AQ1209,1),IFERROR(INDEX(Types!$K:$K,MATCH($A1209&amp;"|"&amp;$D1209,Types!$A:$A,0)),INDEX(Dashboard!$X$6:$X$22,MATCH($A1209,Dashboard!$A$6:$A$22,0))))</f>
        <v/>
      </c>
      <c r="AT1209" s="43">
        <f>AQ1209*INDEX(Dashboard!$Y$6:$Y$22,MATCH($A1209,Dashboard!$A$6:$A$22,0))</f>
        <v/>
      </c>
      <c r="AU1209" s="53">
        <f>IF(AND(AG1209=1,AT1209&gt;0,AF1209&gt;0),100*AF1209/AT1209,"")</f>
        <v/>
      </c>
      <c r="AV1209" s="44">
        <f>IF(AU1209="","",T1209/(AU1209/100))</f>
        <v/>
      </c>
      <c r="AW1209" s="53">
        <f>IF(AU1209="","",IF(AND(ABS(AH1209)&gt;=0.1,ABS(T1209)&gt;=0.05,SIGN(AH1209)=SIGN(T1209)),100*T1209/AH1209,""))</f>
        <v/>
      </c>
      <c r="AX1209" s="45">
        <f>IF(AU1209="","",T1209-AV1209)</f>
        <v/>
      </c>
      <c r="AY1209" s="45">
        <f>IF(AU1209="","",AH1209-AV1209)</f>
        <v/>
      </c>
      <c r="AZ1209" s="54">
        <f>(AL1209-AM1209)-T1209*AT1209</f>
        <v/>
      </c>
      <c r="BA1209" s="43">
        <f>IF(AU1209="",0,(AH1209-T1209)*AF1209)</f>
        <v/>
      </c>
      <c r="BB1209" s="43">
        <f>IF(AU1209="",0,T1209*(AF1209-AT1209))</f>
        <v/>
      </c>
      <c r="BC1209" s="51" t="n">
        <v>0.02138224564248075</v>
      </c>
      <c r="BD1209" s="51" t="n">
        <v>0.3541751114714228</v>
      </c>
      <c r="BE1209" s="51" t="n">
        <v>0.1906501095690285</v>
      </c>
      <c r="BF1209" s="43" t="n">
        <v>9868</v>
      </c>
    </row>
    <row r="1210">
      <c r="A1210" s="42" t="inlineStr">
        <is>
          <t>TX</t>
        </is>
      </c>
      <c r="B1210" s="42" t="inlineStr">
        <is>
          <t>48401</t>
        </is>
      </c>
      <c r="C1210" s="42" t="inlineStr">
        <is>
          <t>Rusk</t>
        </is>
      </c>
      <c r="D1210" s="42" t="inlineStr">
        <is>
          <t>Small town &amp; rural</t>
        </is>
      </c>
      <c r="E1210" s="42" t="inlineStr"/>
      <c r="F1210" s="43" t="n">
        <v>4337</v>
      </c>
      <c r="G1210" s="43" t="n">
        <v>17234</v>
      </c>
      <c r="H1210" s="43" t="n">
        <v>21702</v>
      </c>
      <c r="I1210" s="43" t="n">
        <v>4629</v>
      </c>
      <c r="J1210" s="43" t="n">
        <v>16534</v>
      </c>
      <c r="K1210" s="42" t="inlineStr">
        <is>
          <t>Governor</t>
        </is>
      </c>
      <c r="L1210" s="43" t="n">
        <v>2694</v>
      </c>
      <c r="M1210" s="43" t="n">
        <v>12751</v>
      </c>
      <c r="N1210" s="43" t="n">
        <v>15621</v>
      </c>
      <c r="O1210" s="44">
        <f>IFERROR((F1210-G1210)/(F1210+G1210),"")</f>
        <v/>
      </c>
      <c r="P1210" s="44">
        <f>IFERROR((I1210-J1210)/(I1210+J1210),"")</f>
        <v/>
      </c>
      <c r="Q1210" s="45">
        <f>IFERROR(O1210-P1210,"")</f>
        <v/>
      </c>
      <c r="R1210" s="44">
        <f>IFERROR((L1210-M1210)/(L1210+M1210),"")</f>
        <v/>
      </c>
      <c r="S1210" s="46">
        <f>H1210/SUMIFS(Counties!$H$2:$H$1583,Counties!$A$2:$A$1583,$A1210)</f>
        <v/>
      </c>
      <c r="T1210" s="44">
        <f>O1210+INDEX(Dashboard!$F$6:$F$22,MATCH($A1210,Dashboard!$A$6:$A$22,0))</f>
        <v/>
      </c>
      <c r="U1210" s="43">
        <f>AQ1210*INDEX(Dashboard!$G$6:$G$22,MATCH($A1210,Dashboard!$A$6:$A$22,0))</f>
        <v/>
      </c>
      <c r="V1210" s="47" t="n"/>
      <c r="W1210" s="47" t="n"/>
      <c r="X1210" s="47" t="n"/>
      <c r="Y1210" s="48" t="n"/>
      <c r="Z1210" s="49" t="n"/>
      <c r="AA1210" s="49" t="n"/>
      <c r="AB1210" s="49" t="n"/>
      <c r="AC1210" s="50" t="n"/>
      <c r="AD1210" s="43">
        <f>IF(Z1210&lt;&gt;"",Z1210,N(V1210))</f>
        <v/>
      </c>
      <c r="AE1210" s="43">
        <f>IF(AA1210&lt;&gt;"",AA1210,N(W1210))</f>
        <v/>
      </c>
      <c r="AF1210" s="43">
        <f>AD1210+AE1210</f>
        <v/>
      </c>
      <c r="AG1210" s="42">
        <f>IF(UPPER(AC1210)="Y",1,IF(AF1210=0,0,IF(AND(Z1210="",Y1210&lt;&gt;""),IF(Y1210&gt;=0.999,1,0),IF(AF1210&gt;=U1210,1,0))))</f>
        <v/>
      </c>
      <c r="AH1210" s="44">
        <f>IF(AF1210&gt;0,(AD1210-AE1210)/AF1210,"")</f>
        <v/>
      </c>
      <c r="AI1210" s="45">
        <f>IF(AG1210=1,AH1210-O1210,"")</f>
        <v/>
      </c>
      <c r="AJ1210" s="44">
        <f>IF(AG1210=1,AH1210,MAX(-1,MIN(1,O1210+INDEX(Types!$H:$H,MATCH($A1210&amp;"|"&amp;$D1210,Types!$A:$A,0)))))</f>
        <v/>
      </c>
      <c r="AK1210" s="43">
        <f>IF(AG1210=1,AF1210,MAX(AQ1210*AS1210,AF1210))</f>
        <v/>
      </c>
      <c r="AL1210" s="43">
        <f>IF(AG1210=1,AD1210,AK1210*(1+AJ1210)/2)</f>
        <v/>
      </c>
      <c r="AM1210" s="43">
        <f>IF(AG1210=1,AE1210,AK1210*(1-AJ1210)/2)</f>
        <v/>
      </c>
      <c r="AN1210" s="45">
        <f>IF(AH1210="","",AH1210-T1210)</f>
        <v/>
      </c>
      <c r="AO1210" s="51">
        <f>IF(AG1210=1,1,IF(U1210&gt;0,MIN(AF1210/U1210,0.99),0))</f>
        <v/>
      </c>
      <c r="AP1210" s="43">
        <f>IF(AG1210=1,AI1210*AF1210,0)</f>
        <v/>
      </c>
      <c r="AQ1210" s="43">
        <f>N1210*(F1210+G1210)/H1210</f>
        <v/>
      </c>
      <c r="AR1210" s="43">
        <f>O1210*AQ1210</f>
        <v/>
      </c>
      <c r="AS1210" s="52">
        <f>IF(AG1210=1,IF(AQ1210&gt;0,AF1210/AQ1210,1),IFERROR(INDEX(Types!$K:$K,MATCH($A1210&amp;"|"&amp;$D1210,Types!$A:$A,0)),INDEX(Dashboard!$X$6:$X$22,MATCH($A1210,Dashboard!$A$6:$A$22,0))))</f>
        <v/>
      </c>
      <c r="AT1210" s="43">
        <f>AQ1210*INDEX(Dashboard!$Y$6:$Y$22,MATCH($A1210,Dashboard!$A$6:$A$22,0))</f>
        <v/>
      </c>
      <c r="AU1210" s="53">
        <f>IF(AND(AG1210=1,AT1210&gt;0,AF1210&gt;0),100*AF1210/AT1210,"")</f>
        <v/>
      </c>
      <c r="AV1210" s="44">
        <f>IF(AU1210="","",T1210/(AU1210/100))</f>
        <v/>
      </c>
      <c r="AW1210" s="53">
        <f>IF(AU1210="","",IF(AND(ABS(AH1210)&gt;=0.1,ABS(T1210)&gt;=0.05,SIGN(AH1210)=SIGN(T1210)),100*T1210/AH1210,""))</f>
        <v/>
      </c>
      <c r="AX1210" s="45">
        <f>IF(AU1210="","",T1210-AV1210)</f>
        <v/>
      </c>
      <c r="AY1210" s="45">
        <f>IF(AU1210="","",AH1210-AV1210)</f>
        <v/>
      </c>
      <c r="AZ1210" s="54">
        <f>(AL1210-AM1210)-T1210*AT1210</f>
        <v/>
      </c>
      <c r="BA1210" s="43">
        <f>IF(AU1210="",0,(AH1210-T1210)*AF1210)</f>
        <v/>
      </c>
      <c r="BB1210" s="43">
        <f>IF(AU1210="",0,T1210*(AF1210-AT1210))</f>
        <v/>
      </c>
      <c r="BC1210" s="51" t="n">
        <v>0.1593285480133386</v>
      </c>
      <c r="BD1210" s="51" t="n">
        <v>0.1951054089187814</v>
      </c>
      <c r="BE1210" s="51" t="n">
        <v>0.1786029574045465</v>
      </c>
      <c r="BF1210" s="43" t="n">
        <v>53079</v>
      </c>
    </row>
    <row r="1211">
      <c r="A1211" s="42" t="inlineStr">
        <is>
          <t>TX</t>
        </is>
      </c>
      <c r="B1211" s="42" t="inlineStr">
        <is>
          <t>48403</t>
        </is>
      </c>
      <c r="C1211" s="42" t="inlineStr">
        <is>
          <t>Sabine</t>
        </is>
      </c>
      <c r="D1211" s="42" t="inlineStr">
        <is>
          <t>Small town &amp; rural</t>
        </is>
      </c>
      <c r="E1211" s="42" t="inlineStr"/>
      <c r="F1211" s="43" t="n">
        <v>590</v>
      </c>
      <c r="G1211" s="43" t="n">
        <v>4972</v>
      </c>
      <c r="H1211" s="43" t="n">
        <v>5581</v>
      </c>
      <c r="I1211" s="43" t="n">
        <v>669</v>
      </c>
      <c r="J1211" s="43" t="n">
        <v>4784</v>
      </c>
      <c r="K1211" s="42" t="inlineStr">
        <is>
          <t>Governor</t>
        </is>
      </c>
      <c r="L1211" s="43" t="n">
        <v>385</v>
      </c>
      <c r="M1211" s="43" t="n">
        <v>3755</v>
      </c>
      <c r="N1211" s="43" t="n">
        <v>4166</v>
      </c>
      <c r="O1211" s="44">
        <f>IFERROR((F1211-G1211)/(F1211+G1211),"")</f>
        <v/>
      </c>
      <c r="P1211" s="44">
        <f>IFERROR((I1211-J1211)/(I1211+J1211),"")</f>
        <v/>
      </c>
      <c r="Q1211" s="45">
        <f>IFERROR(O1211-P1211,"")</f>
        <v/>
      </c>
      <c r="R1211" s="44">
        <f>IFERROR((L1211-M1211)/(L1211+M1211),"")</f>
        <v/>
      </c>
      <c r="S1211" s="46">
        <f>H1211/SUMIFS(Counties!$H$2:$H$1583,Counties!$A$2:$A$1583,$A1211)</f>
        <v/>
      </c>
      <c r="T1211" s="44">
        <f>O1211+INDEX(Dashboard!$F$6:$F$22,MATCH($A1211,Dashboard!$A$6:$A$22,0))</f>
        <v/>
      </c>
      <c r="U1211" s="43">
        <f>AQ1211*INDEX(Dashboard!$G$6:$G$22,MATCH($A1211,Dashboard!$A$6:$A$22,0))</f>
        <v/>
      </c>
      <c r="V1211" s="47" t="n"/>
      <c r="W1211" s="47" t="n"/>
      <c r="X1211" s="47" t="n"/>
      <c r="Y1211" s="48" t="n"/>
      <c r="Z1211" s="49" t="n"/>
      <c r="AA1211" s="49" t="n"/>
      <c r="AB1211" s="49" t="n"/>
      <c r="AC1211" s="50" t="n"/>
      <c r="AD1211" s="43">
        <f>IF(Z1211&lt;&gt;"",Z1211,N(V1211))</f>
        <v/>
      </c>
      <c r="AE1211" s="43">
        <f>IF(AA1211&lt;&gt;"",AA1211,N(W1211))</f>
        <v/>
      </c>
      <c r="AF1211" s="43">
        <f>AD1211+AE1211</f>
        <v/>
      </c>
      <c r="AG1211" s="42">
        <f>IF(UPPER(AC1211)="Y",1,IF(AF1211=0,0,IF(AND(Z1211="",Y1211&lt;&gt;""),IF(Y1211&gt;=0.999,1,0),IF(AF1211&gt;=U1211,1,0))))</f>
        <v/>
      </c>
      <c r="AH1211" s="44">
        <f>IF(AF1211&gt;0,(AD1211-AE1211)/AF1211,"")</f>
        <v/>
      </c>
      <c r="AI1211" s="45">
        <f>IF(AG1211=1,AH1211-O1211,"")</f>
        <v/>
      </c>
      <c r="AJ1211" s="44">
        <f>IF(AG1211=1,AH1211,MAX(-1,MIN(1,O1211+INDEX(Types!$H:$H,MATCH($A1211&amp;"|"&amp;$D1211,Types!$A:$A,0)))))</f>
        <v/>
      </c>
      <c r="AK1211" s="43">
        <f>IF(AG1211=1,AF1211,MAX(AQ1211*AS1211,AF1211))</f>
        <v/>
      </c>
      <c r="AL1211" s="43">
        <f>IF(AG1211=1,AD1211,AK1211*(1+AJ1211)/2)</f>
        <v/>
      </c>
      <c r="AM1211" s="43">
        <f>IF(AG1211=1,AE1211,AK1211*(1-AJ1211)/2)</f>
        <v/>
      </c>
      <c r="AN1211" s="45">
        <f>IF(AH1211="","",AH1211-T1211)</f>
        <v/>
      </c>
      <c r="AO1211" s="51">
        <f>IF(AG1211=1,1,IF(U1211&gt;0,MIN(AF1211/U1211,0.99),0))</f>
        <v/>
      </c>
      <c r="AP1211" s="43">
        <f>IF(AG1211=1,AI1211*AF1211,0)</f>
        <v/>
      </c>
      <c r="AQ1211" s="43">
        <f>N1211*(F1211+G1211)/H1211</f>
        <v/>
      </c>
      <c r="AR1211" s="43">
        <f>O1211*AQ1211</f>
        <v/>
      </c>
      <c r="AS1211" s="52">
        <f>IF(AG1211=1,IF(AQ1211&gt;0,AF1211/AQ1211,1),IFERROR(INDEX(Types!$K:$K,MATCH($A1211&amp;"|"&amp;$D1211,Types!$A:$A,0)),INDEX(Dashboard!$X$6:$X$22,MATCH($A1211,Dashboard!$A$6:$A$22,0))))</f>
        <v/>
      </c>
      <c r="AT1211" s="43">
        <f>AQ1211*INDEX(Dashboard!$Y$6:$Y$22,MATCH($A1211,Dashboard!$A$6:$A$22,0))</f>
        <v/>
      </c>
      <c r="AU1211" s="53">
        <f>IF(AND(AG1211=1,AT1211&gt;0,AF1211&gt;0),100*AF1211/AT1211,"")</f>
        <v/>
      </c>
      <c r="AV1211" s="44">
        <f>IF(AU1211="","",T1211/(AU1211/100))</f>
        <v/>
      </c>
      <c r="AW1211" s="53">
        <f>IF(AU1211="","",IF(AND(ABS(AH1211)&gt;=0.1,ABS(T1211)&gt;=0.05,SIGN(AH1211)=SIGN(T1211)),100*T1211/AH1211,""))</f>
        <v/>
      </c>
      <c r="AX1211" s="45">
        <f>IF(AU1211="","",T1211-AV1211)</f>
        <v/>
      </c>
      <c r="AY1211" s="45">
        <f>IF(AU1211="","",AH1211-AV1211)</f>
        <v/>
      </c>
      <c r="AZ1211" s="54">
        <f>(AL1211-AM1211)-T1211*AT1211</f>
        <v/>
      </c>
      <c r="BA1211" s="43">
        <f>IF(AU1211="",0,(AH1211-T1211)*AF1211)</f>
        <v/>
      </c>
      <c r="BB1211" s="43">
        <f>IF(AU1211="",0,T1211*(AF1211-AT1211))</f>
        <v/>
      </c>
      <c r="BC1211" s="51" t="n">
        <v>0.06669305363150603</v>
      </c>
      <c r="BD1211" s="51" t="n">
        <v>0.04660597664753612</v>
      </c>
      <c r="BE1211" s="51" t="n">
        <v>0.178285566744126</v>
      </c>
      <c r="BF1211" s="43" t="n">
        <v>10106</v>
      </c>
    </row>
    <row r="1212">
      <c r="A1212" s="42" t="inlineStr">
        <is>
          <t>TX</t>
        </is>
      </c>
      <c r="B1212" s="42" t="inlineStr">
        <is>
          <t>48405</t>
        </is>
      </c>
      <c r="C1212" s="42" t="inlineStr">
        <is>
          <t>San Augustine</t>
        </is>
      </c>
      <c r="D1212" s="42" t="inlineStr">
        <is>
          <t>Small town &amp; rural</t>
        </is>
      </c>
      <c r="E1212" s="42" t="inlineStr"/>
      <c r="F1212" s="43" t="n">
        <v>809</v>
      </c>
      <c r="G1212" s="43" t="n">
        <v>2917</v>
      </c>
      <c r="H1212" s="43" t="n">
        <v>3747</v>
      </c>
      <c r="I1212" s="43" t="n">
        <v>980</v>
      </c>
      <c r="J1212" s="43" t="n">
        <v>3007</v>
      </c>
      <c r="K1212" s="42" t="inlineStr">
        <is>
          <t>Governor</t>
        </is>
      </c>
      <c r="L1212" s="43" t="n">
        <v>546</v>
      </c>
      <c r="M1212" s="43" t="n">
        <v>2288</v>
      </c>
      <c r="N1212" s="43" t="n">
        <v>2865</v>
      </c>
      <c r="O1212" s="44">
        <f>IFERROR((F1212-G1212)/(F1212+G1212),"")</f>
        <v/>
      </c>
      <c r="P1212" s="44">
        <f>IFERROR((I1212-J1212)/(I1212+J1212),"")</f>
        <v/>
      </c>
      <c r="Q1212" s="45">
        <f>IFERROR(O1212-P1212,"")</f>
        <v/>
      </c>
      <c r="R1212" s="44">
        <f>IFERROR((L1212-M1212)/(L1212+M1212),"")</f>
        <v/>
      </c>
      <c r="S1212" s="46">
        <f>H1212/SUMIFS(Counties!$H$2:$H$1583,Counties!$A$2:$A$1583,$A1212)</f>
        <v/>
      </c>
      <c r="T1212" s="44">
        <f>O1212+INDEX(Dashboard!$F$6:$F$22,MATCH($A1212,Dashboard!$A$6:$A$22,0))</f>
        <v/>
      </c>
      <c r="U1212" s="43">
        <f>AQ1212*INDEX(Dashboard!$G$6:$G$22,MATCH($A1212,Dashboard!$A$6:$A$22,0))</f>
        <v/>
      </c>
      <c r="V1212" s="47" t="n"/>
      <c r="W1212" s="47" t="n"/>
      <c r="X1212" s="47" t="n"/>
      <c r="Y1212" s="48" t="n"/>
      <c r="Z1212" s="49" t="n"/>
      <c r="AA1212" s="49" t="n"/>
      <c r="AB1212" s="49" t="n"/>
      <c r="AC1212" s="50" t="n"/>
      <c r="AD1212" s="43">
        <f>IF(Z1212&lt;&gt;"",Z1212,N(V1212))</f>
        <v/>
      </c>
      <c r="AE1212" s="43">
        <f>IF(AA1212&lt;&gt;"",AA1212,N(W1212))</f>
        <v/>
      </c>
      <c r="AF1212" s="43">
        <f>AD1212+AE1212</f>
        <v/>
      </c>
      <c r="AG1212" s="42">
        <f>IF(UPPER(AC1212)="Y",1,IF(AF1212=0,0,IF(AND(Z1212="",Y1212&lt;&gt;""),IF(Y1212&gt;=0.999,1,0),IF(AF1212&gt;=U1212,1,0))))</f>
        <v/>
      </c>
      <c r="AH1212" s="44">
        <f>IF(AF1212&gt;0,(AD1212-AE1212)/AF1212,"")</f>
        <v/>
      </c>
      <c r="AI1212" s="45">
        <f>IF(AG1212=1,AH1212-O1212,"")</f>
        <v/>
      </c>
      <c r="AJ1212" s="44">
        <f>IF(AG1212=1,AH1212,MAX(-1,MIN(1,O1212+INDEX(Types!$H:$H,MATCH($A1212&amp;"|"&amp;$D1212,Types!$A:$A,0)))))</f>
        <v/>
      </c>
      <c r="AK1212" s="43">
        <f>IF(AG1212=1,AF1212,MAX(AQ1212*AS1212,AF1212))</f>
        <v/>
      </c>
      <c r="AL1212" s="43">
        <f>IF(AG1212=1,AD1212,AK1212*(1+AJ1212)/2)</f>
        <v/>
      </c>
      <c r="AM1212" s="43">
        <f>IF(AG1212=1,AE1212,AK1212*(1-AJ1212)/2)</f>
        <v/>
      </c>
      <c r="AN1212" s="45">
        <f>IF(AH1212="","",AH1212-T1212)</f>
        <v/>
      </c>
      <c r="AO1212" s="51">
        <f>IF(AG1212=1,1,IF(U1212&gt;0,MIN(AF1212/U1212,0.99),0))</f>
        <v/>
      </c>
      <c r="AP1212" s="43">
        <f>IF(AG1212=1,AI1212*AF1212,0)</f>
        <v/>
      </c>
      <c r="AQ1212" s="43">
        <f>N1212*(F1212+G1212)/H1212</f>
        <v/>
      </c>
      <c r="AR1212" s="43">
        <f>O1212*AQ1212</f>
        <v/>
      </c>
      <c r="AS1212" s="52">
        <f>IF(AG1212=1,IF(AQ1212&gt;0,AF1212/AQ1212,1),IFERROR(INDEX(Types!$K:$K,MATCH($A1212&amp;"|"&amp;$D1212,Types!$A:$A,0)),INDEX(Dashboard!$X$6:$X$22,MATCH($A1212,Dashboard!$A$6:$A$22,0))))</f>
        <v/>
      </c>
      <c r="AT1212" s="43">
        <f>AQ1212*INDEX(Dashboard!$Y$6:$Y$22,MATCH($A1212,Dashboard!$A$6:$A$22,0))</f>
        <v/>
      </c>
      <c r="AU1212" s="53">
        <f>IF(AND(AG1212=1,AT1212&gt;0,AF1212&gt;0),100*AF1212/AT1212,"")</f>
        <v/>
      </c>
      <c r="AV1212" s="44">
        <f>IF(AU1212="","",T1212/(AU1212/100))</f>
        <v/>
      </c>
      <c r="AW1212" s="53">
        <f>IF(AU1212="","",IF(AND(ABS(AH1212)&gt;=0.1,ABS(T1212)&gt;=0.05,SIGN(AH1212)=SIGN(T1212)),100*T1212/AH1212,""))</f>
        <v/>
      </c>
      <c r="AX1212" s="45">
        <f>IF(AU1212="","",T1212-AV1212)</f>
        <v/>
      </c>
      <c r="AY1212" s="45">
        <f>IF(AU1212="","",AH1212-AV1212)</f>
        <v/>
      </c>
      <c r="AZ1212" s="54">
        <f>(AL1212-AM1212)-T1212*AT1212</f>
        <v/>
      </c>
      <c r="BA1212" s="43">
        <f>IF(AU1212="",0,(AH1212-T1212)*AF1212)</f>
        <v/>
      </c>
      <c r="BB1212" s="43">
        <f>IF(AU1212="",0,T1212*(AF1212-AT1212))</f>
        <v/>
      </c>
      <c r="BC1212" s="51" t="n">
        <v>0.2096259415294268</v>
      </c>
      <c r="BD1212" s="51" t="n">
        <v>0.08374824460615346</v>
      </c>
      <c r="BE1212" s="51" t="n">
        <v>0.1151850570736769</v>
      </c>
      <c r="BF1212" s="43" t="n">
        <v>7833</v>
      </c>
    </row>
    <row r="1213">
      <c r="A1213" s="42" t="inlineStr">
        <is>
          <t>TX</t>
        </is>
      </c>
      <c r="B1213" s="42" t="inlineStr">
        <is>
          <t>48407</t>
        </is>
      </c>
      <c r="C1213" s="42" t="inlineStr">
        <is>
          <t>San Jacinto</t>
        </is>
      </c>
      <c r="D1213" s="42" t="inlineStr">
        <is>
          <t>Small town &amp; rural</t>
        </is>
      </c>
      <c r="E1213" s="42" t="inlineStr"/>
      <c r="F1213" s="43" t="n">
        <v>2175</v>
      </c>
      <c r="G1213" s="43" t="n">
        <v>10524</v>
      </c>
      <c r="H1213" s="43" t="n">
        <v>12789</v>
      </c>
      <c r="I1213" s="43" t="n">
        <v>2337</v>
      </c>
      <c r="J1213" s="43" t="n">
        <v>10161</v>
      </c>
      <c r="K1213" s="42" t="inlineStr">
        <is>
          <t>Governor</t>
        </is>
      </c>
      <c r="L1213" s="43" t="n">
        <v>1540</v>
      </c>
      <c r="M1213" s="43" t="n">
        <v>7882</v>
      </c>
      <c r="N1213" s="43" t="n">
        <v>9552</v>
      </c>
      <c r="O1213" s="44">
        <f>IFERROR((F1213-G1213)/(F1213+G1213),"")</f>
        <v/>
      </c>
      <c r="P1213" s="44">
        <f>IFERROR((I1213-J1213)/(I1213+J1213),"")</f>
        <v/>
      </c>
      <c r="Q1213" s="45">
        <f>IFERROR(O1213-P1213,"")</f>
        <v/>
      </c>
      <c r="R1213" s="44">
        <f>IFERROR((L1213-M1213)/(L1213+M1213),"")</f>
        <v/>
      </c>
      <c r="S1213" s="46">
        <f>H1213/SUMIFS(Counties!$H$2:$H$1583,Counties!$A$2:$A$1583,$A1213)</f>
        <v/>
      </c>
      <c r="T1213" s="44">
        <f>O1213+INDEX(Dashboard!$F$6:$F$22,MATCH($A1213,Dashboard!$A$6:$A$22,0))</f>
        <v/>
      </c>
      <c r="U1213" s="43">
        <f>AQ1213*INDEX(Dashboard!$G$6:$G$22,MATCH($A1213,Dashboard!$A$6:$A$22,0))</f>
        <v/>
      </c>
      <c r="V1213" s="47" t="n"/>
      <c r="W1213" s="47" t="n"/>
      <c r="X1213" s="47" t="n"/>
      <c r="Y1213" s="48" t="n"/>
      <c r="Z1213" s="49" t="n"/>
      <c r="AA1213" s="49" t="n"/>
      <c r="AB1213" s="49" t="n"/>
      <c r="AC1213" s="50" t="n"/>
      <c r="AD1213" s="43">
        <f>IF(Z1213&lt;&gt;"",Z1213,N(V1213))</f>
        <v/>
      </c>
      <c r="AE1213" s="43">
        <f>IF(AA1213&lt;&gt;"",AA1213,N(W1213))</f>
        <v/>
      </c>
      <c r="AF1213" s="43">
        <f>AD1213+AE1213</f>
        <v/>
      </c>
      <c r="AG1213" s="42">
        <f>IF(UPPER(AC1213)="Y",1,IF(AF1213=0,0,IF(AND(Z1213="",Y1213&lt;&gt;""),IF(Y1213&gt;=0.999,1,0),IF(AF1213&gt;=U1213,1,0))))</f>
        <v/>
      </c>
      <c r="AH1213" s="44">
        <f>IF(AF1213&gt;0,(AD1213-AE1213)/AF1213,"")</f>
        <v/>
      </c>
      <c r="AI1213" s="45">
        <f>IF(AG1213=1,AH1213-O1213,"")</f>
        <v/>
      </c>
      <c r="AJ1213" s="44">
        <f>IF(AG1213=1,AH1213,MAX(-1,MIN(1,O1213+INDEX(Types!$H:$H,MATCH($A1213&amp;"|"&amp;$D1213,Types!$A:$A,0)))))</f>
        <v/>
      </c>
      <c r="AK1213" s="43">
        <f>IF(AG1213=1,AF1213,MAX(AQ1213*AS1213,AF1213))</f>
        <v/>
      </c>
      <c r="AL1213" s="43">
        <f>IF(AG1213=1,AD1213,AK1213*(1+AJ1213)/2)</f>
        <v/>
      </c>
      <c r="AM1213" s="43">
        <f>IF(AG1213=1,AE1213,AK1213*(1-AJ1213)/2)</f>
        <v/>
      </c>
      <c r="AN1213" s="45">
        <f>IF(AH1213="","",AH1213-T1213)</f>
        <v/>
      </c>
      <c r="AO1213" s="51">
        <f>IF(AG1213=1,1,IF(U1213&gt;0,MIN(AF1213/U1213,0.99),0))</f>
        <v/>
      </c>
      <c r="AP1213" s="43">
        <f>IF(AG1213=1,AI1213*AF1213,0)</f>
        <v/>
      </c>
      <c r="AQ1213" s="43">
        <f>N1213*(F1213+G1213)/H1213</f>
        <v/>
      </c>
      <c r="AR1213" s="43">
        <f>O1213*AQ1213</f>
        <v/>
      </c>
      <c r="AS1213" s="52">
        <f>IF(AG1213=1,IF(AQ1213&gt;0,AF1213/AQ1213,1),IFERROR(INDEX(Types!$K:$K,MATCH($A1213&amp;"|"&amp;$D1213,Types!$A:$A,0)),INDEX(Dashboard!$X$6:$X$22,MATCH($A1213,Dashboard!$A$6:$A$22,0))))</f>
        <v/>
      </c>
      <c r="AT1213" s="43">
        <f>AQ1213*INDEX(Dashboard!$Y$6:$Y$22,MATCH($A1213,Dashboard!$A$6:$A$22,0))</f>
        <v/>
      </c>
      <c r="AU1213" s="53">
        <f>IF(AND(AG1213=1,AT1213&gt;0,AF1213&gt;0),100*AF1213/AT1213,"")</f>
        <v/>
      </c>
      <c r="AV1213" s="44">
        <f>IF(AU1213="","",T1213/(AU1213/100))</f>
        <v/>
      </c>
      <c r="AW1213" s="53">
        <f>IF(AU1213="","",IF(AND(ABS(AH1213)&gt;=0.1,ABS(T1213)&gt;=0.05,SIGN(AH1213)=SIGN(T1213)),100*T1213/AH1213,""))</f>
        <v/>
      </c>
      <c r="AX1213" s="45">
        <f>IF(AU1213="","",T1213-AV1213)</f>
        <v/>
      </c>
      <c r="AY1213" s="45">
        <f>IF(AU1213="","",AH1213-AV1213)</f>
        <v/>
      </c>
      <c r="AZ1213" s="54">
        <f>(AL1213-AM1213)-T1213*AT1213</f>
        <v/>
      </c>
      <c r="BA1213" s="43">
        <f>IF(AU1213="",0,(AH1213-T1213)*AF1213)</f>
        <v/>
      </c>
      <c r="BB1213" s="43">
        <f>IF(AU1213="",0,T1213*(AF1213-AT1213))</f>
        <v/>
      </c>
      <c r="BC1213" s="51" t="n">
        <v>0.08404755322090129</v>
      </c>
      <c r="BD1213" s="51" t="n">
        <v>0.1991636715510091</v>
      </c>
      <c r="BE1213" s="51" t="n">
        <v>0.1582162492364081</v>
      </c>
      <c r="BF1213" s="43" t="n">
        <v>28936</v>
      </c>
    </row>
    <row r="1214">
      <c r="A1214" s="42" t="inlineStr">
        <is>
          <t>TX</t>
        </is>
      </c>
      <c r="B1214" s="42" t="inlineStr">
        <is>
          <t>48409</t>
        </is>
      </c>
      <c r="C1214" s="42" t="inlineStr">
        <is>
          <t>San Patricio</t>
        </is>
      </c>
      <c r="D1214" s="42" t="inlineStr">
        <is>
          <t>Hispanic</t>
        </is>
      </c>
      <c r="E1214" s="42" t="inlineStr"/>
      <c r="F1214" s="43" t="n">
        <v>8025</v>
      </c>
      <c r="G1214" s="43" t="n">
        <v>17337</v>
      </c>
      <c r="H1214" s="43" t="n">
        <v>25572</v>
      </c>
      <c r="I1214" s="43" t="n">
        <v>8988</v>
      </c>
      <c r="J1214" s="43" t="n">
        <v>16516</v>
      </c>
      <c r="K1214" s="42" t="inlineStr">
        <is>
          <t>Governor</t>
        </is>
      </c>
      <c r="L1214" s="43" t="n">
        <v>5643</v>
      </c>
      <c r="M1214" s="43" t="n">
        <v>12028</v>
      </c>
      <c r="N1214" s="43" t="n">
        <v>17901</v>
      </c>
      <c r="O1214" s="44">
        <f>IFERROR((F1214-G1214)/(F1214+G1214),"")</f>
        <v/>
      </c>
      <c r="P1214" s="44">
        <f>IFERROR((I1214-J1214)/(I1214+J1214),"")</f>
        <v/>
      </c>
      <c r="Q1214" s="45">
        <f>IFERROR(O1214-P1214,"")</f>
        <v/>
      </c>
      <c r="R1214" s="44">
        <f>IFERROR((L1214-M1214)/(L1214+M1214),"")</f>
        <v/>
      </c>
      <c r="S1214" s="46">
        <f>H1214/SUMIFS(Counties!$H$2:$H$1583,Counties!$A$2:$A$1583,$A1214)</f>
        <v/>
      </c>
      <c r="T1214" s="44">
        <f>O1214+INDEX(Dashboard!$F$6:$F$22,MATCH($A1214,Dashboard!$A$6:$A$22,0))</f>
        <v/>
      </c>
      <c r="U1214" s="43">
        <f>AQ1214*INDEX(Dashboard!$G$6:$G$22,MATCH($A1214,Dashboard!$A$6:$A$22,0))</f>
        <v/>
      </c>
      <c r="V1214" s="47" t="n"/>
      <c r="W1214" s="47" t="n"/>
      <c r="X1214" s="47" t="n"/>
      <c r="Y1214" s="48" t="n"/>
      <c r="Z1214" s="49" t="n"/>
      <c r="AA1214" s="49" t="n"/>
      <c r="AB1214" s="49" t="n"/>
      <c r="AC1214" s="50" t="n"/>
      <c r="AD1214" s="43">
        <f>IF(Z1214&lt;&gt;"",Z1214,N(V1214))</f>
        <v/>
      </c>
      <c r="AE1214" s="43">
        <f>IF(AA1214&lt;&gt;"",AA1214,N(W1214))</f>
        <v/>
      </c>
      <c r="AF1214" s="43">
        <f>AD1214+AE1214</f>
        <v/>
      </c>
      <c r="AG1214" s="42">
        <f>IF(UPPER(AC1214)="Y",1,IF(AF1214=0,0,IF(AND(Z1214="",Y1214&lt;&gt;""),IF(Y1214&gt;=0.999,1,0),IF(AF1214&gt;=U1214,1,0))))</f>
        <v/>
      </c>
      <c r="AH1214" s="44">
        <f>IF(AF1214&gt;0,(AD1214-AE1214)/AF1214,"")</f>
        <v/>
      </c>
      <c r="AI1214" s="45">
        <f>IF(AG1214=1,AH1214-O1214,"")</f>
        <v/>
      </c>
      <c r="AJ1214" s="44">
        <f>IF(AG1214=1,AH1214,MAX(-1,MIN(1,O1214+INDEX(Types!$H:$H,MATCH($A1214&amp;"|"&amp;$D1214,Types!$A:$A,0)))))</f>
        <v/>
      </c>
      <c r="AK1214" s="43">
        <f>IF(AG1214=1,AF1214,MAX(AQ1214*AS1214,AF1214))</f>
        <v/>
      </c>
      <c r="AL1214" s="43">
        <f>IF(AG1214=1,AD1214,AK1214*(1+AJ1214)/2)</f>
        <v/>
      </c>
      <c r="AM1214" s="43">
        <f>IF(AG1214=1,AE1214,AK1214*(1-AJ1214)/2)</f>
        <v/>
      </c>
      <c r="AN1214" s="45">
        <f>IF(AH1214="","",AH1214-T1214)</f>
        <v/>
      </c>
      <c r="AO1214" s="51">
        <f>IF(AG1214=1,1,IF(U1214&gt;0,MIN(AF1214/U1214,0.99),0))</f>
        <v/>
      </c>
      <c r="AP1214" s="43">
        <f>IF(AG1214=1,AI1214*AF1214,0)</f>
        <v/>
      </c>
      <c r="AQ1214" s="43">
        <f>N1214*(F1214+G1214)/H1214</f>
        <v/>
      </c>
      <c r="AR1214" s="43">
        <f>O1214*AQ1214</f>
        <v/>
      </c>
      <c r="AS1214" s="52">
        <f>IF(AG1214=1,IF(AQ1214&gt;0,AF1214/AQ1214,1),IFERROR(INDEX(Types!$K:$K,MATCH($A1214&amp;"|"&amp;$D1214,Types!$A:$A,0)),INDEX(Dashboard!$X$6:$X$22,MATCH($A1214,Dashboard!$A$6:$A$22,0))))</f>
        <v/>
      </c>
      <c r="AT1214" s="43">
        <f>AQ1214*INDEX(Dashboard!$Y$6:$Y$22,MATCH($A1214,Dashboard!$A$6:$A$22,0))</f>
        <v/>
      </c>
      <c r="AU1214" s="53">
        <f>IF(AND(AG1214=1,AT1214&gt;0,AF1214&gt;0),100*AF1214/AT1214,"")</f>
        <v/>
      </c>
      <c r="AV1214" s="44">
        <f>IF(AU1214="","",T1214/(AU1214/100))</f>
        <v/>
      </c>
      <c r="AW1214" s="53">
        <f>IF(AU1214="","",IF(AND(ABS(AH1214)&gt;=0.1,ABS(T1214)&gt;=0.05,SIGN(AH1214)=SIGN(T1214)),100*T1214/AH1214,""))</f>
        <v/>
      </c>
      <c r="AX1214" s="45">
        <f>IF(AU1214="","",T1214-AV1214)</f>
        <v/>
      </c>
      <c r="AY1214" s="45">
        <f>IF(AU1214="","",AH1214-AV1214)</f>
        <v/>
      </c>
      <c r="AZ1214" s="54">
        <f>(AL1214-AM1214)-T1214*AT1214</f>
        <v/>
      </c>
      <c r="BA1214" s="43">
        <f>IF(AU1214="",0,(AH1214-T1214)*AF1214)</f>
        <v/>
      </c>
      <c r="BB1214" s="43">
        <f>IF(AU1214="",0,T1214*(AF1214-AT1214))</f>
        <v/>
      </c>
      <c r="BC1214" s="51" t="n">
        <v>0.01713840928389471</v>
      </c>
      <c r="BD1214" s="51" t="n">
        <v>0.5656948768751769</v>
      </c>
      <c r="BE1214" s="51" t="n">
        <v>0.1724122787756357</v>
      </c>
      <c r="BF1214" s="43" t="n">
        <v>70660</v>
      </c>
    </row>
    <row r="1215">
      <c r="A1215" s="42" t="inlineStr">
        <is>
          <t>TX</t>
        </is>
      </c>
      <c r="B1215" s="42" t="inlineStr">
        <is>
          <t>48411</t>
        </is>
      </c>
      <c r="C1215" s="42" t="inlineStr">
        <is>
          <t>San Saba</t>
        </is>
      </c>
      <c r="D1215" s="42" t="inlineStr">
        <is>
          <t>Small town &amp; rural</t>
        </is>
      </c>
      <c r="E1215" s="42" t="inlineStr"/>
      <c r="F1215" s="43" t="n">
        <v>276</v>
      </c>
      <c r="G1215" s="43" t="n">
        <v>2412</v>
      </c>
      <c r="H1215" s="43" t="n">
        <v>2703</v>
      </c>
      <c r="I1215" s="43" t="n">
        <v>287</v>
      </c>
      <c r="J1215" s="43" t="n">
        <v>2308</v>
      </c>
      <c r="K1215" s="42" t="inlineStr">
        <is>
          <t>Governor</t>
        </is>
      </c>
      <c r="L1215" s="43" t="n">
        <v>200</v>
      </c>
      <c r="M1215" s="43" t="n">
        <v>1947</v>
      </c>
      <c r="N1215" s="43" t="n">
        <v>2165</v>
      </c>
      <c r="O1215" s="44">
        <f>IFERROR((F1215-G1215)/(F1215+G1215),"")</f>
        <v/>
      </c>
      <c r="P1215" s="44">
        <f>IFERROR((I1215-J1215)/(I1215+J1215),"")</f>
        <v/>
      </c>
      <c r="Q1215" s="45">
        <f>IFERROR(O1215-P1215,"")</f>
        <v/>
      </c>
      <c r="R1215" s="44">
        <f>IFERROR((L1215-M1215)/(L1215+M1215),"")</f>
        <v/>
      </c>
      <c r="S1215" s="46">
        <f>H1215/SUMIFS(Counties!$H$2:$H$1583,Counties!$A$2:$A$1583,$A1215)</f>
        <v/>
      </c>
      <c r="T1215" s="44">
        <f>O1215+INDEX(Dashboard!$F$6:$F$22,MATCH($A1215,Dashboard!$A$6:$A$22,0))</f>
        <v/>
      </c>
      <c r="U1215" s="43">
        <f>AQ1215*INDEX(Dashboard!$G$6:$G$22,MATCH($A1215,Dashboard!$A$6:$A$22,0))</f>
        <v/>
      </c>
      <c r="V1215" s="47" t="n"/>
      <c r="W1215" s="47" t="n"/>
      <c r="X1215" s="47" t="n"/>
      <c r="Y1215" s="48" t="n"/>
      <c r="Z1215" s="49" t="n"/>
      <c r="AA1215" s="49" t="n"/>
      <c r="AB1215" s="49" t="n"/>
      <c r="AC1215" s="50" t="n"/>
      <c r="AD1215" s="43">
        <f>IF(Z1215&lt;&gt;"",Z1215,N(V1215))</f>
        <v/>
      </c>
      <c r="AE1215" s="43">
        <f>IF(AA1215&lt;&gt;"",AA1215,N(W1215))</f>
        <v/>
      </c>
      <c r="AF1215" s="43">
        <f>AD1215+AE1215</f>
        <v/>
      </c>
      <c r="AG1215" s="42">
        <f>IF(UPPER(AC1215)="Y",1,IF(AF1215=0,0,IF(AND(Z1215="",Y1215&lt;&gt;""),IF(Y1215&gt;=0.999,1,0),IF(AF1215&gt;=U1215,1,0))))</f>
        <v/>
      </c>
      <c r="AH1215" s="44">
        <f>IF(AF1215&gt;0,(AD1215-AE1215)/AF1215,"")</f>
        <v/>
      </c>
      <c r="AI1215" s="45">
        <f>IF(AG1215=1,AH1215-O1215,"")</f>
        <v/>
      </c>
      <c r="AJ1215" s="44">
        <f>IF(AG1215=1,AH1215,MAX(-1,MIN(1,O1215+INDEX(Types!$H:$H,MATCH($A1215&amp;"|"&amp;$D1215,Types!$A:$A,0)))))</f>
        <v/>
      </c>
      <c r="AK1215" s="43">
        <f>IF(AG1215=1,AF1215,MAX(AQ1215*AS1215,AF1215))</f>
        <v/>
      </c>
      <c r="AL1215" s="43">
        <f>IF(AG1215=1,AD1215,AK1215*(1+AJ1215)/2)</f>
        <v/>
      </c>
      <c r="AM1215" s="43">
        <f>IF(AG1215=1,AE1215,AK1215*(1-AJ1215)/2)</f>
        <v/>
      </c>
      <c r="AN1215" s="45">
        <f>IF(AH1215="","",AH1215-T1215)</f>
        <v/>
      </c>
      <c r="AO1215" s="51">
        <f>IF(AG1215=1,1,IF(U1215&gt;0,MIN(AF1215/U1215,0.99),0))</f>
        <v/>
      </c>
      <c r="AP1215" s="43">
        <f>IF(AG1215=1,AI1215*AF1215,0)</f>
        <v/>
      </c>
      <c r="AQ1215" s="43">
        <f>N1215*(F1215+G1215)/H1215</f>
        <v/>
      </c>
      <c r="AR1215" s="43">
        <f>O1215*AQ1215</f>
        <v/>
      </c>
      <c r="AS1215" s="52">
        <f>IF(AG1215=1,IF(AQ1215&gt;0,AF1215/AQ1215,1),IFERROR(INDEX(Types!$K:$K,MATCH($A1215&amp;"|"&amp;$D1215,Types!$A:$A,0)),INDEX(Dashboard!$X$6:$X$22,MATCH($A1215,Dashboard!$A$6:$A$22,0))))</f>
        <v/>
      </c>
      <c r="AT1215" s="43">
        <f>AQ1215*INDEX(Dashboard!$Y$6:$Y$22,MATCH($A1215,Dashboard!$A$6:$A$22,0))</f>
        <v/>
      </c>
      <c r="AU1215" s="53">
        <f>IF(AND(AG1215=1,AT1215&gt;0,AF1215&gt;0),100*AF1215/AT1215,"")</f>
        <v/>
      </c>
      <c r="AV1215" s="44">
        <f>IF(AU1215="","",T1215/(AU1215/100))</f>
        <v/>
      </c>
      <c r="AW1215" s="53">
        <f>IF(AU1215="","",IF(AND(ABS(AH1215)&gt;=0.1,ABS(T1215)&gt;=0.05,SIGN(AH1215)=SIGN(T1215)),100*T1215/AH1215,""))</f>
        <v/>
      </c>
      <c r="AX1215" s="45">
        <f>IF(AU1215="","",T1215-AV1215)</f>
        <v/>
      </c>
      <c r="AY1215" s="45">
        <f>IF(AU1215="","",AH1215-AV1215)</f>
        <v/>
      </c>
      <c r="AZ1215" s="54">
        <f>(AL1215-AM1215)-T1215*AT1215</f>
        <v/>
      </c>
      <c r="BA1215" s="43">
        <f>IF(AU1215="",0,(AH1215-T1215)*AF1215)</f>
        <v/>
      </c>
      <c r="BB1215" s="43">
        <f>IF(AU1215="",0,T1215*(AF1215-AT1215))</f>
        <v/>
      </c>
      <c r="BC1215" s="51" t="n">
        <v>0.04379811804961506</v>
      </c>
      <c r="BD1215" s="51" t="n">
        <v>0.3067579127459367</v>
      </c>
      <c r="BE1215" s="51" t="n">
        <v>0.2166828793774319</v>
      </c>
      <c r="BF1215" s="43" t="n">
        <v>5845</v>
      </c>
    </row>
    <row r="1216">
      <c r="A1216" s="42" t="inlineStr">
        <is>
          <t>TX</t>
        </is>
      </c>
      <c r="B1216" s="42" t="inlineStr">
        <is>
          <t>48413</t>
        </is>
      </c>
      <c r="C1216" s="42" t="inlineStr">
        <is>
          <t>Schleicher</t>
        </is>
      </c>
      <c r="D1216" s="42" t="inlineStr">
        <is>
          <t>Hispanic</t>
        </is>
      </c>
      <c r="E1216" s="42" t="inlineStr"/>
      <c r="F1216" s="43" t="n">
        <v>192</v>
      </c>
      <c r="G1216" s="43" t="n">
        <v>906</v>
      </c>
      <c r="H1216" s="43" t="n">
        <v>1108</v>
      </c>
      <c r="I1216" s="43" t="n">
        <v>211</v>
      </c>
      <c r="J1216" s="43" t="n">
        <v>940</v>
      </c>
      <c r="K1216" s="42" t="inlineStr">
        <is>
          <t>Governor</t>
        </is>
      </c>
      <c r="L1216" s="43" t="n">
        <v>159</v>
      </c>
      <c r="M1216" s="43" t="n">
        <v>834</v>
      </c>
      <c r="N1216" s="43" t="n">
        <v>1008</v>
      </c>
      <c r="O1216" s="44">
        <f>IFERROR((F1216-G1216)/(F1216+G1216),"")</f>
        <v/>
      </c>
      <c r="P1216" s="44">
        <f>IFERROR((I1216-J1216)/(I1216+J1216),"")</f>
        <v/>
      </c>
      <c r="Q1216" s="45">
        <f>IFERROR(O1216-P1216,"")</f>
        <v/>
      </c>
      <c r="R1216" s="44">
        <f>IFERROR((L1216-M1216)/(L1216+M1216),"")</f>
        <v/>
      </c>
      <c r="S1216" s="46">
        <f>H1216/SUMIFS(Counties!$H$2:$H$1583,Counties!$A$2:$A$1583,$A1216)</f>
        <v/>
      </c>
      <c r="T1216" s="44">
        <f>O1216+INDEX(Dashboard!$F$6:$F$22,MATCH($A1216,Dashboard!$A$6:$A$22,0))</f>
        <v/>
      </c>
      <c r="U1216" s="43">
        <f>AQ1216*INDEX(Dashboard!$G$6:$G$22,MATCH($A1216,Dashboard!$A$6:$A$22,0))</f>
        <v/>
      </c>
      <c r="V1216" s="47" t="n"/>
      <c r="W1216" s="47" t="n"/>
      <c r="X1216" s="47" t="n"/>
      <c r="Y1216" s="48" t="n"/>
      <c r="Z1216" s="49" t="n"/>
      <c r="AA1216" s="49" t="n"/>
      <c r="AB1216" s="49" t="n"/>
      <c r="AC1216" s="50" t="n"/>
      <c r="AD1216" s="43">
        <f>IF(Z1216&lt;&gt;"",Z1216,N(V1216))</f>
        <v/>
      </c>
      <c r="AE1216" s="43">
        <f>IF(AA1216&lt;&gt;"",AA1216,N(W1216))</f>
        <v/>
      </c>
      <c r="AF1216" s="43">
        <f>AD1216+AE1216</f>
        <v/>
      </c>
      <c r="AG1216" s="42">
        <f>IF(UPPER(AC1216)="Y",1,IF(AF1216=0,0,IF(AND(Z1216="",Y1216&lt;&gt;""),IF(Y1216&gt;=0.999,1,0),IF(AF1216&gt;=U1216,1,0))))</f>
        <v/>
      </c>
      <c r="AH1216" s="44">
        <f>IF(AF1216&gt;0,(AD1216-AE1216)/AF1216,"")</f>
        <v/>
      </c>
      <c r="AI1216" s="45">
        <f>IF(AG1216=1,AH1216-O1216,"")</f>
        <v/>
      </c>
      <c r="AJ1216" s="44">
        <f>IF(AG1216=1,AH1216,MAX(-1,MIN(1,O1216+INDEX(Types!$H:$H,MATCH($A1216&amp;"|"&amp;$D1216,Types!$A:$A,0)))))</f>
        <v/>
      </c>
      <c r="AK1216" s="43">
        <f>IF(AG1216=1,AF1216,MAX(AQ1216*AS1216,AF1216))</f>
        <v/>
      </c>
      <c r="AL1216" s="43">
        <f>IF(AG1216=1,AD1216,AK1216*(1+AJ1216)/2)</f>
        <v/>
      </c>
      <c r="AM1216" s="43">
        <f>IF(AG1216=1,AE1216,AK1216*(1-AJ1216)/2)</f>
        <v/>
      </c>
      <c r="AN1216" s="45">
        <f>IF(AH1216="","",AH1216-T1216)</f>
        <v/>
      </c>
      <c r="AO1216" s="51">
        <f>IF(AG1216=1,1,IF(U1216&gt;0,MIN(AF1216/U1216,0.99),0))</f>
        <v/>
      </c>
      <c r="AP1216" s="43">
        <f>IF(AG1216=1,AI1216*AF1216,0)</f>
        <v/>
      </c>
      <c r="AQ1216" s="43">
        <f>N1216*(F1216+G1216)/H1216</f>
        <v/>
      </c>
      <c r="AR1216" s="43">
        <f>O1216*AQ1216</f>
        <v/>
      </c>
      <c r="AS1216" s="52">
        <f>IF(AG1216=1,IF(AQ1216&gt;0,AF1216/AQ1216,1),IFERROR(INDEX(Types!$K:$K,MATCH($A1216&amp;"|"&amp;$D1216,Types!$A:$A,0)),INDEX(Dashboard!$X$6:$X$22,MATCH($A1216,Dashboard!$A$6:$A$22,0))))</f>
        <v/>
      </c>
      <c r="AT1216" s="43">
        <f>AQ1216*INDEX(Dashboard!$Y$6:$Y$22,MATCH($A1216,Dashboard!$A$6:$A$22,0))</f>
        <v/>
      </c>
      <c r="AU1216" s="53">
        <f>IF(AND(AG1216=1,AT1216&gt;0,AF1216&gt;0),100*AF1216/AT1216,"")</f>
        <v/>
      </c>
      <c r="AV1216" s="44">
        <f>IF(AU1216="","",T1216/(AU1216/100))</f>
        <v/>
      </c>
      <c r="AW1216" s="53">
        <f>IF(AU1216="","",IF(AND(ABS(AH1216)&gt;=0.1,ABS(T1216)&gt;=0.05,SIGN(AH1216)=SIGN(T1216)),100*T1216/AH1216,""))</f>
        <v/>
      </c>
      <c r="AX1216" s="45">
        <f>IF(AU1216="","",T1216-AV1216)</f>
        <v/>
      </c>
      <c r="AY1216" s="45">
        <f>IF(AU1216="","",AH1216-AV1216)</f>
        <v/>
      </c>
      <c r="AZ1216" s="54">
        <f>(AL1216-AM1216)-T1216*AT1216</f>
        <v/>
      </c>
      <c r="BA1216" s="43">
        <f>IF(AU1216="",0,(AH1216-T1216)*AF1216)</f>
        <v/>
      </c>
      <c r="BB1216" s="43">
        <f>IF(AU1216="",0,T1216*(AF1216-AT1216))</f>
        <v/>
      </c>
      <c r="BC1216" s="51" t="n">
        <v>0.01631116687578419</v>
      </c>
      <c r="BD1216" s="51" t="n">
        <v>0.5370138017565872</v>
      </c>
      <c r="BE1216" s="51" t="n">
        <v>0.2420494699646643</v>
      </c>
      <c r="BF1216" s="43" t="n">
        <v>2391</v>
      </c>
    </row>
    <row r="1217">
      <c r="A1217" s="42" t="inlineStr">
        <is>
          <t>TX</t>
        </is>
      </c>
      <c r="B1217" s="42" t="inlineStr">
        <is>
          <t>48415</t>
        </is>
      </c>
      <c r="C1217" s="42" t="inlineStr">
        <is>
          <t>Scurry</t>
        </is>
      </c>
      <c r="D1217" s="42" t="inlineStr">
        <is>
          <t>Hispanic</t>
        </is>
      </c>
      <c r="E1217" s="42" t="inlineStr"/>
      <c r="F1217" s="43" t="n">
        <v>734</v>
      </c>
      <c r="G1217" s="43" t="n">
        <v>4945</v>
      </c>
      <c r="H1217" s="43" t="n">
        <v>5720</v>
      </c>
      <c r="I1217" s="43" t="n">
        <v>818</v>
      </c>
      <c r="J1217" s="43" t="n">
        <v>4983</v>
      </c>
      <c r="K1217" s="42" t="inlineStr">
        <is>
          <t>Governor</t>
        </is>
      </c>
      <c r="L1217" s="43" t="n">
        <v>480</v>
      </c>
      <c r="M1217" s="43" t="n">
        <v>3607</v>
      </c>
      <c r="N1217" s="43" t="n">
        <v>4128</v>
      </c>
      <c r="O1217" s="44">
        <f>IFERROR((F1217-G1217)/(F1217+G1217),"")</f>
        <v/>
      </c>
      <c r="P1217" s="44">
        <f>IFERROR((I1217-J1217)/(I1217+J1217),"")</f>
        <v/>
      </c>
      <c r="Q1217" s="45">
        <f>IFERROR(O1217-P1217,"")</f>
        <v/>
      </c>
      <c r="R1217" s="44">
        <f>IFERROR((L1217-M1217)/(L1217+M1217),"")</f>
        <v/>
      </c>
      <c r="S1217" s="46">
        <f>H1217/SUMIFS(Counties!$H$2:$H$1583,Counties!$A$2:$A$1583,$A1217)</f>
        <v/>
      </c>
      <c r="T1217" s="44">
        <f>O1217+INDEX(Dashboard!$F$6:$F$22,MATCH($A1217,Dashboard!$A$6:$A$22,0))</f>
        <v/>
      </c>
      <c r="U1217" s="43">
        <f>AQ1217*INDEX(Dashboard!$G$6:$G$22,MATCH($A1217,Dashboard!$A$6:$A$22,0))</f>
        <v/>
      </c>
      <c r="V1217" s="47" t="n"/>
      <c r="W1217" s="47" t="n"/>
      <c r="X1217" s="47" t="n"/>
      <c r="Y1217" s="48" t="n"/>
      <c r="Z1217" s="49" t="n"/>
      <c r="AA1217" s="49" t="n"/>
      <c r="AB1217" s="49" t="n"/>
      <c r="AC1217" s="50" t="n"/>
      <c r="AD1217" s="43">
        <f>IF(Z1217&lt;&gt;"",Z1217,N(V1217))</f>
        <v/>
      </c>
      <c r="AE1217" s="43">
        <f>IF(AA1217&lt;&gt;"",AA1217,N(W1217))</f>
        <v/>
      </c>
      <c r="AF1217" s="43">
        <f>AD1217+AE1217</f>
        <v/>
      </c>
      <c r="AG1217" s="42">
        <f>IF(UPPER(AC1217)="Y",1,IF(AF1217=0,0,IF(AND(Z1217="",Y1217&lt;&gt;""),IF(Y1217&gt;=0.999,1,0),IF(AF1217&gt;=U1217,1,0))))</f>
        <v/>
      </c>
      <c r="AH1217" s="44">
        <f>IF(AF1217&gt;0,(AD1217-AE1217)/AF1217,"")</f>
        <v/>
      </c>
      <c r="AI1217" s="45">
        <f>IF(AG1217=1,AH1217-O1217,"")</f>
        <v/>
      </c>
      <c r="AJ1217" s="44">
        <f>IF(AG1217=1,AH1217,MAX(-1,MIN(1,O1217+INDEX(Types!$H:$H,MATCH($A1217&amp;"|"&amp;$D1217,Types!$A:$A,0)))))</f>
        <v/>
      </c>
      <c r="AK1217" s="43">
        <f>IF(AG1217=1,AF1217,MAX(AQ1217*AS1217,AF1217))</f>
        <v/>
      </c>
      <c r="AL1217" s="43">
        <f>IF(AG1217=1,AD1217,AK1217*(1+AJ1217)/2)</f>
        <v/>
      </c>
      <c r="AM1217" s="43">
        <f>IF(AG1217=1,AE1217,AK1217*(1-AJ1217)/2)</f>
        <v/>
      </c>
      <c r="AN1217" s="45">
        <f>IF(AH1217="","",AH1217-T1217)</f>
        <v/>
      </c>
      <c r="AO1217" s="51">
        <f>IF(AG1217=1,1,IF(U1217&gt;0,MIN(AF1217/U1217,0.99),0))</f>
        <v/>
      </c>
      <c r="AP1217" s="43">
        <f>IF(AG1217=1,AI1217*AF1217,0)</f>
        <v/>
      </c>
      <c r="AQ1217" s="43">
        <f>N1217*(F1217+G1217)/H1217</f>
        <v/>
      </c>
      <c r="AR1217" s="43">
        <f>O1217*AQ1217</f>
        <v/>
      </c>
      <c r="AS1217" s="52">
        <f>IF(AG1217=1,IF(AQ1217&gt;0,AF1217/AQ1217,1),IFERROR(INDEX(Types!$K:$K,MATCH($A1217&amp;"|"&amp;$D1217,Types!$A:$A,0)),INDEX(Dashboard!$X$6:$X$22,MATCH($A1217,Dashboard!$A$6:$A$22,0))))</f>
        <v/>
      </c>
      <c r="AT1217" s="43">
        <f>AQ1217*INDEX(Dashboard!$Y$6:$Y$22,MATCH($A1217,Dashboard!$A$6:$A$22,0))</f>
        <v/>
      </c>
      <c r="AU1217" s="53">
        <f>IF(AND(AG1217=1,AT1217&gt;0,AF1217&gt;0),100*AF1217/AT1217,"")</f>
        <v/>
      </c>
      <c r="AV1217" s="44">
        <f>IF(AU1217="","",T1217/(AU1217/100))</f>
        <v/>
      </c>
      <c r="AW1217" s="53">
        <f>IF(AU1217="","",IF(AND(ABS(AH1217)&gt;=0.1,ABS(T1217)&gt;=0.05,SIGN(AH1217)=SIGN(T1217)),100*T1217/AH1217,""))</f>
        <v/>
      </c>
      <c r="AX1217" s="45">
        <f>IF(AU1217="","",T1217-AV1217)</f>
        <v/>
      </c>
      <c r="AY1217" s="45">
        <f>IF(AU1217="","",AH1217-AV1217)</f>
        <v/>
      </c>
      <c r="AZ1217" s="54">
        <f>(AL1217-AM1217)-T1217*AT1217</f>
        <v/>
      </c>
      <c r="BA1217" s="43">
        <f>IF(AU1217="",0,(AH1217-T1217)*AF1217)</f>
        <v/>
      </c>
      <c r="BB1217" s="43">
        <f>IF(AU1217="",0,T1217*(AF1217-AT1217))</f>
        <v/>
      </c>
      <c r="BC1217" s="51" t="n">
        <v>0.03682457438934123</v>
      </c>
      <c r="BD1217" s="51" t="n">
        <v>0.4391808536886257</v>
      </c>
      <c r="BE1217" s="51" t="n">
        <v>0.1788304415679794</v>
      </c>
      <c r="BF1217" s="43" t="n">
        <v>16212</v>
      </c>
    </row>
    <row r="1218">
      <c r="A1218" s="42" t="inlineStr">
        <is>
          <t>TX</t>
        </is>
      </c>
      <c r="B1218" s="42" t="inlineStr">
        <is>
          <t>48417</t>
        </is>
      </c>
      <c r="C1218" s="42" t="inlineStr">
        <is>
          <t>Shackelford</t>
        </is>
      </c>
      <c r="D1218" s="42" t="inlineStr">
        <is>
          <t>Small town &amp; rural</t>
        </is>
      </c>
      <c r="E1218" s="42" t="inlineStr"/>
      <c r="F1218" s="43" t="n">
        <v>146</v>
      </c>
      <c r="G1218" s="43" t="n">
        <v>1565</v>
      </c>
      <c r="H1218" s="43" t="n">
        <v>1727</v>
      </c>
      <c r="I1218" s="43" t="n">
        <v>130</v>
      </c>
      <c r="J1218" s="43" t="n">
        <v>1484</v>
      </c>
      <c r="K1218" s="42" t="inlineStr">
        <is>
          <t>Governor</t>
        </is>
      </c>
      <c r="L1218" s="43" t="n">
        <v>81</v>
      </c>
      <c r="M1218" s="43" t="n">
        <v>1148</v>
      </c>
      <c r="N1218" s="43" t="n">
        <v>1239</v>
      </c>
      <c r="O1218" s="44">
        <f>IFERROR((F1218-G1218)/(F1218+G1218),"")</f>
        <v/>
      </c>
      <c r="P1218" s="44">
        <f>IFERROR((I1218-J1218)/(I1218+J1218),"")</f>
        <v/>
      </c>
      <c r="Q1218" s="45">
        <f>IFERROR(O1218-P1218,"")</f>
        <v/>
      </c>
      <c r="R1218" s="44">
        <f>IFERROR((L1218-M1218)/(L1218+M1218),"")</f>
        <v/>
      </c>
      <c r="S1218" s="46">
        <f>H1218/SUMIFS(Counties!$H$2:$H$1583,Counties!$A$2:$A$1583,$A1218)</f>
        <v/>
      </c>
      <c r="T1218" s="44">
        <f>O1218+INDEX(Dashboard!$F$6:$F$22,MATCH($A1218,Dashboard!$A$6:$A$22,0))</f>
        <v/>
      </c>
      <c r="U1218" s="43">
        <f>AQ1218*INDEX(Dashboard!$G$6:$G$22,MATCH($A1218,Dashboard!$A$6:$A$22,0))</f>
        <v/>
      </c>
      <c r="V1218" s="47" t="n"/>
      <c r="W1218" s="47" t="n"/>
      <c r="X1218" s="47" t="n"/>
      <c r="Y1218" s="48" t="n"/>
      <c r="Z1218" s="49" t="n"/>
      <c r="AA1218" s="49" t="n"/>
      <c r="AB1218" s="49" t="n"/>
      <c r="AC1218" s="50" t="n"/>
      <c r="AD1218" s="43">
        <f>IF(Z1218&lt;&gt;"",Z1218,N(V1218))</f>
        <v/>
      </c>
      <c r="AE1218" s="43">
        <f>IF(AA1218&lt;&gt;"",AA1218,N(W1218))</f>
        <v/>
      </c>
      <c r="AF1218" s="43">
        <f>AD1218+AE1218</f>
        <v/>
      </c>
      <c r="AG1218" s="42">
        <f>IF(UPPER(AC1218)="Y",1,IF(AF1218=0,0,IF(AND(Z1218="",Y1218&lt;&gt;""),IF(Y1218&gt;=0.999,1,0),IF(AF1218&gt;=U1218,1,0))))</f>
        <v/>
      </c>
      <c r="AH1218" s="44">
        <f>IF(AF1218&gt;0,(AD1218-AE1218)/AF1218,"")</f>
        <v/>
      </c>
      <c r="AI1218" s="45">
        <f>IF(AG1218=1,AH1218-O1218,"")</f>
        <v/>
      </c>
      <c r="AJ1218" s="44">
        <f>IF(AG1218=1,AH1218,MAX(-1,MIN(1,O1218+INDEX(Types!$H:$H,MATCH($A1218&amp;"|"&amp;$D1218,Types!$A:$A,0)))))</f>
        <v/>
      </c>
      <c r="AK1218" s="43">
        <f>IF(AG1218=1,AF1218,MAX(AQ1218*AS1218,AF1218))</f>
        <v/>
      </c>
      <c r="AL1218" s="43">
        <f>IF(AG1218=1,AD1218,AK1218*(1+AJ1218)/2)</f>
        <v/>
      </c>
      <c r="AM1218" s="43">
        <f>IF(AG1218=1,AE1218,AK1218*(1-AJ1218)/2)</f>
        <v/>
      </c>
      <c r="AN1218" s="45">
        <f>IF(AH1218="","",AH1218-T1218)</f>
        <v/>
      </c>
      <c r="AO1218" s="51">
        <f>IF(AG1218=1,1,IF(U1218&gt;0,MIN(AF1218/U1218,0.99),0))</f>
        <v/>
      </c>
      <c r="AP1218" s="43">
        <f>IF(AG1218=1,AI1218*AF1218,0)</f>
        <v/>
      </c>
      <c r="AQ1218" s="43">
        <f>N1218*(F1218+G1218)/H1218</f>
        <v/>
      </c>
      <c r="AR1218" s="43">
        <f>O1218*AQ1218</f>
        <v/>
      </c>
      <c r="AS1218" s="52">
        <f>IF(AG1218=1,IF(AQ1218&gt;0,AF1218/AQ1218,1),IFERROR(INDEX(Types!$K:$K,MATCH($A1218&amp;"|"&amp;$D1218,Types!$A:$A,0)),INDEX(Dashboard!$X$6:$X$22,MATCH($A1218,Dashboard!$A$6:$A$22,0))))</f>
        <v/>
      </c>
      <c r="AT1218" s="43">
        <f>AQ1218*INDEX(Dashboard!$Y$6:$Y$22,MATCH($A1218,Dashboard!$A$6:$A$22,0))</f>
        <v/>
      </c>
      <c r="AU1218" s="53">
        <f>IF(AND(AG1218=1,AT1218&gt;0,AF1218&gt;0),100*AF1218/AT1218,"")</f>
        <v/>
      </c>
      <c r="AV1218" s="44">
        <f>IF(AU1218="","",T1218/(AU1218/100))</f>
        <v/>
      </c>
      <c r="AW1218" s="53">
        <f>IF(AU1218="","",IF(AND(ABS(AH1218)&gt;=0.1,ABS(T1218)&gt;=0.05,SIGN(AH1218)=SIGN(T1218)),100*T1218/AH1218,""))</f>
        <v/>
      </c>
      <c r="AX1218" s="45">
        <f>IF(AU1218="","",T1218-AV1218)</f>
        <v/>
      </c>
      <c r="AY1218" s="45">
        <f>IF(AU1218="","",AH1218-AV1218)</f>
        <v/>
      </c>
      <c r="AZ1218" s="54">
        <f>(AL1218-AM1218)-T1218*AT1218</f>
        <v/>
      </c>
      <c r="BA1218" s="43">
        <f>IF(AU1218="",0,(AH1218-T1218)*AF1218)</f>
        <v/>
      </c>
      <c r="BB1218" s="43">
        <f>IF(AU1218="",0,T1218*(AF1218-AT1218))</f>
        <v/>
      </c>
      <c r="BC1218" s="51" t="n">
        <v>0.01517497677299474</v>
      </c>
      <c r="BD1218" s="51" t="n">
        <v>0.1310003096934035</v>
      </c>
      <c r="BE1218" s="51" t="n">
        <v>0.3460490463215259</v>
      </c>
      <c r="BF1218" s="43" t="n">
        <v>3229</v>
      </c>
    </row>
    <row r="1219">
      <c r="A1219" s="42" t="inlineStr">
        <is>
          <t>TX</t>
        </is>
      </c>
      <c r="B1219" s="42" t="inlineStr">
        <is>
          <t>48419</t>
        </is>
      </c>
      <c r="C1219" s="42" t="inlineStr">
        <is>
          <t>Shelby</t>
        </is>
      </c>
      <c r="D1219" s="42" t="inlineStr">
        <is>
          <t>Small town &amp; rural</t>
        </is>
      </c>
      <c r="E1219" s="42" t="inlineStr"/>
      <c r="F1219" s="43" t="n">
        <v>1741</v>
      </c>
      <c r="G1219" s="43" t="n">
        <v>8164</v>
      </c>
      <c r="H1219" s="43" t="n">
        <v>9948</v>
      </c>
      <c r="I1219" s="43" t="n">
        <v>2068</v>
      </c>
      <c r="J1219" s="43" t="n">
        <v>7975</v>
      </c>
      <c r="K1219" s="42" t="inlineStr">
        <is>
          <t>Governor</t>
        </is>
      </c>
      <c r="L1219" s="43" t="n">
        <v>1045</v>
      </c>
      <c r="M1219" s="43" t="n">
        <v>5846</v>
      </c>
      <c r="N1219" s="43" t="n">
        <v>6932</v>
      </c>
      <c r="O1219" s="44">
        <f>IFERROR((F1219-G1219)/(F1219+G1219),"")</f>
        <v/>
      </c>
      <c r="P1219" s="44">
        <f>IFERROR((I1219-J1219)/(I1219+J1219),"")</f>
        <v/>
      </c>
      <c r="Q1219" s="45">
        <f>IFERROR(O1219-P1219,"")</f>
        <v/>
      </c>
      <c r="R1219" s="44">
        <f>IFERROR((L1219-M1219)/(L1219+M1219),"")</f>
        <v/>
      </c>
      <c r="S1219" s="46">
        <f>H1219/SUMIFS(Counties!$H$2:$H$1583,Counties!$A$2:$A$1583,$A1219)</f>
        <v/>
      </c>
      <c r="T1219" s="44">
        <f>O1219+INDEX(Dashboard!$F$6:$F$22,MATCH($A1219,Dashboard!$A$6:$A$22,0))</f>
        <v/>
      </c>
      <c r="U1219" s="43">
        <f>AQ1219*INDEX(Dashboard!$G$6:$G$22,MATCH($A1219,Dashboard!$A$6:$A$22,0))</f>
        <v/>
      </c>
      <c r="V1219" s="47" t="n"/>
      <c r="W1219" s="47" t="n"/>
      <c r="X1219" s="47" t="n"/>
      <c r="Y1219" s="48" t="n"/>
      <c r="Z1219" s="49" t="n"/>
      <c r="AA1219" s="49" t="n"/>
      <c r="AB1219" s="49" t="n"/>
      <c r="AC1219" s="50" t="n"/>
      <c r="AD1219" s="43">
        <f>IF(Z1219&lt;&gt;"",Z1219,N(V1219))</f>
        <v/>
      </c>
      <c r="AE1219" s="43">
        <f>IF(AA1219&lt;&gt;"",AA1219,N(W1219))</f>
        <v/>
      </c>
      <c r="AF1219" s="43">
        <f>AD1219+AE1219</f>
        <v/>
      </c>
      <c r="AG1219" s="42">
        <f>IF(UPPER(AC1219)="Y",1,IF(AF1219=0,0,IF(AND(Z1219="",Y1219&lt;&gt;""),IF(Y1219&gt;=0.999,1,0),IF(AF1219&gt;=U1219,1,0))))</f>
        <v/>
      </c>
      <c r="AH1219" s="44">
        <f>IF(AF1219&gt;0,(AD1219-AE1219)/AF1219,"")</f>
        <v/>
      </c>
      <c r="AI1219" s="45">
        <f>IF(AG1219=1,AH1219-O1219,"")</f>
        <v/>
      </c>
      <c r="AJ1219" s="44">
        <f>IF(AG1219=1,AH1219,MAX(-1,MIN(1,O1219+INDEX(Types!$H:$H,MATCH($A1219&amp;"|"&amp;$D1219,Types!$A:$A,0)))))</f>
        <v/>
      </c>
      <c r="AK1219" s="43">
        <f>IF(AG1219=1,AF1219,MAX(AQ1219*AS1219,AF1219))</f>
        <v/>
      </c>
      <c r="AL1219" s="43">
        <f>IF(AG1219=1,AD1219,AK1219*(1+AJ1219)/2)</f>
        <v/>
      </c>
      <c r="AM1219" s="43">
        <f>IF(AG1219=1,AE1219,AK1219*(1-AJ1219)/2)</f>
        <v/>
      </c>
      <c r="AN1219" s="45">
        <f>IF(AH1219="","",AH1219-T1219)</f>
        <v/>
      </c>
      <c r="AO1219" s="51">
        <f>IF(AG1219=1,1,IF(U1219&gt;0,MIN(AF1219/U1219,0.99),0))</f>
        <v/>
      </c>
      <c r="AP1219" s="43">
        <f>IF(AG1219=1,AI1219*AF1219,0)</f>
        <v/>
      </c>
      <c r="AQ1219" s="43">
        <f>N1219*(F1219+G1219)/H1219</f>
        <v/>
      </c>
      <c r="AR1219" s="43">
        <f>O1219*AQ1219</f>
        <v/>
      </c>
      <c r="AS1219" s="52">
        <f>IF(AG1219=1,IF(AQ1219&gt;0,AF1219/AQ1219,1),IFERROR(INDEX(Types!$K:$K,MATCH($A1219&amp;"|"&amp;$D1219,Types!$A:$A,0)),INDEX(Dashboard!$X$6:$X$22,MATCH($A1219,Dashboard!$A$6:$A$22,0))))</f>
        <v/>
      </c>
      <c r="AT1219" s="43">
        <f>AQ1219*INDEX(Dashboard!$Y$6:$Y$22,MATCH($A1219,Dashboard!$A$6:$A$22,0))</f>
        <v/>
      </c>
      <c r="AU1219" s="53">
        <f>IF(AND(AG1219=1,AT1219&gt;0,AF1219&gt;0),100*AF1219/AT1219,"")</f>
        <v/>
      </c>
      <c r="AV1219" s="44">
        <f>IF(AU1219="","",T1219/(AU1219/100))</f>
        <v/>
      </c>
      <c r="AW1219" s="53">
        <f>IF(AU1219="","",IF(AND(ABS(AH1219)&gt;=0.1,ABS(T1219)&gt;=0.05,SIGN(AH1219)=SIGN(T1219)),100*T1219/AH1219,""))</f>
        <v/>
      </c>
      <c r="AX1219" s="45">
        <f>IF(AU1219="","",T1219-AV1219)</f>
        <v/>
      </c>
      <c r="AY1219" s="45">
        <f>IF(AU1219="","",AH1219-AV1219)</f>
        <v/>
      </c>
      <c r="AZ1219" s="54">
        <f>(AL1219-AM1219)-T1219*AT1219</f>
        <v/>
      </c>
      <c r="BA1219" s="43">
        <f>IF(AU1219="",0,(AH1219-T1219)*AF1219)</f>
        <v/>
      </c>
      <c r="BB1219" s="43">
        <f>IF(AU1219="",0,T1219*(AF1219-AT1219))</f>
        <v/>
      </c>
      <c r="BC1219" s="51" t="n">
        <v>0.165350097191778</v>
      </c>
      <c r="BD1219" s="51" t="n">
        <v>0.2014144505562678</v>
      </c>
      <c r="BE1219" s="51" t="n">
        <v>0.1373284189120488</v>
      </c>
      <c r="BF1219" s="43" t="n">
        <v>24179</v>
      </c>
    </row>
    <row r="1220">
      <c r="A1220" s="42" t="inlineStr">
        <is>
          <t>TX</t>
        </is>
      </c>
      <c r="B1220" s="42" t="inlineStr">
        <is>
          <t>48421</t>
        </is>
      </c>
      <c r="C1220" s="42" t="inlineStr">
        <is>
          <t>Sherman</t>
        </is>
      </c>
      <c r="D1220" s="42" t="inlineStr">
        <is>
          <t>Hispanic</t>
        </is>
      </c>
      <c r="E1220" s="42" t="inlineStr"/>
      <c r="F1220" s="43" t="n">
        <v>48</v>
      </c>
      <c r="G1220" s="43" t="n">
        <v>817</v>
      </c>
      <c r="H1220" s="43" t="n">
        <v>872</v>
      </c>
      <c r="I1220" s="43" t="n">
        <v>91</v>
      </c>
      <c r="J1220" s="43" t="n">
        <v>886</v>
      </c>
      <c r="K1220" s="42" t="inlineStr">
        <is>
          <t>Governor</t>
        </is>
      </c>
      <c r="L1220" s="43" t="n">
        <v>35</v>
      </c>
      <c r="M1220" s="43" t="n">
        <v>665</v>
      </c>
      <c r="N1220" s="43" t="n">
        <v>708</v>
      </c>
      <c r="O1220" s="44">
        <f>IFERROR((F1220-G1220)/(F1220+G1220),"")</f>
        <v/>
      </c>
      <c r="P1220" s="44">
        <f>IFERROR((I1220-J1220)/(I1220+J1220),"")</f>
        <v/>
      </c>
      <c r="Q1220" s="45">
        <f>IFERROR(O1220-P1220,"")</f>
        <v/>
      </c>
      <c r="R1220" s="44">
        <f>IFERROR((L1220-M1220)/(L1220+M1220),"")</f>
        <v/>
      </c>
      <c r="S1220" s="46">
        <f>H1220/SUMIFS(Counties!$H$2:$H$1583,Counties!$A$2:$A$1583,$A1220)</f>
        <v/>
      </c>
      <c r="T1220" s="44">
        <f>O1220+INDEX(Dashboard!$F$6:$F$22,MATCH($A1220,Dashboard!$A$6:$A$22,0))</f>
        <v/>
      </c>
      <c r="U1220" s="43">
        <f>AQ1220*INDEX(Dashboard!$G$6:$G$22,MATCH($A1220,Dashboard!$A$6:$A$22,0))</f>
        <v/>
      </c>
      <c r="V1220" s="47" t="n"/>
      <c r="W1220" s="47" t="n"/>
      <c r="X1220" s="47" t="n"/>
      <c r="Y1220" s="48" t="n"/>
      <c r="Z1220" s="49" t="n"/>
      <c r="AA1220" s="49" t="n"/>
      <c r="AB1220" s="49" t="n"/>
      <c r="AC1220" s="50" t="n"/>
      <c r="AD1220" s="43">
        <f>IF(Z1220&lt;&gt;"",Z1220,N(V1220))</f>
        <v/>
      </c>
      <c r="AE1220" s="43">
        <f>IF(AA1220&lt;&gt;"",AA1220,N(W1220))</f>
        <v/>
      </c>
      <c r="AF1220" s="43">
        <f>AD1220+AE1220</f>
        <v/>
      </c>
      <c r="AG1220" s="42">
        <f>IF(UPPER(AC1220)="Y",1,IF(AF1220=0,0,IF(AND(Z1220="",Y1220&lt;&gt;""),IF(Y1220&gt;=0.999,1,0),IF(AF1220&gt;=U1220,1,0))))</f>
        <v/>
      </c>
      <c r="AH1220" s="44">
        <f>IF(AF1220&gt;0,(AD1220-AE1220)/AF1220,"")</f>
        <v/>
      </c>
      <c r="AI1220" s="45">
        <f>IF(AG1220=1,AH1220-O1220,"")</f>
        <v/>
      </c>
      <c r="AJ1220" s="44">
        <f>IF(AG1220=1,AH1220,MAX(-1,MIN(1,O1220+INDEX(Types!$H:$H,MATCH($A1220&amp;"|"&amp;$D1220,Types!$A:$A,0)))))</f>
        <v/>
      </c>
      <c r="AK1220" s="43">
        <f>IF(AG1220=1,AF1220,MAX(AQ1220*AS1220,AF1220))</f>
        <v/>
      </c>
      <c r="AL1220" s="43">
        <f>IF(AG1220=1,AD1220,AK1220*(1+AJ1220)/2)</f>
        <v/>
      </c>
      <c r="AM1220" s="43">
        <f>IF(AG1220=1,AE1220,AK1220*(1-AJ1220)/2)</f>
        <v/>
      </c>
      <c r="AN1220" s="45">
        <f>IF(AH1220="","",AH1220-T1220)</f>
        <v/>
      </c>
      <c r="AO1220" s="51">
        <f>IF(AG1220=1,1,IF(U1220&gt;0,MIN(AF1220/U1220,0.99),0))</f>
        <v/>
      </c>
      <c r="AP1220" s="43">
        <f>IF(AG1220=1,AI1220*AF1220,0)</f>
        <v/>
      </c>
      <c r="AQ1220" s="43">
        <f>N1220*(F1220+G1220)/H1220</f>
        <v/>
      </c>
      <c r="AR1220" s="43">
        <f>O1220*AQ1220</f>
        <v/>
      </c>
      <c r="AS1220" s="52">
        <f>IF(AG1220=1,IF(AQ1220&gt;0,AF1220/AQ1220,1),IFERROR(INDEX(Types!$K:$K,MATCH($A1220&amp;"|"&amp;$D1220,Types!$A:$A,0)),INDEX(Dashboard!$X$6:$X$22,MATCH($A1220,Dashboard!$A$6:$A$22,0))))</f>
        <v/>
      </c>
      <c r="AT1220" s="43">
        <f>AQ1220*INDEX(Dashboard!$Y$6:$Y$22,MATCH($A1220,Dashboard!$A$6:$A$22,0))</f>
        <v/>
      </c>
      <c r="AU1220" s="53">
        <f>IF(AND(AG1220=1,AT1220&gt;0,AF1220&gt;0),100*AF1220/AT1220,"")</f>
        <v/>
      </c>
      <c r="AV1220" s="44">
        <f>IF(AU1220="","",T1220/(AU1220/100))</f>
        <v/>
      </c>
      <c r="AW1220" s="53">
        <f>IF(AU1220="","",IF(AND(ABS(AH1220)&gt;=0.1,ABS(T1220)&gt;=0.05,SIGN(AH1220)=SIGN(T1220)),100*T1220/AH1220,""))</f>
        <v/>
      </c>
      <c r="AX1220" s="45">
        <f>IF(AU1220="","",T1220-AV1220)</f>
        <v/>
      </c>
      <c r="AY1220" s="45">
        <f>IF(AU1220="","",AH1220-AV1220)</f>
        <v/>
      </c>
      <c r="AZ1220" s="54">
        <f>(AL1220-AM1220)-T1220*AT1220</f>
        <v/>
      </c>
      <c r="BA1220" s="43">
        <f>IF(AU1220="",0,(AH1220-T1220)*AF1220)</f>
        <v/>
      </c>
      <c r="BB1220" s="43">
        <f>IF(AU1220="",0,T1220*(AF1220-AT1220))</f>
        <v/>
      </c>
      <c r="BC1220" s="51" t="n">
        <v>0.01418969380134429</v>
      </c>
      <c r="BD1220" s="51" t="n">
        <v>0.4802091112770724</v>
      </c>
      <c r="BE1220" s="51" t="n">
        <v>0.2562972292191436</v>
      </c>
      <c r="BF1220" s="43" t="n">
        <v>2678</v>
      </c>
    </row>
    <row r="1221">
      <c r="A1221" s="42" t="inlineStr">
        <is>
          <t>TX</t>
        </is>
      </c>
      <c r="B1221" s="42" t="inlineStr">
        <is>
          <t>48423</t>
        </is>
      </c>
      <c r="C1221" s="42" t="inlineStr">
        <is>
          <t>Smith</t>
        </is>
      </c>
      <c r="D1221" s="42" t="inlineStr">
        <is>
          <t>Mid-size/working metro</t>
        </is>
      </c>
      <c r="E1221" s="42" t="inlineStr"/>
      <c r="F1221" s="43" t="n">
        <v>28041</v>
      </c>
      <c r="G1221" s="43" t="n">
        <v>74862</v>
      </c>
      <c r="H1221" s="43" t="n">
        <v>103815</v>
      </c>
      <c r="I1221" s="43" t="n">
        <v>29615</v>
      </c>
      <c r="J1221" s="43" t="n">
        <v>69080</v>
      </c>
      <c r="K1221" s="42" t="inlineStr">
        <is>
          <t>Governor</t>
        </is>
      </c>
      <c r="L1221" s="43" t="n">
        <v>18763</v>
      </c>
      <c r="M1221" s="43" t="n">
        <v>56608</v>
      </c>
      <c r="N1221" s="43" t="n">
        <v>76251</v>
      </c>
      <c r="O1221" s="44">
        <f>IFERROR((F1221-G1221)/(F1221+G1221),"")</f>
        <v/>
      </c>
      <c r="P1221" s="44">
        <f>IFERROR((I1221-J1221)/(I1221+J1221),"")</f>
        <v/>
      </c>
      <c r="Q1221" s="45">
        <f>IFERROR(O1221-P1221,"")</f>
        <v/>
      </c>
      <c r="R1221" s="44">
        <f>IFERROR((L1221-M1221)/(L1221+M1221),"")</f>
        <v/>
      </c>
      <c r="S1221" s="46">
        <f>H1221/SUMIFS(Counties!$H$2:$H$1583,Counties!$A$2:$A$1583,$A1221)</f>
        <v/>
      </c>
      <c r="T1221" s="44">
        <f>O1221+INDEX(Dashboard!$F$6:$F$22,MATCH($A1221,Dashboard!$A$6:$A$22,0))</f>
        <v/>
      </c>
      <c r="U1221" s="43">
        <f>AQ1221*INDEX(Dashboard!$G$6:$G$22,MATCH($A1221,Dashboard!$A$6:$A$22,0))</f>
        <v/>
      </c>
      <c r="V1221" s="47" t="n"/>
      <c r="W1221" s="47" t="n"/>
      <c r="X1221" s="47" t="n"/>
      <c r="Y1221" s="48" t="n"/>
      <c r="Z1221" s="49" t="n"/>
      <c r="AA1221" s="49" t="n"/>
      <c r="AB1221" s="49" t="n"/>
      <c r="AC1221" s="50" t="n"/>
      <c r="AD1221" s="43">
        <f>IF(Z1221&lt;&gt;"",Z1221,N(V1221))</f>
        <v/>
      </c>
      <c r="AE1221" s="43">
        <f>IF(AA1221&lt;&gt;"",AA1221,N(W1221))</f>
        <v/>
      </c>
      <c r="AF1221" s="43">
        <f>AD1221+AE1221</f>
        <v/>
      </c>
      <c r="AG1221" s="42">
        <f>IF(UPPER(AC1221)="Y",1,IF(AF1221=0,0,IF(AND(Z1221="",Y1221&lt;&gt;""),IF(Y1221&gt;=0.999,1,0),IF(AF1221&gt;=U1221,1,0))))</f>
        <v/>
      </c>
      <c r="AH1221" s="44">
        <f>IF(AF1221&gt;0,(AD1221-AE1221)/AF1221,"")</f>
        <v/>
      </c>
      <c r="AI1221" s="45">
        <f>IF(AG1221=1,AH1221-O1221,"")</f>
        <v/>
      </c>
      <c r="AJ1221" s="44">
        <f>IF(AG1221=1,AH1221,MAX(-1,MIN(1,O1221+INDEX(Types!$H:$H,MATCH($A1221&amp;"|"&amp;$D1221,Types!$A:$A,0)))))</f>
        <v/>
      </c>
      <c r="AK1221" s="43">
        <f>IF(AG1221=1,AF1221,MAX(AQ1221*AS1221,AF1221))</f>
        <v/>
      </c>
      <c r="AL1221" s="43">
        <f>IF(AG1221=1,AD1221,AK1221*(1+AJ1221)/2)</f>
        <v/>
      </c>
      <c r="AM1221" s="43">
        <f>IF(AG1221=1,AE1221,AK1221*(1-AJ1221)/2)</f>
        <v/>
      </c>
      <c r="AN1221" s="45">
        <f>IF(AH1221="","",AH1221-T1221)</f>
        <v/>
      </c>
      <c r="AO1221" s="51">
        <f>IF(AG1221=1,1,IF(U1221&gt;0,MIN(AF1221/U1221,0.99),0))</f>
        <v/>
      </c>
      <c r="AP1221" s="43">
        <f>IF(AG1221=1,AI1221*AF1221,0)</f>
        <v/>
      </c>
      <c r="AQ1221" s="43">
        <f>N1221*(F1221+G1221)/H1221</f>
        <v/>
      </c>
      <c r="AR1221" s="43">
        <f>O1221*AQ1221</f>
        <v/>
      </c>
      <c r="AS1221" s="52">
        <f>IF(AG1221=1,IF(AQ1221&gt;0,AF1221/AQ1221,1),IFERROR(INDEX(Types!$K:$K,MATCH($A1221&amp;"|"&amp;$D1221,Types!$A:$A,0)),INDEX(Dashboard!$X$6:$X$22,MATCH($A1221,Dashboard!$A$6:$A$22,0))))</f>
        <v/>
      </c>
      <c r="AT1221" s="43">
        <f>AQ1221*INDEX(Dashboard!$Y$6:$Y$22,MATCH($A1221,Dashboard!$A$6:$A$22,0))</f>
        <v/>
      </c>
      <c r="AU1221" s="53">
        <f>IF(AND(AG1221=1,AT1221&gt;0,AF1221&gt;0),100*AF1221/AT1221,"")</f>
        <v/>
      </c>
      <c r="AV1221" s="44">
        <f>IF(AU1221="","",T1221/(AU1221/100))</f>
        <v/>
      </c>
      <c r="AW1221" s="53">
        <f>IF(AU1221="","",IF(AND(ABS(AH1221)&gt;=0.1,ABS(T1221)&gt;=0.05,SIGN(AH1221)=SIGN(T1221)),100*T1221/AH1221,""))</f>
        <v/>
      </c>
      <c r="AX1221" s="45">
        <f>IF(AU1221="","",T1221-AV1221)</f>
        <v/>
      </c>
      <c r="AY1221" s="45">
        <f>IF(AU1221="","",AH1221-AV1221)</f>
        <v/>
      </c>
      <c r="AZ1221" s="54">
        <f>(AL1221-AM1221)-T1221*AT1221</f>
        <v/>
      </c>
      <c r="BA1221" s="43">
        <f>IF(AU1221="",0,(AH1221-T1221)*AF1221)</f>
        <v/>
      </c>
      <c r="BB1221" s="43">
        <f>IF(AU1221="",0,T1221*(AF1221-AT1221))</f>
        <v/>
      </c>
      <c r="BC1221" s="51" t="n">
        <v>0.1704749825658928</v>
      </c>
      <c r="BD1221" s="51" t="n">
        <v>0.2113380830230538</v>
      </c>
      <c r="BE1221" s="51" t="n">
        <v>0.2774101779296156</v>
      </c>
      <c r="BF1221" s="43" t="n">
        <v>245209</v>
      </c>
    </row>
    <row r="1222">
      <c r="A1222" s="42" t="inlineStr">
        <is>
          <t>TX</t>
        </is>
      </c>
      <c r="B1222" s="42" t="inlineStr">
        <is>
          <t>48425</t>
        </is>
      </c>
      <c r="C1222" s="42" t="inlineStr">
        <is>
          <t>Somervell</t>
        </is>
      </c>
      <c r="D1222" s="42" t="inlineStr">
        <is>
          <t>Small town &amp; rural</t>
        </is>
      </c>
      <c r="E1222" s="42" t="inlineStr"/>
      <c r="F1222" s="43" t="n">
        <v>751</v>
      </c>
      <c r="G1222" s="43" t="n">
        <v>4493</v>
      </c>
      <c r="H1222" s="43" t="n">
        <v>5285</v>
      </c>
      <c r="I1222" s="43" t="n">
        <v>768</v>
      </c>
      <c r="J1222" s="43" t="n">
        <v>4105</v>
      </c>
      <c r="K1222" s="42" t="inlineStr">
        <is>
          <t>Governor</t>
        </is>
      </c>
      <c r="L1222" s="43" t="n">
        <v>553</v>
      </c>
      <c r="M1222" s="43" t="n">
        <v>3430</v>
      </c>
      <c r="N1222" s="43" t="n">
        <v>4038</v>
      </c>
      <c r="O1222" s="44">
        <f>IFERROR((F1222-G1222)/(F1222+G1222),"")</f>
        <v/>
      </c>
      <c r="P1222" s="44">
        <f>IFERROR((I1222-J1222)/(I1222+J1222),"")</f>
        <v/>
      </c>
      <c r="Q1222" s="45">
        <f>IFERROR(O1222-P1222,"")</f>
        <v/>
      </c>
      <c r="R1222" s="44">
        <f>IFERROR((L1222-M1222)/(L1222+M1222),"")</f>
        <v/>
      </c>
      <c r="S1222" s="46">
        <f>H1222/SUMIFS(Counties!$H$2:$H$1583,Counties!$A$2:$A$1583,$A1222)</f>
        <v/>
      </c>
      <c r="T1222" s="44">
        <f>O1222+INDEX(Dashboard!$F$6:$F$22,MATCH($A1222,Dashboard!$A$6:$A$22,0))</f>
        <v/>
      </c>
      <c r="U1222" s="43">
        <f>AQ1222*INDEX(Dashboard!$G$6:$G$22,MATCH($A1222,Dashboard!$A$6:$A$22,0))</f>
        <v/>
      </c>
      <c r="V1222" s="47" t="n"/>
      <c r="W1222" s="47" t="n"/>
      <c r="X1222" s="47" t="n"/>
      <c r="Y1222" s="48" t="n"/>
      <c r="Z1222" s="49" t="n"/>
      <c r="AA1222" s="49" t="n"/>
      <c r="AB1222" s="49" t="n"/>
      <c r="AC1222" s="50" t="n"/>
      <c r="AD1222" s="43">
        <f>IF(Z1222&lt;&gt;"",Z1222,N(V1222))</f>
        <v/>
      </c>
      <c r="AE1222" s="43">
        <f>IF(AA1222&lt;&gt;"",AA1222,N(W1222))</f>
        <v/>
      </c>
      <c r="AF1222" s="43">
        <f>AD1222+AE1222</f>
        <v/>
      </c>
      <c r="AG1222" s="42">
        <f>IF(UPPER(AC1222)="Y",1,IF(AF1222=0,0,IF(AND(Z1222="",Y1222&lt;&gt;""),IF(Y1222&gt;=0.999,1,0),IF(AF1222&gt;=U1222,1,0))))</f>
        <v/>
      </c>
      <c r="AH1222" s="44">
        <f>IF(AF1222&gt;0,(AD1222-AE1222)/AF1222,"")</f>
        <v/>
      </c>
      <c r="AI1222" s="45">
        <f>IF(AG1222=1,AH1222-O1222,"")</f>
        <v/>
      </c>
      <c r="AJ1222" s="44">
        <f>IF(AG1222=1,AH1222,MAX(-1,MIN(1,O1222+INDEX(Types!$H:$H,MATCH($A1222&amp;"|"&amp;$D1222,Types!$A:$A,0)))))</f>
        <v/>
      </c>
      <c r="AK1222" s="43">
        <f>IF(AG1222=1,AF1222,MAX(AQ1222*AS1222,AF1222))</f>
        <v/>
      </c>
      <c r="AL1222" s="43">
        <f>IF(AG1222=1,AD1222,AK1222*(1+AJ1222)/2)</f>
        <v/>
      </c>
      <c r="AM1222" s="43">
        <f>IF(AG1222=1,AE1222,AK1222*(1-AJ1222)/2)</f>
        <v/>
      </c>
      <c r="AN1222" s="45">
        <f>IF(AH1222="","",AH1222-T1222)</f>
        <v/>
      </c>
      <c r="AO1222" s="51">
        <f>IF(AG1222=1,1,IF(U1222&gt;0,MIN(AF1222/U1222,0.99),0))</f>
        <v/>
      </c>
      <c r="AP1222" s="43">
        <f>IF(AG1222=1,AI1222*AF1222,0)</f>
        <v/>
      </c>
      <c r="AQ1222" s="43">
        <f>N1222*(F1222+G1222)/H1222</f>
        <v/>
      </c>
      <c r="AR1222" s="43">
        <f>O1222*AQ1222</f>
        <v/>
      </c>
      <c r="AS1222" s="52">
        <f>IF(AG1222=1,IF(AQ1222&gt;0,AF1222/AQ1222,1),IFERROR(INDEX(Types!$K:$K,MATCH($A1222&amp;"|"&amp;$D1222,Types!$A:$A,0)),INDEX(Dashboard!$X$6:$X$22,MATCH($A1222,Dashboard!$A$6:$A$22,0))))</f>
        <v/>
      </c>
      <c r="AT1222" s="43">
        <f>AQ1222*INDEX(Dashboard!$Y$6:$Y$22,MATCH($A1222,Dashboard!$A$6:$A$22,0))</f>
        <v/>
      </c>
      <c r="AU1222" s="53">
        <f>IF(AND(AG1222=1,AT1222&gt;0,AF1222&gt;0),100*AF1222/AT1222,"")</f>
        <v/>
      </c>
      <c r="AV1222" s="44">
        <f>IF(AU1222="","",T1222/(AU1222/100))</f>
        <v/>
      </c>
      <c r="AW1222" s="53">
        <f>IF(AU1222="","",IF(AND(ABS(AH1222)&gt;=0.1,ABS(T1222)&gt;=0.05,SIGN(AH1222)=SIGN(T1222)),100*T1222/AH1222,""))</f>
        <v/>
      </c>
      <c r="AX1222" s="45">
        <f>IF(AU1222="","",T1222-AV1222)</f>
        <v/>
      </c>
      <c r="AY1222" s="45">
        <f>IF(AU1222="","",AH1222-AV1222)</f>
        <v/>
      </c>
      <c r="AZ1222" s="54">
        <f>(AL1222-AM1222)-T1222*AT1222</f>
        <v/>
      </c>
      <c r="BA1222" s="43">
        <f>IF(AU1222="",0,(AH1222-T1222)*AF1222)</f>
        <v/>
      </c>
      <c r="BB1222" s="43">
        <f>IF(AU1222="",0,T1222*(AF1222-AT1222))</f>
        <v/>
      </c>
      <c r="BC1222" s="51" t="n">
        <v>0.01152912621359223</v>
      </c>
      <c r="BD1222" s="51" t="n">
        <v>0.18042071197411</v>
      </c>
      <c r="BE1222" s="51" t="n">
        <v>0.2497420020639835</v>
      </c>
      <c r="BF1222" s="43" t="n">
        <v>9888</v>
      </c>
    </row>
    <row r="1223">
      <c r="A1223" s="42" t="inlineStr">
        <is>
          <t>TX</t>
        </is>
      </c>
      <c r="B1223" s="42" t="inlineStr">
        <is>
          <t>48427</t>
        </is>
      </c>
      <c r="C1223" s="42" t="inlineStr">
        <is>
          <t>Starr</t>
        </is>
      </c>
      <c r="D1223" s="42" t="inlineStr">
        <is>
          <t>Hispanic</t>
        </is>
      </c>
      <c r="E1223" s="42" t="inlineStr"/>
      <c r="F1223" s="43" t="n">
        <v>6862</v>
      </c>
      <c r="G1223" s="43" t="n">
        <v>9487</v>
      </c>
      <c r="H1223" s="43" t="n">
        <v>16419</v>
      </c>
      <c r="I1223" s="43" t="n">
        <v>9123</v>
      </c>
      <c r="J1223" s="43" t="n">
        <v>8247</v>
      </c>
      <c r="K1223" s="42" t="inlineStr">
        <is>
          <t>Governor</t>
        </is>
      </c>
      <c r="L1223" s="43" t="n">
        <v>6455</v>
      </c>
      <c r="M1223" s="43" t="n">
        <v>4460</v>
      </c>
      <c r="N1223" s="43" t="n">
        <v>11125</v>
      </c>
      <c r="O1223" s="44">
        <f>IFERROR((F1223-G1223)/(F1223+G1223),"")</f>
        <v/>
      </c>
      <c r="P1223" s="44">
        <f>IFERROR((I1223-J1223)/(I1223+J1223),"")</f>
        <v/>
      </c>
      <c r="Q1223" s="45">
        <f>IFERROR(O1223-P1223,"")</f>
        <v/>
      </c>
      <c r="R1223" s="44">
        <f>IFERROR((L1223-M1223)/(L1223+M1223),"")</f>
        <v/>
      </c>
      <c r="S1223" s="46">
        <f>H1223/SUMIFS(Counties!$H$2:$H$1583,Counties!$A$2:$A$1583,$A1223)</f>
        <v/>
      </c>
      <c r="T1223" s="44">
        <f>O1223+INDEX(Dashboard!$F$6:$F$22,MATCH($A1223,Dashboard!$A$6:$A$22,0))</f>
        <v/>
      </c>
      <c r="U1223" s="43">
        <f>AQ1223*INDEX(Dashboard!$G$6:$G$22,MATCH($A1223,Dashboard!$A$6:$A$22,0))</f>
        <v/>
      </c>
      <c r="V1223" s="47" t="n"/>
      <c r="W1223" s="47" t="n"/>
      <c r="X1223" s="47" t="n"/>
      <c r="Y1223" s="48" t="n"/>
      <c r="Z1223" s="49" t="n"/>
      <c r="AA1223" s="49" t="n"/>
      <c r="AB1223" s="49" t="n"/>
      <c r="AC1223" s="50" t="n"/>
      <c r="AD1223" s="43">
        <f>IF(Z1223&lt;&gt;"",Z1223,N(V1223))</f>
        <v/>
      </c>
      <c r="AE1223" s="43">
        <f>IF(AA1223&lt;&gt;"",AA1223,N(W1223))</f>
        <v/>
      </c>
      <c r="AF1223" s="43">
        <f>AD1223+AE1223</f>
        <v/>
      </c>
      <c r="AG1223" s="42">
        <f>IF(UPPER(AC1223)="Y",1,IF(AF1223=0,0,IF(AND(Z1223="",Y1223&lt;&gt;""),IF(Y1223&gt;=0.999,1,0),IF(AF1223&gt;=U1223,1,0))))</f>
        <v/>
      </c>
      <c r="AH1223" s="44">
        <f>IF(AF1223&gt;0,(AD1223-AE1223)/AF1223,"")</f>
        <v/>
      </c>
      <c r="AI1223" s="45">
        <f>IF(AG1223=1,AH1223-O1223,"")</f>
        <v/>
      </c>
      <c r="AJ1223" s="44">
        <f>IF(AG1223=1,AH1223,MAX(-1,MIN(1,O1223+INDEX(Types!$H:$H,MATCH($A1223&amp;"|"&amp;$D1223,Types!$A:$A,0)))))</f>
        <v/>
      </c>
      <c r="AK1223" s="43">
        <f>IF(AG1223=1,AF1223,MAX(AQ1223*AS1223,AF1223))</f>
        <v/>
      </c>
      <c r="AL1223" s="43">
        <f>IF(AG1223=1,AD1223,AK1223*(1+AJ1223)/2)</f>
        <v/>
      </c>
      <c r="AM1223" s="43">
        <f>IF(AG1223=1,AE1223,AK1223*(1-AJ1223)/2)</f>
        <v/>
      </c>
      <c r="AN1223" s="45">
        <f>IF(AH1223="","",AH1223-T1223)</f>
        <v/>
      </c>
      <c r="AO1223" s="51">
        <f>IF(AG1223=1,1,IF(U1223&gt;0,MIN(AF1223/U1223,0.99),0))</f>
        <v/>
      </c>
      <c r="AP1223" s="43">
        <f>IF(AG1223=1,AI1223*AF1223,0)</f>
        <v/>
      </c>
      <c r="AQ1223" s="43">
        <f>N1223*(F1223+G1223)/H1223</f>
        <v/>
      </c>
      <c r="AR1223" s="43">
        <f>O1223*AQ1223</f>
        <v/>
      </c>
      <c r="AS1223" s="52">
        <f>IF(AG1223=1,IF(AQ1223&gt;0,AF1223/AQ1223,1),IFERROR(INDEX(Types!$K:$K,MATCH($A1223&amp;"|"&amp;$D1223,Types!$A:$A,0)),INDEX(Dashboard!$X$6:$X$22,MATCH($A1223,Dashboard!$A$6:$A$22,0))))</f>
        <v/>
      </c>
      <c r="AT1223" s="43">
        <f>AQ1223*INDEX(Dashboard!$Y$6:$Y$22,MATCH($A1223,Dashboard!$A$6:$A$22,0))</f>
        <v/>
      </c>
      <c r="AU1223" s="53">
        <f>IF(AND(AG1223=1,AT1223&gt;0,AF1223&gt;0),100*AF1223/AT1223,"")</f>
        <v/>
      </c>
      <c r="AV1223" s="44">
        <f>IF(AU1223="","",T1223/(AU1223/100))</f>
        <v/>
      </c>
      <c r="AW1223" s="53">
        <f>IF(AU1223="","",IF(AND(ABS(AH1223)&gt;=0.1,ABS(T1223)&gt;=0.05,SIGN(AH1223)=SIGN(T1223)),100*T1223/AH1223,""))</f>
        <v/>
      </c>
      <c r="AX1223" s="45">
        <f>IF(AU1223="","",T1223-AV1223)</f>
        <v/>
      </c>
      <c r="AY1223" s="45">
        <f>IF(AU1223="","",AH1223-AV1223)</f>
        <v/>
      </c>
      <c r="AZ1223" s="54">
        <f>(AL1223-AM1223)-T1223*AT1223</f>
        <v/>
      </c>
      <c r="BA1223" s="43">
        <f>IF(AU1223="",0,(AH1223-T1223)*AF1223)</f>
        <v/>
      </c>
      <c r="BB1223" s="43">
        <f>IF(AU1223="",0,T1223*(AF1223-AT1223))</f>
        <v/>
      </c>
      <c r="BC1223" s="51" t="n">
        <v>0.00222950222950223</v>
      </c>
      <c r="BD1223" s="51" t="n">
        <v>0.9698183031516365</v>
      </c>
      <c r="BE1223" s="51" t="n">
        <v>0.132970175677516</v>
      </c>
      <c r="BF1223" s="43" t="n">
        <v>65934</v>
      </c>
    </row>
    <row r="1224">
      <c r="A1224" s="42" t="inlineStr">
        <is>
          <t>TX</t>
        </is>
      </c>
      <c r="B1224" s="42" t="inlineStr">
        <is>
          <t>48429</t>
        </is>
      </c>
      <c r="C1224" s="42" t="inlineStr">
        <is>
          <t>Stephens</t>
        </is>
      </c>
      <c r="D1224" s="42" t="inlineStr">
        <is>
          <t>Small town &amp; rural</t>
        </is>
      </c>
      <c r="E1224" s="42" t="inlineStr"/>
      <c r="F1224" s="43" t="n">
        <v>384</v>
      </c>
      <c r="G1224" s="43" t="n">
        <v>3368</v>
      </c>
      <c r="H1224" s="43" t="n">
        <v>3761</v>
      </c>
      <c r="I1224" s="43" t="n">
        <v>397</v>
      </c>
      <c r="J1224" s="43" t="n">
        <v>3385</v>
      </c>
      <c r="K1224" s="42" t="inlineStr">
        <is>
          <t>Governor</t>
        </is>
      </c>
      <c r="L1224" s="43" t="n">
        <v>217</v>
      </c>
      <c r="M1224" s="43" t="n">
        <v>2511</v>
      </c>
      <c r="N1224" s="43" t="n">
        <v>2746</v>
      </c>
      <c r="O1224" s="44">
        <f>IFERROR((F1224-G1224)/(F1224+G1224),"")</f>
        <v/>
      </c>
      <c r="P1224" s="44">
        <f>IFERROR((I1224-J1224)/(I1224+J1224),"")</f>
        <v/>
      </c>
      <c r="Q1224" s="45">
        <f>IFERROR(O1224-P1224,"")</f>
        <v/>
      </c>
      <c r="R1224" s="44">
        <f>IFERROR((L1224-M1224)/(L1224+M1224),"")</f>
        <v/>
      </c>
      <c r="S1224" s="46">
        <f>H1224/SUMIFS(Counties!$H$2:$H$1583,Counties!$A$2:$A$1583,$A1224)</f>
        <v/>
      </c>
      <c r="T1224" s="44">
        <f>O1224+INDEX(Dashboard!$F$6:$F$22,MATCH($A1224,Dashboard!$A$6:$A$22,0))</f>
        <v/>
      </c>
      <c r="U1224" s="43">
        <f>AQ1224*INDEX(Dashboard!$G$6:$G$22,MATCH($A1224,Dashboard!$A$6:$A$22,0))</f>
        <v/>
      </c>
      <c r="V1224" s="47" t="n"/>
      <c r="W1224" s="47" t="n"/>
      <c r="X1224" s="47" t="n"/>
      <c r="Y1224" s="48" t="n"/>
      <c r="Z1224" s="49" t="n"/>
      <c r="AA1224" s="49" t="n"/>
      <c r="AB1224" s="49" t="n"/>
      <c r="AC1224" s="50" t="n"/>
      <c r="AD1224" s="43">
        <f>IF(Z1224&lt;&gt;"",Z1224,N(V1224))</f>
        <v/>
      </c>
      <c r="AE1224" s="43">
        <f>IF(AA1224&lt;&gt;"",AA1224,N(W1224))</f>
        <v/>
      </c>
      <c r="AF1224" s="43">
        <f>AD1224+AE1224</f>
        <v/>
      </c>
      <c r="AG1224" s="42">
        <f>IF(UPPER(AC1224)="Y",1,IF(AF1224=0,0,IF(AND(Z1224="",Y1224&lt;&gt;""),IF(Y1224&gt;=0.999,1,0),IF(AF1224&gt;=U1224,1,0))))</f>
        <v/>
      </c>
      <c r="AH1224" s="44">
        <f>IF(AF1224&gt;0,(AD1224-AE1224)/AF1224,"")</f>
        <v/>
      </c>
      <c r="AI1224" s="45">
        <f>IF(AG1224=1,AH1224-O1224,"")</f>
        <v/>
      </c>
      <c r="AJ1224" s="44">
        <f>IF(AG1224=1,AH1224,MAX(-1,MIN(1,O1224+INDEX(Types!$H:$H,MATCH($A1224&amp;"|"&amp;$D1224,Types!$A:$A,0)))))</f>
        <v/>
      </c>
      <c r="AK1224" s="43">
        <f>IF(AG1224=1,AF1224,MAX(AQ1224*AS1224,AF1224))</f>
        <v/>
      </c>
      <c r="AL1224" s="43">
        <f>IF(AG1224=1,AD1224,AK1224*(1+AJ1224)/2)</f>
        <v/>
      </c>
      <c r="AM1224" s="43">
        <f>IF(AG1224=1,AE1224,AK1224*(1-AJ1224)/2)</f>
        <v/>
      </c>
      <c r="AN1224" s="45">
        <f>IF(AH1224="","",AH1224-T1224)</f>
        <v/>
      </c>
      <c r="AO1224" s="51">
        <f>IF(AG1224=1,1,IF(U1224&gt;0,MIN(AF1224/U1224,0.99),0))</f>
        <v/>
      </c>
      <c r="AP1224" s="43">
        <f>IF(AG1224=1,AI1224*AF1224,0)</f>
        <v/>
      </c>
      <c r="AQ1224" s="43">
        <f>N1224*(F1224+G1224)/H1224</f>
        <v/>
      </c>
      <c r="AR1224" s="43">
        <f>O1224*AQ1224</f>
        <v/>
      </c>
      <c r="AS1224" s="52">
        <f>IF(AG1224=1,IF(AQ1224&gt;0,AF1224/AQ1224,1),IFERROR(INDEX(Types!$K:$K,MATCH($A1224&amp;"|"&amp;$D1224,Types!$A:$A,0)),INDEX(Dashboard!$X$6:$X$22,MATCH($A1224,Dashboard!$A$6:$A$22,0))))</f>
        <v/>
      </c>
      <c r="AT1224" s="43">
        <f>AQ1224*INDEX(Dashboard!$Y$6:$Y$22,MATCH($A1224,Dashboard!$A$6:$A$22,0))</f>
        <v/>
      </c>
      <c r="AU1224" s="53">
        <f>IF(AND(AG1224=1,AT1224&gt;0,AF1224&gt;0),100*AF1224/AT1224,"")</f>
        <v/>
      </c>
      <c r="AV1224" s="44">
        <f>IF(AU1224="","",T1224/(AU1224/100))</f>
        <v/>
      </c>
      <c r="AW1224" s="53">
        <f>IF(AU1224="","",IF(AND(ABS(AH1224)&gt;=0.1,ABS(T1224)&gt;=0.05,SIGN(AH1224)=SIGN(T1224)),100*T1224/AH1224,""))</f>
        <v/>
      </c>
      <c r="AX1224" s="45">
        <f>IF(AU1224="","",T1224-AV1224)</f>
        <v/>
      </c>
      <c r="AY1224" s="45">
        <f>IF(AU1224="","",AH1224-AV1224)</f>
        <v/>
      </c>
      <c r="AZ1224" s="54">
        <f>(AL1224-AM1224)-T1224*AT1224</f>
        <v/>
      </c>
      <c r="BA1224" s="43">
        <f>IF(AU1224="",0,(AH1224-T1224)*AF1224)</f>
        <v/>
      </c>
      <c r="BB1224" s="43">
        <f>IF(AU1224="",0,T1224*(AF1224-AT1224))</f>
        <v/>
      </c>
      <c r="BC1224" s="51" t="n">
        <v>0.03221663277319919</v>
      </c>
      <c r="BD1224" s="51" t="n">
        <v>0.2573049341753184</v>
      </c>
      <c r="BE1224" s="51" t="n">
        <v>0.182033096926714</v>
      </c>
      <c r="BF1224" s="43" t="n">
        <v>9343</v>
      </c>
    </row>
    <row r="1225">
      <c r="A1225" s="42" t="inlineStr">
        <is>
          <t>TX</t>
        </is>
      </c>
      <c r="B1225" s="42" t="inlineStr">
        <is>
          <t>48431</t>
        </is>
      </c>
      <c r="C1225" s="42" t="inlineStr">
        <is>
          <t>Sterling</t>
        </is>
      </c>
      <c r="D1225" s="42" t="inlineStr">
        <is>
          <t>Small town &amp; rural</t>
        </is>
      </c>
      <c r="E1225" s="42" t="inlineStr"/>
      <c r="F1225" s="43" t="n">
        <v>43</v>
      </c>
      <c r="G1225" s="43" t="n">
        <v>583</v>
      </c>
      <c r="H1225" s="43" t="n">
        <v>629</v>
      </c>
      <c r="I1225" s="43" t="n">
        <v>51</v>
      </c>
      <c r="J1225" s="43" t="n">
        <v>584</v>
      </c>
      <c r="K1225" s="42" t="inlineStr">
        <is>
          <t>Governor</t>
        </is>
      </c>
      <c r="L1225" s="43" t="n">
        <v>20</v>
      </c>
      <c r="M1225" s="43" t="n">
        <v>423</v>
      </c>
      <c r="N1225" s="43" t="n">
        <v>448</v>
      </c>
      <c r="O1225" s="44">
        <f>IFERROR((F1225-G1225)/(F1225+G1225),"")</f>
        <v/>
      </c>
      <c r="P1225" s="44">
        <f>IFERROR((I1225-J1225)/(I1225+J1225),"")</f>
        <v/>
      </c>
      <c r="Q1225" s="45">
        <f>IFERROR(O1225-P1225,"")</f>
        <v/>
      </c>
      <c r="R1225" s="44">
        <f>IFERROR((L1225-M1225)/(L1225+M1225),"")</f>
        <v/>
      </c>
      <c r="S1225" s="46">
        <f>H1225/SUMIFS(Counties!$H$2:$H$1583,Counties!$A$2:$A$1583,$A1225)</f>
        <v/>
      </c>
      <c r="T1225" s="44">
        <f>O1225+INDEX(Dashboard!$F$6:$F$22,MATCH($A1225,Dashboard!$A$6:$A$22,0))</f>
        <v/>
      </c>
      <c r="U1225" s="43">
        <f>AQ1225*INDEX(Dashboard!$G$6:$G$22,MATCH($A1225,Dashboard!$A$6:$A$22,0))</f>
        <v/>
      </c>
      <c r="V1225" s="47" t="n"/>
      <c r="W1225" s="47" t="n"/>
      <c r="X1225" s="47" t="n"/>
      <c r="Y1225" s="48" t="n"/>
      <c r="Z1225" s="49" t="n"/>
      <c r="AA1225" s="49" t="n"/>
      <c r="AB1225" s="49" t="n"/>
      <c r="AC1225" s="50" t="n"/>
      <c r="AD1225" s="43">
        <f>IF(Z1225&lt;&gt;"",Z1225,N(V1225))</f>
        <v/>
      </c>
      <c r="AE1225" s="43">
        <f>IF(AA1225&lt;&gt;"",AA1225,N(W1225))</f>
        <v/>
      </c>
      <c r="AF1225" s="43">
        <f>AD1225+AE1225</f>
        <v/>
      </c>
      <c r="AG1225" s="42">
        <f>IF(UPPER(AC1225)="Y",1,IF(AF1225=0,0,IF(AND(Z1225="",Y1225&lt;&gt;""),IF(Y1225&gt;=0.999,1,0),IF(AF1225&gt;=U1225,1,0))))</f>
        <v/>
      </c>
      <c r="AH1225" s="44">
        <f>IF(AF1225&gt;0,(AD1225-AE1225)/AF1225,"")</f>
        <v/>
      </c>
      <c r="AI1225" s="45">
        <f>IF(AG1225=1,AH1225-O1225,"")</f>
        <v/>
      </c>
      <c r="AJ1225" s="44">
        <f>IF(AG1225=1,AH1225,MAX(-1,MIN(1,O1225+INDEX(Types!$H:$H,MATCH($A1225&amp;"|"&amp;$D1225,Types!$A:$A,0)))))</f>
        <v/>
      </c>
      <c r="AK1225" s="43">
        <f>IF(AG1225=1,AF1225,MAX(AQ1225*AS1225,AF1225))</f>
        <v/>
      </c>
      <c r="AL1225" s="43">
        <f>IF(AG1225=1,AD1225,AK1225*(1+AJ1225)/2)</f>
        <v/>
      </c>
      <c r="AM1225" s="43">
        <f>IF(AG1225=1,AE1225,AK1225*(1-AJ1225)/2)</f>
        <v/>
      </c>
      <c r="AN1225" s="45">
        <f>IF(AH1225="","",AH1225-T1225)</f>
        <v/>
      </c>
      <c r="AO1225" s="51">
        <f>IF(AG1225=1,1,IF(U1225&gt;0,MIN(AF1225/U1225,0.99),0))</f>
        <v/>
      </c>
      <c r="AP1225" s="43">
        <f>IF(AG1225=1,AI1225*AF1225,0)</f>
        <v/>
      </c>
      <c r="AQ1225" s="43">
        <f>N1225*(F1225+G1225)/H1225</f>
        <v/>
      </c>
      <c r="AR1225" s="43">
        <f>O1225*AQ1225</f>
        <v/>
      </c>
      <c r="AS1225" s="52">
        <f>IF(AG1225=1,IF(AQ1225&gt;0,AF1225/AQ1225,1),IFERROR(INDEX(Types!$K:$K,MATCH($A1225&amp;"|"&amp;$D1225,Types!$A:$A,0)),INDEX(Dashboard!$X$6:$X$22,MATCH($A1225,Dashboard!$A$6:$A$22,0))))</f>
        <v/>
      </c>
      <c r="AT1225" s="43">
        <f>AQ1225*INDEX(Dashboard!$Y$6:$Y$22,MATCH($A1225,Dashboard!$A$6:$A$22,0))</f>
        <v/>
      </c>
      <c r="AU1225" s="53">
        <f>IF(AND(AG1225=1,AT1225&gt;0,AF1225&gt;0),100*AF1225/AT1225,"")</f>
        <v/>
      </c>
      <c r="AV1225" s="44">
        <f>IF(AU1225="","",T1225/(AU1225/100))</f>
        <v/>
      </c>
      <c r="AW1225" s="53">
        <f>IF(AU1225="","",IF(AND(ABS(AH1225)&gt;=0.1,ABS(T1225)&gt;=0.05,SIGN(AH1225)=SIGN(T1225)),100*T1225/AH1225,""))</f>
        <v/>
      </c>
      <c r="AX1225" s="45">
        <f>IF(AU1225="","",T1225-AV1225)</f>
        <v/>
      </c>
      <c r="AY1225" s="45">
        <f>IF(AU1225="","",AH1225-AV1225)</f>
        <v/>
      </c>
      <c r="AZ1225" s="54">
        <f>(AL1225-AM1225)-T1225*AT1225</f>
        <v/>
      </c>
      <c r="BA1225" s="43">
        <f>IF(AU1225="",0,(AH1225-T1225)*AF1225)</f>
        <v/>
      </c>
      <c r="BB1225" s="43">
        <f>IF(AU1225="",0,T1225*(AF1225-AT1225))</f>
        <v/>
      </c>
      <c r="BC1225" s="51" t="n">
        <v>0.01431639226914817</v>
      </c>
      <c r="BD1225" s="51" t="n">
        <v>0.3521832498210451</v>
      </c>
      <c r="BE1225" s="51" t="n">
        <v>0.2452350698856417</v>
      </c>
      <c r="BF1225" s="43" t="n">
        <v>1397</v>
      </c>
    </row>
    <row r="1226">
      <c r="A1226" s="42" t="inlineStr">
        <is>
          <t>TX</t>
        </is>
      </c>
      <c r="B1226" s="42" t="inlineStr">
        <is>
          <t>48433</t>
        </is>
      </c>
      <c r="C1226" s="42" t="inlineStr">
        <is>
          <t>Stonewall</t>
        </is>
      </c>
      <c r="D1226" s="42" t="inlineStr">
        <is>
          <t>Small town &amp; rural</t>
        </is>
      </c>
      <c r="E1226" s="42" t="inlineStr"/>
      <c r="F1226" s="43" t="n">
        <v>110</v>
      </c>
      <c r="G1226" s="43" t="n">
        <v>604</v>
      </c>
      <c r="H1226" s="43" t="n">
        <v>716</v>
      </c>
      <c r="I1226" s="43" t="n">
        <v>116</v>
      </c>
      <c r="J1226" s="43" t="n">
        <v>615</v>
      </c>
      <c r="K1226" s="42" t="inlineStr">
        <is>
          <t>Governor</t>
        </is>
      </c>
      <c r="L1226" s="43" t="n">
        <v>70</v>
      </c>
      <c r="M1226" s="43" t="n">
        <v>492</v>
      </c>
      <c r="N1226" s="43" t="n">
        <v>565</v>
      </c>
      <c r="O1226" s="44">
        <f>IFERROR((F1226-G1226)/(F1226+G1226),"")</f>
        <v/>
      </c>
      <c r="P1226" s="44">
        <f>IFERROR((I1226-J1226)/(I1226+J1226),"")</f>
        <v/>
      </c>
      <c r="Q1226" s="45">
        <f>IFERROR(O1226-P1226,"")</f>
        <v/>
      </c>
      <c r="R1226" s="44">
        <f>IFERROR((L1226-M1226)/(L1226+M1226),"")</f>
        <v/>
      </c>
      <c r="S1226" s="46">
        <f>H1226/SUMIFS(Counties!$H$2:$H$1583,Counties!$A$2:$A$1583,$A1226)</f>
        <v/>
      </c>
      <c r="T1226" s="44">
        <f>O1226+INDEX(Dashboard!$F$6:$F$22,MATCH($A1226,Dashboard!$A$6:$A$22,0))</f>
        <v/>
      </c>
      <c r="U1226" s="43">
        <f>AQ1226*INDEX(Dashboard!$G$6:$G$22,MATCH($A1226,Dashboard!$A$6:$A$22,0))</f>
        <v/>
      </c>
      <c r="V1226" s="47" t="n"/>
      <c r="W1226" s="47" t="n"/>
      <c r="X1226" s="47" t="n"/>
      <c r="Y1226" s="48" t="n"/>
      <c r="Z1226" s="49" t="n"/>
      <c r="AA1226" s="49" t="n"/>
      <c r="AB1226" s="49" t="n"/>
      <c r="AC1226" s="50" t="n"/>
      <c r="AD1226" s="43">
        <f>IF(Z1226&lt;&gt;"",Z1226,N(V1226))</f>
        <v/>
      </c>
      <c r="AE1226" s="43">
        <f>IF(AA1226&lt;&gt;"",AA1226,N(W1226))</f>
        <v/>
      </c>
      <c r="AF1226" s="43">
        <f>AD1226+AE1226</f>
        <v/>
      </c>
      <c r="AG1226" s="42">
        <f>IF(UPPER(AC1226)="Y",1,IF(AF1226=0,0,IF(AND(Z1226="",Y1226&lt;&gt;""),IF(Y1226&gt;=0.999,1,0),IF(AF1226&gt;=U1226,1,0))))</f>
        <v/>
      </c>
      <c r="AH1226" s="44">
        <f>IF(AF1226&gt;0,(AD1226-AE1226)/AF1226,"")</f>
        <v/>
      </c>
      <c r="AI1226" s="45">
        <f>IF(AG1226=1,AH1226-O1226,"")</f>
        <v/>
      </c>
      <c r="AJ1226" s="44">
        <f>IF(AG1226=1,AH1226,MAX(-1,MIN(1,O1226+INDEX(Types!$H:$H,MATCH($A1226&amp;"|"&amp;$D1226,Types!$A:$A,0)))))</f>
        <v/>
      </c>
      <c r="AK1226" s="43">
        <f>IF(AG1226=1,AF1226,MAX(AQ1226*AS1226,AF1226))</f>
        <v/>
      </c>
      <c r="AL1226" s="43">
        <f>IF(AG1226=1,AD1226,AK1226*(1+AJ1226)/2)</f>
        <v/>
      </c>
      <c r="AM1226" s="43">
        <f>IF(AG1226=1,AE1226,AK1226*(1-AJ1226)/2)</f>
        <v/>
      </c>
      <c r="AN1226" s="45">
        <f>IF(AH1226="","",AH1226-T1226)</f>
        <v/>
      </c>
      <c r="AO1226" s="51">
        <f>IF(AG1226=1,1,IF(U1226&gt;0,MIN(AF1226/U1226,0.99),0))</f>
        <v/>
      </c>
      <c r="AP1226" s="43">
        <f>IF(AG1226=1,AI1226*AF1226,0)</f>
        <v/>
      </c>
      <c r="AQ1226" s="43">
        <f>N1226*(F1226+G1226)/H1226</f>
        <v/>
      </c>
      <c r="AR1226" s="43">
        <f>O1226*AQ1226</f>
        <v/>
      </c>
      <c r="AS1226" s="52">
        <f>IF(AG1226=1,IF(AQ1226&gt;0,AF1226/AQ1226,1),IFERROR(INDEX(Types!$K:$K,MATCH($A1226&amp;"|"&amp;$D1226,Types!$A:$A,0)),INDEX(Dashboard!$X$6:$X$22,MATCH($A1226,Dashboard!$A$6:$A$22,0))))</f>
        <v/>
      </c>
      <c r="AT1226" s="43">
        <f>AQ1226*INDEX(Dashboard!$Y$6:$Y$22,MATCH($A1226,Dashboard!$A$6:$A$22,0))</f>
        <v/>
      </c>
      <c r="AU1226" s="53">
        <f>IF(AND(AG1226=1,AT1226&gt;0,AF1226&gt;0),100*AF1226/AT1226,"")</f>
        <v/>
      </c>
      <c r="AV1226" s="44">
        <f>IF(AU1226="","",T1226/(AU1226/100))</f>
        <v/>
      </c>
      <c r="AW1226" s="53">
        <f>IF(AU1226="","",IF(AND(ABS(AH1226)&gt;=0.1,ABS(T1226)&gt;=0.05,SIGN(AH1226)=SIGN(T1226)),100*T1226/AH1226,""))</f>
        <v/>
      </c>
      <c r="AX1226" s="45">
        <f>IF(AU1226="","",T1226-AV1226)</f>
        <v/>
      </c>
      <c r="AY1226" s="45">
        <f>IF(AU1226="","",AH1226-AV1226)</f>
        <v/>
      </c>
      <c r="AZ1226" s="54">
        <f>(AL1226-AM1226)-T1226*AT1226</f>
        <v/>
      </c>
      <c r="BA1226" s="43">
        <f>IF(AU1226="",0,(AH1226-T1226)*AF1226)</f>
        <v/>
      </c>
      <c r="BB1226" s="43">
        <f>IF(AU1226="",0,T1226*(AF1226-AT1226))</f>
        <v/>
      </c>
      <c r="BC1226" s="51" t="n">
        <v>0.03284072249589491</v>
      </c>
      <c r="BD1226" s="51" t="n">
        <v>0.2027914614121511</v>
      </c>
      <c r="BE1226" s="51" t="n">
        <v>0.1410891089108911</v>
      </c>
      <c r="BF1226" s="43" t="n">
        <v>1218</v>
      </c>
    </row>
    <row r="1227">
      <c r="A1227" s="42" t="inlineStr">
        <is>
          <t>TX</t>
        </is>
      </c>
      <c r="B1227" s="42" t="inlineStr">
        <is>
          <t>48435</t>
        </is>
      </c>
      <c r="C1227" s="42" t="inlineStr">
        <is>
          <t>Sutton</t>
        </is>
      </c>
      <c r="D1227" s="42" t="inlineStr">
        <is>
          <t>Hispanic</t>
        </is>
      </c>
      <c r="E1227" s="42" t="inlineStr"/>
      <c r="F1227" s="43" t="n">
        <v>228</v>
      </c>
      <c r="G1227" s="43" t="n">
        <v>1167</v>
      </c>
      <c r="H1227" s="43" t="n">
        <v>1400</v>
      </c>
      <c r="I1227" s="43" t="n">
        <v>322</v>
      </c>
      <c r="J1227" s="43" t="n">
        <v>1222</v>
      </c>
      <c r="K1227" s="42" t="inlineStr">
        <is>
          <t>Governor</t>
        </is>
      </c>
      <c r="L1227" s="43" t="n">
        <v>178</v>
      </c>
      <c r="M1227" s="43" t="n">
        <v>970</v>
      </c>
      <c r="N1227" s="43" t="n">
        <v>1162</v>
      </c>
      <c r="O1227" s="44">
        <f>IFERROR((F1227-G1227)/(F1227+G1227),"")</f>
        <v/>
      </c>
      <c r="P1227" s="44">
        <f>IFERROR((I1227-J1227)/(I1227+J1227),"")</f>
        <v/>
      </c>
      <c r="Q1227" s="45">
        <f>IFERROR(O1227-P1227,"")</f>
        <v/>
      </c>
      <c r="R1227" s="44">
        <f>IFERROR((L1227-M1227)/(L1227+M1227),"")</f>
        <v/>
      </c>
      <c r="S1227" s="46">
        <f>H1227/SUMIFS(Counties!$H$2:$H$1583,Counties!$A$2:$A$1583,$A1227)</f>
        <v/>
      </c>
      <c r="T1227" s="44">
        <f>O1227+INDEX(Dashboard!$F$6:$F$22,MATCH($A1227,Dashboard!$A$6:$A$22,0))</f>
        <v/>
      </c>
      <c r="U1227" s="43">
        <f>AQ1227*INDEX(Dashboard!$G$6:$G$22,MATCH($A1227,Dashboard!$A$6:$A$22,0))</f>
        <v/>
      </c>
      <c r="V1227" s="47" t="n"/>
      <c r="W1227" s="47" t="n"/>
      <c r="X1227" s="47" t="n"/>
      <c r="Y1227" s="48" t="n"/>
      <c r="Z1227" s="49" t="n"/>
      <c r="AA1227" s="49" t="n"/>
      <c r="AB1227" s="49" t="n"/>
      <c r="AC1227" s="50" t="n"/>
      <c r="AD1227" s="43">
        <f>IF(Z1227&lt;&gt;"",Z1227,N(V1227))</f>
        <v/>
      </c>
      <c r="AE1227" s="43">
        <f>IF(AA1227&lt;&gt;"",AA1227,N(W1227))</f>
        <v/>
      </c>
      <c r="AF1227" s="43">
        <f>AD1227+AE1227</f>
        <v/>
      </c>
      <c r="AG1227" s="42">
        <f>IF(UPPER(AC1227)="Y",1,IF(AF1227=0,0,IF(AND(Z1227="",Y1227&lt;&gt;""),IF(Y1227&gt;=0.999,1,0),IF(AF1227&gt;=U1227,1,0))))</f>
        <v/>
      </c>
      <c r="AH1227" s="44">
        <f>IF(AF1227&gt;0,(AD1227-AE1227)/AF1227,"")</f>
        <v/>
      </c>
      <c r="AI1227" s="45">
        <f>IF(AG1227=1,AH1227-O1227,"")</f>
        <v/>
      </c>
      <c r="AJ1227" s="44">
        <f>IF(AG1227=1,AH1227,MAX(-1,MIN(1,O1227+INDEX(Types!$H:$H,MATCH($A1227&amp;"|"&amp;$D1227,Types!$A:$A,0)))))</f>
        <v/>
      </c>
      <c r="AK1227" s="43">
        <f>IF(AG1227=1,AF1227,MAX(AQ1227*AS1227,AF1227))</f>
        <v/>
      </c>
      <c r="AL1227" s="43">
        <f>IF(AG1227=1,AD1227,AK1227*(1+AJ1227)/2)</f>
        <v/>
      </c>
      <c r="AM1227" s="43">
        <f>IF(AG1227=1,AE1227,AK1227*(1-AJ1227)/2)</f>
        <v/>
      </c>
      <c r="AN1227" s="45">
        <f>IF(AH1227="","",AH1227-T1227)</f>
        <v/>
      </c>
      <c r="AO1227" s="51">
        <f>IF(AG1227=1,1,IF(U1227&gt;0,MIN(AF1227/U1227,0.99),0))</f>
        <v/>
      </c>
      <c r="AP1227" s="43">
        <f>IF(AG1227=1,AI1227*AF1227,0)</f>
        <v/>
      </c>
      <c r="AQ1227" s="43">
        <f>N1227*(F1227+G1227)/H1227</f>
        <v/>
      </c>
      <c r="AR1227" s="43">
        <f>O1227*AQ1227</f>
        <v/>
      </c>
      <c r="AS1227" s="52">
        <f>IF(AG1227=1,IF(AQ1227&gt;0,AF1227/AQ1227,1),IFERROR(INDEX(Types!$K:$K,MATCH($A1227&amp;"|"&amp;$D1227,Types!$A:$A,0)),INDEX(Dashboard!$X$6:$X$22,MATCH($A1227,Dashboard!$A$6:$A$22,0))))</f>
        <v/>
      </c>
      <c r="AT1227" s="43">
        <f>AQ1227*INDEX(Dashboard!$Y$6:$Y$22,MATCH($A1227,Dashboard!$A$6:$A$22,0))</f>
        <v/>
      </c>
      <c r="AU1227" s="53">
        <f>IF(AND(AG1227=1,AT1227&gt;0,AF1227&gt;0),100*AF1227/AT1227,"")</f>
        <v/>
      </c>
      <c r="AV1227" s="44">
        <f>IF(AU1227="","",T1227/(AU1227/100))</f>
        <v/>
      </c>
      <c r="AW1227" s="53">
        <f>IF(AU1227="","",IF(AND(ABS(AH1227)&gt;=0.1,ABS(T1227)&gt;=0.05,SIGN(AH1227)=SIGN(T1227)),100*T1227/AH1227,""))</f>
        <v/>
      </c>
      <c r="AX1227" s="45">
        <f>IF(AU1227="","",T1227-AV1227)</f>
        <v/>
      </c>
      <c r="AY1227" s="45">
        <f>IF(AU1227="","",AH1227-AV1227)</f>
        <v/>
      </c>
      <c r="AZ1227" s="54">
        <f>(AL1227-AM1227)-T1227*AT1227</f>
        <v/>
      </c>
      <c r="BA1227" s="43">
        <f>IF(AU1227="",0,(AH1227-T1227)*AF1227)</f>
        <v/>
      </c>
      <c r="BB1227" s="43">
        <f>IF(AU1227="",0,T1227*(AF1227-AT1227))</f>
        <v/>
      </c>
      <c r="BC1227" s="51" t="n">
        <v>0.006519714374417882</v>
      </c>
      <c r="BD1227" s="51" t="n">
        <v>0.6364483079788885</v>
      </c>
      <c r="BE1227" s="51" t="n">
        <v>0.1547785547785548</v>
      </c>
      <c r="BF1227" s="43" t="n">
        <v>3221</v>
      </c>
    </row>
    <row r="1228">
      <c r="A1228" s="42" t="inlineStr">
        <is>
          <t>TX</t>
        </is>
      </c>
      <c r="B1228" s="42" t="inlineStr">
        <is>
          <t>48437</t>
        </is>
      </c>
      <c r="C1228" s="42" t="inlineStr">
        <is>
          <t>Swisher</t>
        </is>
      </c>
      <c r="D1228" s="42" t="inlineStr">
        <is>
          <t>Hispanic</t>
        </is>
      </c>
      <c r="E1228" s="42" t="inlineStr"/>
      <c r="F1228" s="43" t="n">
        <v>403</v>
      </c>
      <c r="G1228" s="43" t="n">
        <v>1840</v>
      </c>
      <c r="H1228" s="43" t="n">
        <v>2265</v>
      </c>
      <c r="I1228" s="43" t="n">
        <v>478</v>
      </c>
      <c r="J1228" s="43" t="n">
        <v>1845</v>
      </c>
      <c r="K1228" s="42" t="inlineStr">
        <is>
          <t>Governor</t>
        </is>
      </c>
      <c r="L1228" s="43" t="n">
        <v>238</v>
      </c>
      <c r="M1228" s="43" t="n">
        <v>1399</v>
      </c>
      <c r="N1228" s="43" t="n">
        <v>1665</v>
      </c>
      <c r="O1228" s="44">
        <f>IFERROR((F1228-G1228)/(F1228+G1228),"")</f>
        <v/>
      </c>
      <c r="P1228" s="44">
        <f>IFERROR((I1228-J1228)/(I1228+J1228),"")</f>
        <v/>
      </c>
      <c r="Q1228" s="45">
        <f>IFERROR(O1228-P1228,"")</f>
        <v/>
      </c>
      <c r="R1228" s="44">
        <f>IFERROR((L1228-M1228)/(L1228+M1228),"")</f>
        <v/>
      </c>
      <c r="S1228" s="46">
        <f>H1228/SUMIFS(Counties!$H$2:$H$1583,Counties!$A$2:$A$1583,$A1228)</f>
        <v/>
      </c>
      <c r="T1228" s="44">
        <f>O1228+INDEX(Dashboard!$F$6:$F$22,MATCH($A1228,Dashboard!$A$6:$A$22,0))</f>
        <v/>
      </c>
      <c r="U1228" s="43">
        <f>AQ1228*INDEX(Dashboard!$G$6:$G$22,MATCH($A1228,Dashboard!$A$6:$A$22,0))</f>
        <v/>
      </c>
      <c r="V1228" s="47" t="n"/>
      <c r="W1228" s="47" t="n"/>
      <c r="X1228" s="47" t="n"/>
      <c r="Y1228" s="48" t="n"/>
      <c r="Z1228" s="49" t="n"/>
      <c r="AA1228" s="49" t="n"/>
      <c r="AB1228" s="49" t="n"/>
      <c r="AC1228" s="50" t="n"/>
      <c r="AD1228" s="43">
        <f>IF(Z1228&lt;&gt;"",Z1228,N(V1228))</f>
        <v/>
      </c>
      <c r="AE1228" s="43">
        <f>IF(AA1228&lt;&gt;"",AA1228,N(W1228))</f>
        <v/>
      </c>
      <c r="AF1228" s="43">
        <f>AD1228+AE1228</f>
        <v/>
      </c>
      <c r="AG1228" s="42">
        <f>IF(UPPER(AC1228)="Y",1,IF(AF1228=0,0,IF(AND(Z1228="",Y1228&lt;&gt;""),IF(Y1228&gt;=0.999,1,0),IF(AF1228&gt;=U1228,1,0))))</f>
        <v/>
      </c>
      <c r="AH1228" s="44">
        <f>IF(AF1228&gt;0,(AD1228-AE1228)/AF1228,"")</f>
        <v/>
      </c>
      <c r="AI1228" s="45">
        <f>IF(AG1228=1,AH1228-O1228,"")</f>
        <v/>
      </c>
      <c r="AJ1228" s="44">
        <f>IF(AG1228=1,AH1228,MAX(-1,MIN(1,O1228+INDEX(Types!$H:$H,MATCH($A1228&amp;"|"&amp;$D1228,Types!$A:$A,0)))))</f>
        <v/>
      </c>
      <c r="AK1228" s="43">
        <f>IF(AG1228=1,AF1228,MAX(AQ1228*AS1228,AF1228))</f>
        <v/>
      </c>
      <c r="AL1228" s="43">
        <f>IF(AG1228=1,AD1228,AK1228*(1+AJ1228)/2)</f>
        <v/>
      </c>
      <c r="AM1228" s="43">
        <f>IF(AG1228=1,AE1228,AK1228*(1-AJ1228)/2)</f>
        <v/>
      </c>
      <c r="AN1228" s="45">
        <f>IF(AH1228="","",AH1228-T1228)</f>
        <v/>
      </c>
      <c r="AO1228" s="51">
        <f>IF(AG1228=1,1,IF(U1228&gt;0,MIN(AF1228/U1228,0.99),0))</f>
        <v/>
      </c>
      <c r="AP1228" s="43">
        <f>IF(AG1228=1,AI1228*AF1228,0)</f>
        <v/>
      </c>
      <c r="AQ1228" s="43">
        <f>N1228*(F1228+G1228)/H1228</f>
        <v/>
      </c>
      <c r="AR1228" s="43">
        <f>O1228*AQ1228</f>
        <v/>
      </c>
      <c r="AS1228" s="52">
        <f>IF(AG1228=1,IF(AQ1228&gt;0,AF1228/AQ1228,1),IFERROR(INDEX(Types!$K:$K,MATCH($A1228&amp;"|"&amp;$D1228,Types!$A:$A,0)),INDEX(Dashboard!$X$6:$X$22,MATCH($A1228,Dashboard!$A$6:$A$22,0))))</f>
        <v/>
      </c>
      <c r="AT1228" s="43">
        <f>AQ1228*INDEX(Dashboard!$Y$6:$Y$22,MATCH($A1228,Dashboard!$A$6:$A$22,0))</f>
        <v/>
      </c>
      <c r="AU1228" s="53">
        <f>IF(AND(AG1228=1,AT1228&gt;0,AF1228&gt;0),100*AF1228/AT1228,"")</f>
        <v/>
      </c>
      <c r="AV1228" s="44">
        <f>IF(AU1228="","",T1228/(AU1228/100))</f>
        <v/>
      </c>
      <c r="AW1228" s="53">
        <f>IF(AU1228="","",IF(AND(ABS(AH1228)&gt;=0.1,ABS(T1228)&gt;=0.05,SIGN(AH1228)=SIGN(T1228)),100*T1228/AH1228,""))</f>
        <v/>
      </c>
      <c r="AX1228" s="45">
        <f>IF(AU1228="","",T1228-AV1228)</f>
        <v/>
      </c>
      <c r="AY1228" s="45">
        <f>IF(AU1228="","",AH1228-AV1228)</f>
        <v/>
      </c>
      <c r="AZ1228" s="54">
        <f>(AL1228-AM1228)-T1228*AT1228</f>
        <v/>
      </c>
      <c r="BA1228" s="43">
        <f>IF(AU1228="",0,(AH1228-T1228)*AF1228)</f>
        <v/>
      </c>
      <c r="BB1228" s="43">
        <f>IF(AU1228="",0,T1228*(AF1228-AT1228))</f>
        <v/>
      </c>
      <c r="BC1228" s="51" t="n">
        <v>0.08109273903666427</v>
      </c>
      <c r="BD1228" s="51" t="n">
        <v>0.4671459381739755</v>
      </c>
      <c r="BE1228" s="51" t="n">
        <v>0.2013842375530252</v>
      </c>
      <c r="BF1228" s="43" t="n">
        <v>6955</v>
      </c>
    </row>
    <row r="1229">
      <c r="A1229" s="42" t="inlineStr">
        <is>
          <t>TX</t>
        </is>
      </c>
      <c r="B1229" s="42" t="inlineStr">
        <is>
          <t>48439</t>
        </is>
      </c>
      <c r="C1229" s="42" t="inlineStr">
        <is>
          <t>Tarrant</t>
        </is>
      </c>
      <c r="D1229" s="42" t="inlineStr">
        <is>
          <t>Big metro core</t>
        </is>
      </c>
      <c r="E1229" s="42" t="inlineStr">
        <is>
          <t>★</t>
        </is>
      </c>
      <c r="F1229" s="43" t="n">
        <v>384501</v>
      </c>
      <c r="G1229" s="43" t="n">
        <v>426626</v>
      </c>
      <c r="H1229" s="43" t="n">
        <v>822680</v>
      </c>
      <c r="I1229" s="43" t="n">
        <v>411567</v>
      </c>
      <c r="J1229" s="43" t="n">
        <v>409741</v>
      </c>
      <c r="K1229" s="42" t="inlineStr">
        <is>
          <t>Governor</t>
        </is>
      </c>
      <c r="L1229" s="43" t="n">
        <v>279423</v>
      </c>
      <c r="M1229" s="43" t="n">
        <v>303600</v>
      </c>
      <c r="N1229" s="43" t="n">
        <v>591368</v>
      </c>
      <c r="O1229" s="44">
        <f>IFERROR((F1229-G1229)/(F1229+G1229),"")</f>
        <v/>
      </c>
      <c r="P1229" s="44">
        <f>IFERROR((I1229-J1229)/(I1229+J1229),"")</f>
        <v/>
      </c>
      <c r="Q1229" s="45">
        <f>IFERROR(O1229-P1229,"")</f>
        <v/>
      </c>
      <c r="R1229" s="44">
        <f>IFERROR((L1229-M1229)/(L1229+M1229),"")</f>
        <v/>
      </c>
      <c r="S1229" s="46">
        <f>H1229/SUMIFS(Counties!$H$2:$H$1583,Counties!$A$2:$A$1583,$A1229)</f>
        <v/>
      </c>
      <c r="T1229" s="44">
        <f>O1229+INDEX(Dashboard!$F$6:$F$22,MATCH($A1229,Dashboard!$A$6:$A$22,0))</f>
        <v/>
      </c>
      <c r="U1229" s="43">
        <f>AQ1229*INDEX(Dashboard!$G$6:$G$22,MATCH($A1229,Dashboard!$A$6:$A$22,0))</f>
        <v/>
      </c>
      <c r="V1229" s="47" t="n"/>
      <c r="W1229" s="47" t="n"/>
      <c r="X1229" s="47" t="n"/>
      <c r="Y1229" s="48" t="n"/>
      <c r="Z1229" s="49" t="n"/>
      <c r="AA1229" s="49" t="n"/>
      <c r="AB1229" s="49" t="n"/>
      <c r="AC1229" s="50" t="n"/>
      <c r="AD1229" s="43">
        <f>IF(Z1229&lt;&gt;"",Z1229,N(V1229))</f>
        <v/>
      </c>
      <c r="AE1229" s="43">
        <f>IF(AA1229&lt;&gt;"",AA1229,N(W1229))</f>
        <v/>
      </c>
      <c r="AF1229" s="43">
        <f>AD1229+AE1229</f>
        <v/>
      </c>
      <c r="AG1229" s="42">
        <f>IF(UPPER(AC1229)="Y",1,IF(AF1229=0,0,IF(AND(Z1229="",Y1229&lt;&gt;""),IF(Y1229&gt;=0.999,1,0),IF(AF1229&gt;=U1229,1,0))))</f>
        <v/>
      </c>
      <c r="AH1229" s="44">
        <f>IF(AF1229&gt;0,(AD1229-AE1229)/AF1229,"")</f>
        <v/>
      </c>
      <c r="AI1229" s="45">
        <f>IF(AG1229=1,AH1229-O1229,"")</f>
        <v/>
      </c>
      <c r="AJ1229" s="44">
        <f>IF(AG1229=1,AH1229,MAX(-1,MIN(1,O1229+INDEX(Types!$H:$H,MATCH($A1229&amp;"|"&amp;$D1229,Types!$A:$A,0)))))</f>
        <v/>
      </c>
      <c r="AK1229" s="43">
        <f>IF(AG1229=1,AF1229,MAX(AQ1229*AS1229,AF1229))</f>
        <v/>
      </c>
      <c r="AL1229" s="43">
        <f>IF(AG1229=1,AD1229,AK1229*(1+AJ1229)/2)</f>
        <v/>
      </c>
      <c r="AM1229" s="43">
        <f>IF(AG1229=1,AE1229,AK1229*(1-AJ1229)/2)</f>
        <v/>
      </c>
      <c r="AN1229" s="45">
        <f>IF(AH1229="","",AH1229-T1229)</f>
        <v/>
      </c>
      <c r="AO1229" s="51">
        <f>IF(AG1229=1,1,IF(U1229&gt;0,MIN(AF1229/U1229,0.99),0))</f>
        <v/>
      </c>
      <c r="AP1229" s="43">
        <f>IF(AG1229=1,AI1229*AF1229,0)</f>
        <v/>
      </c>
      <c r="AQ1229" s="43">
        <f>N1229*(F1229+G1229)/H1229</f>
        <v/>
      </c>
      <c r="AR1229" s="43">
        <f>O1229*AQ1229</f>
        <v/>
      </c>
      <c r="AS1229" s="52">
        <f>IF(AG1229=1,IF(AQ1229&gt;0,AF1229/AQ1229,1),IFERROR(INDEX(Types!$K:$K,MATCH($A1229&amp;"|"&amp;$D1229,Types!$A:$A,0)),INDEX(Dashboard!$X$6:$X$22,MATCH($A1229,Dashboard!$A$6:$A$22,0))))</f>
        <v/>
      </c>
      <c r="AT1229" s="43">
        <f>AQ1229*INDEX(Dashboard!$Y$6:$Y$22,MATCH($A1229,Dashboard!$A$6:$A$22,0))</f>
        <v/>
      </c>
      <c r="AU1229" s="53">
        <f>IF(AND(AG1229=1,AT1229&gt;0,AF1229&gt;0),100*AF1229/AT1229,"")</f>
        <v/>
      </c>
      <c r="AV1229" s="44">
        <f>IF(AU1229="","",T1229/(AU1229/100))</f>
        <v/>
      </c>
      <c r="AW1229" s="53">
        <f>IF(AU1229="","",IF(AND(ABS(AH1229)&gt;=0.1,ABS(T1229)&gt;=0.05,SIGN(AH1229)=SIGN(T1229)),100*T1229/AH1229,""))</f>
        <v/>
      </c>
      <c r="AX1229" s="45">
        <f>IF(AU1229="","",T1229-AV1229)</f>
        <v/>
      </c>
      <c r="AY1229" s="45">
        <f>IF(AU1229="","",AH1229-AV1229)</f>
        <v/>
      </c>
      <c r="AZ1229" s="54">
        <f>(AL1229-AM1229)-T1229*AT1229</f>
        <v/>
      </c>
      <c r="BA1229" s="43">
        <f>IF(AU1229="",0,(AH1229-T1229)*AF1229)</f>
        <v/>
      </c>
      <c r="BB1229" s="43">
        <f>IF(AU1229="",0,T1229*(AF1229-AT1229))</f>
        <v/>
      </c>
      <c r="BC1229" s="51" t="n">
        <v>0.1838061116463203</v>
      </c>
      <c r="BD1229" s="51" t="n">
        <v>0.3050628347825211</v>
      </c>
      <c r="BE1229" s="51" t="n">
        <v>0.3454800143900141</v>
      </c>
      <c r="BF1229" s="43" t="n">
        <v>2182947</v>
      </c>
    </row>
    <row r="1230">
      <c r="A1230" s="42" t="inlineStr">
        <is>
          <t>TX</t>
        </is>
      </c>
      <c r="B1230" s="42" t="inlineStr">
        <is>
          <t>48441</t>
        </is>
      </c>
      <c r="C1230" s="42" t="inlineStr">
        <is>
          <t>Taylor</t>
        </is>
      </c>
      <c r="D1230" s="42" t="inlineStr">
        <is>
          <t>Mid-size/working metro</t>
        </is>
      </c>
      <c r="E1230" s="42" t="inlineStr"/>
      <c r="F1230" s="43" t="n">
        <v>13624</v>
      </c>
      <c r="G1230" s="43" t="n">
        <v>41198</v>
      </c>
      <c r="H1230" s="43" t="n">
        <v>55386</v>
      </c>
      <c r="I1230" s="43" t="n">
        <v>14588</v>
      </c>
      <c r="J1230" s="43" t="n">
        <v>39547</v>
      </c>
      <c r="K1230" s="42" t="inlineStr">
        <is>
          <t>Governor</t>
        </is>
      </c>
      <c r="L1230" s="43" t="n">
        <v>8878</v>
      </c>
      <c r="M1230" s="43" t="n">
        <v>29974</v>
      </c>
      <c r="N1230" s="43" t="n">
        <v>39411</v>
      </c>
      <c r="O1230" s="44">
        <f>IFERROR((F1230-G1230)/(F1230+G1230),"")</f>
        <v/>
      </c>
      <c r="P1230" s="44">
        <f>IFERROR((I1230-J1230)/(I1230+J1230),"")</f>
        <v/>
      </c>
      <c r="Q1230" s="45">
        <f>IFERROR(O1230-P1230,"")</f>
        <v/>
      </c>
      <c r="R1230" s="44">
        <f>IFERROR((L1230-M1230)/(L1230+M1230),"")</f>
        <v/>
      </c>
      <c r="S1230" s="46">
        <f>H1230/SUMIFS(Counties!$H$2:$H$1583,Counties!$A$2:$A$1583,$A1230)</f>
        <v/>
      </c>
      <c r="T1230" s="44">
        <f>O1230+INDEX(Dashboard!$F$6:$F$22,MATCH($A1230,Dashboard!$A$6:$A$22,0))</f>
        <v/>
      </c>
      <c r="U1230" s="43">
        <f>AQ1230*INDEX(Dashboard!$G$6:$G$22,MATCH($A1230,Dashboard!$A$6:$A$22,0))</f>
        <v/>
      </c>
      <c r="V1230" s="47" t="n"/>
      <c r="W1230" s="47" t="n"/>
      <c r="X1230" s="47" t="n"/>
      <c r="Y1230" s="48" t="n"/>
      <c r="Z1230" s="49" t="n"/>
      <c r="AA1230" s="49" t="n"/>
      <c r="AB1230" s="49" t="n"/>
      <c r="AC1230" s="50" t="n"/>
      <c r="AD1230" s="43">
        <f>IF(Z1230&lt;&gt;"",Z1230,N(V1230))</f>
        <v/>
      </c>
      <c r="AE1230" s="43">
        <f>IF(AA1230&lt;&gt;"",AA1230,N(W1230))</f>
        <v/>
      </c>
      <c r="AF1230" s="43">
        <f>AD1230+AE1230</f>
        <v/>
      </c>
      <c r="AG1230" s="42">
        <f>IF(UPPER(AC1230)="Y",1,IF(AF1230=0,0,IF(AND(Z1230="",Y1230&lt;&gt;""),IF(Y1230&gt;=0.999,1,0),IF(AF1230&gt;=U1230,1,0))))</f>
        <v/>
      </c>
      <c r="AH1230" s="44">
        <f>IF(AF1230&gt;0,(AD1230-AE1230)/AF1230,"")</f>
        <v/>
      </c>
      <c r="AI1230" s="45">
        <f>IF(AG1230=1,AH1230-O1230,"")</f>
        <v/>
      </c>
      <c r="AJ1230" s="44">
        <f>IF(AG1230=1,AH1230,MAX(-1,MIN(1,O1230+INDEX(Types!$H:$H,MATCH($A1230&amp;"|"&amp;$D1230,Types!$A:$A,0)))))</f>
        <v/>
      </c>
      <c r="AK1230" s="43">
        <f>IF(AG1230=1,AF1230,MAX(AQ1230*AS1230,AF1230))</f>
        <v/>
      </c>
      <c r="AL1230" s="43">
        <f>IF(AG1230=1,AD1230,AK1230*(1+AJ1230)/2)</f>
        <v/>
      </c>
      <c r="AM1230" s="43">
        <f>IF(AG1230=1,AE1230,AK1230*(1-AJ1230)/2)</f>
        <v/>
      </c>
      <c r="AN1230" s="45">
        <f>IF(AH1230="","",AH1230-T1230)</f>
        <v/>
      </c>
      <c r="AO1230" s="51">
        <f>IF(AG1230=1,1,IF(U1230&gt;0,MIN(AF1230/U1230,0.99),0))</f>
        <v/>
      </c>
      <c r="AP1230" s="43">
        <f>IF(AG1230=1,AI1230*AF1230,0)</f>
        <v/>
      </c>
      <c r="AQ1230" s="43">
        <f>N1230*(F1230+G1230)/H1230</f>
        <v/>
      </c>
      <c r="AR1230" s="43">
        <f>O1230*AQ1230</f>
        <v/>
      </c>
      <c r="AS1230" s="52">
        <f>IF(AG1230=1,IF(AQ1230&gt;0,AF1230/AQ1230,1),IFERROR(INDEX(Types!$K:$K,MATCH($A1230&amp;"|"&amp;$D1230,Types!$A:$A,0)),INDEX(Dashboard!$X$6:$X$22,MATCH($A1230,Dashboard!$A$6:$A$22,0))))</f>
        <v/>
      </c>
      <c r="AT1230" s="43">
        <f>AQ1230*INDEX(Dashboard!$Y$6:$Y$22,MATCH($A1230,Dashboard!$A$6:$A$22,0))</f>
        <v/>
      </c>
      <c r="AU1230" s="53">
        <f>IF(AND(AG1230=1,AT1230&gt;0,AF1230&gt;0),100*AF1230/AT1230,"")</f>
        <v/>
      </c>
      <c r="AV1230" s="44">
        <f>IF(AU1230="","",T1230/(AU1230/100))</f>
        <v/>
      </c>
      <c r="AW1230" s="53">
        <f>IF(AU1230="","",IF(AND(ABS(AH1230)&gt;=0.1,ABS(T1230)&gt;=0.05,SIGN(AH1230)=SIGN(T1230)),100*T1230/AH1230,""))</f>
        <v/>
      </c>
      <c r="AX1230" s="45">
        <f>IF(AU1230="","",T1230-AV1230)</f>
        <v/>
      </c>
      <c r="AY1230" s="45">
        <f>IF(AU1230="","",AH1230-AV1230)</f>
        <v/>
      </c>
      <c r="AZ1230" s="54">
        <f>(AL1230-AM1230)-T1230*AT1230</f>
        <v/>
      </c>
      <c r="BA1230" s="43">
        <f>IF(AU1230="",0,(AH1230-T1230)*AF1230)</f>
        <v/>
      </c>
      <c r="BB1230" s="43">
        <f>IF(AU1230="",0,T1230*(AF1230-AT1230))</f>
        <v/>
      </c>
      <c r="BC1230" s="51" t="n">
        <v>0.08030728159306982</v>
      </c>
      <c r="BD1230" s="51" t="n">
        <v>0.2544267073469721</v>
      </c>
      <c r="BE1230" s="51" t="n">
        <v>0.2900993452246557</v>
      </c>
      <c r="BF1230" s="43" t="n">
        <v>146836</v>
      </c>
    </row>
    <row r="1231">
      <c r="A1231" s="42" t="inlineStr">
        <is>
          <t>TX</t>
        </is>
      </c>
      <c r="B1231" s="42" t="inlineStr">
        <is>
          <t>48443</t>
        </is>
      </c>
      <c r="C1231" s="42" t="inlineStr">
        <is>
          <t>Terrell</t>
        </is>
      </c>
      <c r="D1231" s="42" t="inlineStr">
        <is>
          <t>Hispanic</t>
        </is>
      </c>
      <c r="E1231" s="42" t="inlineStr"/>
      <c r="F1231" s="43" t="n">
        <v>91</v>
      </c>
      <c r="G1231" s="43" t="n">
        <v>314</v>
      </c>
      <c r="H1231" s="43" t="n">
        <v>405</v>
      </c>
      <c r="I1231" s="43" t="n">
        <v>119</v>
      </c>
      <c r="J1231" s="43" t="n">
        <v>334</v>
      </c>
      <c r="K1231" s="42" t="inlineStr">
        <is>
          <t>Governor</t>
        </is>
      </c>
      <c r="L1231" s="43" t="n">
        <v>94</v>
      </c>
      <c r="M1231" s="43" t="n">
        <v>326</v>
      </c>
      <c r="N1231" s="43" t="n">
        <v>426</v>
      </c>
      <c r="O1231" s="44">
        <f>IFERROR((F1231-G1231)/(F1231+G1231),"")</f>
        <v/>
      </c>
      <c r="P1231" s="44">
        <f>IFERROR((I1231-J1231)/(I1231+J1231),"")</f>
        <v/>
      </c>
      <c r="Q1231" s="45">
        <f>IFERROR(O1231-P1231,"")</f>
        <v/>
      </c>
      <c r="R1231" s="44">
        <f>IFERROR((L1231-M1231)/(L1231+M1231),"")</f>
        <v/>
      </c>
      <c r="S1231" s="46">
        <f>H1231/SUMIFS(Counties!$H$2:$H$1583,Counties!$A$2:$A$1583,$A1231)</f>
        <v/>
      </c>
      <c r="T1231" s="44">
        <f>O1231+INDEX(Dashboard!$F$6:$F$22,MATCH($A1231,Dashboard!$A$6:$A$22,0))</f>
        <v/>
      </c>
      <c r="U1231" s="43">
        <f>AQ1231*INDEX(Dashboard!$G$6:$G$22,MATCH($A1231,Dashboard!$A$6:$A$22,0))</f>
        <v/>
      </c>
      <c r="V1231" s="47" t="n"/>
      <c r="W1231" s="47" t="n"/>
      <c r="X1231" s="47" t="n"/>
      <c r="Y1231" s="48" t="n"/>
      <c r="Z1231" s="49" t="n"/>
      <c r="AA1231" s="49" t="n"/>
      <c r="AB1231" s="49" t="n"/>
      <c r="AC1231" s="50" t="n"/>
      <c r="AD1231" s="43">
        <f>IF(Z1231&lt;&gt;"",Z1231,N(V1231))</f>
        <v/>
      </c>
      <c r="AE1231" s="43">
        <f>IF(AA1231&lt;&gt;"",AA1231,N(W1231))</f>
        <v/>
      </c>
      <c r="AF1231" s="43">
        <f>AD1231+AE1231</f>
        <v/>
      </c>
      <c r="AG1231" s="42">
        <f>IF(UPPER(AC1231)="Y",1,IF(AF1231=0,0,IF(AND(Z1231="",Y1231&lt;&gt;""),IF(Y1231&gt;=0.999,1,0),IF(AF1231&gt;=U1231,1,0))))</f>
        <v/>
      </c>
      <c r="AH1231" s="44">
        <f>IF(AF1231&gt;0,(AD1231-AE1231)/AF1231,"")</f>
        <v/>
      </c>
      <c r="AI1231" s="45">
        <f>IF(AG1231=1,AH1231-O1231,"")</f>
        <v/>
      </c>
      <c r="AJ1231" s="44">
        <f>IF(AG1231=1,AH1231,MAX(-1,MIN(1,O1231+INDEX(Types!$H:$H,MATCH($A1231&amp;"|"&amp;$D1231,Types!$A:$A,0)))))</f>
        <v/>
      </c>
      <c r="AK1231" s="43">
        <f>IF(AG1231=1,AF1231,MAX(AQ1231*AS1231,AF1231))</f>
        <v/>
      </c>
      <c r="AL1231" s="43">
        <f>IF(AG1231=1,AD1231,AK1231*(1+AJ1231)/2)</f>
        <v/>
      </c>
      <c r="AM1231" s="43">
        <f>IF(AG1231=1,AE1231,AK1231*(1-AJ1231)/2)</f>
        <v/>
      </c>
      <c r="AN1231" s="45">
        <f>IF(AH1231="","",AH1231-T1231)</f>
        <v/>
      </c>
      <c r="AO1231" s="51">
        <f>IF(AG1231=1,1,IF(U1231&gt;0,MIN(AF1231/U1231,0.99),0))</f>
        <v/>
      </c>
      <c r="AP1231" s="43">
        <f>IF(AG1231=1,AI1231*AF1231,0)</f>
        <v/>
      </c>
      <c r="AQ1231" s="43">
        <f>N1231*(F1231+G1231)/H1231</f>
        <v/>
      </c>
      <c r="AR1231" s="43">
        <f>O1231*AQ1231</f>
        <v/>
      </c>
      <c r="AS1231" s="52">
        <f>IF(AG1231=1,IF(AQ1231&gt;0,AF1231/AQ1231,1),IFERROR(INDEX(Types!$K:$K,MATCH($A1231&amp;"|"&amp;$D1231,Types!$A:$A,0)),INDEX(Dashboard!$X$6:$X$22,MATCH($A1231,Dashboard!$A$6:$A$22,0))))</f>
        <v/>
      </c>
      <c r="AT1231" s="43">
        <f>AQ1231*INDEX(Dashboard!$Y$6:$Y$22,MATCH($A1231,Dashboard!$A$6:$A$22,0))</f>
        <v/>
      </c>
      <c r="AU1231" s="53">
        <f>IF(AND(AG1231=1,AT1231&gt;0,AF1231&gt;0),100*AF1231/AT1231,"")</f>
        <v/>
      </c>
      <c r="AV1231" s="44">
        <f>IF(AU1231="","",T1231/(AU1231/100))</f>
        <v/>
      </c>
      <c r="AW1231" s="53">
        <f>IF(AU1231="","",IF(AND(ABS(AH1231)&gt;=0.1,ABS(T1231)&gt;=0.05,SIGN(AH1231)=SIGN(T1231)),100*T1231/AH1231,""))</f>
        <v/>
      </c>
      <c r="AX1231" s="45">
        <f>IF(AU1231="","",T1231-AV1231)</f>
        <v/>
      </c>
      <c r="AY1231" s="45">
        <f>IF(AU1231="","",AH1231-AV1231)</f>
        <v/>
      </c>
      <c r="AZ1231" s="54">
        <f>(AL1231-AM1231)-T1231*AT1231</f>
        <v/>
      </c>
      <c r="BA1231" s="43">
        <f>IF(AU1231="",0,(AH1231-T1231)*AF1231)</f>
        <v/>
      </c>
      <c r="BB1231" s="43">
        <f>IF(AU1231="",0,T1231*(AF1231-AT1231))</f>
        <v/>
      </c>
      <c r="BC1231" s="51" t="n">
        <v>0.01746724890829694</v>
      </c>
      <c r="BD1231" s="51" t="n">
        <v>0.4992721979621543</v>
      </c>
      <c r="BE1231" s="51" t="n">
        <v>0.323404255319149</v>
      </c>
      <c r="BF1231" s="43" t="n">
        <v>687</v>
      </c>
    </row>
    <row r="1232">
      <c r="A1232" s="42" t="inlineStr">
        <is>
          <t>TX</t>
        </is>
      </c>
      <c r="B1232" s="42" t="inlineStr">
        <is>
          <t>48445</t>
        </is>
      </c>
      <c r="C1232" s="42" t="inlineStr">
        <is>
          <t>Terry</t>
        </is>
      </c>
      <c r="D1232" s="42" t="inlineStr">
        <is>
          <t>Hispanic</t>
        </is>
      </c>
      <c r="E1232" s="42" t="inlineStr"/>
      <c r="F1232" s="43" t="n">
        <v>587</v>
      </c>
      <c r="G1232" s="43" t="n">
        <v>2815</v>
      </c>
      <c r="H1232" s="43" t="n">
        <v>3419</v>
      </c>
      <c r="I1232" s="43" t="n">
        <v>757</v>
      </c>
      <c r="J1232" s="43" t="n">
        <v>2812</v>
      </c>
      <c r="K1232" s="42" t="inlineStr">
        <is>
          <t>Governor</t>
        </is>
      </c>
      <c r="L1232" s="43" t="n">
        <v>377</v>
      </c>
      <c r="M1232" s="43" t="n">
        <v>2167</v>
      </c>
      <c r="N1232" s="43" t="n">
        <v>2590</v>
      </c>
      <c r="O1232" s="44">
        <f>IFERROR((F1232-G1232)/(F1232+G1232),"")</f>
        <v/>
      </c>
      <c r="P1232" s="44">
        <f>IFERROR((I1232-J1232)/(I1232+J1232),"")</f>
        <v/>
      </c>
      <c r="Q1232" s="45">
        <f>IFERROR(O1232-P1232,"")</f>
        <v/>
      </c>
      <c r="R1232" s="44">
        <f>IFERROR((L1232-M1232)/(L1232+M1232),"")</f>
        <v/>
      </c>
      <c r="S1232" s="46">
        <f>H1232/SUMIFS(Counties!$H$2:$H$1583,Counties!$A$2:$A$1583,$A1232)</f>
        <v/>
      </c>
      <c r="T1232" s="44">
        <f>O1232+INDEX(Dashboard!$F$6:$F$22,MATCH($A1232,Dashboard!$A$6:$A$22,0))</f>
        <v/>
      </c>
      <c r="U1232" s="43">
        <f>AQ1232*INDEX(Dashboard!$G$6:$G$22,MATCH($A1232,Dashboard!$A$6:$A$22,0))</f>
        <v/>
      </c>
      <c r="V1232" s="47" t="n"/>
      <c r="W1232" s="47" t="n"/>
      <c r="X1232" s="47" t="n"/>
      <c r="Y1232" s="48" t="n"/>
      <c r="Z1232" s="49" t="n"/>
      <c r="AA1232" s="49" t="n"/>
      <c r="AB1232" s="49" t="n"/>
      <c r="AC1232" s="50" t="n"/>
      <c r="AD1232" s="43">
        <f>IF(Z1232&lt;&gt;"",Z1232,N(V1232))</f>
        <v/>
      </c>
      <c r="AE1232" s="43">
        <f>IF(AA1232&lt;&gt;"",AA1232,N(W1232))</f>
        <v/>
      </c>
      <c r="AF1232" s="43">
        <f>AD1232+AE1232</f>
        <v/>
      </c>
      <c r="AG1232" s="42">
        <f>IF(UPPER(AC1232)="Y",1,IF(AF1232=0,0,IF(AND(Z1232="",Y1232&lt;&gt;""),IF(Y1232&gt;=0.999,1,0),IF(AF1232&gt;=U1232,1,0))))</f>
        <v/>
      </c>
      <c r="AH1232" s="44">
        <f>IF(AF1232&gt;0,(AD1232-AE1232)/AF1232,"")</f>
        <v/>
      </c>
      <c r="AI1232" s="45">
        <f>IF(AG1232=1,AH1232-O1232,"")</f>
        <v/>
      </c>
      <c r="AJ1232" s="44">
        <f>IF(AG1232=1,AH1232,MAX(-1,MIN(1,O1232+INDEX(Types!$H:$H,MATCH($A1232&amp;"|"&amp;$D1232,Types!$A:$A,0)))))</f>
        <v/>
      </c>
      <c r="AK1232" s="43">
        <f>IF(AG1232=1,AF1232,MAX(AQ1232*AS1232,AF1232))</f>
        <v/>
      </c>
      <c r="AL1232" s="43">
        <f>IF(AG1232=1,AD1232,AK1232*(1+AJ1232)/2)</f>
        <v/>
      </c>
      <c r="AM1232" s="43">
        <f>IF(AG1232=1,AE1232,AK1232*(1-AJ1232)/2)</f>
        <v/>
      </c>
      <c r="AN1232" s="45">
        <f>IF(AH1232="","",AH1232-T1232)</f>
        <v/>
      </c>
      <c r="AO1232" s="51">
        <f>IF(AG1232=1,1,IF(U1232&gt;0,MIN(AF1232/U1232,0.99),0))</f>
        <v/>
      </c>
      <c r="AP1232" s="43">
        <f>IF(AG1232=1,AI1232*AF1232,0)</f>
        <v/>
      </c>
      <c r="AQ1232" s="43">
        <f>N1232*(F1232+G1232)/H1232</f>
        <v/>
      </c>
      <c r="AR1232" s="43">
        <f>O1232*AQ1232</f>
        <v/>
      </c>
      <c r="AS1232" s="52">
        <f>IF(AG1232=1,IF(AQ1232&gt;0,AF1232/AQ1232,1),IFERROR(INDEX(Types!$K:$K,MATCH($A1232&amp;"|"&amp;$D1232,Types!$A:$A,0)),INDEX(Dashboard!$X$6:$X$22,MATCH($A1232,Dashboard!$A$6:$A$22,0))))</f>
        <v/>
      </c>
      <c r="AT1232" s="43">
        <f>AQ1232*INDEX(Dashboard!$Y$6:$Y$22,MATCH($A1232,Dashboard!$A$6:$A$22,0))</f>
        <v/>
      </c>
      <c r="AU1232" s="53">
        <f>IF(AND(AG1232=1,AT1232&gt;0,AF1232&gt;0),100*AF1232/AT1232,"")</f>
        <v/>
      </c>
      <c r="AV1232" s="44">
        <f>IF(AU1232="","",T1232/(AU1232/100))</f>
        <v/>
      </c>
      <c r="AW1232" s="53">
        <f>IF(AU1232="","",IF(AND(ABS(AH1232)&gt;=0.1,ABS(T1232)&gt;=0.05,SIGN(AH1232)=SIGN(T1232)),100*T1232/AH1232,""))</f>
        <v/>
      </c>
      <c r="AX1232" s="45">
        <f>IF(AU1232="","",T1232-AV1232)</f>
        <v/>
      </c>
      <c r="AY1232" s="45">
        <f>IF(AU1232="","",AH1232-AV1232)</f>
        <v/>
      </c>
      <c r="AZ1232" s="54">
        <f>(AL1232-AM1232)-T1232*AT1232</f>
        <v/>
      </c>
      <c r="BA1232" s="43">
        <f>IF(AU1232="",0,(AH1232-T1232)*AF1232)</f>
        <v/>
      </c>
      <c r="BB1232" s="43">
        <f>IF(AU1232="",0,T1232*(AF1232-AT1232))</f>
        <v/>
      </c>
      <c r="BC1232" s="51" t="n">
        <v>0.03775872521001126</v>
      </c>
      <c r="BD1232" s="51" t="n">
        <v>0.5719234433186109</v>
      </c>
      <c r="BE1232" s="51" t="n">
        <v>0.1096520915121159</v>
      </c>
      <c r="BF1232" s="43" t="n">
        <v>11547</v>
      </c>
    </row>
    <row r="1233">
      <c r="A1233" s="42" t="inlineStr">
        <is>
          <t>TX</t>
        </is>
      </c>
      <c r="B1233" s="42" t="inlineStr">
        <is>
          <t>48447</t>
        </is>
      </c>
      <c r="C1233" s="42" t="inlineStr">
        <is>
          <t>Throckmorton</t>
        </is>
      </c>
      <c r="D1233" s="42" t="inlineStr">
        <is>
          <t>Small town &amp; rural</t>
        </is>
      </c>
      <c r="E1233" s="42" t="inlineStr"/>
      <c r="F1233" s="43" t="n">
        <v>73</v>
      </c>
      <c r="G1233" s="43" t="n">
        <v>823</v>
      </c>
      <c r="H1233" s="43" t="n">
        <v>900</v>
      </c>
      <c r="I1233" s="43" t="n">
        <v>82</v>
      </c>
      <c r="J1233" s="43" t="n">
        <v>806</v>
      </c>
      <c r="K1233" s="42" t="inlineStr">
        <is>
          <t>Governor</t>
        </is>
      </c>
      <c r="L1233" s="43" t="n">
        <v>51</v>
      </c>
      <c r="M1233" s="43" t="n">
        <v>612</v>
      </c>
      <c r="N1233" s="43" t="n">
        <v>667</v>
      </c>
      <c r="O1233" s="44">
        <f>IFERROR((F1233-G1233)/(F1233+G1233),"")</f>
        <v/>
      </c>
      <c r="P1233" s="44">
        <f>IFERROR((I1233-J1233)/(I1233+J1233),"")</f>
        <v/>
      </c>
      <c r="Q1233" s="45">
        <f>IFERROR(O1233-P1233,"")</f>
        <v/>
      </c>
      <c r="R1233" s="44">
        <f>IFERROR((L1233-M1233)/(L1233+M1233),"")</f>
        <v/>
      </c>
      <c r="S1233" s="46">
        <f>H1233/SUMIFS(Counties!$H$2:$H$1583,Counties!$A$2:$A$1583,$A1233)</f>
        <v/>
      </c>
      <c r="T1233" s="44">
        <f>O1233+INDEX(Dashboard!$F$6:$F$22,MATCH($A1233,Dashboard!$A$6:$A$22,0))</f>
        <v/>
      </c>
      <c r="U1233" s="43">
        <f>AQ1233*INDEX(Dashboard!$G$6:$G$22,MATCH($A1233,Dashboard!$A$6:$A$22,0))</f>
        <v/>
      </c>
      <c r="V1233" s="47" t="n"/>
      <c r="W1233" s="47" t="n"/>
      <c r="X1233" s="47" t="n"/>
      <c r="Y1233" s="48" t="n"/>
      <c r="Z1233" s="49" t="n"/>
      <c r="AA1233" s="49" t="n"/>
      <c r="AB1233" s="49" t="n"/>
      <c r="AC1233" s="50" t="n"/>
      <c r="AD1233" s="43">
        <f>IF(Z1233&lt;&gt;"",Z1233,N(V1233))</f>
        <v/>
      </c>
      <c r="AE1233" s="43">
        <f>IF(AA1233&lt;&gt;"",AA1233,N(W1233))</f>
        <v/>
      </c>
      <c r="AF1233" s="43">
        <f>AD1233+AE1233</f>
        <v/>
      </c>
      <c r="AG1233" s="42">
        <f>IF(UPPER(AC1233)="Y",1,IF(AF1233=0,0,IF(AND(Z1233="",Y1233&lt;&gt;""),IF(Y1233&gt;=0.999,1,0),IF(AF1233&gt;=U1233,1,0))))</f>
        <v/>
      </c>
      <c r="AH1233" s="44">
        <f>IF(AF1233&gt;0,(AD1233-AE1233)/AF1233,"")</f>
        <v/>
      </c>
      <c r="AI1233" s="45">
        <f>IF(AG1233=1,AH1233-O1233,"")</f>
        <v/>
      </c>
      <c r="AJ1233" s="44">
        <f>IF(AG1233=1,AH1233,MAX(-1,MIN(1,O1233+INDEX(Types!$H:$H,MATCH($A1233&amp;"|"&amp;$D1233,Types!$A:$A,0)))))</f>
        <v/>
      </c>
      <c r="AK1233" s="43">
        <f>IF(AG1233=1,AF1233,MAX(AQ1233*AS1233,AF1233))</f>
        <v/>
      </c>
      <c r="AL1233" s="43">
        <f>IF(AG1233=1,AD1233,AK1233*(1+AJ1233)/2)</f>
        <v/>
      </c>
      <c r="AM1233" s="43">
        <f>IF(AG1233=1,AE1233,AK1233*(1-AJ1233)/2)</f>
        <v/>
      </c>
      <c r="AN1233" s="45">
        <f>IF(AH1233="","",AH1233-T1233)</f>
        <v/>
      </c>
      <c r="AO1233" s="51">
        <f>IF(AG1233=1,1,IF(U1233&gt;0,MIN(AF1233/U1233,0.99),0))</f>
        <v/>
      </c>
      <c r="AP1233" s="43">
        <f>IF(AG1233=1,AI1233*AF1233,0)</f>
        <v/>
      </c>
      <c r="AQ1233" s="43">
        <f>N1233*(F1233+G1233)/H1233</f>
        <v/>
      </c>
      <c r="AR1233" s="43">
        <f>O1233*AQ1233</f>
        <v/>
      </c>
      <c r="AS1233" s="52">
        <f>IF(AG1233=1,IF(AQ1233&gt;0,AF1233/AQ1233,1),IFERROR(INDEX(Types!$K:$K,MATCH($A1233&amp;"|"&amp;$D1233,Types!$A:$A,0)),INDEX(Dashboard!$X$6:$X$22,MATCH($A1233,Dashboard!$A$6:$A$22,0))))</f>
        <v/>
      </c>
      <c r="AT1233" s="43">
        <f>AQ1233*INDEX(Dashboard!$Y$6:$Y$22,MATCH($A1233,Dashboard!$A$6:$A$22,0))</f>
        <v/>
      </c>
      <c r="AU1233" s="53">
        <f>IF(AND(AG1233=1,AT1233&gt;0,AF1233&gt;0),100*AF1233/AT1233,"")</f>
        <v/>
      </c>
      <c r="AV1233" s="44">
        <f>IF(AU1233="","",T1233/(AU1233/100))</f>
        <v/>
      </c>
      <c r="AW1233" s="53">
        <f>IF(AU1233="","",IF(AND(ABS(AH1233)&gt;=0.1,ABS(T1233)&gt;=0.05,SIGN(AH1233)=SIGN(T1233)),100*T1233/AH1233,""))</f>
        <v/>
      </c>
      <c r="AX1233" s="45">
        <f>IF(AU1233="","",T1233-AV1233)</f>
        <v/>
      </c>
      <c r="AY1233" s="45">
        <f>IF(AU1233="","",AH1233-AV1233)</f>
        <v/>
      </c>
      <c r="AZ1233" s="54">
        <f>(AL1233-AM1233)-T1233*AT1233</f>
        <v/>
      </c>
      <c r="BA1233" s="43">
        <f>IF(AU1233="",0,(AH1233-T1233)*AF1233)</f>
        <v/>
      </c>
      <c r="BB1233" s="43">
        <f>IF(AU1233="",0,T1233*(AF1233-AT1233))</f>
        <v/>
      </c>
      <c r="BC1233" s="51" t="n">
        <v>0.01179554390563565</v>
      </c>
      <c r="BD1233" s="51" t="n">
        <v>0.1205766710353866</v>
      </c>
      <c r="BE1233" s="51" t="n">
        <v>0.2497801231310466</v>
      </c>
      <c r="BF1233" s="43" t="n">
        <v>1526</v>
      </c>
    </row>
    <row r="1234">
      <c r="A1234" s="42" t="inlineStr">
        <is>
          <t>TX</t>
        </is>
      </c>
      <c r="B1234" s="42" t="inlineStr">
        <is>
          <t>48449</t>
        </is>
      </c>
      <c r="C1234" s="42" t="inlineStr">
        <is>
          <t>Titus</t>
        </is>
      </c>
      <c r="D1234" s="42" t="inlineStr">
        <is>
          <t>Hispanic</t>
        </is>
      </c>
      <c r="E1234" s="42" t="inlineStr"/>
      <c r="F1234" s="43" t="n">
        <v>2275</v>
      </c>
      <c r="G1234" s="43" t="n">
        <v>7861</v>
      </c>
      <c r="H1234" s="43" t="n">
        <v>10208</v>
      </c>
      <c r="I1234" s="43" t="n">
        <v>2856</v>
      </c>
      <c r="J1234" s="43" t="n">
        <v>7570</v>
      </c>
      <c r="K1234" s="42" t="inlineStr">
        <is>
          <t>Governor</t>
        </is>
      </c>
      <c r="L1234" s="43" t="n">
        <v>1535</v>
      </c>
      <c r="M1234" s="43" t="n">
        <v>5701</v>
      </c>
      <c r="N1234" s="43" t="n">
        <v>7324</v>
      </c>
      <c r="O1234" s="44">
        <f>IFERROR((F1234-G1234)/(F1234+G1234),"")</f>
        <v/>
      </c>
      <c r="P1234" s="44">
        <f>IFERROR((I1234-J1234)/(I1234+J1234),"")</f>
        <v/>
      </c>
      <c r="Q1234" s="45">
        <f>IFERROR(O1234-P1234,"")</f>
        <v/>
      </c>
      <c r="R1234" s="44">
        <f>IFERROR((L1234-M1234)/(L1234+M1234),"")</f>
        <v/>
      </c>
      <c r="S1234" s="46">
        <f>H1234/SUMIFS(Counties!$H$2:$H$1583,Counties!$A$2:$A$1583,$A1234)</f>
        <v/>
      </c>
      <c r="T1234" s="44">
        <f>O1234+INDEX(Dashboard!$F$6:$F$22,MATCH($A1234,Dashboard!$A$6:$A$22,0))</f>
        <v/>
      </c>
      <c r="U1234" s="43">
        <f>AQ1234*INDEX(Dashboard!$G$6:$G$22,MATCH($A1234,Dashboard!$A$6:$A$22,0))</f>
        <v/>
      </c>
      <c r="V1234" s="47" t="n"/>
      <c r="W1234" s="47" t="n"/>
      <c r="X1234" s="47" t="n"/>
      <c r="Y1234" s="48" t="n"/>
      <c r="Z1234" s="49" t="n"/>
      <c r="AA1234" s="49" t="n"/>
      <c r="AB1234" s="49" t="n"/>
      <c r="AC1234" s="50" t="n"/>
      <c r="AD1234" s="43">
        <f>IF(Z1234&lt;&gt;"",Z1234,N(V1234))</f>
        <v/>
      </c>
      <c r="AE1234" s="43">
        <f>IF(AA1234&lt;&gt;"",AA1234,N(W1234))</f>
        <v/>
      </c>
      <c r="AF1234" s="43">
        <f>AD1234+AE1234</f>
        <v/>
      </c>
      <c r="AG1234" s="42">
        <f>IF(UPPER(AC1234)="Y",1,IF(AF1234=0,0,IF(AND(Z1234="",Y1234&lt;&gt;""),IF(Y1234&gt;=0.999,1,0),IF(AF1234&gt;=U1234,1,0))))</f>
        <v/>
      </c>
      <c r="AH1234" s="44">
        <f>IF(AF1234&gt;0,(AD1234-AE1234)/AF1234,"")</f>
        <v/>
      </c>
      <c r="AI1234" s="45">
        <f>IF(AG1234=1,AH1234-O1234,"")</f>
        <v/>
      </c>
      <c r="AJ1234" s="44">
        <f>IF(AG1234=1,AH1234,MAX(-1,MIN(1,O1234+INDEX(Types!$H:$H,MATCH($A1234&amp;"|"&amp;$D1234,Types!$A:$A,0)))))</f>
        <v/>
      </c>
      <c r="AK1234" s="43">
        <f>IF(AG1234=1,AF1234,MAX(AQ1234*AS1234,AF1234))</f>
        <v/>
      </c>
      <c r="AL1234" s="43">
        <f>IF(AG1234=1,AD1234,AK1234*(1+AJ1234)/2)</f>
        <v/>
      </c>
      <c r="AM1234" s="43">
        <f>IF(AG1234=1,AE1234,AK1234*(1-AJ1234)/2)</f>
        <v/>
      </c>
      <c r="AN1234" s="45">
        <f>IF(AH1234="","",AH1234-T1234)</f>
        <v/>
      </c>
      <c r="AO1234" s="51">
        <f>IF(AG1234=1,1,IF(U1234&gt;0,MIN(AF1234/U1234,0.99),0))</f>
        <v/>
      </c>
      <c r="AP1234" s="43">
        <f>IF(AG1234=1,AI1234*AF1234,0)</f>
        <v/>
      </c>
      <c r="AQ1234" s="43">
        <f>N1234*(F1234+G1234)/H1234</f>
        <v/>
      </c>
      <c r="AR1234" s="43">
        <f>O1234*AQ1234</f>
        <v/>
      </c>
      <c r="AS1234" s="52">
        <f>IF(AG1234=1,IF(AQ1234&gt;0,AF1234/AQ1234,1),IFERROR(INDEX(Types!$K:$K,MATCH($A1234&amp;"|"&amp;$D1234,Types!$A:$A,0)),INDEX(Dashboard!$X$6:$X$22,MATCH($A1234,Dashboard!$A$6:$A$22,0))))</f>
        <v/>
      </c>
      <c r="AT1234" s="43">
        <f>AQ1234*INDEX(Dashboard!$Y$6:$Y$22,MATCH($A1234,Dashboard!$A$6:$A$22,0))</f>
        <v/>
      </c>
      <c r="AU1234" s="53">
        <f>IF(AND(AG1234=1,AT1234&gt;0,AF1234&gt;0),100*AF1234/AT1234,"")</f>
        <v/>
      </c>
      <c r="AV1234" s="44">
        <f>IF(AU1234="","",T1234/(AU1234/100))</f>
        <v/>
      </c>
      <c r="AW1234" s="53">
        <f>IF(AU1234="","",IF(AND(ABS(AH1234)&gt;=0.1,ABS(T1234)&gt;=0.05,SIGN(AH1234)=SIGN(T1234)),100*T1234/AH1234,""))</f>
        <v/>
      </c>
      <c r="AX1234" s="45">
        <f>IF(AU1234="","",T1234-AV1234)</f>
        <v/>
      </c>
      <c r="AY1234" s="45">
        <f>IF(AU1234="","",AH1234-AV1234)</f>
        <v/>
      </c>
      <c r="AZ1234" s="54">
        <f>(AL1234-AM1234)-T1234*AT1234</f>
        <v/>
      </c>
      <c r="BA1234" s="43">
        <f>IF(AU1234="",0,(AH1234-T1234)*AF1234)</f>
        <v/>
      </c>
      <c r="BB1234" s="43">
        <f>IF(AU1234="",0,T1234*(AF1234-AT1234))</f>
        <v/>
      </c>
      <c r="BC1234" s="51" t="n">
        <v>0.09213253818924004</v>
      </c>
      <c r="BD1234" s="51" t="n">
        <v>0.4543802021877093</v>
      </c>
      <c r="BE1234" s="51" t="n">
        <v>0.1540151205557826</v>
      </c>
      <c r="BF1234" s="43" t="n">
        <v>31357</v>
      </c>
    </row>
    <row r="1235">
      <c r="A1235" s="42" t="inlineStr">
        <is>
          <t>TX</t>
        </is>
      </c>
      <c r="B1235" s="42" t="inlineStr">
        <is>
          <t>48451</t>
        </is>
      </c>
      <c r="C1235" s="42" t="inlineStr">
        <is>
          <t>Tom Green</t>
        </is>
      </c>
      <c r="D1235" s="42" t="inlineStr">
        <is>
          <t>Hispanic</t>
        </is>
      </c>
      <c r="E1235" s="42" t="inlineStr"/>
      <c r="F1235" s="43" t="n">
        <v>11585</v>
      </c>
      <c r="G1235" s="43" t="n">
        <v>33399</v>
      </c>
      <c r="H1235" s="43" t="n">
        <v>45438</v>
      </c>
      <c r="I1235" s="43" t="n">
        <v>12239</v>
      </c>
      <c r="J1235" s="43" t="n">
        <v>32313</v>
      </c>
      <c r="K1235" s="42" t="inlineStr">
        <is>
          <t>Governor</t>
        </is>
      </c>
      <c r="L1235" s="43" t="n">
        <v>7516</v>
      </c>
      <c r="M1235" s="43" t="n">
        <v>23873</v>
      </c>
      <c r="N1235" s="43" t="n">
        <v>31858</v>
      </c>
      <c r="O1235" s="44">
        <f>IFERROR((F1235-G1235)/(F1235+G1235),"")</f>
        <v/>
      </c>
      <c r="P1235" s="44">
        <f>IFERROR((I1235-J1235)/(I1235+J1235),"")</f>
        <v/>
      </c>
      <c r="Q1235" s="45">
        <f>IFERROR(O1235-P1235,"")</f>
        <v/>
      </c>
      <c r="R1235" s="44">
        <f>IFERROR((L1235-M1235)/(L1235+M1235),"")</f>
        <v/>
      </c>
      <c r="S1235" s="46">
        <f>H1235/SUMIFS(Counties!$H$2:$H$1583,Counties!$A$2:$A$1583,$A1235)</f>
        <v/>
      </c>
      <c r="T1235" s="44">
        <f>O1235+INDEX(Dashboard!$F$6:$F$22,MATCH($A1235,Dashboard!$A$6:$A$22,0))</f>
        <v/>
      </c>
      <c r="U1235" s="43">
        <f>AQ1235*INDEX(Dashboard!$G$6:$G$22,MATCH($A1235,Dashboard!$A$6:$A$22,0))</f>
        <v/>
      </c>
      <c r="V1235" s="47" t="n"/>
      <c r="W1235" s="47" t="n"/>
      <c r="X1235" s="47" t="n"/>
      <c r="Y1235" s="48" t="n"/>
      <c r="Z1235" s="49" t="n"/>
      <c r="AA1235" s="49" t="n"/>
      <c r="AB1235" s="49" t="n"/>
      <c r="AC1235" s="50" t="n"/>
      <c r="AD1235" s="43">
        <f>IF(Z1235&lt;&gt;"",Z1235,N(V1235))</f>
        <v/>
      </c>
      <c r="AE1235" s="43">
        <f>IF(AA1235&lt;&gt;"",AA1235,N(W1235))</f>
        <v/>
      </c>
      <c r="AF1235" s="43">
        <f>AD1235+AE1235</f>
        <v/>
      </c>
      <c r="AG1235" s="42">
        <f>IF(UPPER(AC1235)="Y",1,IF(AF1235=0,0,IF(AND(Z1235="",Y1235&lt;&gt;""),IF(Y1235&gt;=0.999,1,0),IF(AF1235&gt;=U1235,1,0))))</f>
        <v/>
      </c>
      <c r="AH1235" s="44">
        <f>IF(AF1235&gt;0,(AD1235-AE1235)/AF1235,"")</f>
        <v/>
      </c>
      <c r="AI1235" s="45">
        <f>IF(AG1235=1,AH1235-O1235,"")</f>
        <v/>
      </c>
      <c r="AJ1235" s="44">
        <f>IF(AG1235=1,AH1235,MAX(-1,MIN(1,O1235+INDEX(Types!$H:$H,MATCH($A1235&amp;"|"&amp;$D1235,Types!$A:$A,0)))))</f>
        <v/>
      </c>
      <c r="AK1235" s="43">
        <f>IF(AG1235=1,AF1235,MAX(AQ1235*AS1235,AF1235))</f>
        <v/>
      </c>
      <c r="AL1235" s="43">
        <f>IF(AG1235=1,AD1235,AK1235*(1+AJ1235)/2)</f>
        <v/>
      </c>
      <c r="AM1235" s="43">
        <f>IF(AG1235=1,AE1235,AK1235*(1-AJ1235)/2)</f>
        <v/>
      </c>
      <c r="AN1235" s="45">
        <f>IF(AH1235="","",AH1235-T1235)</f>
        <v/>
      </c>
      <c r="AO1235" s="51">
        <f>IF(AG1235=1,1,IF(U1235&gt;0,MIN(AF1235/U1235,0.99),0))</f>
        <v/>
      </c>
      <c r="AP1235" s="43">
        <f>IF(AG1235=1,AI1235*AF1235,0)</f>
        <v/>
      </c>
      <c r="AQ1235" s="43">
        <f>N1235*(F1235+G1235)/H1235</f>
        <v/>
      </c>
      <c r="AR1235" s="43">
        <f>O1235*AQ1235</f>
        <v/>
      </c>
      <c r="AS1235" s="52">
        <f>IF(AG1235=1,IF(AQ1235&gt;0,AF1235/AQ1235,1),IFERROR(INDEX(Types!$K:$K,MATCH($A1235&amp;"|"&amp;$D1235,Types!$A:$A,0)),INDEX(Dashboard!$X$6:$X$22,MATCH($A1235,Dashboard!$A$6:$A$22,0))))</f>
        <v/>
      </c>
      <c r="AT1235" s="43">
        <f>AQ1235*INDEX(Dashboard!$Y$6:$Y$22,MATCH($A1235,Dashboard!$A$6:$A$22,0))</f>
        <v/>
      </c>
      <c r="AU1235" s="53">
        <f>IF(AND(AG1235=1,AT1235&gt;0,AF1235&gt;0),100*AF1235/AT1235,"")</f>
        <v/>
      </c>
      <c r="AV1235" s="44">
        <f>IF(AU1235="","",T1235/(AU1235/100))</f>
        <v/>
      </c>
      <c r="AW1235" s="53">
        <f>IF(AU1235="","",IF(AND(ABS(AH1235)&gt;=0.1,ABS(T1235)&gt;=0.05,SIGN(AH1235)=SIGN(T1235)),100*T1235/AH1235,""))</f>
        <v/>
      </c>
      <c r="AX1235" s="45">
        <f>IF(AU1235="","",T1235-AV1235)</f>
        <v/>
      </c>
      <c r="AY1235" s="45">
        <f>IF(AU1235="","",AH1235-AV1235)</f>
        <v/>
      </c>
      <c r="AZ1235" s="54">
        <f>(AL1235-AM1235)-T1235*AT1235</f>
        <v/>
      </c>
      <c r="BA1235" s="43">
        <f>IF(AU1235="",0,(AH1235-T1235)*AF1235)</f>
        <v/>
      </c>
      <c r="BB1235" s="43">
        <f>IF(AU1235="",0,T1235*(AF1235-AT1235))</f>
        <v/>
      </c>
      <c r="BC1235" s="51" t="n">
        <v>0.03520162611186239</v>
      </c>
      <c r="BD1235" s="51" t="n">
        <v>0.4122731128787052</v>
      </c>
      <c r="BE1235" s="51" t="n">
        <v>0.2511717004022732</v>
      </c>
      <c r="BF1235" s="43" t="n">
        <v>119057</v>
      </c>
    </row>
    <row r="1236">
      <c r="A1236" s="42" t="inlineStr">
        <is>
          <t>TX</t>
        </is>
      </c>
      <c r="B1236" s="42" t="inlineStr">
        <is>
          <t>48453</t>
        </is>
      </c>
      <c r="C1236" s="42" t="inlineStr">
        <is>
          <t>Travis</t>
        </is>
      </c>
      <c r="D1236" s="42" t="inlineStr">
        <is>
          <t>Big metro core</t>
        </is>
      </c>
      <c r="E1236" s="42" t="inlineStr">
        <is>
          <t>★</t>
        </is>
      </c>
      <c r="F1236" s="43" t="n">
        <v>398981</v>
      </c>
      <c r="G1236" s="43" t="n">
        <v>170787</v>
      </c>
      <c r="H1236" s="43" t="n">
        <v>580285</v>
      </c>
      <c r="I1236" s="43" t="n">
        <v>435860</v>
      </c>
      <c r="J1236" s="43" t="n">
        <v>161337</v>
      </c>
      <c r="K1236" s="42" t="inlineStr">
        <is>
          <t>Governor</t>
        </is>
      </c>
      <c r="L1236" s="43" t="n">
        <v>335810</v>
      </c>
      <c r="M1236" s="43" t="n">
        <v>119577</v>
      </c>
      <c r="N1236" s="43" t="n">
        <v>462597</v>
      </c>
      <c r="O1236" s="44">
        <f>IFERROR((F1236-G1236)/(F1236+G1236),"")</f>
        <v/>
      </c>
      <c r="P1236" s="44">
        <f>IFERROR((I1236-J1236)/(I1236+J1236),"")</f>
        <v/>
      </c>
      <c r="Q1236" s="45">
        <f>IFERROR(O1236-P1236,"")</f>
        <v/>
      </c>
      <c r="R1236" s="44">
        <f>IFERROR((L1236-M1236)/(L1236+M1236),"")</f>
        <v/>
      </c>
      <c r="S1236" s="46">
        <f>H1236/SUMIFS(Counties!$H$2:$H$1583,Counties!$A$2:$A$1583,$A1236)</f>
        <v/>
      </c>
      <c r="T1236" s="44">
        <f>O1236+INDEX(Dashboard!$F$6:$F$22,MATCH($A1236,Dashboard!$A$6:$A$22,0))</f>
        <v/>
      </c>
      <c r="U1236" s="43">
        <f>AQ1236*INDEX(Dashboard!$G$6:$G$22,MATCH($A1236,Dashboard!$A$6:$A$22,0))</f>
        <v/>
      </c>
      <c r="V1236" s="47" t="n"/>
      <c r="W1236" s="47" t="n"/>
      <c r="X1236" s="47" t="n"/>
      <c r="Y1236" s="48" t="n"/>
      <c r="Z1236" s="49" t="n"/>
      <c r="AA1236" s="49" t="n"/>
      <c r="AB1236" s="49" t="n"/>
      <c r="AC1236" s="50" t="n"/>
      <c r="AD1236" s="43">
        <f>IF(Z1236&lt;&gt;"",Z1236,N(V1236))</f>
        <v/>
      </c>
      <c r="AE1236" s="43">
        <f>IF(AA1236&lt;&gt;"",AA1236,N(W1236))</f>
        <v/>
      </c>
      <c r="AF1236" s="43">
        <f>AD1236+AE1236</f>
        <v/>
      </c>
      <c r="AG1236" s="42">
        <f>IF(UPPER(AC1236)="Y",1,IF(AF1236=0,0,IF(AND(Z1236="",Y1236&lt;&gt;""),IF(Y1236&gt;=0.999,1,0),IF(AF1236&gt;=U1236,1,0))))</f>
        <v/>
      </c>
      <c r="AH1236" s="44">
        <f>IF(AF1236&gt;0,(AD1236-AE1236)/AF1236,"")</f>
        <v/>
      </c>
      <c r="AI1236" s="45">
        <f>IF(AG1236=1,AH1236-O1236,"")</f>
        <v/>
      </c>
      <c r="AJ1236" s="44">
        <f>IF(AG1236=1,AH1236,MAX(-1,MIN(1,O1236+INDEX(Types!$H:$H,MATCH($A1236&amp;"|"&amp;$D1236,Types!$A:$A,0)))))</f>
        <v/>
      </c>
      <c r="AK1236" s="43">
        <f>IF(AG1236=1,AF1236,MAX(AQ1236*AS1236,AF1236))</f>
        <v/>
      </c>
      <c r="AL1236" s="43">
        <f>IF(AG1236=1,AD1236,AK1236*(1+AJ1236)/2)</f>
        <v/>
      </c>
      <c r="AM1236" s="43">
        <f>IF(AG1236=1,AE1236,AK1236*(1-AJ1236)/2)</f>
        <v/>
      </c>
      <c r="AN1236" s="45">
        <f>IF(AH1236="","",AH1236-T1236)</f>
        <v/>
      </c>
      <c r="AO1236" s="51">
        <f>IF(AG1236=1,1,IF(U1236&gt;0,MIN(AF1236/U1236,0.99),0))</f>
        <v/>
      </c>
      <c r="AP1236" s="43">
        <f>IF(AG1236=1,AI1236*AF1236,0)</f>
        <v/>
      </c>
      <c r="AQ1236" s="43">
        <f>N1236*(F1236+G1236)/H1236</f>
        <v/>
      </c>
      <c r="AR1236" s="43">
        <f>O1236*AQ1236</f>
        <v/>
      </c>
      <c r="AS1236" s="52">
        <f>IF(AG1236=1,IF(AQ1236&gt;0,AF1236/AQ1236,1),IFERROR(INDEX(Types!$K:$K,MATCH($A1236&amp;"|"&amp;$D1236,Types!$A:$A,0)),INDEX(Dashboard!$X$6:$X$22,MATCH($A1236,Dashboard!$A$6:$A$22,0))))</f>
        <v/>
      </c>
      <c r="AT1236" s="43">
        <f>AQ1236*INDEX(Dashboard!$Y$6:$Y$22,MATCH($A1236,Dashboard!$A$6:$A$22,0))</f>
        <v/>
      </c>
      <c r="AU1236" s="53">
        <f>IF(AND(AG1236=1,AT1236&gt;0,AF1236&gt;0),100*AF1236/AT1236,"")</f>
        <v/>
      </c>
      <c r="AV1236" s="44">
        <f>IF(AU1236="","",T1236/(AU1236/100))</f>
        <v/>
      </c>
      <c r="AW1236" s="53">
        <f>IF(AU1236="","",IF(AND(ABS(AH1236)&gt;=0.1,ABS(T1236)&gt;=0.05,SIGN(AH1236)=SIGN(T1236)),100*T1236/AH1236,""))</f>
        <v/>
      </c>
      <c r="AX1236" s="45">
        <f>IF(AU1236="","",T1236-AV1236)</f>
        <v/>
      </c>
      <c r="AY1236" s="45">
        <f>IF(AU1236="","",AH1236-AV1236)</f>
        <v/>
      </c>
      <c r="AZ1236" s="54">
        <f>(AL1236-AM1236)-T1236*AT1236</f>
        <v/>
      </c>
      <c r="BA1236" s="43">
        <f>IF(AU1236="",0,(AH1236-T1236)*AF1236)</f>
        <v/>
      </c>
      <c r="BB1236" s="43">
        <f>IF(AU1236="",0,T1236*(AF1236-AT1236))</f>
        <v/>
      </c>
      <c r="BC1236" s="51" t="n">
        <v>0.0860774209883285</v>
      </c>
      <c r="BD1236" s="51" t="n">
        <v>0.3237263111057177</v>
      </c>
      <c r="BE1236" s="51" t="n">
        <v>0.5551476844009333</v>
      </c>
      <c r="BF1236" s="43" t="n">
        <v>1334961</v>
      </c>
    </row>
    <row r="1237">
      <c r="A1237" s="42" t="inlineStr">
        <is>
          <t>TX</t>
        </is>
      </c>
      <c r="B1237" s="42" t="inlineStr">
        <is>
          <t>48455</t>
        </is>
      </c>
      <c r="C1237" s="42" t="inlineStr">
        <is>
          <t>Trinity</t>
        </is>
      </c>
      <c r="D1237" s="42" t="inlineStr">
        <is>
          <t>Small town &amp; rural</t>
        </is>
      </c>
      <c r="E1237" s="42" t="inlineStr"/>
      <c r="F1237" s="43" t="n">
        <v>1195</v>
      </c>
      <c r="G1237" s="43" t="n">
        <v>6136</v>
      </c>
      <c r="H1237" s="43" t="n">
        <v>7374</v>
      </c>
      <c r="I1237" s="43" t="n">
        <v>1323</v>
      </c>
      <c r="J1237" s="43" t="n">
        <v>5579</v>
      </c>
      <c r="K1237" s="42" t="inlineStr">
        <is>
          <t>Governor</t>
        </is>
      </c>
      <c r="L1237" s="43" t="n">
        <v>825</v>
      </c>
      <c r="M1237" s="43" t="n">
        <v>4465</v>
      </c>
      <c r="N1237" s="43" t="n">
        <v>5341</v>
      </c>
      <c r="O1237" s="44">
        <f>IFERROR((F1237-G1237)/(F1237+G1237),"")</f>
        <v/>
      </c>
      <c r="P1237" s="44">
        <f>IFERROR((I1237-J1237)/(I1237+J1237),"")</f>
        <v/>
      </c>
      <c r="Q1237" s="45">
        <f>IFERROR(O1237-P1237,"")</f>
        <v/>
      </c>
      <c r="R1237" s="44">
        <f>IFERROR((L1237-M1237)/(L1237+M1237),"")</f>
        <v/>
      </c>
      <c r="S1237" s="46">
        <f>H1237/SUMIFS(Counties!$H$2:$H$1583,Counties!$A$2:$A$1583,$A1237)</f>
        <v/>
      </c>
      <c r="T1237" s="44">
        <f>O1237+INDEX(Dashboard!$F$6:$F$22,MATCH($A1237,Dashboard!$A$6:$A$22,0))</f>
        <v/>
      </c>
      <c r="U1237" s="43">
        <f>AQ1237*INDEX(Dashboard!$G$6:$G$22,MATCH($A1237,Dashboard!$A$6:$A$22,0))</f>
        <v/>
      </c>
      <c r="V1237" s="47" t="n"/>
      <c r="W1237" s="47" t="n"/>
      <c r="X1237" s="47" t="n"/>
      <c r="Y1237" s="48" t="n"/>
      <c r="Z1237" s="49" t="n"/>
      <c r="AA1237" s="49" t="n"/>
      <c r="AB1237" s="49" t="n"/>
      <c r="AC1237" s="50" t="n"/>
      <c r="AD1237" s="43">
        <f>IF(Z1237&lt;&gt;"",Z1237,N(V1237))</f>
        <v/>
      </c>
      <c r="AE1237" s="43">
        <f>IF(AA1237&lt;&gt;"",AA1237,N(W1237))</f>
        <v/>
      </c>
      <c r="AF1237" s="43">
        <f>AD1237+AE1237</f>
        <v/>
      </c>
      <c r="AG1237" s="42">
        <f>IF(UPPER(AC1237)="Y",1,IF(AF1237=0,0,IF(AND(Z1237="",Y1237&lt;&gt;""),IF(Y1237&gt;=0.999,1,0),IF(AF1237&gt;=U1237,1,0))))</f>
        <v/>
      </c>
      <c r="AH1237" s="44">
        <f>IF(AF1237&gt;0,(AD1237-AE1237)/AF1237,"")</f>
        <v/>
      </c>
      <c r="AI1237" s="45">
        <f>IF(AG1237=1,AH1237-O1237,"")</f>
        <v/>
      </c>
      <c r="AJ1237" s="44">
        <f>IF(AG1237=1,AH1237,MAX(-1,MIN(1,O1237+INDEX(Types!$H:$H,MATCH($A1237&amp;"|"&amp;$D1237,Types!$A:$A,0)))))</f>
        <v/>
      </c>
      <c r="AK1237" s="43">
        <f>IF(AG1237=1,AF1237,MAX(AQ1237*AS1237,AF1237))</f>
        <v/>
      </c>
      <c r="AL1237" s="43">
        <f>IF(AG1237=1,AD1237,AK1237*(1+AJ1237)/2)</f>
        <v/>
      </c>
      <c r="AM1237" s="43">
        <f>IF(AG1237=1,AE1237,AK1237*(1-AJ1237)/2)</f>
        <v/>
      </c>
      <c r="AN1237" s="45">
        <f>IF(AH1237="","",AH1237-T1237)</f>
        <v/>
      </c>
      <c r="AO1237" s="51">
        <f>IF(AG1237=1,1,IF(U1237&gt;0,MIN(AF1237/U1237,0.99),0))</f>
        <v/>
      </c>
      <c r="AP1237" s="43">
        <f>IF(AG1237=1,AI1237*AF1237,0)</f>
        <v/>
      </c>
      <c r="AQ1237" s="43">
        <f>N1237*(F1237+G1237)/H1237</f>
        <v/>
      </c>
      <c r="AR1237" s="43">
        <f>O1237*AQ1237</f>
        <v/>
      </c>
      <c r="AS1237" s="52">
        <f>IF(AG1237=1,IF(AQ1237&gt;0,AF1237/AQ1237,1),IFERROR(INDEX(Types!$K:$K,MATCH($A1237&amp;"|"&amp;$D1237,Types!$A:$A,0)),INDEX(Dashboard!$X$6:$X$22,MATCH($A1237,Dashboard!$A$6:$A$22,0))))</f>
        <v/>
      </c>
      <c r="AT1237" s="43">
        <f>AQ1237*INDEX(Dashboard!$Y$6:$Y$22,MATCH($A1237,Dashboard!$A$6:$A$22,0))</f>
        <v/>
      </c>
      <c r="AU1237" s="53">
        <f>IF(AND(AG1237=1,AT1237&gt;0,AF1237&gt;0),100*AF1237/AT1237,"")</f>
        <v/>
      </c>
      <c r="AV1237" s="44">
        <f>IF(AU1237="","",T1237/(AU1237/100))</f>
        <v/>
      </c>
      <c r="AW1237" s="53">
        <f>IF(AU1237="","",IF(AND(ABS(AH1237)&gt;=0.1,ABS(T1237)&gt;=0.05,SIGN(AH1237)=SIGN(T1237)),100*T1237/AH1237,""))</f>
        <v/>
      </c>
      <c r="AX1237" s="45">
        <f>IF(AU1237="","",T1237-AV1237)</f>
        <v/>
      </c>
      <c r="AY1237" s="45">
        <f>IF(AU1237="","",AH1237-AV1237)</f>
        <v/>
      </c>
      <c r="AZ1237" s="54">
        <f>(AL1237-AM1237)-T1237*AT1237</f>
        <v/>
      </c>
      <c r="BA1237" s="43">
        <f>IF(AU1237="",0,(AH1237-T1237)*AF1237)</f>
        <v/>
      </c>
      <c r="BB1237" s="43">
        <f>IF(AU1237="",0,T1237*(AF1237-AT1237))</f>
        <v/>
      </c>
      <c r="BC1237" s="51" t="n">
        <v>0.08469215631149846</v>
      </c>
      <c r="BD1237" s="51" t="n">
        <v>0.1196232780432949</v>
      </c>
      <c r="BE1237" s="51" t="n">
        <v>0.1589449767855379</v>
      </c>
      <c r="BF1237" s="43" t="n">
        <v>14228</v>
      </c>
    </row>
    <row r="1238">
      <c r="A1238" s="42" t="inlineStr">
        <is>
          <t>TX</t>
        </is>
      </c>
      <c r="B1238" s="42" t="inlineStr">
        <is>
          <t>48457</t>
        </is>
      </c>
      <c r="C1238" s="42" t="inlineStr">
        <is>
          <t>Tyler</t>
        </is>
      </c>
      <c r="D1238" s="42" t="inlineStr">
        <is>
          <t>Small town &amp; rural</t>
        </is>
      </c>
      <c r="E1238" s="42" t="inlineStr"/>
      <c r="F1238" s="43" t="n">
        <v>1249</v>
      </c>
      <c r="G1238" s="43" t="n">
        <v>8286</v>
      </c>
      <c r="H1238" s="43" t="n">
        <v>9577</v>
      </c>
      <c r="I1238" s="43" t="n">
        <v>1403</v>
      </c>
      <c r="J1238" s="43" t="n">
        <v>8194</v>
      </c>
      <c r="K1238" s="42" t="inlineStr">
        <is>
          <t>Governor</t>
        </is>
      </c>
      <c r="L1238" s="43" t="n">
        <v>816</v>
      </c>
      <c r="M1238" s="43" t="n">
        <v>6343</v>
      </c>
      <c r="N1238" s="43" t="n">
        <v>7242</v>
      </c>
      <c r="O1238" s="44">
        <f>IFERROR((F1238-G1238)/(F1238+G1238),"")</f>
        <v/>
      </c>
      <c r="P1238" s="44">
        <f>IFERROR((I1238-J1238)/(I1238+J1238),"")</f>
        <v/>
      </c>
      <c r="Q1238" s="45">
        <f>IFERROR(O1238-P1238,"")</f>
        <v/>
      </c>
      <c r="R1238" s="44">
        <f>IFERROR((L1238-M1238)/(L1238+M1238),"")</f>
        <v/>
      </c>
      <c r="S1238" s="46">
        <f>H1238/SUMIFS(Counties!$H$2:$H$1583,Counties!$A$2:$A$1583,$A1238)</f>
        <v/>
      </c>
      <c r="T1238" s="44">
        <f>O1238+INDEX(Dashboard!$F$6:$F$22,MATCH($A1238,Dashboard!$A$6:$A$22,0))</f>
        <v/>
      </c>
      <c r="U1238" s="43">
        <f>AQ1238*INDEX(Dashboard!$G$6:$G$22,MATCH($A1238,Dashboard!$A$6:$A$22,0))</f>
        <v/>
      </c>
      <c r="V1238" s="47" t="n"/>
      <c r="W1238" s="47" t="n"/>
      <c r="X1238" s="47" t="n"/>
      <c r="Y1238" s="48" t="n"/>
      <c r="Z1238" s="49" t="n"/>
      <c r="AA1238" s="49" t="n"/>
      <c r="AB1238" s="49" t="n"/>
      <c r="AC1238" s="50" t="n"/>
      <c r="AD1238" s="43">
        <f>IF(Z1238&lt;&gt;"",Z1238,N(V1238))</f>
        <v/>
      </c>
      <c r="AE1238" s="43">
        <f>IF(AA1238&lt;&gt;"",AA1238,N(W1238))</f>
        <v/>
      </c>
      <c r="AF1238" s="43">
        <f>AD1238+AE1238</f>
        <v/>
      </c>
      <c r="AG1238" s="42">
        <f>IF(UPPER(AC1238)="Y",1,IF(AF1238=0,0,IF(AND(Z1238="",Y1238&lt;&gt;""),IF(Y1238&gt;=0.999,1,0),IF(AF1238&gt;=U1238,1,0))))</f>
        <v/>
      </c>
      <c r="AH1238" s="44">
        <f>IF(AF1238&gt;0,(AD1238-AE1238)/AF1238,"")</f>
        <v/>
      </c>
      <c r="AI1238" s="45">
        <f>IF(AG1238=1,AH1238-O1238,"")</f>
        <v/>
      </c>
      <c r="AJ1238" s="44">
        <f>IF(AG1238=1,AH1238,MAX(-1,MIN(1,O1238+INDEX(Types!$H:$H,MATCH($A1238&amp;"|"&amp;$D1238,Types!$A:$A,0)))))</f>
        <v/>
      </c>
      <c r="AK1238" s="43">
        <f>IF(AG1238=1,AF1238,MAX(AQ1238*AS1238,AF1238))</f>
        <v/>
      </c>
      <c r="AL1238" s="43">
        <f>IF(AG1238=1,AD1238,AK1238*(1+AJ1238)/2)</f>
        <v/>
      </c>
      <c r="AM1238" s="43">
        <f>IF(AG1238=1,AE1238,AK1238*(1-AJ1238)/2)</f>
        <v/>
      </c>
      <c r="AN1238" s="45">
        <f>IF(AH1238="","",AH1238-T1238)</f>
        <v/>
      </c>
      <c r="AO1238" s="51">
        <f>IF(AG1238=1,1,IF(U1238&gt;0,MIN(AF1238/U1238,0.99),0))</f>
        <v/>
      </c>
      <c r="AP1238" s="43">
        <f>IF(AG1238=1,AI1238*AF1238,0)</f>
        <v/>
      </c>
      <c r="AQ1238" s="43">
        <f>N1238*(F1238+G1238)/H1238</f>
        <v/>
      </c>
      <c r="AR1238" s="43">
        <f>O1238*AQ1238</f>
        <v/>
      </c>
      <c r="AS1238" s="52">
        <f>IF(AG1238=1,IF(AQ1238&gt;0,AF1238/AQ1238,1),IFERROR(INDEX(Types!$K:$K,MATCH($A1238&amp;"|"&amp;$D1238,Types!$A:$A,0)),INDEX(Dashboard!$X$6:$X$22,MATCH($A1238,Dashboard!$A$6:$A$22,0))))</f>
        <v/>
      </c>
      <c r="AT1238" s="43">
        <f>AQ1238*INDEX(Dashboard!$Y$6:$Y$22,MATCH($A1238,Dashboard!$A$6:$A$22,0))</f>
        <v/>
      </c>
      <c r="AU1238" s="53">
        <f>IF(AND(AG1238=1,AT1238&gt;0,AF1238&gt;0),100*AF1238/AT1238,"")</f>
        <v/>
      </c>
      <c r="AV1238" s="44">
        <f>IF(AU1238="","",T1238/(AU1238/100))</f>
        <v/>
      </c>
      <c r="AW1238" s="53">
        <f>IF(AU1238="","",IF(AND(ABS(AH1238)&gt;=0.1,ABS(T1238)&gt;=0.05,SIGN(AH1238)=SIGN(T1238)),100*T1238/AH1238,""))</f>
        <v/>
      </c>
      <c r="AX1238" s="45">
        <f>IF(AU1238="","",T1238-AV1238)</f>
        <v/>
      </c>
      <c r="AY1238" s="45">
        <f>IF(AU1238="","",AH1238-AV1238)</f>
        <v/>
      </c>
      <c r="AZ1238" s="54">
        <f>(AL1238-AM1238)-T1238*AT1238</f>
        <v/>
      </c>
      <c r="BA1238" s="43">
        <f>IF(AU1238="",0,(AH1238-T1238)*AF1238)</f>
        <v/>
      </c>
      <c r="BB1238" s="43">
        <f>IF(AU1238="",0,T1238*(AF1238-AT1238))</f>
        <v/>
      </c>
      <c r="BC1238" s="51" t="n">
        <v>0.1125502894711019</v>
      </c>
      <c r="BD1238" s="51" t="n">
        <v>0.08850946913943676</v>
      </c>
      <c r="BE1238" s="51" t="n">
        <v>0.11975925039327</v>
      </c>
      <c r="BF1238" s="43" t="n">
        <v>20382</v>
      </c>
    </row>
    <row r="1239">
      <c r="A1239" s="42" t="inlineStr">
        <is>
          <t>TX</t>
        </is>
      </c>
      <c r="B1239" s="42" t="inlineStr">
        <is>
          <t>48459</t>
        </is>
      </c>
      <c r="C1239" s="42" t="inlineStr">
        <is>
          <t>Upshur</t>
        </is>
      </c>
      <c r="D1239" s="42" t="inlineStr">
        <is>
          <t>Small town &amp; rural</t>
        </is>
      </c>
      <c r="E1239" s="42" t="inlineStr"/>
      <c r="F1239" s="43" t="n">
        <v>2820</v>
      </c>
      <c r="G1239" s="43" t="n">
        <v>16939</v>
      </c>
      <c r="H1239" s="43" t="n">
        <v>19882</v>
      </c>
      <c r="I1239" s="43" t="n">
        <v>2877</v>
      </c>
      <c r="J1239" s="43" t="n">
        <v>15809</v>
      </c>
      <c r="K1239" s="42" t="inlineStr">
        <is>
          <t>Governor</t>
        </is>
      </c>
      <c r="L1239" s="43" t="n">
        <v>1856</v>
      </c>
      <c r="M1239" s="43" t="n">
        <v>12270</v>
      </c>
      <c r="N1239" s="43" t="n">
        <v>14273</v>
      </c>
      <c r="O1239" s="44">
        <f>IFERROR((F1239-G1239)/(F1239+G1239),"")</f>
        <v/>
      </c>
      <c r="P1239" s="44">
        <f>IFERROR((I1239-J1239)/(I1239+J1239),"")</f>
        <v/>
      </c>
      <c r="Q1239" s="45">
        <f>IFERROR(O1239-P1239,"")</f>
        <v/>
      </c>
      <c r="R1239" s="44">
        <f>IFERROR((L1239-M1239)/(L1239+M1239),"")</f>
        <v/>
      </c>
      <c r="S1239" s="46">
        <f>H1239/SUMIFS(Counties!$H$2:$H$1583,Counties!$A$2:$A$1583,$A1239)</f>
        <v/>
      </c>
      <c r="T1239" s="44">
        <f>O1239+INDEX(Dashboard!$F$6:$F$22,MATCH($A1239,Dashboard!$A$6:$A$22,0))</f>
        <v/>
      </c>
      <c r="U1239" s="43">
        <f>AQ1239*INDEX(Dashboard!$G$6:$G$22,MATCH($A1239,Dashboard!$A$6:$A$22,0))</f>
        <v/>
      </c>
      <c r="V1239" s="47" t="n"/>
      <c r="W1239" s="47" t="n"/>
      <c r="X1239" s="47" t="n"/>
      <c r="Y1239" s="48" t="n"/>
      <c r="Z1239" s="49" t="n"/>
      <c r="AA1239" s="49" t="n"/>
      <c r="AB1239" s="49" t="n"/>
      <c r="AC1239" s="50" t="n"/>
      <c r="AD1239" s="43">
        <f>IF(Z1239&lt;&gt;"",Z1239,N(V1239))</f>
        <v/>
      </c>
      <c r="AE1239" s="43">
        <f>IF(AA1239&lt;&gt;"",AA1239,N(W1239))</f>
        <v/>
      </c>
      <c r="AF1239" s="43">
        <f>AD1239+AE1239</f>
        <v/>
      </c>
      <c r="AG1239" s="42">
        <f>IF(UPPER(AC1239)="Y",1,IF(AF1239=0,0,IF(AND(Z1239="",Y1239&lt;&gt;""),IF(Y1239&gt;=0.999,1,0),IF(AF1239&gt;=U1239,1,0))))</f>
        <v/>
      </c>
      <c r="AH1239" s="44">
        <f>IF(AF1239&gt;0,(AD1239-AE1239)/AF1239,"")</f>
        <v/>
      </c>
      <c r="AI1239" s="45">
        <f>IF(AG1239=1,AH1239-O1239,"")</f>
        <v/>
      </c>
      <c r="AJ1239" s="44">
        <f>IF(AG1239=1,AH1239,MAX(-1,MIN(1,O1239+INDEX(Types!$H:$H,MATCH($A1239&amp;"|"&amp;$D1239,Types!$A:$A,0)))))</f>
        <v/>
      </c>
      <c r="AK1239" s="43">
        <f>IF(AG1239=1,AF1239,MAX(AQ1239*AS1239,AF1239))</f>
        <v/>
      </c>
      <c r="AL1239" s="43">
        <f>IF(AG1239=1,AD1239,AK1239*(1+AJ1239)/2)</f>
        <v/>
      </c>
      <c r="AM1239" s="43">
        <f>IF(AG1239=1,AE1239,AK1239*(1-AJ1239)/2)</f>
        <v/>
      </c>
      <c r="AN1239" s="45">
        <f>IF(AH1239="","",AH1239-T1239)</f>
        <v/>
      </c>
      <c r="AO1239" s="51">
        <f>IF(AG1239=1,1,IF(U1239&gt;0,MIN(AF1239/U1239,0.99),0))</f>
        <v/>
      </c>
      <c r="AP1239" s="43">
        <f>IF(AG1239=1,AI1239*AF1239,0)</f>
        <v/>
      </c>
      <c r="AQ1239" s="43">
        <f>N1239*(F1239+G1239)/H1239</f>
        <v/>
      </c>
      <c r="AR1239" s="43">
        <f>O1239*AQ1239</f>
        <v/>
      </c>
      <c r="AS1239" s="52">
        <f>IF(AG1239=1,IF(AQ1239&gt;0,AF1239/AQ1239,1),IFERROR(INDEX(Types!$K:$K,MATCH($A1239&amp;"|"&amp;$D1239,Types!$A:$A,0)),INDEX(Dashboard!$X$6:$X$22,MATCH($A1239,Dashboard!$A$6:$A$22,0))))</f>
        <v/>
      </c>
      <c r="AT1239" s="43">
        <f>AQ1239*INDEX(Dashboard!$Y$6:$Y$22,MATCH($A1239,Dashboard!$A$6:$A$22,0))</f>
        <v/>
      </c>
      <c r="AU1239" s="53">
        <f>IF(AND(AG1239=1,AT1239&gt;0,AF1239&gt;0),100*AF1239/AT1239,"")</f>
        <v/>
      </c>
      <c r="AV1239" s="44">
        <f>IF(AU1239="","",T1239/(AU1239/100))</f>
        <v/>
      </c>
      <c r="AW1239" s="53">
        <f>IF(AU1239="","",IF(AND(ABS(AH1239)&gt;=0.1,ABS(T1239)&gt;=0.05,SIGN(AH1239)=SIGN(T1239)),100*T1239/AH1239,""))</f>
        <v/>
      </c>
      <c r="AX1239" s="45">
        <f>IF(AU1239="","",T1239-AV1239)</f>
        <v/>
      </c>
      <c r="AY1239" s="45">
        <f>IF(AU1239="","",AH1239-AV1239)</f>
        <v/>
      </c>
      <c r="AZ1239" s="54">
        <f>(AL1239-AM1239)-T1239*AT1239</f>
        <v/>
      </c>
      <c r="BA1239" s="43">
        <f>IF(AU1239="",0,(AH1239-T1239)*AF1239)</f>
        <v/>
      </c>
      <c r="BB1239" s="43">
        <f>IF(AU1239="",0,T1239*(AF1239-AT1239))</f>
        <v/>
      </c>
      <c r="BC1239" s="51" t="n">
        <v>0.07675423395947413</v>
      </c>
      <c r="BD1239" s="51" t="n">
        <v>0.107090871283011</v>
      </c>
      <c r="BE1239" s="51" t="n">
        <v>0.1748857013227236</v>
      </c>
      <c r="BF1239" s="43" t="n">
        <v>43281</v>
      </c>
    </row>
    <row r="1240">
      <c r="A1240" s="42" t="inlineStr">
        <is>
          <t>TX</t>
        </is>
      </c>
      <c r="B1240" s="42" t="inlineStr">
        <is>
          <t>48461</t>
        </is>
      </c>
      <c r="C1240" s="42" t="inlineStr">
        <is>
          <t>Upton</t>
        </is>
      </c>
      <c r="D1240" s="42" t="inlineStr">
        <is>
          <t>Hispanic</t>
        </is>
      </c>
      <c r="E1240" s="42" t="inlineStr"/>
      <c r="F1240" s="43" t="n">
        <v>146</v>
      </c>
      <c r="G1240" s="43" t="n">
        <v>1149</v>
      </c>
      <c r="H1240" s="43" t="n">
        <v>1303</v>
      </c>
      <c r="I1240" s="43" t="n">
        <v>170</v>
      </c>
      <c r="J1240" s="43" t="n">
        <v>1178</v>
      </c>
      <c r="K1240" s="42" t="inlineStr">
        <is>
          <t>Governor</t>
        </is>
      </c>
      <c r="L1240" s="43" t="n">
        <v>123</v>
      </c>
      <c r="M1240" s="43" t="n">
        <v>907</v>
      </c>
      <c r="N1240" s="43" t="n">
        <v>1056</v>
      </c>
      <c r="O1240" s="44">
        <f>IFERROR((F1240-G1240)/(F1240+G1240),"")</f>
        <v/>
      </c>
      <c r="P1240" s="44">
        <f>IFERROR((I1240-J1240)/(I1240+J1240),"")</f>
        <v/>
      </c>
      <c r="Q1240" s="45">
        <f>IFERROR(O1240-P1240,"")</f>
        <v/>
      </c>
      <c r="R1240" s="44">
        <f>IFERROR((L1240-M1240)/(L1240+M1240),"")</f>
        <v/>
      </c>
      <c r="S1240" s="46">
        <f>H1240/SUMIFS(Counties!$H$2:$H$1583,Counties!$A$2:$A$1583,$A1240)</f>
        <v/>
      </c>
      <c r="T1240" s="44">
        <f>O1240+INDEX(Dashboard!$F$6:$F$22,MATCH($A1240,Dashboard!$A$6:$A$22,0))</f>
        <v/>
      </c>
      <c r="U1240" s="43">
        <f>AQ1240*INDEX(Dashboard!$G$6:$G$22,MATCH($A1240,Dashboard!$A$6:$A$22,0))</f>
        <v/>
      </c>
      <c r="V1240" s="47" t="n"/>
      <c r="W1240" s="47" t="n"/>
      <c r="X1240" s="47" t="n"/>
      <c r="Y1240" s="48" t="n"/>
      <c r="Z1240" s="49" t="n"/>
      <c r="AA1240" s="49" t="n"/>
      <c r="AB1240" s="49" t="n"/>
      <c r="AC1240" s="50" t="n"/>
      <c r="AD1240" s="43">
        <f>IF(Z1240&lt;&gt;"",Z1240,N(V1240))</f>
        <v/>
      </c>
      <c r="AE1240" s="43">
        <f>IF(AA1240&lt;&gt;"",AA1240,N(W1240))</f>
        <v/>
      </c>
      <c r="AF1240" s="43">
        <f>AD1240+AE1240</f>
        <v/>
      </c>
      <c r="AG1240" s="42">
        <f>IF(UPPER(AC1240)="Y",1,IF(AF1240=0,0,IF(AND(Z1240="",Y1240&lt;&gt;""),IF(Y1240&gt;=0.999,1,0),IF(AF1240&gt;=U1240,1,0))))</f>
        <v/>
      </c>
      <c r="AH1240" s="44">
        <f>IF(AF1240&gt;0,(AD1240-AE1240)/AF1240,"")</f>
        <v/>
      </c>
      <c r="AI1240" s="45">
        <f>IF(AG1240=1,AH1240-O1240,"")</f>
        <v/>
      </c>
      <c r="AJ1240" s="44">
        <f>IF(AG1240=1,AH1240,MAX(-1,MIN(1,O1240+INDEX(Types!$H:$H,MATCH($A1240&amp;"|"&amp;$D1240,Types!$A:$A,0)))))</f>
        <v/>
      </c>
      <c r="AK1240" s="43">
        <f>IF(AG1240=1,AF1240,MAX(AQ1240*AS1240,AF1240))</f>
        <v/>
      </c>
      <c r="AL1240" s="43">
        <f>IF(AG1240=1,AD1240,AK1240*(1+AJ1240)/2)</f>
        <v/>
      </c>
      <c r="AM1240" s="43">
        <f>IF(AG1240=1,AE1240,AK1240*(1-AJ1240)/2)</f>
        <v/>
      </c>
      <c r="AN1240" s="45">
        <f>IF(AH1240="","",AH1240-T1240)</f>
        <v/>
      </c>
      <c r="AO1240" s="51">
        <f>IF(AG1240=1,1,IF(U1240&gt;0,MIN(AF1240/U1240,0.99),0))</f>
        <v/>
      </c>
      <c r="AP1240" s="43">
        <f>IF(AG1240=1,AI1240*AF1240,0)</f>
        <v/>
      </c>
      <c r="AQ1240" s="43">
        <f>N1240*(F1240+G1240)/H1240</f>
        <v/>
      </c>
      <c r="AR1240" s="43">
        <f>O1240*AQ1240</f>
        <v/>
      </c>
      <c r="AS1240" s="52">
        <f>IF(AG1240=1,IF(AQ1240&gt;0,AF1240/AQ1240,1),IFERROR(INDEX(Types!$K:$K,MATCH($A1240&amp;"|"&amp;$D1240,Types!$A:$A,0)),INDEX(Dashboard!$X$6:$X$22,MATCH($A1240,Dashboard!$A$6:$A$22,0))))</f>
        <v/>
      </c>
      <c r="AT1240" s="43">
        <f>AQ1240*INDEX(Dashboard!$Y$6:$Y$22,MATCH($A1240,Dashboard!$A$6:$A$22,0))</f>
        <v/>
      </c>
      <c r="AU1240" s="53">
        <f>IF(AND(AG1240=1,AT1240&gt;0,AF1240&gt;0),100*AF1240/AT1240,"")</f>
        <v/>
      </c>
      <c r="AV1240" s="44">
        <f>IF(AU1240="","",T1240/(AU1240/100))</f>
        <v/>
      </c>
      <c r="AW1240" s="53">
        <f>IF(AU1240="","",IF(AND(ABS(AH1240)&gt;=0.1,ABS(T1240)&gt;=0.05,SIGN(AH1240)=SIGN(T1240)),100*T1240/AH1240,""))</f>
        <v/>
      </c>
      <c r="AX1240" s="45">
        <f>IF(AU1240="","",T1240-AV1240)</f>
        <v/>
      </c>
      <c r="AY1240" s="45">
        <f>IF(AU1240="","",AH1240-AV1240)</f>
        <v/>
      </c>
      <c r="AZ1240" s="54">
        <f>(AL1240-AM1240)-T1240*AT1240</f>
        <v/>
      </c>
      <c r="BA1240" s="43">
        <f>IF(AU1240="",0,(AH1240-T1240)*AF1240)</f>
        <v/>
      </c>
      <c r="BB1240" s="43">
        <f>IF(AU1240="",0,T1240*(AF1240-AT1240))</f>
        <v/>
      </c>
      <c r="BC1240" s="51" t="n">
        <v>0.03023480218719846</v>
      </c>
      <c r="BD1240" s="51" t="n">
        <v>0.5548407848182696</v>
      </c>
      <c r="BE1240" s="51" t="n">
        <v>0.08808988764044944</v>
      </c>
      <c r="BF1240" s="43" t="n">
        <v>3109</v>
      </c>
    </row>
    <row r="1241">
      <c r="A1241" s="42" t="inlineStr">
        <is>
          <t>TX</t>
        </is>
      </c>
      <c r="B1241" s="42" t="inlineStr">
        <is>
          <t>48463</t>
        </is>
      </c>
      <c r="C1241" s="42" t="inlineStr">
        <is>
          <t>Uvalde</t>
        </is>
      </c>
      <c r="D1241" s="42" t="inlineStr">
        <is>
          <t>Hispanic</t>
        </is>
      </c>
      <c r="E1241" s="42" t="inlineStr"/>
      <c r="F1241" s="43" t="n">
        <v>3218</v>
      </c>
      <c r="G1241" s="43" t="n">
        <v>6482</v>
      </c>
      <c r="H1241" s="43" t="n">
        <v>9769</v>
      </c>
      <c r="I1241" s="43" t="n">
        <v>4073</v>
      </c>
      <c r="J1241" s="43" t="n">
        <v>6174</v>
      </c>
      <c r="K1241" s="42" t="inlineStr">
        <is>
          <t>Governor</t>
        </is>
      </c>
      <c r="L1241" s="43" t="n">
        <v>3048</v>
      </c>
      <c r="M1241" s="43" t="n">
        <v>4779</v>
      </c>
      <c r="N1241" s="43" t="n">
        <v>7951</v>
      </c>
      <c r="O1241" s="44">
        <f>IFERROR((F1241-G1241)/(F1241+G1241),"")</f>
        <v/>
      </c>
      <c r="P1241" s="44">
        <f>IFERROR((I1241-J1241)/(I1241+J1241),"")</f>
        <v/>
      </c>
      <c r="Q1241" s="45">
        <f>IFERROR(O1241-P1241,"")</f>
        <v/>
      </c>
      <c r="R1241" s="44">
        <f>IFERROR((L1241-M1241)/(L1241+M1241),"")</f>
        <v/>
      </c>
      <c r="S1241" s="46">
        <f>H1241/SUMIFS(Counties!$H$2:$H$1583,Counties!$A$2:$A$1583,$A1241)</f>
        <v/>
      </c>
      <c r="T1241" s="44">
        <f>O1241+INDEX(Dashboard!$F$6:$F$22,MATCH($A1241,Dashboard!$A$6:$A$22,0))</f>
        <v/>
      </c>
      <c r="U1241" s="43">
        <f>AQ1241*INDEX(Dashboard!$G$6:$G$22,MATCH($A1241,Dashboard!$A$6:$A$22,0))</f>
        <v/>
      </c>
      <c r="V1241" s="47" t="n"/>
      <c r="W1241" s="47" t="n"/>
      <c r="X1241" s="47" t="n"/>
      <c r="Y1241" s="48" t="n"/>
      <c r="Z1241" s="49" t="n"/>
      <c r="AA1241" s="49" t="n"/>
      <c r="AB1241" s="49" t="n"/>
      <c r="AC1241" s="50" t="n"/>
      <c r="AD1241" s="43">
        <f>IF(Z1241&lt;&gt;"",Z1241,N(V1241))</f>
        <v/>
      </c>
      <c r="AE1241" s="43">
        <f>IF(AA1241&lt;&gt;"",AA1241,N(W1241))</f>
        <v/>
      </c>
      <c r="AF1241" s="43">
        <f>AD1241+AE1241</f>
        <v/>
      </c>
      <c r="AG1241" s="42">
        <f>IF(UPPER(AC1241)="Y",1,IF(AF1241=0,0,IF(AND(Z1241="",Y1241&lt;&gt;""),IF(Y1241&gt;=0.999,1,0),IF(AF1241&gt;=U1241,1,0))))</f>
        <v/>
      </c>
      <c r="AH1241" s="44">
        <f>IF(AF1241&gt;0,(AD1241-AE1241)/AF1241,"")</f>
        <v/>
      </c>
      <c r="AI1241" s="45">
        <f>IF(AG1241=1,AH1241-O1241,"")</f>
        <v/>
      </c>
      <c r="AJ1241" s="44">
        <f>IF(AG1241=1,AH1241,MAX(-1,MIN(1,O1241+INDEX(Types!$H:$H,MATCH($A1241&amp;"|"&amp;$D1241,Types!$A:$A,0)))))</f>
        <v/>
      </c>
      <c r="AK1241" s="43">
        <f>IF(AG1241=1,AF1241,MAX(AQ1241*AS1241,AF1241))</f>
        <v/>
      </c>
      <c r="AL1241" s="43">
        <f>IF(AG1241=1,AD1241,AK1241*(1+AJ1241)/2)</f>
        <v/>
      </c>
      <c r="AM1241" s="43">
        <f>IF(AG1241=1,AE1241,AK1241*(1-AJ1241)/2)</f>
        <v/>
      </c>
      <c r="AN1241" s="45">
        <f>IF(AH1241="","",AH1241-T1241)</f>
        <v/>
      </c>
      <c r="AO1241" s="51">
        <f>IF(AG1241=1,1,IF(U1241&gt;0,MIN(AF1241/U1241,0.99),0))</f>
        <v/>
      </c>
      <c r="AP1241" s="43">
        <f>IF(AG1241=1,AI1241*AF1241,0)</f>
        <v/>
      </c>
      <c r="AQ1241" s="43">
        <f>N1241*(F1241+G1241)/H1241</f>
        <v/>
      </c>
      <c r="AR1241" s="43">
        <f>O1241*AQ1241</f>
        <v/>
      </c>
      <c r="AS1241" s="52">
        <f>IF(AG1241=1,IF(AQ1241&gt;0,AF1241/AQ1241,1),IFERROR(INDEX(Types!$K:$K,MATCH($A1241&amp;"|"&amp;$D1241,Types!$A:$A,0)),INDEX(Dashboard!$X$6:$X$22,MATCH($A1241,Dashboard!$A$6:$A$22,0))))</f>
        <v/>
      </c>
      <c r="AT1241" s="43">
        <f>AQ1241*INDEX(Dashboard!$Y$6:$Y$22,MATCH($A1241,Dashboard!$A$6:$A$22,0))</f>
        <v/>
      </c>
      <c r="AU1241" s="53">
        <f>IF(AND(AG1241=1,AT1241&gt;0,AF1241&gt;0),100*AF1241/AT1241,"")</f>
        <v/>
      </c>
      <c r="AV1241" s="44">
        <f>IF(AU1241="","",T1241/(AU1241/100))</f>
        <v/>
      </c>
      <c r="AW1241" s="53">
        <f>IF(AU1241="","",IF(AND(ABS(AH1241)&gt;=0.1,ABS(T1241)&gt;=0.05,SIGN(AH1241)=SIGN(T1241)),100*T1241/AH1241,""))</f>
        <v/>
      </c>
      <c r="AX1241" s="45">
        <f>IF(AU1241="","",T1241-AV1241)</f>
        <v/>
      </c>
      <c r="AY1241" s="45">
        <f>IF(AU1241="","",AH1241-AV1241)</f>
        <v/>
      </c>
      <c r="AZ1241" s="54">
        <f>(AL1241-AM1241)-T1241*AT1241</f>
        <v/>
      </c>
      <c r="BA1241" s="43">
        <f>IF(AU1241="",0,(AH1241-T1241)*AF1241)</f>
        <v/>
      </c>
      <c r="BB1241" s="43">
        <f>IF(AU1241="",0,T1241*(AF1241-AT1241))</f>
        <v/>
      </c>
      <c r="BC1241" s="51" t="n">
        <v>0.00921474358974359</v>
      </c>
      <c r="BD1241" s="51" t="n">
        <v>0.7114583333333333</v>
      </c>
      <c r="BE1241" s="51" t="n">
        <v>0.2016378643280887</v>
      </c>
      <c r="BF1241" s="43" t="n">
        <v>24960</v>
      </c>
    </row>
    <row r="1242">
      <c r="A1242" s="42" t="inlineStr">
        <is>
          <t>TX</t>
        </is>
      </c>
      <c r="B1242" s="42" t="inlineStr">
        <is>
          <t>48465</t>
        </is>
      </c>
      <c r="C1242" s="42" t="inlineStr">
        <is>
          <t>Val Verde</t>
        </is>
      </c>
      <c r="D1242" s="42" t="inlineStr">
        <is>
          <t>Hispanic</t>
        </is>
      </c>
      <c r="E1242" s="42" t="inlineStr"/>
      <c r="F1242" s="43" t="n">
        <v>5282</v>
      </c>
      <c r="G1242" s="43" t="n">
        <v>9162</v>
      </c>
      <c r="H1242" s="43" t="n">
        <v>14578</v>
      </c>
      <c r="I1242" s="43" t="n">
        <v>6771</v>
      </c>
      <c r="J1242" s="43" t="n">
        <v>8284</v>
      </c>
      <c r="K1242" s="42" t="inlineStr">
        <is>
          <t>Governor</t>
        </is>
      </c>
      <c r="L1242" s="43" t="n">
        <v>3814</v>
      </c>
      <c r="M1242" s="43" t="n">
        <v>5530</v>
      </c>
      <c r="N1242" s="43" t="n">
        <v>9503</v>
      </c>
      <c r="O1242" s="44">
        <f>IFERROR((F1242-G1242)/(F1242+G1242),"")</f>
        <v/>
      </c>
      <c r="P1242" s="44">
        <f>IFERROR((I1242-J1242)/(I1242+J1242),"")</f>
        <v/>
      </c>
      <c r="Q1242" s="45">
        <f>IFERROR(O1242-P1242,"")</f>
        <v/>
      </c>
      <c r="R1242" s="44">
        <f>IFERROR((L1242-M1242)/(L1242+M1242),"")</f>
        <v/>
      </c>
      <c r="S1242" s="46">
        <f>H1242/SUMIFS(Counties!$H$2:$H$1583,Counties!$A$2:$A$1583,$A1242)</f>
        <v/>
      </c>
      <c r="T1242" s="44">
        <f>O1242+INDEX(Dashboard!$F$6:$F$22,MATCH($A1242,Dashboard!$A$6:$A$22,0))</f>
        <v/>
      </c>
      <c r="U1242" s="43">
        <f>AQ1242*INDEX(Dashboard!$G$6:$G$22,MATCH($A1242,Dashboard!$A$6:$A$22,0))</f>
        <v/>
      </c>
      <c r="V1242" s="47" t="n"/>
      <c r="W1242" s="47" t="n"/>
      <c r="X1242" s="47" t="n"/>
      <c r="Y1242" s="48" t="n"/>
      <c r="Z1242" s="49" t="n"/>
      <c r="AA1242" s="49" t="n"/>
      <c r="AB1242" s="49" t="n"/>
      <c r="AC1242" s="50" t="n"/>
      <c r="AD1242" s="43">
        <f>IF(Z1242&lt;&gt;"",Z1242,N(V1242))</f>
        <v/>
      </c>
      <c r="AE1242" s="43">
        <f>IF(AA1242&lt;&gt;"",AA1242,N(W1242))</f>
        <v/>
      </c>
      <c r="AF1242" s="43">
        <f>AD1242+AE1242</f>
        <v/>
      </c>
      <c r="AG1242" s="42">
        <f>IF(UPPER(AC1242)="Y",1,IF(AF1242=0,0,IF(AND(Z1242="",Y1242&lt;&gt;""),IF(Y1242&gt;=0.999,1,0),IF(AF1242&gt;=U1242,1,0))))</f>
        <v/>
      </c>
      <c r="AH1242" s="44">
        <f>IF(AF1242&gt;0,(AD1242-AE1242)/AF1242,"")</f>
        <v/>
      </c>
      <c r="AI1242" s="45">
        <f>IF(AG1242=1,AH1242-O1242,"")</f>
        <v/>
      </c>
      <c r="AJ1242" s="44">
        <f>IF(AG1242=1,AH1242,MAX(-1,MIN(1,O1242+INDEX(Types!$H:$H,MATCH($A1242&amp;"|"&amp;$D1242,Types!$A:$A,0)))))</f>
        <v/>
      </c>
      <c r="AK1242" s="43">
        <f>IF(AG1242=1,AF1242,MAX(AQ1242*AS1242,AF1242))</f>
        <v/>
      </c>
      <c r="AL1242" s="43">
        <f>IF(AG1242=1,AD1242,AK1242*(1+AJ1242)/2)</f>
        <v/>
      </c>
      <c r="AM1242" s="43">
        <f>IF(AG1242=1,AE1242,AK1242*(1-AJ1242)/2)</f>
        <v/>
      </c>
      <c r="AN1242" s="45">
        <f>IF(AH1242="","",AH1242-T1242)</f>
        <v/>
      </c>
      <c r="AO1242" s="51">
        <f>IF(AG1242=1,1,IF(U1242&gt;0,MIN(AF1242/U1242,0.99),0))</f>
        <v/>
      </c>
      <c r="AP1242" s="43">
        <f>IF(AG1242=1,AI1242*AF1242,0)</f>
        <v/>
      </c>
      <c r="AQ1242" s="43">
        <f>N1242*(F1242+G1242)/H1242</f>
        <v/>
      </c>
      <c r="AR1242" s="43">
        <f>O1242*AQ1242</f>
        <v/>
      </c>
      <c r="AS1242" s="52">
        <f>IF(AG1242=1,IF(AQ1242&gt;0,AF1242/AQ1242,1),IFERROR(INDEX(Types!$K:$K,MATCH($A1242&amp;"|"&amp;$D1242,Types!$A:$A,0)),INDEX(Dashboard!$X$6:$X$22,MATCH($A1242,Dashboard!$A$6:$A$22,0))))</f>
        <v/>
      </c>
      <c r="AT1242" s="43">
        <f>AQ1242*INDEX(Dashboard!$Y$6:$Y$22,MATCH($A1242,Dashboard!$A$6:$A$22,0))</f>
        <v/>
      </c>
      <c r="AU1242" s="53">
        <f>IF(AND(AG1242=1,AT1242&gt;0,AF1242&gt;0),100*AF1242/AT1242,"")</f>
        <v/>
      </c>
      <c r="AV1242" s="44">
        <f>IF(AU1242="","",T1242/(AU1242/100))</f>
        <v/>
      </c>
      <c r="AW1242" s="53">
        <f>IF(AU1242="","",IF(AND(ABS(AH1242)&gt;=0.1,ABS(T1242)&gt;=0.05,SIGN(AH1242)=SIGN(T1242)),100*T1242/AH1242,""))</f>
        <v/>
      </c>
      <c r="AX1242" s="45">
        <f>IF(AU1242="","",T1242-AV1242)</f>
        <v/>
      </c>
      <c r="AY1242" s="45">
        <f>IF(AU1242="","",AH1242-AV1242)</f>
        <v/>
      </c>
      <c r="AZ1242" s="54">
        <f>(AL1242-AM1242)-T1242*AT1242</f>
        <v/>
      </c>
      <c r="BA1242" s="43">
        <f>IF(AU1242="",0,(AH1242-T1242)*AF1242)</f>
        <v/>
      </c>
      <c r="BB1242" s="43">
        <f>IF(AU1242="",0,T1242*(AF1242-AT1242))</f>
        <v/>
      </c>
      <c r="BC1242" s="51" t="n">
        <v>0.01584241408214585</v>
      </c>
      <c r="BD1242" s="51" t="n">
        <v>0.8124895222129086</v>
      </c>
      <c r="BE1242" s="51" t="n">
        <v>0.2133222946634931</v>
      </c>
      <c r="BF1242" s="43" t="n">
        <v>47720</v>
      </c>
    </row>
    <row r="1243">
      <c r="A1243" s="42" t="inlineStr">
        <is>
          <t>TX</t>
        </is>
      </c>
      <c r="B1243" s="42" t="inlineStr">
        <is>
          <t>48467</t>
        </is>
      </c>
      <c r="C1243" s="42" t="inlineStr">
        <is>
          <t>Van Zandt</t>
        </is>
      </c>
      <c r="D1243" s="42" t="inlineStr">
        <is>
          <t>Small town &amp; rural</t>
        </is>
      </c>
      <c r="E1243" s="42" t="inlineStr"/>
      <c r="F1243" s="43" t="n">
        <v>3450</v>
      </c>
      <c r="G1243" s="43" t="n">
        <v>24351</v>
      </c>
      <c r="H1243" s="43" t="n">
        <v>27935</v>
      </c>
      <c r="I1243" s="43" t="n">
        <v>3516</v>
      </c>
      <c r="J1243" s="43" t="n">
        <v>22270</v>
      </c>
      <c r="K1243" s="42" t="inlineStr">
        <is>
          <t>Governor</t>
        </is>
      </c>
      <c r="L1243" s="43" t="n">
        <v>2414</v>
      </c>
      <c r="M1243" s="43" t="n">
        <v>17698</v>
      </c>
      <c r="N1243" s="43" t="n">
        <v>20570</v>
      </c>
      <c r="O1243" s="44">
        <f>IFERROR((F1243-G1243)/(F1243+G1243),"")</f>
        <v/>
      </c>
      <c r="P1243" s="44">
        <f>IFERROR((I1243-J1243)/(I1243+J1243),"")</f>
        <v/>
      </c>
      <c r="Q1243" s="45">
        <f>IFERROR(O1243-P1243,"")</f>
        <v/>
      </c>
      <c r="R1243" s="44">
        <f>IFERROR((L1243-M1243)/(L1243+M1243),"")</f>
        <v/>
      </c>
      <c r="S1243" s="46">
        <f>H1243/SUMIFS(Counties!$H$2:$H$1583,Counties!$A$2:$A$1583,$A1243)</f>
        <v/>
      </c>
      <c r="T1243" s="44">
        <f>O1243+INDEX(Dashboard!$F$6:$F$22,MATCH($A1243,Dashboard!$A$6:$A$22,0))</f>
        <v/>
      </c>
      <c r="U1243" s="43">
        <f>AQ1243*INDEX(Dashboard!$G$6:$G$22,MATCH($A1243,Dashboard!$A$6:$A$22,0))</f>
        <v/>
      </c>
      <c r="V1243" s="47" t="n"/>
      <c r="W1243" s="47" t="n"/>
      <c r="X1243" s="47" t="n"/>
      <c r="Y1243" s="48" t="n"/>
      <c r="Z1243" s="49" t="n"/>
      <c r="AA1243" s="49" t="n"/>
      <c r="AB1243" s="49" t="n"/>
      <c r="AC1243" s="50" t="n"/>
      <c r="AD1243" s="43">
        <f>IF(Z1243&lt;&gt;"",Z1243,N(V1243))</f>
        <v/>
      </c>
      <c r="AE1243" s="43">
        <f>IF(AA1243&lt;&gt;"",AA1243,N(W1243))</f>
        <v/>
      </c>
      <c r="AF1243" s="43">
        <f>AD1243+AE1243</f>
        <v/>
      </c>
      <c r="AG1243" s="42">
        <f>IF(UPPER(AC1243)="Y",1,IF(AF1243=0,0,IF(AND(Z1243="",Y1243&lt;&gt;""),IF(Y1243&gt;=0.999,1,0),IF(AF1243&gt;=U1243,1,0))))</f>
        <v/>
      </c>
      <c r="AH1243" s="44">
        <f>IF(AF1243&gt;0,(AD1243-AE1243)/AF1243,"")</f>
        <v/>
      </c>
      <c r="AI1243" s="45">
        <f>IF(AG1243=1,AH1243-O1243,"")</f>
        <v/>
      </c>
      <c r="AJ1243" s="44">
        <f>IF(AG1243=1,AH1243,MAX(-1,MIN(1,O1243+INDEX(Types!$H:$H,MATCH($A1243&amp;"|"&amp;$D1243,Types!$A:$A,0)))))</f>
        <v/>
      </c>
      <c r="AK1243" s="43">
        <f>IF(AG1243=1,AF1243,MAX(AQ1243*AS1243,AF1243))</f>
        <v/>
      </c>
      <c r="AL1243" s="43">
        <f>IF(AG1243=1,AD1243,AK1243*(1+AJ1243)/2)</f>
        <v/>
      </c>
      <c r="AM1243" s="43">
        <f>IF(AG1243=1,AE1243,AK1243*(1-AJ1243)/2)</f>
        <v/>
      </c>
      <c r="AN1243" s="45">
        <f>IF(AH1243="","",AH1243-T1243)</f>
        <v/>
      </c>
      <c r="AO1243" s="51">
        <f>IF(AG1243=1,1,IF(U1243&gt;0,MIN(AF1243/U1243,0.99),0))</f>
        <v/>
      </c>
      <c r="AP1243" s="43">
        <f>IF(AG1243=1,AI1243*AF1243,0)</f>
        <v/>
      </c>
      <c r="AQ1243" s="43">
        <f>N1243*(F1243+G1243)/H1243</f>
        <v/>
      </c>
      <c r="AR1243" s="43">
        <f>O1243*AQ1243</f>
        <v/>
      </c>
      <c r="AS1243" s="52">
        <f>IF(AG1243=1,IF(AQ1243&gt;0,AF1243/AQ1243,1),IFERROR(INDEX(Types!$K:$K,MATCH($A1243&amp;"|"&amp;$D1243,Types!$A:$A,0)),INDEX(Dashboard!$X$6:$X$22,MATCH($A1243,Dashboard!$A$6:$A$22,0))))</f>
        <v/>
      </c>
      <c r="AT1243" s="43">
        <f>AQ1243*INDEX(Dashboard!$Y$6:$Y$22,MATCH($A1243,Dashboard!$A$6:$A$22,0))</f>
        <v/>
      </c>
      <c r="AU1243" s="53">
        <f>IF(AND(AG1243=1,AT1243&gt;0,AF1243&gt;0),100*AF1243/AT1243,"")</f>
        <v/>
      </c>
      <c r="AV1243" s="44">
        <f>IF(AU1243="","",T1243/(AU1243/100))</f>
        <v/>
      </c>
      <c r="AW1243" s="53">
        <f>IF(AU1243="","",IF(AND(ABS(AH1243)&gt;=0.1,ABS(T1243)&gt;=0.05,SIGN(AH1243)=SIGN(T1243)),100*T1243/AH1243,""))</f>
        <v/>
      </c>
      <c r="AX1243" s="45">
        <f>IF(AU1243="","",T1243-AV1243)</f>
        <v/>
      </c>
      <c r="AY1243" s="45">
        <f>IF(AU1243="","",AH1243-AV1243)</f>
        <v/>
      </c>
      <c r="AZ1243" s="54">
        <f>(AL1243-AM1243)-T1243*AT1243</f>
        <v/>
      </c>
      <c r="BA1243" s="43">
        <f>IF(AU1243="",0,(AH1243-T1243)*AF1243)</f>
        <v/>
      </c>
      <c r="BB1243" s="43">
        <f>IF(AU1243="",0,T1243*(AF1243-AT1243))</f>
        <v/>
      </c>
      <c r="BC1243" s="51" t="n">
        <v>0.029515625</v>
      </c>
      <c r="BD1243" s="51" t="n">
        <v>0.1401875</v>
      </c>
      <c r="BE1243" s="51" t="n">
        <v>0.1819973256386797</v>
      </c>
      <c r="BF1243" s="43" t="n">
        <v>64000</v>
      </c>
    </row>
    <row r="1244">
      <c r="A1244" s="42" t="inlineStr">
        <is>
          <t>TX</t>
        </is>
      </c>
      <c r="B1244" s="42" t="inlineStr">
        <is>
          <t>48469</t>
        </is>
      </c>
      <c r="C1244" s="42" t="inlineStr">
        <is>
          <t>Victoria</t>
        </is>
      </c>
      <c r="D1244" s="42" t="inlineStr">
        <is>
          <t>Hispanic</t>
        </is>
      </c>
      <c r="E1244" s="42" t="inlineStr"/>
      <c r="F1244" s="43" t="n">
        <v>9998</v>
      </c>
      <c r="G1244" s="43" t="n">
        <v>25010</v>
      </c>
      <c r="H1244" s="43" t="n">
        <v>35239</v>
      </c>
      <c r="I1244" s="43" t="n">
        <v>10380</v>
      </c>
      <c r="J1244" s="43" t="n">
        <v>23358</v>
      </c>
      <c r="K1244" s="42" t="inlineStr">
        <is>
          <t>Governor</t>
        </is>
      </c>
      <c r="L1244" s="43" t="n">
        <v>6452</v>
      </c>
      <c r="M1244" s="43" t="n">
        <v>18519</v>
      </c>
      <c r="N1244" s="43" t="n">
        <v>25298</v>
      </c>
      <c r="O1244" s="44">
        <f>IFERROR((F1244-G1244)/(F1244+G1244),"")</f>
        <v/>
      </c>
      <c r="P1244" s="44">
        <f>IFERROR((I1244-J1244)/(I1244+J1244),"")</f>
        <v/>
      </c>
      <c r="Q1244" s="45">
        <f>IFERROR(O1244-P1244,"")</f>
        <v/>
      </c>
      <c r="R1244" s="44">
        <f>IFERROR((L1244-M1244)/(L1244+M1244),"")</f>
        <v/>
      </c>
      <c r="S1244" s="46">
        <f>H1244/SUMIFS(Counties!$H$2:$H$1583,Counties!$A$2:$A$1583,$A1244)</f>
        <v/>
      </c>
      <c r="T1244" s="44">
        <f>O1244+INDEX(Dashboard!$F$6:$F$22,MATCH($A1244,Dashboard!$A$6:$A$22,0))</f>
        <v/>
      </c>
      <c r="U1244" s="43">
        <f>AQ1244*INDEX(Dashboard!$G$6:$G$22,MATCH($A1244,Dashboard!$A$6:$A$22,0))</f>
        <v/>
      </c>
      <c r="V1244" s="47" t="n"/>
      <c r="W1244" s="47" t="n"/>
      <c r="X1244" s="47" t="n"/>
      <c r="Y1244" s="48" t="n"/>
      <c r="Z1244" s="49" t="n"/>
      <c r="AA1244" s="49" t="n"/>
      <c r="AB1244" s="49" t="n"/>
      <c r="AC1244" s="50" t="n"/>
      <c r="AD1244" s="43">
        <f>IF(Z1244&lt;&gt;"",Z1244,N(V1244))</f>
        <v/>
      </c>
      <c r="AE1244" s="43">
        <f>IF(AA1244&lt;&gt;"",AA1244,N(W1244))</f>
        <v/>
      </c>
      <c r="AF1244" s="43">
        <f>AD1244+AE1244</f>
        <v/>
      </c>
      <c r="AG1244" s="42">
        <f>IF(UPPER(AC1244)="Y",1,IF(AF1244=0,0,IF(AND(Z1244="",Y1244&lt;&gt;""),IF(Y1244&gt;=0.999,1,0),IF(AF1244&gt;=U1244,1,0))))</f>
        <v/>
      </c>
      <c r="AH1244" s="44">
        <f>IF(AF1244&gt;0,(AD1244-AE1244)/AF1244,"")</f>
        <v/>
      </c>
      <c r="AI1244" s="45">
        <f>IF(AG1244=1,AH1244-O1244,"")</f>
        <v/>
      </c>
      <c r="AJ1244" s="44">
        <f>IF(AG1244=1,AH1244,MAX(-1,MIN(1,O1244+INDEX(Types!$H:$H,MATCH($A1244&amp;"|"&amp;$D1244,Types!$A:$A,0)))))</f>
        <v/>
      </c>
      <c r="AK1244" s="43">
        <f>IF(AG1244=1,AF1244,MAX(AQ1244*AS1244,AF1244))</f>
        <v/>
      </c>
      <c r="AL1244" s="43">
        <f>IF(AG1244=1,AD1244,AK1244*(1+AJ1244)/2)</f>
        <v/>
      </c>
      <c r="AM1244" s="43">
        <f>IF(AG1244=1,AE1244,AK1244*(1-AJ1244)/2)</f>
        <v/>
      </c>
      <c r="AN1244" s="45">
        <f>IF(AH1244="","",AH1244-T1244)</f>
        <v/>
      </c>
      <c r="AO1244" s="51">
        <f>IF(AG1244=1,1,IF(U1244&gt;0,MIN(AF1244/U1244,0.99),0))</f>
        <v/>
      </c>
      <c r="AP1244" s="43">
        <f>IF(AG1244=1,AI1244*AF1244,0)</f>
        <v/>
      </c>
      <c r="AQ1244" s="43">
        <f>N1244*(F1244+G1244)/H1244</f>
        <v/>
      </c>
      <c r="AR1244" s="43">
        <f>O1244*AQ1244</f>
        <v/>
      </c>
      <c r="AS1244" s="52">
        <f>IF(AG1244=1,IF(AQ1244&gt;0,AF1244/AQ1244,1),IFERROR(INDEX(Types!$K:$K,MATCH($A1244&amp;"|"&amp;$D1244,Types!$A:$A,0)),INDEX(Dashboard!$X$6:$X$22,MATCH($A1244,Dashboard!$A$6:$A$22,0))))</f>
        <v/>
      </c>
      <c r="AT1244" s="43">
        <f>AQ1244*INDEX(Dashboard!$Y$6:$Y$22,MATCH($A1244,Dashboard!$A$6:$A$22,0))</f>
        <v/>
      </c>
      <c r="AU1244" s="53">
        <f>IF(AND(AG1244=1,AT1244&gt;0,AF1244&gt;0),100*AF1244/AT1244,"")</f>
        <v/>
      </c>
      <c r="AV1244" s="44">
        <f>IF(AU1244="","",T1244/(AU1244/100))</f>
        <v/>
      </c>
      <c r="AW1244" s="53">
        <f>IF(AU1244="","",IF(AND(ABS(AH1244)&gt;=0.1,ABS(T1244)&gt;=0.05,SIGN(AH1244)=SIGN(T1244)),100*T1244/AH1244,""))</f>
        <v/>
      </c>
      <c r="AX1244" s="45">
        <f>IF(AU1244="","",T1244-AV1244)</f>
        <v/>
      </c>
      <c r="AY1244" s="45">
        <f>IF(AU1244="","",AH1244-AV1244)</f>
        <v/>
      </c>
      <c r="AZ1244" s="54">
        <f>(AL1244-AM1244)-T1244*AT1244</f>
        <v/>
      </c>
      <c r="BA1244" s="43">
        <f>IF(AU1244="",0,(AH1244-T1244)*AF1244)</f>
        <v/>
      </c>
      <c r="BB1244" s="43">
        <f>IF(AU1244="",0,T1244*(AF1244-AT1244))</f>
        <v/>
      </c>
      <c r="BC1244" s="51" t="n">
        <v>0.05709984290452086</v>
      </c>
      <c r="BD1244" s="51" t="n">
        <v>0.4839849886542154</v>
      </c>
      <c r="BE1244" s="51" t="n">
        <v>0.1968702086527565</v>
      </c>
      <c r="BF1244" s="43" t="n">
        <v>91664</v>
      </c>
    </row>
    <row r="1245">
      <c r="A1245" s="42" t="inlineStr">
        <is>
          <t>TX</t>
        </is>
      </c>
      <c r="B1245" s="42" t="inlineStr">
        <is>
          <t>48471</t>
        </is>
      </c>
      <c r="C1245" s="42" t="inlineStr">
        <is>
          <t>Walker</t>
        </is>
      </c>
      <c r="D1245" s="42" t="inlineStr">
        <is>
          <t>Small town &amp; rural</t>
        </is>
      </c>
      <c r="E1245" s="42" t="inlineStr"/>
      <c r="F1245" s="43" t="n">
        <v>7461</v>
      </c>
      <c r="G1245" s="43" t="n">
        <v>17515</v>
      </c>
      <c r="H1245" s="43" t="n">
        <v>25170</v>
      </c>
      <c r="I1245" s="43" t="n">
        <v>7884</v>
      </c>
      <c r="J1245" s="43" t="n">
        <v>15375</v>
      </c>
      <c r="K1245" s="42" t="inlineStr">
        <is>
          <t>Governor</t>
        </is>
      </c>
      <c r="L1245" s="43" t="n">
        <v>4861</v>
      </c>
      <c r="M1245" s="43" t="n">
        <v>12309</v>
      </c>
      <c r="N1245" s="43" t="n">
        <v>17394</v>
      </c>
      <c r="O1245" s="44">
        <f>IFERROR((F1245-G1245)/(F1245+G1245),"")</f>
        <v/>
      </c>
      <c r="P1245" s="44">
        <f>IFERROR((I1245-J1245)/(I1245+J1245),"")</f>
        <v/>
      </c>
      <c r="Q1245" s="45">
        <f>IFERROR(O1245-P1245,"")</f>
        <v/>
      </c>
      <c r="R1245" s="44">
        <f>IFERROR((L1245-M1245)/(L1245+M1245),"")</f>
        <v/>
      </c>
      <c r="S1245" s="46">
        <f>H1245/SUMIFS(Counties!$H$2:$H$1583,Counties!$A$2:$A$1583,$A1245)</f>
        <v/>
      </c>
      <c r="T1245" s="44">
        <f>O1245+INDEX(Dashboard!$F$6:$F$22,MATCH($A1245,Dashboard!$A$6:$A$22,0))</f>
        <v/>
      </c>
      <c r="U1245" s="43">
        <f>AQ1245*INDEX(Dashboard!$G$6:$G$22,MATCH($A1245,Dashboard!$A$6:$A$22,0))</f>
        <v/>
      </c>
      <c r="V1245" s="47" t="n"/>
      <c r="W1245" s="47" t="n"/>
      <c r="X1245" s="47" t="n"/>
      <c r="Y1245" s="48" t="n"/>
      <c r="Z1245" s="49" t="n"/>
      <c r="AA1245" s="49" t="n"/>
      <c r="AB1245" s="49" t="n"/>
      <c r="AC1245" s="50" t="n"/>
      <c r="AD1245" s="43">
        <f>IF(Z1245&lt;&gt;"",Z1245,N(V1245))</f>
        <v/>
      </c>
      <c r="AE1245" s="43">
        <f>IF(AA1245&lt;&gt;"",AA1245,N(W1245))</f>
        <v/>
      </c>
      <c r="AF1245" s="43">
        <f>AD1245+AE1245</f>
        <v/>
      </c>
      <c r="AG1245" s="42">
        <f>IF(UPPER(AC1245)="Y",1,IF(AF1245=0,0,IF(AND(Z1245="",Y1245&lt;&gt;""),IF(Y1245&gt;=0.999,1,0),IF(AF1245&gt;=U1245,1,0))))</f>
        <v/>
      </c>
      <c r="AH1245" s="44">
        <f>IF(AF1245&gt;0,(AD1245-AE1245)/AF1245,"")</f>
        <v/>
      </c>
      <c r="AI1245" s="45">
        <f>IF(AG1245=1,AH1245-O1245,"")</f>
        <v/>
      </c>
      <c r="AJ1245" s="44">
        <f>IF(AG1245=1,AH1245,MAX(-1,MIN(1,O1245+INDEX(Types!$H:$H,MATCH($A1245&amp;"|"&amp;$D1245,Types!$A:$A,0)))))</f>
        <v/>
      </c>
      <c r="AK1245" s="43">
        <f>IF(AG1245=1,AF1245,MAX(AQ1245*AS1245,AF1245))</f>
        <v/>
      </c>
      <c r="AL1245" s="43">
        <f>IF(AG1245=1,AD1245,AK1245*(1+AJ1245)/2)</f>
        <v/>
      </c>
      <c r="AM1245" s="43">
        <f>IF(AG1245=1,AE1245,AK1245*(1-AJ1245)/2)</f>
        <v/>
      </c>
      <c r="AN1245" s="45">
        <f>IF(AH1245="","",AH1245-T1245)</f>
        <v/>
      </c>
      <c r="AO1245" s="51">
        <f>IF(AG1245=1,1,IF(U1245&gt;0,MIN(AF1245/U1245,0.99),0))</f>
        <v/>
      </c>
      <c r="AP1245" s="43">
        <f>IF(AG1245=1,AI1245*AF1245,0)</f>
        <v/>
      </c>
      <c r="AQ1245" s="43">
        <f>N1245*(F1245+G1245)/H1245</f>
        <v/>
      </c>
      <c r="AR1245" s="43">
        <f>O1245*AQ1245</f>
        <v/>
      </c>
      <c r="AS1245" s="52">
        <f>IF(AG1245=1,IF(AQ1245&gt;0,AF1245/AQ1245,1),IFERROR(INDEX(Types!$K:$K,MATCH($A1245&amp;"|"&amp;$D1245,Types!$A:$A,0)),INDEX(Dashboard!$X$6:$X$22,MATCH($A1245,Dashboard!$A$6:$A$22,0))))</f>
        <v/>
      </c>
      <c r="AT1245" s="43">
        <f>AQ1245*INDEX(Dashboard!$Y$6:$Y$22,MATCH($A1245,Dashboard!$A$6:$A$22,0))</f>
        <v/>
      </c>
      <c r="AU1245" s="53">
        <f>IF(AND(AG1245=1,AT1245&gt;0,AF1245&gt;0),100*AF1245/AT1245,"")</f>
        <v/>
      </c>
      <c r="AV1245" s="44">
        <f>IF(AU1245="","",T1245/(AU1245/100))</f>
        <v/>
      </c>
      <c r="AW1245" s="53">
        <f>IF(AU1245="","",IF(AND(ABS(AH1245)&gt;=0.1,ABS(T1245)&gt;=0.05,SIGN(AH1245)=SIGN(T1245)),100*T1245/AH1245,""))</f>
        <v/>
      </c>
      <c r="AX1245" s="45">
        <f>IF(AU1245="","",T1245-AV1245)</f>
        <v/>
      </c>
      <c r="AY1245" s="45">
        <f>IF(AU1245="","",AH1245-AV1245)</f>
        <v/>
      </c>
      <c r="AZ1245" s="54">
        <f>(AL1245-AM1245)-T1245*AT1245</f>
        <v/>
      </c>
      <c r="BA1245" s="43">
        <f>IF(AU1245="",0,(AH1245-T1245)*AF1245)</f>
        <v/>
      </c>
      <c r="BB1245" s="43">
        <f>IF(AU1245="",0,T1245*(AF1245-AT1245))</f>
        <v/>
      </c>
      <c r="BC1245" s="51" t="n">
        <v>0.2166904562681498</v>
      </c>
      <c r="BD1245" s="51" t="n">
        <v>0.2173057045823694</v>
      </c>
      <c r="BE1245" s="51" t="n">
        <v>0.21432115729608</v>
      </c>
      <c r="BF1245" s="43" t="n">
        <v>81268</v>
      </c>
    </row>
    <row r="1246">
      <c r="A1246" s="42" t="inlineStr">
        <is>
          <t>TX</t>
        </is>
      </c>
      <c r="B1246" s="42" t="inlineStr">
        <is>
          <t>48473</t>
        </is>
      </c>
      <c r="C1246" s="42" t="inlineStr">
        <is>
          <t>Waller</t>
        </is>
      </c>
      <c r="D1246" s="42" t="inlineStr">
        <is>
          <t>Small town &amp; rural</t>
        </is>
      </c>
      <c r="E1246" s="42" t="inlineStr"/>
      <c r="F1246" s="43" t="n">
        <v>10183</v>
      </c>
      <c r="G1246" s="43" t="n">
        <v>17077</v>
      </c>
      <c r="H1246" s="43" t="n">
        <v>27545</v>
      </c>
      <c r="I1246" s="43" t="n">
        <v>8191</v>
      </c>
      <c r="J1246" s="43" t="n">
        <v>14260</v>
      </c>
      <c r="K1246" s="42" t="inlineStr">
        <is>
          <t>Governor</t>
        </is>
      </c>
      <c r="L1246" s="43" t="n">
        <v>5100</v>
      </c>
      <c r="M1246" s="43" t="n">
        <v>11381</v>
      </c>
      <c r="N1246" s="43" t="n">
        <v>16714</v>
      </c>
      <c r="O1246" s="44">
        <f>IFERROR((F1246-G1246)/(F1246+G1246),"")</f>
        <v/>
      </c>
      <c r="P1246" s="44">
        <f>IFERROR((I1246-J1246)/(I1246+J1246),"")</f>
        <v/>
      </c>
      <c r="Q1246" s="45">
        <f>IFERROR(O1246-P1246,"")</f>
        <v/>
      </c>
      <c r="R1246" s="44">
        <f>IFERROR((L1246-M1246)/(L1246+M1246),"")</f>
        <v/>
      </c>
      <c r="S1246" s="46">
        <f>H1246/SUMIFS(Counties!$H$2:$H$1583,Counties!$A$2:$A$1583,$A1246)</f>
        <v/>
      </c>
      <c r="T1246" s="44">
        <f>O1246+INDEX(Dashboard!$F$6:$F$22,MATCH($A1246,Dashboard!$A$6:$A$22,0))</f>
        <v/>
      </c>
      <c r="U1246" s="43">
        <f>AQ1246*INDEX(Dashboard!$G$6:$G$22,MATCH($A1246,Dashboard!$A$6:$A$22,0))</f>
        <v/>
      </c>
      <c r="V1246" s="47" t="n"/>
      <c r="W1246" s="47" t="n"/>
      <c r="X1246" s="47" t="n"/>
      <c r="Y1246" s="48" t="n"/>
      <c r="Z1246" s="49" t="n"/>
      <c r="AA1246" s="49" t="n"/>
      <c r="AB1246" s="49" t="n"/>
      <c r="AC1246" s="50" t="n"/>
      <c r="AD1246" s="43">
        <f>IF(Z1246&lt;&gt;"",Z1246,N(V1246))</f>
        <v/>
      </c>
      <c r="AE1246" s="43">
        <f>IF(AA1246&lt;&gt;"",AA1246,N(W1246))</f>
        <v/>
      </c>
      <c r="AF1246" s="43">
        <f>AD1246+AE1246</f>
        <v/>
      </c>
      <c r="AG1246" s="42">
        <f>IF(UPPER(AC1246)="Y",1,IF(AF1246=0,0,IF(AND(Z1246="",Y1246&lt;&gt;""),IF(Y1246&gt;=0.999,1,0),IF(AF1246&gt;=U1246,1,0))))</f>
        <v/>
      </c>
      <c r="AH1246" s="44">
        <f>IF(AF1246&gt;0,(AD1246-AE1246)/AF1246,"")</f>
        <v/>
      </c>
      <c r="AI1246" s="45">
        <f>IF(AG1246=1,AH1246-O1246,"")</f>
        <v/>
      </c>
      <c r="AJ1246" s="44">
        <f>IF(AG1246=1,AH1246,MAX(-1,MIN(1,O1246+INDEX(Types!$H:$H,MATCH($A1246&amp;"|"&amp;$D1246,Types!$A:$A,0)))))</f>
        <v/>
      </c>
      <c r="AK1246" s="43">
        <f>IF(AG1246=1,AF1246,MAX(AQ1246*AS1246,AF1246))</f>
        <v/>
      </c>
      <c r="AL1246" s="43">
        <f>IF(AG1246=1,AD1246,AK1246*(1+AJ1246)/2)</f>
        <v/>
      </c>
      <c r="AM1246" s="43">
        <f>IF(AG1246=1,AE1246,AK1246*(1-AJ1246)/2)</f>
        <v/>
      </c>
      <c r="AN1246" s="45">
        <f>IF(AH1246="","",AH1246-T1246)</f>
        <v/>
      </c>
      <c r="AO1246" s="51">
        <f>IF(AG1246=1,1,IF(U1246&gt;0,MIN(AF1246/U1246,0.99),0))</f>
        <v/>
      </c>
      <c r="AP1246" s="43">
        <f>IF(AG1246=1,AI1246*AF1246,0)</f>
        <v/>
      </c>
      <c r="AQ1246" s="43">
        <f>N1246*(F1246+G1246)/H1246</f>
        <v/>
      </c>
      <c r="AR1246" s="43">
        <f>O1246*AQ1246</f>
        <v/>
      </c>
      <c r="AS1246" s="52">
        <f>IF(AG1246=1,IF(AQ1246&gt;0,AF1246/AQ1246,1),IFERROR(INDEX(Types!$K:$K,MATCH($A1246&amp;"|"&amp;$D1246,Types!$A:$A,0)),INDEX(Dashboard!$X$6:$X$22,MATCH($A1246,Dashboard!$A$6:$A$22,0))))</f>
        <v/>
      </c>
      <c r="AT1246" s="43">
        <f>AQ1246*INDEX(Dashboard!$Y$6:$Y$22,MATCH($A1246,Dashboard!$A$6:$A$22,0))</f>
        <v/>
      </c>
      <c r="AU1246" s="53">
        <f>IF(AND(AG1246=1,AT1246&gt;0,AF1246&gt;0),100*AF1246/AT1246,"")</f>
        <v/>
      </c>
      <c r="AV1246" s="44">
        <f>IF(AU1246="","",T1246/(AU1246/100))</f>
        <v/>
      </c>
      <c r="AW1246" s="53">
        <f>IF(AU1246="","",IF(AND(ABS(AH1246)&gt;=0.1,ABS(T1246)&gt;=0.05,SIGN(AH1246)=SIGN(T1246)),100*T1246/AH1246,""))</f>
        <v/>
      </c>
      <c r="AX1246" s="45">
        <f>IF(AU1246="","",T1246-AV1246)</f>
        <v/>
      </c>
      <c r="AY1246" s="45">
        <f>IF(AU1246="","",AH1246-AV1246)</f>
        <v/>
      </c>
      <c r="AZ1246" s="54">
        <f>(AL1246-AM1246)-T1246*AT1246</f>
        <v/>
      </c>
      <c r="BA1246" s="43">
        <f>IF(AU1246="",0,(AH1246-T1246)*AF1246)</f>
        <v/>
      </c>
      <c r="BB1246" s="43">
        <f>IF(AU1246="",0,T1246*(AF1246-AT1246))</f>
        <v/>
      </c>
      <c r="BC1246" s="51" t="n">
        <v>0.2368574260853146</v>
      </c>
      <c r="BD1246" s="51" t="n">
        <v>0.3396692524349755</v>
      </c>
      <c r="BE1246" s="51" t="n">
        <v>0.2657326328079393</v>
      </c>
      <c r="BF1246" s="43" t="n">
        <v>63553</v>
      </c>
    </row>
    <row r="1247">
      <c r="A1247" s="42" t="inlineStr">
        <is>
          <t>TX</t>
        </is>
      </c>
      <c r="B1247" s="42" t="inlineStr">
        <is>
          <t>48475</t>
        </is>
      </c>
      <c r="C1247" s="42" t="inlineStr">
        <is>
          <t>Ward</t>
        </is>
      </c>
      <c r="D1247" s="42" t="inlineStr">
        <is>
          <t>Hispanic</t>
        </is>
      </c>
      <c r="E1247" s="42" t="inlineStr"/>
      <c r="F1247" s="43" t="n">
        <v>627</v>
      </c>
      <c r="G1247" s="43" t="n">
        <v>3115</v>
      </c>
      <c r="H1247" s="43" t="n">
        <v>3764</v>
      </c>
      <c r="I1247" s="43" t="n">
        <v>764</v>
      </c>
      <c r="J1247" s="43" t="n">
        <v>3241</v>
      </c>
      <c r="K1247" s="42" t="inlineStr">
        <is>
          <t>Governor</t>
        </is>
      </c>
      <c r="L1247" s="43" t="n">
        <v>418</v>
      </c>
      <c r="M1247" s="43" t="n">
        <v>2065</v>
      </c>
      <c r="N1247" s="43" t="n">
        <v>2518</v>
      </c>
      <c r="O1247" s="44">
        <f>IFERROR((F1247-G1247)/(F1247+G1247),"")</f>
        <v/>
      </c>
      <c r="P1247" s="44">
        <f>IFERROR((I1247-J1247)/(I1247+J1247),"")</f>
        <v/>
      </c>
      <c r="Q1247" s="45">
        <f>IFERROR(O1247-P1247,"")</f>
        <v/>
      </c>
      <c r="R1247" s="44">
        <f>IFERROR((L1247-M1247)/(L1247+M1247),"")</f>
        <v/>
      </c>
      <c r="S1247" s="46">
        <f>H1247/SUMIFS(Counties!$H$2:$H$1583,Counties!$A$2:$A$1583,$A1247)</f>
        <v/>
      </c>
      <c r="T1247" s="44">
        <f>O1247+INDEX(Dashboard!$F$6:$F$22,MATCH($A1247,Dashboard!$A$6:$A$22,0))</f>
        <v/>
      </c>
      <c r="U1247" s="43">
        <f>AQ1247*INDEX(Dashboard!$G$6:$G$22,MATCH($A1247,Dashboard!$A$6:$A$22,0))</f>
        <v/>
      </c>
      <c r="V1247" s="47" t="n"/>
      <c r="W1247" s="47" t="n"/>
      <c r="X1247" s="47" t="n"/>
      <c r="Y1247" s="48" t="n"/>
      <c r="Z1247" s="49" t="n"/>
      <c r="AA1247" s="49" t="n"/>
      <c r="AB1247" s="49" t="n"/>
      <c r="AC1247" s="50" t="n"/>
      <c r="AD1247" s="43">
        <f>IF(Z1247&lt;&gt;"",Z1247,N(V1247))</f>
        <v/>
      </c>
      <c r="AE1247" s="43">
        <f>IF(AA1247&lt;&gt;"",AA1247,N(W1247))</f>
        <v/>
      </c>
      <c r="AF1247" s="43">
        <f>AD1247+AE1247</f>
        <v/>
      </c>
      <c r="AG1247" s="42">
        <f>IF(UPPER(AC1247)="Y",1,IF(AF1247=0,0,IF(AND(Z1247="",Y1247&lt;&gt;""),IF(Y1247&gt;=0.999,1,0),IF(AF1247&gt;=U1247,1,0))))</f>
        <v/>
      </c>
      <c r="AH1247" s="44">
        <f>IF(AF1247&gt;0,(AD1247-AE1247)/AF1247,"")</f>
        <v/>
      </c>
      <c r="AI1247" s="45">
        <f>IF(AG1247=1,AH1247-O1247,"")</f>
        <v/>
      </c>
      <c r="AJ1247" s="44">
        <f>IF(AG1247=1,AH1247,MAX(-1,MIN(1,O1247+INDEX(Types!$H:$H,MATCH($A1247&amp;"|"&amp;$D1247,Types!$A:$A,0)))))</f>
        <v/>
      </c>
      <c r="AK1247" s="43">
        <f>IF(AG1247=1,AF1247,MAX(AQ1247*AS1247,AF1247))</f>
        <v/>
      </c>
      <c r="AL1247" s="43">
        <f>IF(AG1247=1,AD1247,AK1247*(1+AJ1247)/2)</f>
        <v/>
      </c>
      <c r="AM1247" s="43">
        <f>IF(AG1247=1,AE1247,AK1247*(1-AJ1247)/2)</f>
        <v/>
      </c>
      <c r="AN1247" s="45">
        <f>IF(AH1247="","",AH1247-T1247)</f>
        <v/>
      </c>
      <c r="AO1247" s="51">
        <f>IF(AG1247=1,1,IF(U1247&gt;0,MIN(AF1247/U1247,0.99),0))</f>
        <v/>
      </c>
      <c r="AP1247" s="43">
        <f>IF(AG1247=1,AI1247*AF1247,0)</f>
        <v/>
      </c>
      <c r="AQ1247" s="43">
        <f>N1247*(F1247+G1247)/H1247</f>
        <v/>
      </c>
      <c r="AR1247" s="43">
        <f>O1247*AQ1247</f>
        <v/>
      </c>
      <c r="AS1247" s="52">
        <f>IF(AG1247=1,IF(AQ1247&gt;0,AF1247/AQ1247,1),IFERROR(INDEX(Types!$K:$K,MATCH($A1247&amp;"|"&amp;$D1247,Types!$A:$A,0)),INDEX(Dashboard!$X$6:$X$22,MATCH($A1247,Dashboard!$A$6:$A$22,0))))</f>
        <v/>
      </c>
      <c r="AT1247" s="43">
        <f>AQ1247*INDEX(Dashboard!$Y$6:$Y$22,MATCH($A1247,Dashboard!$A$6:$A$22,0))</f>
        <v/>
      </c>
      <c r="AU1247" s="53">
        <f>IF(AND(AG1247=1,AT1247&gt;0,AF1247&gt;0),100*AF1247/AT1247,"")</f>
        <v/>
      </c>
      <c r="AV1247" s="44">
        <f>IF(AU1247="","",T1247/(AU1247/100))</f>
        <v/>
      </c>
      <c r="AW1247" s="53">
        <f>IF(AU1247="","",IF(AND(ABS(AH1247)&gt;=0.1,ABS(T1247)&gt;=0.05,SIGN(AH1247)=SIGN(T1247)),100*T1247/AH1247,""))</f>
        <v/>
      </c>
      <c r="AX1247" s="45">
        <f>IF(AU1247="","",T1247-AV1247)</f>
        <v/>
      </c>
      <c r="AY1247" s="45">
        <f>IF(AU1247="","",AH1247-AV1247)</f>
        <v/>
      </c>
      <c r="AZ1247" s="54">
        <f>(AL1247-AM1247)-T1247*AT1247</f>
        <v/>
      </c>
      <c r="BA1247" s="43">
        <f>IF(AU1247="",0,(AH1247-T1247)*AF1247)</f>
        <v/>
      </c>
      <c r="BB1247" s="43">
        <f>IF(AU1247="",0,T1247*(AF1247-AT1247))</f>
        <v/>
      </c>
      <c r="BC1247" s="51" t="n">
        <v>0.04057997446653292</v>
      </c>
      <c r="BD1247" s="51" t="n">
        <v>0.5708553711471822</v>
      </c>
      <c r="BE1247" s="51" t="n">
        <v>0.1068670130599635</v>
      </c>
      <c r="BF1247" s="43" t="n">
        <v>10966</v>
      </c>
    </row>
    <row r="1248">
      <c r="A1248" s="42" t="inlineStr">
        <is>
          <t>TX</t>
        </is>
      </c>
      <c r="B1248" s="42" t="inlineStr">
        <is>
          <t>48477</t>
        </is>
      </c>
      <c r="C1248" s="42" t="inlineStr">
        <is>
          <t>Washington</t>
        </is>
      </c>
      <c r="D1248" s="42" t="inlineStr">
        <is>
          <t>Small town &amp; rural</t>
        </is>
      </c>
      <c r="E1248" s="42" t="inlineStr"/>
      <c r="F1248" s="43" t="n">
        <v>4058</v>
      </c>
      <c r="G1248" s="43" t="n">
        <v>14020</v>
      </c>
      <c r="H1248" s="43" t="n">
        <v>18208</v>
      </c>
      <c r="I1248" s="43" t="n">
        <v>4261</v>
      </c>
      <c r="J1248" s="43" t="n">
        <v>12959</v>
      </c>
      <c r="K1248" s="42" t="inlineStr">
        <is>
          <t>Governor</t>
        </is>
      </c>
      <c r="L1248" s="43" t="n">
        <v>2824</v>
      </c>
      <c r="M1248" s="43" t="n">
        <v>10965</v>
      </c>
      <c r="N1248" s="43" t="n">
        <v>13974</v>
      </c>
      <c r="O1248" s="44">
        <f>IFERROR((F1248-G1248)/(F1248+G1248),"")</f>
        <v/>
      </c>
      <c r="P1248" s="44">
        <f>IFERROR((I1248-J1248)/(I1248+J1248),"")</f>
        <v/>
      </c>
      <c r="Q1248" s="45">
        <f>IFERROR(O1248-P1248,"")</f>
        <v/>
      </c>
      <c r="R1248" s="44">
        <f>IFERROR((L1248-M1248)/(L1248+M1248),"")</f>
        <v/>
      </c>
      <c r="S1248" s="46">
        <f>H1248/SUMIFS(Counties!$H$2:$H$1583,Counties!$A$2:$A$1583,$A1248)</f>
        <v/>
      </c>
      <c r="T1248" s="44">
        <f>O1248+INDEX(Dashboard!$F$6:$F$22,MATCH($A1248,Dashboard!$A$6:$A$22,0))</f>
        <v/>
      </c>
      <c r="U1248" s="43">
        <f>AQ1248*INDEX(Dashboard!$G$6:$G$22,MATCH($A1248,Dashboard!$A$6:$A$22,0))</f>
        <v/>
      </c>
      <c r="V1248" s="47" t="n"/>
      <c r="W1248" s="47" t="n"/>
      <c r="X1248" s="47" t="n"/>
      <c r="Y1248" s="48" t="n"/>
      <c r="Z1248" s="49" t="n"/>
      <c r="AA1248" s="49" t="n"/>
      <c r="AB1248" s="49" t="n"/>
      <c r="AC1248" s="50" t="n"/>
      <c r="AD1248" s="43">
        <f>IF(Z1248&lt;&gt;"",Z1248,N(V1248))</f>
        <v/>
      </c>
      <c r="AE1248" s="43">
        <f>IF(AA1248&lt;&gt;"",AA1248,N(W1248))</f>
        <v/>
      </c>
      <c r="AF1248" s="43">
        <f>AD1248+AE1248</f>
        <v/>
      </c>
      <c r="AG1248" s="42">
        <f>IF(UPPER(AC1248)="Y",1,IF(AF1248=0,0,IF(AND(Z1248="",Y1248&lt;&gt;""),IF(Y1248&gt;=0.999,1,0),IF(AF1248&gt;=U1248,1,0))))</f>
        <v/>
      </c>
      <c r="AH1248" s="44">
        <f>IF(AF1248&gt;0,(AD1248-AE1248)/AF1248,"")</f>
        <v/>
      </c>
      <c r="AI1248" s="45">
        <f>IF(AG1248=1,AH1248-O1248,"")</f>
        <v/>
      </c>
      <c r="AJ1248" s="44">
        <f>IF(AG1248=1,AH1248,MAX(-1,MIN(1,O1248+INDEX(Types!$H:$H,MATCH($A1248&amp;"|"&amp;$D1248,Types!$A:$A,0)))))</f>
        <v/>
      </c>
      <c r="AK1248" s="43">
        <f>IF(AG1248=1,AF1248,MAX(AQ1248*AS1248,AF1248))</f>
        <v/>
      </c>
      <c r="AL1248" s="43">
        <f>IF(AG1248=1,AD1248,AK1248*(1+AJ1248)/2)</f>
        <v/>
      </c>
      <c r="AM1248" s="43">
        <f>IF(AG1248=1,AE1248,AK1248*(1-AJ1248)/2)</f>
        <v/>
      </c>
      <c r="AN1248" s="45">
        <f>IF(AH1248="","",AH1248-T1248)</f>
        <v/>
      </c>
      <c r="AO1248" s="51">
        <f>IF(AG1248=1,1,IF(U1248&gt;0,MIN(AF1248/U1248,0.99),0))</f>
        <v/>
      </c>
      <c r="AP1248" s="43">
        <f>IF(AG1248=1,AI1248*AF1248,0)</f>
        <v/>
      </c>
      <c r="AQ1248" s="43">
        <f>N1248*(F1248+G1248)/H1248</f>
        <v/>
      </c>
      <c r="AR1248" s="43">
        <f>O1248*AQ1248</f>
        <v/>
      </c>
      <c r="AS1248" s="52">
        <f>IF(AG1248=1,IF(AQ1248&gt;0,AF1248/AQ1248,1),IFERROR(INDEX(Types!$K:$K,MATCH($A1248&amp;"|"&amp;$D1248,Types!$A:$A,0)),INDEX(Dashboard!$X$6:$X$22,MATCH($A1248,Dashboard!$A$6:$A$22,0))))</f>
        <v/>
      </c>
      <c r="AT1248" s="43">
        <f>AQ1248*INDEX(Dashboard!$Y$6:$Y$22,MATCH($A1248,Dashboard!$A$6:$A$22,0))</f>
        <v/>
      </c>
      <c r="AU1248" s="53">
        <f>IF(AND(AG1248=1,AT1248&gt;0,AF1248&gt;0),100*AF1248/AT1248,"")</f>
        <v/>
      </c>
      <c r="AV1248" s="44">
        <f>IF(AU1248="","",T1248/(AU1248/100))</f>
        <v/>
      </c>
      <c r="AW1248" s="53">
        <f>IF(AU1248="","",IF(AND(ABS(AH1248)&gt;=0.1,ABS(T1248)&gt;=0.05,SIGN(AH1248)=SIGN(T1248)),100*T1248/AH1248,""))</f>
        <v/>
      </c>
      <c r="AX1248" s="45">
        <f>IF(AU1248="","",T1248-AV1248)</f>
        <v/>
      </c>
      <c r="AY1248" s="45">
        <f>IF(AU1248="","",AH1248-AV1248)</f>
        <v/>
      </c>
      <c r="AZ1248" s="54">
        <f>(AL1248-AM1248)-T1248*AT1248</f>
        <v/>
      </c>
      <c r="BA1248" s="43">
        <f>IF(AU1248="",0,(AH1248-T1248)*AF1248)</f>
        <v/>
      </c>
      <c r="BB1248" s="43">
        <f>IF(AU1248="",0,T1248*(AF1248-AT1248))</f>
        <v/>
      </c>
      <c r="BC1248" s="51" t="n">
        <v>0.1575377631258951</v>
      </c>
      <c r="BD1248" s="51" t="n">
        <v>0.1870727159726538</v>
      </c>
      <c r="BE1248" s="51" t="n">
        <v>0.3100223622687538</v>
      </c>
      <c r="BF1248" s="43" t="n">
        <v>37007</v>
      </c>
    </row>
    <row r="1249">
      <c r="A1249" s="42" t="inlineStr">
        <is>
          <t>TX</t>
        </is>
      </c>
      <c r="B1249" s="42" t="inlineStr">
        <is>
          <t>48479</t>
        </is>
      </c>
      <c r="C1249" s="42" t="inlineStr">
        <is>
          <t>Webb</t>
        </is>
      </c>
      <c r="D1249" s="42" t="inlineStr">
        <is>
          <t>Hispanic</t>
        </is>
      </c>
      <c r="E1249" s="42" t="inlineStr"/>
      <c r="F1249" s="43" t="n">
        <v>31952</v>
      </c>
      <c r="G1249" s="43" t="n">
        <v>33384</v>
      </c>
      <c r="H1249" s="43" t="n">
        <v>65845</v>
      </c>
      <c r="I1249" s="43" t="n">
        <v>41820</v>
      </c>
      <c r="J1249" s="43" t="n">
        <v>25898</v>
      </c>
      <c r="K1249" s="42" t="inlineStr">
        <is>
          <t>Governor</t>
        </is>
      </c>
      <c r="L1249" s="43" t="n">
        <v>27156</v>
      </c>
      <c r="M1249" s="43" t="n">
        <v>16409</v>
      </c>
      <c r="N1249" s="43" t="n">
        <v>44733</v>
      </c>
      <c r="O1249" s="44">
        <f>IFERROR((F1249-G1249)/(F1249+G1249),"")</f>
        <v/>
      </c>
      <c r="P1249" s="44">
        <f>IFERROR((I1249-J1249)/(I1249+J1249),"")</f>
        <v/>
      </c>
      <c r="Q1249" s="45">
        <f>IFERROR(O1249-P1249,"")</f>
        <v/>
      </c>
      <c r="R1249" s="44">
        <f>IFERROR((L1249-M1249)/(L1249+M1249),"")</f>
        <v/>
      </c>
      <c r="S1249" s="46">
        <f>H1249/SUMIFS(Counties!$H$2:$H$1583,Counties!$A$2:$A$1583,$A1249)</f>
        <v/>
      </c>
      <c r="T1249" s="44">
        <f>O1249+INDEX(Dashboard!$F$6:$F$22,MATCH($A1249,Dashboard!$A$6:$A$22,0))</f>
        <v/>
      </c>
      <c r="U1249" s="43">
        <f>AQ1249*INDEX(Dashboard!$G$6:$G$22,MATCH($A1249,Dashboard!$A$6:$A$22,0))</f>
        <v/>
      </c>
      <c r="V1249" s="47" t="n"/>
      <c r="W1249" s="47" t="n"/>
      <c r="X1249" s="47" t="n"/>
      <c r="Y1249" s="48" t="n"/>
      <c r="Z1249" s="49" t="n"/>
      <c r="AA1249" s="49" t="n"/>
      <c r="AB1249" s="49" t="n"/>
      <c r="AC1249" s="50" t="n"/>
      <c r="AD1249" s="43">
        <f>IF(Z1249&lt;&gt;"",Z1249,N(V1249))</f>
        <v/>
      </c>
      <c r="AE1249" s="43">
        <f>IF(AA1249&lt;&gt;"",AA1249,N(W1249))</f>
        <v/>
      </c>
      <c r="AF1249" s="43">
        <f>AD1249+AE1249</f>
        <v/>
      </c>
      <c r="AG1249" s="42">
        <f>IF(UPPER(AC1249)="Y",1,IF(AF1249=0,0,IF(AND(Z1249="",Y1249&lt;&gt;""),IF(Y1249&gt;=0.999,1,0),IF(AF1249&gt;=U1249,1,0))))</f>
        <v/>
      </c>
      <c r="AH1249" s="44">
        <f>IF(AF1249&gt;0,(AD1249-AE1249)/AF1249,"")</f>
        <v/>
      </c>
      <c r="AI1249" s="45">
        <f>IF(AG1249=1,AH1249-O1249,"")</f>
        <v/>
      </c>
      <c r="AJ1249" s="44">
        <f>IF(AG1249=1,AH1249,MAX(-1,MIN(1,O1249+INDEX(Types!$H:$H,MATCH($A1249&amp;"|"&amp;$D1249,Types!$A:$A,0)))))</f>
        <v/>
      </c>
      <c r="AK1249" s="43">
        <f>IF(AG1249=1,AF1249,MAX(AQ1249*AS1249,AF1249))</f>
        <v/>
      </c>
      <c r="AL1249" s="43">
        <f>IF(AG1249=1,AD1249,AK1249*(1+AJ1249)/2)</f>
        <v/>
      </c>
      <c r="AM1249" s="43">
        <f>IF(AG1249=1,AE1249,AK1249*(1-AJ1249)/2)</f>
        <v/>
      </c>
      <c r="AN1249" s="45">
        <f>IF(AH1249="","",AH1249-T1249)</f>
        <v/>
      </c>
      <c r="AO1249" s="51">
        <f>IF(AG1249=1,1,IF(U1249&gt;0,MIN(AF1249/U1249,0.99),0))</f>
        <v/>
      </c>
      <c r="AP1249" s="43">
        <f>IF(AG1249=1,AI1249*AF1249,0)</f>
        <v/>
      </c>
      <c r="AQ1249" s="43">
        <f>N1249*(F1249+G1249)/H1249</f>
        <v/>
      </c>
      <c r="AR1249" s="43">
        <f>O1249*AQ1249</f>
        <v/>
      </c>
      <c r="AS1249" s="52">
        <f>IF(AG1249=1,IF(AQ1249&gt;0,AF1249/AQ1249,1),IFERROR(INDEX(Types!$K:$K,MATCH($A1249&amp;"|"&amp;$D1249,Types!$A:$A,0)),INDEX(Dashboard!$X$6:$X$22,MATCH($A1249,Dashboard!$A$6:$A$22,0))))</f>
        <v/>
      </c>
      <c r="AT1249" s="43">
        <f>AQ1249*INDEX(Dashboard!$Y$6:$Y$22,MATCH($A1249,Dashboard!$A$6:$A$22,0))</f>
        <v/>
      </c>
      <c r="AU1249" s="53">
        <f>IF(AND(AG1249=1,AT1249&gt;0,AF1249&gt;0),100*AF1249/AT1249,"")</f>
        <v/>
      </c>
      <c r="AV1249" s="44">
        <f>IF(AU1249="","",T1249/(AU1249/100))</f>
        <v/>
      </c>
      <c r="AW1249" s="53">
        <f>IF(AU1249="","",IF(AND(ABS(AH1249)&gt;=0.1,ABS(T1249)&gt;=0.05,SIGN(AH1249)=SIGN(T1249)),100*T1249/AH1249,""))</f>
        <v/>
      </c>
      <c r="AX1249" s="45">
        <f>IF(AU1249="","",T1249-AV1249)</f>
        <v/>
      </c>
      <c r="AY1249" s="45">
        <f>IF(AU1249="","",AH1249-AV1249)</f>
        <v/>
      </c>
      <c r="AZ1249" s="54">
        <f>(AL1249-AM1249)-T1249*AT1249</f>
        <v/>
      </c>
      <c r="BA1249" s="43">
        <f>IF(AU1249="",0,(AH1249-T1249)*AF1249)</f>
        <v/>
      </c>
      <c r="BB1249" s="43">
        <f>IF(AU1249="",0,T1249*(AF1249-AT1249))</f>
        <v/>
      </c>
      <c r="BC1249" s="51" t="n">
        <v>0.004934088308291349</v>
      </c>
      <c r="BD1249" s="51" t="n">
        <v>0.9490874908972016</v>
      </c>
      <c r="BE1249" s="51" t="n">
        <v>0.209415563109472</v>
      </c>
      <c r="BF1249" s="43" t="n">
        <v>269148</v>
      </c>
    </row>
    <row r="1250">
      <c r="A1250" s="42" t="inlineStr">
        <is>
          <t>TX</t>
        </is>
      </c>
      <c r="B1250" s="42" t="inlineStr">
        <is>
          <t>48481</t>
        </is>
      </c>
      <c r="C1250" s="42" t="inlineStr">
        <is>
          <t>Wharton</t>
        </is>
      </c>
      <c r="D1250" s="42" t="inlineStr">
        <is>
          <t>Hispanic</t>
        </is>
      </c>
      <c r="E1250" s="42" t="inlineStr"/>
      <c r="F1250" s="43" t="n">
        <v>3910</v>
      </c>
      <c r="G1250" s="43" t="n">
        <v>12439</v>
      </c>
      <c r="H1250" s="43" t="n">
        <v>16452</v>
      </c>
      <c r="I1250" s="43" t="n">
        <v>4694</v>
      </c>
      <c r="J1250" s="43" t="n">
        <v>11926</v>
      </c>
      <c r="K1250" s="42" t="inlineStr">
        <is>
          <t>Governor</t>
        </is>
      </c>
      <c r="L1250" s="43" t="n">
        <v>2697</v>
      </c>
      <c r="M1250" s="43" t="n">
        <v>9354</v>
      </c>
      <c r="N1250" s="43" t="n">
        <v>12157</v>
      </c>
      <c r="O1250" s="44">
        <f>IFERROR((F1250-G1250)/(F1250+G1250),"")</f>
        <v/>
      </c>
      <c r="P1250" s="44">
        <f>IFERROR((I1250-J1250)/(I1250+J1250),"")</f>
        <v/>
      </c>
      <c r="Q1250" s="45">
        <f>IFERROR(O1250-P1250,"")</f>
        <v/>
      </c>
      <c r="R1250" s="44">
        <f>IFERROR((L1250-M1250)/(L1250+M1250),"")</f>
        <v/>
      </c>
      <c r="S1250" s="46">
        <f>H1250/SUMIFS(Counties!$H$2:$H$1583,Counties!$A$2:$A$1583,$A1250)</f>
        <v/>
      </c>
      <c r="T1250" s="44">
        <f>O1250+INDEX(Dashboard!$F$6:$F$22,MATCH($A1250,Dashboard!$A$6:$A$22,0))</f>
        <v/>
      </c>
      <c r="U1250" s="43">
        <f>AQ1250*INDEX(Dashboard!$G$6:$G$22,MATCH($A1250,Dashboard!$A$6:$A$22,0))</f>
        <v/>
      </c>
      <c r="V1250" s="47" t="n"/>
      <c r="W1250" s="47" t="n"/>
      <c r="X1250" s="47" t="n"/>
      <c r="Y1250" s="48" t="n"/>
      <c r="Z1250" s="49" t="n"/>
      <c r="AA1250" s="49" t="n"/>
      <c r="AB1250" s="49" t="n"/>
      <c r="AC1250" s="50" t="n"/>
      <c r="AD1250" s="43">
        <f>IF(Z1250&lt;&gt;"",Z1250,N(V1250))</f>
        <v/>
      </c>
      <c r="AE1250" s="43">
        <f>IF(AA1250&lt;&gt;"",AA1250,N(W1250))</f>
        <v/>
      </c>
      <c r="AF1250" s="43">
        <f>AD1250+AE1250</f>
        <v/>
      </c>
      <c r="AG1250" s="42">
        <f>IF(UPPER(AC1250)="Y",1,IF(AF1250=0,0,IF(AND(Z1250="",Y1250&lt;&gt;""),IF(Y1250&gt;=0.999,1,0),IF(AF1250&gt;=U1250,1,0))))</f>
        <v/>
      </c>
      <c r="AH1250" s="44">
        <f>IF(AF1250&gt;0,(AD1250-AE1250)/AF1250,"")</f>
        <v/>
      </c>
      <c r="AI1250" s="45">
        <f>IF(AG1250=1,AH1250-O1250,"")</f>
        <v/>
      </c>
      <c r="AJ1250" s="44">
        <f>IF(AG1250=1,AH1250,MAX(-1,MIN(1,O1250+INDEX(Types!$H:$H,MATCH($A1250&amp;"|"&amp;$D1250,Types!$A:$A,0)))))</f>
        <v/>
      </c>
      <c r="AK1250" s="43">
        <f>IF(AG1250=1,AF1250,MAX(AQ1250*AS1250,AF1250))</f>
        <v/>
      </c>
      <c r="AL1250" s="43">
        <f>IF(AG1250=1,AD1250,AK1250*(1+AJ1250)/2)</f>
        <v/>
      </c>
      <c r="AM1250" s="43">
        <f>IF(AG1250=1,AE1250,AK1250*(1-AJ1250)/2)</f>
        <v/>
      </c>
      <c r="AN1250" s="45">
        <f>IF(AH1250="","",AH1250-T1250)</f>
        <v/>
      </c>
      <c r="AO1250" s="51">
        <f>IF(AG1250=1,1,IF(U1250&gt;0,MIN(AF1250/U1250,0.99),0))</f>
        <v/>
      </c>
      <c r="AP1250" s="43">
        <f>IF(AG1250=1,AI1250*AF1250,0)</f>
        <v/>
      </c>
      <c r="AQ1250" s="43">
        <f>N1250*(F1250+G1250)/H1250</f>
        <v/>
      </c>
      <c r="AR1250" s="43">
        <f>O1250*AQ1250</f>
        <v/>
      </c>
      <c r="AS1250" s="52">
        <f>IF(AG1250=1,IF(AQ1250&gt;0,AF1250/AQ1250,1),IFERROR(INDEX(Types!$K:$K,MATCH($A1250&amp;"|"&amp;$D1250,Types!$A:$A,0)),INDEX(Dashboard!$X$6:$X$22,MATCH($A1250,Dashboard!$A$6:$A$22,0))))</f>
        <v/>
      </c>
      <c r="AT1250" s="43">
        <f>AQ1250*INDEX(Dashboard!$Y$6:$Y$22,MATCH($A1250,Dashboard!$A$6:$A$22,0))</f>
        <v/>
      </c>
      <c r="AU1250" s="53">
        <f>IF(AND(AG1250=1,AT1250&gt;0,AF1250&gt;0),100*AF1250/AT1250,"")</f>
        <v/>
      </c>
      <c r="AV1250" s="44">
        <f>IF(AU1250="","",T1250/(AU1250/100))</f>
        <v/>
      </c>
      <c r="AW1250" s="53">
        <f>IF(AU1250="","",IF(AND(ABS(AH1250)&gt;=0.1,ABS(T1250)&gt;=0.05,SIGN(AH1250)=SIGN(T1250)),100*T1250/AH1250,""))</f>
        <v/>
      </c>
      <c r="AX1250" s="45">
        <f>IF(AU1250="","",T1250-AV1250)</f>
        <v/>
      </c>
      <c r="AY1250" s="45">
        <f>IF(AU1250="","",AH1250-AV1250)</f>
        <v/>
      </c>
      <c r="AZ1250" s="54">
        <f>(AL1250-AM1250)-T1250*AT1250</f>
        <v/>
      </c>
      <c r="BA1250" s="43">
        <f>IF(AU1250="",0,(AH1250-T1250)*AF1250)</f>
        <v/>
      </c>
      <c r="BB1250" s="43">
        <f>IF(AU1250="",0,T1250*(AF1250-AT1250))</f>
        <v/>
      </c>
      <c r="BC1250" s="51" t="n">
        <v>0.124943098780517</v>
      </c>
      <c r="BD1250" s="51" t="n">
        <v>0.4234409065861664</v>
      </c>
      <c r="BE1250" s="51" t="n">
        <v>0.1922546957719922</v>
      </c>
      <c r="BF1250" s="43" t="n">
        <v>41739</v>
      </c>
    </row>
    <row r="1251">
      <c r="A1251" s="42" t="inlineStr">
        <is>
          <t>TX</t>
        </is>
      </c>
      <c r="B1251" s="42" t="inlineStr">
        <is>
          <t>48483</t>
        </is>
      </c>
      <c r="C1251" s="42" t="inlineStr">
        <is>
          <t>Wheeler</t>
        </is>
      </c>
      <c r="D1251" s="42" t="inlineStr">
        <is>
          <t>Small town &amp; rural</t>
        </is>
      </c>
      <c r="E1251" s="42" t="inlineStr"/>
      <c r="F1251" s="43" t="n">
        <v>169</v>
      </c>
      <c r="G1251" s="43" t="n">
        <v>2093</v>
      </c>
      <c r="H1251" s="43" t="n">
        <v>2272</v>
      </c>
      <c r="I1251" s="43" t="n">
        <v>168</v>
      </c>
      <c r="J1251" s="43" t="n">
        <v>2159</v>
      </c>
      <c r="K1251" s="42" t="inlineStr">
        <is>
          <t>Governor</t>
        </is>
      </c>
      <c r="L1251" s="43" t="n">
        <v>103</v>
      </c>
      <c r="M1251" s="43" t="n">
        <v>1569</v>
      </c>
      <c r="N1251" s="43" t="n">
        <v>1686</v>
      </c>
      <c r="O1251" s="44">
        <f>IFERROR((F1251-G1251)/(F1251+G1251),"")</f>
        <v/>
      </c>
      <c r="P1251" s="44">
        <f>IFERROR((I1251-J1251)/(I1251+J1251),"")</f>
        <v/>
      </c>
      <c r="Q1251" s="45">
        <f>IFERROR(O1251-P1251,"")</f>
        <v/>
      </c>
      <c r="R1251" s="44">
        <f>IFERROR((L1251-M1251)/(L1251+M1251),"")</f>
        <v/>
      </c>
      <c r="S1251" s="46">
        <f>H1251/SUMIFS(Counties!$H$2:$H$1583,Counties!$A$2:$A$1583,$A1251)</f>
        <v/>
      </c>
      <c r="T1251" s="44">
        <f>O1251+INDEX(Dashboard!$F$6:$F$22,MATCH($A1251,Dashboard!$A$6:$A$22,0))</f>
        <v/>
      </c>
      <c r="U1251" s="43">
        <f>AQ1251*INDEX(Dashboard!$G$6:$G$22,MATCH($A1251,Dashboard!$A$6:$A$22,0))</f>
        <v/>
      </c>
      <c r="V1251" s="47" t="n"/>
      <c r="W1251" s="47" t="n"/>
      <c r="X1251" s="47" t="n"/>
      <c r="Y1251" s="48" t="n"/>
      <c r="Z1251" s="49" t="n"/>
      <c r="AA1251" s="49" t="n"/>
      <c r="AB1251" s="49" t="n"/>
      <c r="AC1251" s="50" t="n"/>
      <c r="AD1251" s="43">
        <f>IF(Z1251&lt;&gt;"",Z1251,N(V1251))</f>
        <v/>
      </c>
      <c r="AE1251" s="43">
        <f>IF(AA1251&lt;&gt;"",AA1251,N(W1251))</f>
        <v/>
      </c>
      <c r="AF1251" s="43">
        <f>AD1251+AE1251</f>
        <v/>
      </c>
      <c r="AG1251" s="42">
        <f>IF(UPPER(AC1251)="Y",1,IF(AF1251=0,0,IF(AND(Z1251="",Y1251&lt;&gt;""),IF(Y1251&gt;=0.999,1,0),IF(AF1251&gt;=U1251,1,0))))</f>
        <v/>
      </c>
      <c r="AH1251" s="44">
        <f>IF(AF1251&gt;0,(AD1251-AE1251)/AF1251,"")</f>
        <v/>
      </c>
      <c r="AI1251" s="45">
        <f>IF(AG1251=1,AH1251-O1251,"")</f>
        <v/>
      </c>
      <c r="AJ1251" s="44">
        <f>IF(AG1251=1,AH1251,MAX(-1,MIN(1,O1251+INDEX(Types!$H:$H,MATCH($A1251&amp;"|"&amp;$D1251,Types!$A:$A,0)))))</f>
        <v/>
      </c>
      <c r="AK1251" s="43">
        <f>IF(AG1251=1,AF1251,MAX(AQ1251*AS1251,AF1251))</f>
        <v/>
      </c>
      <c r="AL1251" s="43">
        <f>IF(AG1251=1,AD1251,AK1251*(1+AJ1251)/2)</f>
        <v/>
      </c>
      <c r="AM1251" s="43">
        <f>IF(AG1251=1,AE1251,AK1251*(1-AJ1251)/2)</f>
        <v/>
      </c>
      <c r="AN1251" s="45">
        <f>IF(AH1251="","",AH1251-T1251)</f>
        <v/>
      </c>
      <c r="AO1251" s="51">
        <f>IF(AG1251=1,1,IF(U1251&gt;0,MIN(AF1251/U1251,0.99),0))</f>
        <v/>
      </c>
      <c r="AP1251" s="43">
        <f>IF(AG1251=1,AI1251*AF1251,0)</f>
        <v/>
      </c>
      <c r="AQ1251" s="43">
        <f>N1251*(F1251+G1251)/H1251</f>
        <v/>
      </c>
      <c r="AR1251" s="43">
        <f>O1251*AQ1251</f>
        <v/>
      </c>
      <c r="AS1251" s="52">
        <f>IF(AG1251=1,IF(AQ1251&gt;0,AF1251/AQ1251,1),IFERROR(INDEX(Types!$K:$K,MATCH($A1251&amp;"|"&amp;$D1251,Types!$A:$A,0)),INDEX(Dashboard!$X$6:$X$22,MATCH($A1251,Dashboard!$A$6:$A$22,0))))</f>
        <v/>
      </c>
      <c r="AT1251" s="43">
        <f>AQ1251*INDEX(Dashboard!$Y$6:$Y$22,MATCH($A1251,Dashboard!$A$6:$A$22,0))</f>
        <v/>
      </c>
      <c r="AU1251" s="53">
        <f>IF(AND(AG1251=1,AT1251&gt;0,AF1251&gt;0),100*AF1251/AT1251,"")</f>
        <v/>
      </c>
      <c r="AV1251" s="44">
        <f>IF(AU1251="","",T1251/(AU1251/100))</f>
        <v/>
      </c>
      <c r="AW1251" s="53">
        <f>IF(AU1251="","",IF(AND(ABS(AH1251)&gt;=0.1,ABS(T1251)&gt;=0.05,SIGN(AH1251)=SIGN(T1251)),100*T1251/AH1251,""))</f>
        <v/>
      </c>
      <c r="AX1251" s="45">
        <f>IF(AU1251="","",T1251-AV1251)</f>
        <v/>
      </c>
      <c r="AY1251" s="45">
        <f>IF(AU1251="","",AH1251-AV1251)</f>
        <v/>
      </c>
      <c r="AZ1251" s="54">
        <f>(AL1251-AM1251)-T1251*AT1251</f>
        <v/>
      </c>
      <c r="BA1251" s="43">
        <f>IF(AU1251="",0,(AH1251-T1251)*AF1251)</f>
        <v/>
      </c>
      <c r="BB1251" s="43">
        <f>IF(AU1251="",0,T1251*(AF1251-AT1251))</f>
        <v/>
      </c>
      <c r="BC1251" s="51" t="n">
        <v>0.02768526228143214</v>
      </c>
      <c r="BD1251" s="51" t="n">
        <v>0.2504163197335554</v>
      </c>
      <c r="BE1251" s="51" t="n">
        <v>0.1951364175563464</v>
      </c>
      <c r="BF1251" s="43" t="n">
        <v>4804</v>
      </c>
    </row>
    <row r="1252">
      <c r="A1252" s="42" t="inlineStr">
        <is>
          <t>TX</t>
        </is>
      </c>
      <c r="B1252" s="42" t="inlineStr">
        <is>
          <t>48485</t>
        </is>
      </c>
      <c r="C1252" s="42" t="inlineStr">
        <is>
          <t>Wichita</t>
        </is>
      </c>
      <c r="D1252" s="42" t="inlineStr">
        <is>
          <t>Mid-size/working metro</t>
        </is>
      </c>
      <c r="E1252" s="42" t="inlineStr"/>
      <c r="F1252" s="43" t="n">
        <v>12237</v>
      </c>
      <c r="G1252" s="43" t="n">
        <v>31818</v>
      </c>
      <c r="H1252" s="43" t="n">
        <v>44497</v>
      </c>
      <c r="I1252" s="43" t="n">
        <v>13161</v>
      </c>
      <c r="J1252" s="43" t="n">
        <v>32069</v>
      </c>
      <c r="K1252" s="42" t="inlineStr">
        <is>
          <t>Governor</t>
        </is>
      </c>
      <c r="L1252" s="43" t="n">
        <v>7824</v>
      </c>
      <c r="M1252" s="43" t="n">
        <v>23328</v>
      </c>
      <c r="N1252" s="43" t="n">
        <v>31631</v>
      </c>
      <c r="O1252" s="44">
        <f>IFERROR((F1252-G1252)/(F1252+G1252),"")</f>
        <v/>
      </c>
      <c r="P1252" s="44">
        <f>IFERROR((I1252-J1252)/(I1252+J1252),"")</f>
        <v/>
      </c>
      <c r="Q1252" s="45">
        <f>IFERROR(O1252-P1252,"")</f>
        <v/>
      </c>
      <c r="R1252" s="44">
        <f>IFERROR((L1252-M1252)/(L1252+M1252),"")</f>
        <v/>
      </c>
      <c r="S1252" s="46">
        <f>H1252/SUMIFS(Counties!$H$2:$H$1583,Counties!$A$2:$A$1583,$A1252)</f>
        <v/>
      </c>
      <c r="T1252" s="44">
        <f>O1252+INDEX(Dashboard!$F$6:$F$22,MATCH($A1252,Dashboard!$A$6:$A$22,0))</f>
        <v/>
      </c>
      <c r="U1252" s="43">
        <f>AQ1252*INDEX(Dashboard!$G$6:$G$22,MATCH($A1252,Dashboard!$A$6:$A$22,0))</f>
        <v/>
      </c>
      <c r="V1252" s="47" t="n"/>
      <c r="W1252" s="47" t="n"/>
      <c r="X1252" s="47" t="n"/>
      <c r="Y1252" s="48" t="n"/>
      <c r="Z1252" s="49" t="n"/>
      <c r="AA1252" s="49" t="n"/>
      <c r="AB1252" s="49" t="n"/>
      <c r="AC1252" s="50" t="n"/>
      <c r="AD1252" s="43">
        <f>IF(Z1252&lt;&gt;"",Z1252,N(V1252))</f>
        <v/>
      </c>
      <c r="AE1252" s="43">
        <f>IF(AA1252&lt;&gt;"",AA1252,N(W1252))</f>
        <v/>
      </c>
      <c r="AF1252" s="43">
        <f>AD1252+AE1252</f>
        <v/>
      </c>
      <c r="AG1252" s="42">
        <f>IF(UPPER(AC1252)="Y",1,IF(AF1252=0,0,IF(AND(Z1252="",Y1252&lt;&gt;""),IF(Y1252&gt;=0.999,1,0),IF(AF1252&gt;=U1252,1,0))))</f>
        <v/>
      </c>
      <c r="AH1252" s="44">
        <f>IF(AF1252&gt;0,(AD1252-AE1252)/AF1252,"")</f>
        <v/>
      </c>
      <c r="AI1252" s="45">
        <f>IF(AG1252=1,AH1252-O1252,"")</f>
        <v/>
      </c>
      <c r="AJ1252" s="44">
        <f>IF(AG1252=1,AH1252,MAX(-1,MIN(1,O1252+INDEX(Types!$H:$H,MATCH($A1252&amp;"|"&amp;$D1252,Types!$A:$A,0)))))</f>
        <v/>
      </c>
      <c r="AK1252" s="43">
        <f>IF(AG1252=1,AF1252,MAX(AQ1252*AS1252,AF1252))</f>
        <v/>
      </c>
      <c r="AL1252" s="43">
        <f>IF(AG1252=1,AD1252,AK1252*(1+AJ1252)/2)</f>
        <v/>
      </c>
      <c r="AM1252" s="43">
        <f>IF(AG1252=1,AE1252,AK1252*(1-AJ1252)/2)</f>
        <v/>
      </c>
      <c r="AN1252" s="45">
        <f>IF(AH1252="","",AH1252-T1252)</f>
        <v/>
      </c>
      <c r="AO1252" s="51">
        <f>IF(AG1252=1,1,IF(U1252&gt;0,MIN(AF1252/U1252,0.99),0))</f>
        <v/>
      </c>
      <c r="AP1252" s="43">
        <f>IF(AG1252=1,AI1252*AF1252,0)</f>
        <v/>
      </c>
      <c r="AQ1252" s="43">
        <f>N1252*(F1252+G1252)/H1252</f>
        <v/>
      </c>
      <c r="AR1252" s="43">
        <f>O1252*AQ1252</f>
        <v/>
      </c>
      <c r="AS1252" s="52">
        <f>IF(AG1252=1,IF(AQ1252&gt;0,AF1252/AQ1252,1),IFERROR(INDEX(Types!$K:$K,MATCH($A1252&amp;"|"&amp;$D1252,Types!$A:$A,0)),INDEX(Dashboard!$X$6:$X$22,MATCH($A1252,Dashboard!$A$6:$A$22,0))))</f>
        <v/>
      </c>
      <c r="AT1252" s="43">
        <f>AQ1252*INDEX(Dashboard!$Y$6:$Y$22,MATCH($A1252,Dashboard!$A$6:$A$22,0))</f>
        <v/>
      </c>
      <c r="AU1252" s="53">
        <f>IF(AND(AG1252=1,AT1252&gt;0,AF1252&gt;0),100*AF1252/AT1252,"")</f>
        <v/>
      </c>
      <c r="AV1252" s="44">
        <f>IF(AU1252="","",T1252/(AU1252/100))</f>
        <v/>
      </c>
      <c r="AW1252" s="53">
        <f>IF(AU1252="","",IF(AND(ABS(AH1252)&gt;=0.1,ABS(T1252)&gt;=0.05,SIGN(AH1252)=SIGN(T1252)),100*T1252/AH1252,""))</f>
        <v/>
      </c>
      <c r="AX1252" s="45">
        <f>IF(AU1252="","",T1252-AV1252)</f>
        <v/>
      </c>
      <c r="AY1252" s="45">
        <f>IF(AU1252="","",AH1252-AV1252)</f>
        <v/>
      </c>
      <c r="AZ1252" s="54">
        <f>(AL1252-AM1252)-T1252*AT1252</f>
        <v/>
      </c>
      <c r="BA1252" s="43">
        <f>IF(AU1252="",0,(AH1252-T1252)*AF1252)</f>
        <v/>
      </c>
      <c r="BB1252" s="43">
        <f>IF(AU1252="",0,T1252*(AF1252-AT1252))</f>
        <v/>
      </c>
      <c r="BC1252" s="51" t="n">
        <v>0.1056153018896912</v>
      </c>
      <c r="BD1252" s="51" t="n">
        <v>0.2091181441081579</v>
      </c>
      <c r="BE1252" s="51" t="n">
        <v>0.2483562818619277</v>
      </c>
      <c r="BF1252" s="43" t="n">
        <v>130180</v>
      </c>
    </row>
    <row r="1253">
      <c r="A1253" s="42" t="inlineStr">
        <is>
          <t>TX</t>
        </is>
      </c>
      <c r="B1253" s="42" t="inlineStr">
        <is>
          <t>48487</t>
        </is>
      </c>
      <c r="C1253" s="42" t="inlineStr">
        <is>
          <t>Wilbarger</t>
        </is>
      </c>
      <c r="D1253" s="42" t="inlineStr">
        <is>
          <t>Small town &amp; rural</t>
        </is>
      </c>
      <c r="E1253" s="42" t="inlineStr"/>
      <c r="F1253" s="43" t="n">
        <v>860</v>
      </c>
      <c r="G1253" s="43" t="n">
        <v>3566</v>
      </c>
      <c r="H1253" s="43" t="n">
        <v>4463</v>
      </c>
      <c r="I1253" s="43" t="n">
        <v>956</v>
      </c>
      <c r="J1253" s="43" t="n">
        <v>3524</v>
      </c>
      <c r="K1253" s="42" t="inlineStr">
        <is>
          <t>Governor</t>
        </is>
      </c>
      <c r="L1253" s="43" t="n">
        <v>517</v>
      </c>
      <c r="M1253" s="43" t="n">
        <v>2606</v>
      </c>
      <c r="N1253" s="43" t="n">
        <v>3152</v>
      </c>
      <c r="O1253" s="44">
        <f>IFERROR((F1253-G1253)/(F1253+G1253),"")</f>
        <v/>
      </c>
      <c r="P1253" s="44">
        <f>IFERROR((I1253-J1253)/(I1253+J1253),"")</f>
        <v/>
      </c>
      <c r="Q1253" s="45">
        <f>IFERROR(O1253-P1253,"")</f>
        <v/>
      </c>
      <c r="R1253" s="44">
        <f>IFERROR((L1253-M1253)/(L1253+M1253),"")</f>
        <v/>
      </c>
      <c r="S1253" s="46">
        <f>H1253/SUMIFS(Counties!$H$2:$H$1583,Counties!$A$2:$A$1583,$A1253)</f>
        <v/>
      </c>
      <c r="T1253" s="44">
        <f>O1253+INDEX(Dashboard!$F$6:$F$22,MATCH($A1253,Dashboard!$A$6:$A$22,0))</f>
        <v/>
      </c>
      <c r="U1253" s="43">
        <f>AQ1253*INDEX(Dashboard!$G$6:$G$22,MATCH($A1253,Dashboard!$A$6:$A$22,0))</f>
        <v/>
      </c>
      <c r="V1253" s="47" t="n"/>
      <c r="W1253" s="47" t="n"/>
      <c r="X1253" s="47" t="n"/>
      <c r="Y1253" s="48" t="n"/>
      <c r="Z1253" s="49" t="n"/>
      <c r="AA1253" s="49" t="n"/>
      <c r="AB1253" s="49" t="n"/>
      <c r="AC1253" s="50" t="n"/>
      <c r="AD1253" s="43">
        <f>IF(Z1253&lt;&gt;"",Z1253,N(V1253))</f>
        <v/>
      </c>
      <c r="AE1253" s="43">
        <f>IF(AA1253&lt;&gt;"",AA1253,N(W1253))</f>
        <v/>
      </c>
      <c r="AF1253" s="43">
        <f>AD1253+AE1253</f>
        <v/>
      </c>
      <c r="AG1253" s="42">
        <f>IF(UPPER(AC1253)="Y",1,IF(AF1253=0,0,IF(AND(Z1253="",Y1253&lt;&gt;""),IF(Y1253&gt;=0.999,1,0),IF(AF1253&gt;=U1253,1,0))))</f>
        <v/>
      </c>
      <c r="AH1253" s="44">
        <f>IF(AF1253&gt;0,(AD1253-AE1253)/AF1253,"")</f>
        <v/>
      </c>
      <c r="AI1253" s="45">
        <f>IF(AG1253=1,AH1253-O1253,"")</f>
        <v/>
      </c>
      <c r="AJ1253" s="44">
        <f>IF(AG1253=1,AH1253,MAX(-1,MIN(1,O1253+INDEX(Types!$H:$H,MATCH($A1253&amp;"|"&amp;$D1253,Types!$A:$A,0)))))</f>
        <v/>
      </c>
      <c r="AK1253" s="43">
        <f>IF(AG1253=1,AF1253,MAX(AQ1253*AS1253,AF1253))</f>
        <v/>
      </c>
      <c r="AL1253" s="43">
        <f>IF(AG1253=1,AD1253,AK1253*(1+AJ1253)/2)</f>
        <v/>
      </c>
      <c r="AM1253" s="43">
        <f>IF(AG1253=1,AE1253,AK1253*(1-AJ1253)/2)</f>
        <v/>
      </c>
      <c r="AN1253" s="45">
        <f>IF(AH1253="","",AH1253-T1253)</f>
        <v/>
      </c>
      <c r="AO1253" s="51">
        <f>IF(AG1253=1,1,IF(U1253&gt;0,MIN(AF1253/U1253,0.99),0))</f>
        <v/>
      </c>
      <c r="AP1253" s="43">
        <f>IF(AG1253=1,AI1253*AF1253,0)</f>
        <v/>
      </c>
      <c r="AQ1253" s="43">
        <f>N1253*(F1253+G1253)/H1253</f>
        <v/>
      </c>
      <c r="AR1253" s="43">
        <f>O1253*AQ1253</f>
        <v/>
      </c>
      <c r="AS1253" s="52">
        <f>IF(AG1253=1,IF(AQ1253&gt;0,AF1253/AQ1253,1),IFERROR(INDEX(Types!$K:$K,MATCH($A1253&amp;"|"&amp;$D1253,Types!$A:$A,0)),INDEX(Dashboard!$X$6:$X$22,MATCH($A1253,Dashboard!$A$6:$A$22,0))))</f>
        <v/>
      </c>
      <c r="AT1253" s="43">
        <f>AQ1253*INDEX(Dashboard!$Y$6:$Y$22,MATCH($A1253,Dashboard!$A$6:$A$22,0))</f>
        <v/>
      </c>
      <c r="AU1253" s="53">
        <f>IF(AND(AG1253=1,AT1253&gt;0,AF1253&gt;0),100*AF1253/AT1253,"")</f>
        <v/>
      </c>
      <c r="AV1253" s="44">
        <f>IF(AU1253="","",T1253/(AU1253/100))</f>
        <v/>
      </c>
      <c r="AW1253" s="53">
        <f>IF(AU1253="","",IF(AND(ABS(AH1253)&gt;=0.1,ABS(T1253)&gt;=0.05,SIGN(AH1253)=SIGN(T1253)),100*T1253/AH1253,""))</f>
        <v/>
      </c>
      <c r="AX1253" s="45">
        <f>IF(AU1253="","",T1253-AV1253)</f>
        <v/>
      </c>
      <c r="AY1253" s="45">
        <f>IF(AU1253="","",AH1253-AV1253)</f>
        <v/>
      </c>
      <c r="AZ1253" s="54">
        <f>(AL1253-AM1253)-T1253*AT1253</f>
        <v/>
      </c>
      <c r="BA1253" s="43">
        <f>IF(AU1253="",0,(AH1253-T1253)*AF1253)</f>
        <v/>
      </c>
      <c r="BB1253" s="43">
        <f>IF(AU1253="",0,T1253*(AF1253-AT1253))</f>
        <v/>
      </c>
      <c r="BC1253" s="51" t="n">
        <v>0.07634563168822872</v>
      </c>
      <c r="BD1253" s="51" t="n">
        <v>0.3080977479635841</v>
      </c>
      <c r="BE1253" s="51" t="n">
        <v>0.1741143783283167</v>
      </c>
      <c r="BF1253" s="43" t="n">
        <v>12522</v>
      </c>
    </row>
    <row r="1254">
      <c r="A1254" s="42" t="inlineStr">
        <is>
          <t>TX</t>
        </is>
      </c>
      <c r="B1254" s="42" t="inlineStr">
        <is>
          <t>48489</t>
        </is>
      </c>
      <c r="C1254" s="42" t="inlineStr">
        <is>
          <t>Willacy</t>
        </is>
      </c>
      <c r="D1254" s="42" t="inlineStr">
        <is>
          <t>Hispanic</t>
        </is>
      </c>
      <c r="E1254" s="42" t="inlineStr"/>
      <c r="F1254" s="43" t="n">
        <v>2673</v>
      </c>
      <c r="G1254" s="43" t="n">
        <v>2856</v>
      </c>
      <c r="H1254" s="43" t="n">
        <v>5563</v>
      </c>
      <c r="I1254" s="43" t="n">
        <v>3108</v>
      </c>
      <c r="J1254" s="43" t="n">
        <v>2441</v>
      </c>
      <c r="K1254" s="42" t="inlineStr">
        <is>
          <t>Governor</t>
        </is>
      </c>
      <c r="L1254" s="43" t="n">
        <v>2137</v>
      </c>
      <c r="M1254" s="43" t="n">
        <v>1656</v>
      </c>
      <c r="N1254" s="43" t="n">
        <v>3839</v>
      </c>
      <c r="O1254" s="44">
        <f>IFERROR((F1254-G1254)/(F1254+G1254),"")</f>
        <v/>
      </c>
      <c r="P1254" s="44">
        <f>IFERROR((I1254-J1254)/(I1254+J1254),"")</f>
        <v/>
      </c>
      <c r="Q1254" s="45">
        <f>IFERROR(O1254-P1254,"")</f>
        <v/>
      </c>
      <c r="R1254" s="44">
        <f>IFERROR((L1254-M1254)/(L1254+M1254),"")</f>
        <v/>
      </c>
      <c r="S1254" s="46">
        <f>H1254/SUMIFS(Counties!$H$2:$H$1583,Counties!$A$2:$A$1583,$A1254)</f>
        <v/>
      </c>
      <c r="T1254" s="44">
        <f>O1254+INDEX(Dashboard!$F$6:$F$22,MATCH($A1254,Dashboard!$A$6:$A$22,0))</f>
        <v/>
      </c>
      <c r="U1254" s="43">
        <f>AQ1254*INDEX(Dashboard!$G$6:$G$22,MATCH($A1254,Dashboard!$A$6:$A$22,0))</f>
        <v/>
      </c>
      <c r="V1254" s="47" t="n"/>
      <c r="W1254" s="47" t="n"/>
      <c r="X1254" s="47" t="n"/>
      <c r="Y1254" s="48" t="n"/>
      <c r="Z1254" s="49" t="n"/>
      <c r="AA1254" s="49" t="n"/>
      <c r="AB1254" s="49" t="n"/>
      <c r="AC1254" s="50" t="n"/>
      <c r="AD1254" s="43">
        <f>IF(Z1254&lt;&gt;"",Z1254,N(V1254))</f>
        <v/>
      </c>
      <c r="AE1254" s="43">
        <f>IF(AA1254&lt;&gt;"",AA1254,N(W1254))</f>
        <v/>
      </c>
      <c r="AF1254" s="43">
        <f>AD1254+AE1254</f>
        <v/>
      </c>
      <c r="AG1254" s="42">
        <f>IF(UPPER(AC1254)="Y",1,IF(AF1254=0,0,IF(AND(Z1254="",Y1254&lt;&gt;""),IF(Y1254&gt;=0.999,1,0),IF(AF1254&gt;=U1254,1,0))))</f>
        <v/>
      </c>
      <c r="AH1254" s="44">
        <f>IF(AF1254&gt;0,(AD1254-AE1254)/AF1254,"")</f>
        <v/>
      </c>
      <c r="AI1254" s="45">
        <f>IF(AG1254=1,AH1254-O1254,"")</f>
        <v/>
      </c>
      <c r="AJ1254" s="44">
        <f>IF(AG1254=1,AH1254,MAX(-1,MIN(1,O1254+INDEX(Types!$H:$H,MATCH($A1254&amp;"|"&amp;$D1254,Types!$A:$A,0)))))</f>
        <v/>
      </c>
      <c r="AK1254" s="43">
        <f>IF(AG1254=1,AF1254,MAX(AQ1254*AS1254,AF1254))</f>
        <v/>
      </c>
      <c r="AL1254" s="43">
        <f>IF(AG1254=1,AD1254,AK1254*(1+AJ1254)/2)</f>
        <v/>
      </c>
      <c r="AM1254" s="43">
        <f>IF(AG1254=1,AE1254,AK1254*(1-AJ1254)/2)</f>
        <v/>
      </c>
      <c r="AN1254" s="45">
        <f>IF(AH1254="","",AH1254-T1254)</f>
        <v/>
      </c>
      <c r="AO1254" s="51">
        <f>IF(AG1254=1,1,IF(U1254&gt;0,MIN(AF1254/U1254,0.99),0))</f>
        <v/>
      </c>
      <c r="AP1254" s="43">
        <f>IF(AG1254=1,AI1254*AF1254,0)</f>
        <v/>
      </c>
      <c r="AQ1254" s="43">
        <f>N1254*(F1254+G1254)/H1254</f>
        <v/>
      </c>
      <c r="AR1254" s="43">
        <f>O1254*AQ1254</f>
        <v/>
      </c>
      <c r="AS1254" s="52">
        <f>IF(AG1254=1,IF(AQ1254&gt;0,AF1254/AQ1254,1),IFERROR(INDEX(Types!$K:$K,MATCH($A1254&amp;"|"&amp;$D1254,Types!$A:$A,0)),INDEX(Dashboard!$X$6:$X$22,MATCH($A1254,Dashboard!$A$6:$A$22,0))))</f>
        <v/>
      </c>
      <c r="AT1254" s="43">
        <f>AQ1254*INDEX(Dashboard!$Y$6:$Y$22,MATCH($A1254,Dashboard!$A$6:$A$22,0))</f>
        <v/>
      </c>
      <c r="AU1254" s="53">
        <f>IF(AND(AG1254=1,AT1254&gt;0,AF1254&gt;0),100*AF1254/AT1254,"")</f>
        <v/>
      </c>
      <c r="AV1254" s="44">
        <f>IF(AU1254="","",T1254/(AU1254/100))</f>
        <v/>
      </c>
      <c r="AW1254" s="53">
        <f>IF(AU1254="","",IF(AND(ABS(AH1254)&gt;=0.1,ABS(T1254)&gt;=0.05,SIGN(AH1254)=SIGN(T1254)),100*T1254/AH1254,""))</f>
        <v/>
      </c>
      <c r="AX1254" s="45">
        <f>IF(AU1254="","",T1254-AV1254)</f>
        <v/>
      </c>
      <c r="AY1254" s="45">
        <f>IF(AU1254="","",AH1254-AV1254)</f>
        <v/>
      </c>
      <c r="AZ1254" s="54">
        <f>(AL1254-AM1254)-T1254*AT1254</f>
        <v/>
      </c>
      <c r="BA1254" s="43">
        <f>IF(AU1254="",0,(AH1254-T1254)*AF1254)</f>
        <v/>
      </c>
      <c r="BB1254" s="43">
        <f>IF(AU1254="",0,T1254*(AF1254-AT1254))</f>
        <v/>
      </c>
      <c r="BC1254" s="51" t="n">
        <v>0.02215900583919748</v>
      </c>
      <c r="BD1254" s="51" t="n">
        <v>0.8717372860208614</v>
      </c>
      <c r="BE1254" s="51" t="n">
        <v>0.1218191662154846</v>
      </c>
      <c r="BF1254" s="43" t="n">
        <v>20037</v>
      </c>
    </row>
    <row r="1255">
      <c r="A1255" s="42" t="inlineStr">
        <is>
          <t>TX</t>
        </is>
      </c>
      <c r="B1255" s="42" t="inlineStr">
        <is>
          <t>48491</t>
        </is>
      </c>
      <c r="C1255" s="42" t="inlineStr">
        <is>
          <t>Williamson</t>
        </is>
      </c>
      <c r="D1255" s="42" t="inlineStr">
        <is>
          <t>College suburb/metro</t>
        </is>
      </c>
      <c r="E1255" s="42" t="inlineStr"/>
      <c r="F1255" s="43" t="n">
        <v>147766</v>
      </c>
      <c r="G1255" s="43" t="n">
        <v>155310</v>
      </c>
      <c r="H1255" s="43" t="n">
        <v>308163</v>
      </c>
      <c r="I1255" s="43" t="n">
        <v>143795</v>
      </c>
      <c r="J1255" s="43" t="n">
        <v>139729</v>
      </c>
      <c r="K1255" s="42" t="inlineStr">
        <is>
          <t>Governor</t>
        </is>
      </c>
      <c r="L1255" s="43" t="n">
        <v>110242</v>
      </c>
      <c r="M1255" s="43" t="n">
        <v>111488</v>
      </c>
      <c r="N1255" s="43" t="n">
        <v>225672</v>
      </c>
      <c r="O1255" s="44">
        <f>IFERROR((F1255-G1255)/(F1255+G1255),"")</f>
        <v/>
      </c>
      <c r="P1255" s="44">
        <f>IFERROR((I1255-J1255)/(I1255+J1255),"")</f>
        <v/>
      </c>
      <c r="Q1255" s="45">
        <f>IFERROR(O1255-P1255,"")</f>
        <v/>
      </c>
      <c r="R1255" s="44">
        <f>IFERROR((L1255-M1255)/(L1255+M1255),"")</f>
        <v/>
      </c>
      <c r="S1255" s="46">
        <f>H1255/SUMIFS(Counties!$H$2:$H$1583,Counties!$A$2:$A$1583,$A1255)</f>
        <v/>
      </c>
      <c r="T1255" s="44">
        <f>O1255+INDEX(Dashboard!$F$6:$F$22,MATCH($A1255,Dashboard!$A$6:$A$22,0))</f>
        <v/>
      </c>
      <c r="U1255" s="43">
        <f>AQ1255*INDEX(Dashboard!$G$6:$G$22,MATCH($A1255,Dashboard!$A$6:$A$22,0))</f>
        <v/>
      </c>
      <c r="V1255" s="47" t="n"/>
      <c r="W1255" s="47" t="n"/>
      <c r="X1255" s="47" t="n"/>
      <c r="Y1255" s="48" t="n"/>
      <c r="Z1255" s="49" t="n"/>
      <c r="AA1255" s="49" t="n"/>
      <c r="AB1255" s="49" t="n"/>
      <c r="AC1255" s="50" t="n"/>
      <c r="AD1255" s="43">
        <f>IF(Z1255&lt;&gt;"",Z1255,N(V1255))</f>
        <v/>
      </c>
      <c r="AE1255" s="43">
        <f>IF(AA1255&lt;&gt;"",AA1255,N(W1255))</f>
        <v/>
      </c>
      <c r="AF1255" s="43">
        <f>AD1255+AE1255</f>
        <v/>
      </c>
      <c r="AG1255" s="42">
        <f>IF(UPPER(AC1255)="Y",1,IF(AF1255=0,0,IF(AND(Z1255="",Y1255&lt;&gt;""),IF(Y1255&gt;=0.999,1,0),IF(AF1255&gt;=U1255,1,0))))</f>
        <v/>
      </c>
      <c r="AH1255" s="44">
        <f>IF(AF1255&gt;0,(AD1255-AE1255)/AF1255,"")</f>
        <v/>
      </c>
      <c r="AI1255" s="45">
        <f>IF(AG1255=1,AH1255-O1255,"")</f>
        <v/>
      </c>
      <c r="AJ1255" s="44">
        <f>IF(AG1255=1,AH1255,MAX(-1,MIN(1,O1255+INDEX(Types!$H:$H,MATCH($A1255&amp;"|"&amp;$D1255,Types!$A:$A,0)))))</f>
        <v/>
      </c>
      <c r="AK1255" s="43">
        <f>IF(AG1255=1,AF1255,MAX(AQ1255*AS1255,AF1255))</f>
        <v/>
      </c>
      <c r="AL1255" s="43">
        <f>IF(AG1255=1,AD1255,AK1255*(1+AJ1255)/2)</f>
        <v/>
      </c>
      <c r="AM1255" s="43">
        <f>IF(AG1255=1,AE1255,AK1255*(1-AJ1255)/2)</f>
        <v/>
      </c>
      <c r="AN1255" s="45">
        <f>IF(AH1255="","",AH1255-T1255)</f>
        <v/>
      </c>
      <c r="AO1255" s="51">
        <f>IF(AG1255=1,1,IF(U1255&gt;0,MIN(AF1255/U1255,0.99),0))</f>
        <v/>
      </c>
      <c r="AP1255" s="43">
        <f>IF(AG1255=1,AI1255*AF1255,0)</f>
        <v/>
      </c>
      <c r="AQ1255" s="43">
        <f>N1255*(F1255+G1255)/H1255</f>
        <v/>
      </c>
      <c r="AR1255" s="43">
        <f>O1255*AQ1255</f>
        <v/>
      </c>
      <c r="AS1255" s="52">
        <f>IF(AG1255=1,IF(AQ1255&gt;0,AF1255/AQ1255,1),IFERROR(INDEX(Types!$K:$K,MATCH($A1255&amp;"|"&amp;$D1255,Types!$A:$A,0)),INDEX(Dashboard!$X$6:$X$22,MATCH($A1255,Dashboard!$A$6:$A$22,0))))</f>
        <v/>
      </c>
      <c r="AT1255" s="43">
        <f>AQ1255*INDEX(Dashboard!$Y$6:$Y$22,MATCH($A1255,Dashboard!$A$6:$A$22,0))</f>
        <v/>
      </c>
      <c r="AU1255" s="53">
        <f>IF(AND(AG1255=1,AT1255&gt;0,AF1255&gt;0),100*AF1255/AT1255,"")</f>
        <v/>
      </c>
      <c r="AV1255" s="44">
        <f>IF(AU1255="","",T1255/(AU1255/100))</f>
        <v/>
      </c>
      <c r="AW1255" s="53">
        <f>IF(AU1255="","",IF(AND(ABS(AH1255)&gt;=0.1,ABS(T1255)&gt;=0.05,SIGN(AH1255)=SIGN(T1255)),100*T1255/AH1255,""))</f>
        <v/>
      </c>
      <c r="AX1255" s="45">
        <f>IF(AU1255="","",T1255-AV1255)</f>
        <v/>
      </c>
      <c r="AY1255" s="45">
        <f>IF(AU1255="","",AH1255-AV1255)</f>
        <v/>
      </c>
      <c r="AZ1255" s="54">
        <f>(AL1255-AM1255)-T1255*AT1255</f>
        <v/>
      </c>
      <c r="BA1255" s="43">
        <f>IF(AU1255="",0,(AH1255-T1255)*AF1255)</f>
        <v/>
      </c>
      <c r="BB1255" s="43">
        <f>IF(AU1255="",0,T1255*(AF1255-AT1255))</f>
        <v/>
      </c>
      <c r="BC1255" s="51" t="n">
        <v>0.07306462647968777</v>
      </c>
      <c r="BD1255" s="51" t="n">
        <v>0.2488586341476009</v>
      </c>
      <c r="BE1255" s="51" t="n">
        <v>0.4740231583342702</v>
      </c>
      <c r="BF1255" s="43" t="n">
        <v>697191</v>
      </c>
    </row>
    <row r="1256">
      <c r="A1256" s="42" t="inlineStr">
        <is>
          <t>TX</t>
        </is>
      </c>
      <c r="B1256" s="42" t="inlineStr">
        <is>
          <t>48493</t>
        </is>
      </c>
      <c r="C1256" s="42" t="inlineStr">
        <is>
          <t>Wilson</t>
        </is>
      </c>
      <c r="D1256" s="42" t="inlineStr">
        <is>
          <t>Hispanic</t>
        </is>
      </c>
      <c r="E1256" s="42" t="inlineStr"/>
      <c r="F1256" s="43" t="n">
        <v>6247</v>
      </c>
      <c r="G1256" s="43" t="n">
        <v>20894</v>
      </c>
      <c r="H1256" s="43" t="n">
        <v>27270</v>
      </c>
      <c r="I1256" s="43" t="n">
        <v>6350</v>
      </c>
      <c r="J1256" s="43" t="n">
        <v>18463</v>
      </c>
      <c r="K1256" s="42" t="inlineStr">
        <is>
          <t>Governor</t>
        </is>
      </c>
      <c r="L1256" s="43" t="n">
        <v>4317</v>
      </c>
      <c r="M1256" s="43" t="n">
        <v>14952</v>
      </c>
      <c r="N1256" s="43" t="n">
        <v>19470</v>
      </c>
      <c r="O1256" s="44">
        <f>IFERROR((F1256-G1256)/(F1256+G1256),"")</f>
        <v/>
      </c>
      <c r="P1256" s="44">
        <f>IFERROR((I1256-J1256)/(I1256+J1256),"")</f>
        <v/>
      </c>
      <c r="Q1256" s="45">
        <f>IFERROR(O1256-P1256,"")</f>
        <v/>
      </c>
      <c r="R1256" s="44">
        <f>IFERROR((L1256-M1256)/(L1256+M1256),"")</f>
        <v/>
      </c>
      <c r="S1256" s="46">
        <f>H1256/SUMIFS(Counties!$H$2:$H$1583,Counties!$A$2:$A$1583,$A1256)</f>
        <v/>
      </c>
      <c r="T1256" s="44">
        <f>O1256+INDEX(Dashboard!$F$6:$F$22,MATCH($A1256,Dashboard!$A$6:$A$22,0))</f>
        <v/>
      </c>
      <c r="U1256" s="43">
        <f>AQ1256*INDEX(Dashboard!$G$6:$G$22,MATCH($A1256,Dashboard!$A$6:$A$22,0))</f>
        <v/>
      </c>
      <c r="V1256" s="47" t="n"/>
      <c r="W1256" s="47" t="n"/>
      <c r="X1256" s="47" t="n"/>
      <c r="Y1256" s="48" t="n"/>
      <c r="Z1256" s="49" t="n"/>
      <c r="AA1256" s="49" t="n"/>
      <c r="AB1256" s="49" t="n"/>
      <c r="AC1256" s="50" t="n"/>
      <c r="AD1256" s="43">
        <f>IF(Z1256&lt;&gt;"",Z1256,N(V1256))</f>
        <v/>
      </c>
      <c r="AE1256" s="43">
        <f>IF(AA1256&lt;&gt;"",AA1256,N(W1256))</f>
        <v/>
      </c>
      <c r="AF1256" s="43">
        <f>AD1256+AE1256</f>
        <v/>
      </c>
      <c r="AG1256" s="42">
        <f>IF(UPPER(AC1256)="Y",1,IF(AF1256=0,0,IF(AND(Z1256="",Y1256&lt;&gt;""),IF(Y1256&gt;=0.999,1,0),IF(AF1256&gt;=U1256,1,0))))</f>
        <v/>
      </c>
      <c r="AH1256" s="44">
        <f>IF(AF1256&gt;0,(AD1256-AE1256)/AF1256,"")</f>
        <v/>
      </c>
      <c r="AI1256" s="45">
        <f>IF(AG1256=1,AH1256-O1256,"")</f>
        <v/>
      </c>
      <c r="AJ1256" s="44">
        <f>IF(AG1256=1,AH1256,MAX(-1,MIN(1,O1256+INDEX(Types!$H:$H,MATCH($A1256&amp;"|"&amp;$D1256,Types!$A:$A,0)))))</f>
        <v/>
      </c>
      <c r="AK1256" s="43">
        <f>IF(AG1256=1,AF1256,MAX(AQ1256*AS1256,AF1256))</f>
        <v/>
      </c>
      <c r="AL1256" s="43">
        <f>IF(AG1256=1,AD1256,AK1256*(1+AJ1256)/2)</f>
        <v/>
      </c>
      <c r="AM1256" s="43">
        <f>IF(AG1256=1,AE1256,AK1256*(1-AJ1256)/2)</f>
        <v/>
      </c>
      <c r="AN1256" s="45">
        <f>IF(AH1256="","",AH1256-T1256)</f>
        <v/>
      </c>
      <c r="AO1256" s="51">
        <f>IF(AG1256=1,1,IF(U1256&gt;0,MIN(AF1256/U1256,0.99),0))</f>
        <v/>
      </c>
      <c r="AP1256" s="43">
        <f>IF(AG1256=1,AI1256*AF1256,0)</f>
        <v/>
      </c>
      <c r="AQ1256" s="43">
        <f>N1256*(F1256+G1256)/H1256</f>
        <v/>
      </c>
      <c r="AR1256" s="43">
        <f>O1256*AQ1256</f>
        <v/>
      </c>
      <c r="AS1256" s="52">
        <f>IF(AG1256=1,IF(AQ1256&gt;0,AF1256/AQ1256,1),IFERROR(INDEX(Types!$K:$K,MATCH($A1256&amp;"|"&amp;$D1256,Types!$A:$A,0)),INDEX(Dashboard!$X$6:$X$22,MATCH($A1256,Dashboard!$A$6:$A$22,0))))</f>
        <v/>
      </c>
      <c r="AT1256" s="43">
        <f>AQ1256*INDEX(Dashboard!$Y$6:$Y$22,MATCH($A1256,Dashboard!$A$6:$A$22,0))</f>
        <v/>
      </c>
      <c r="AU1256" s="53">
        <f>IF(AND(AG1256=1,AT1256&gt;0,AF1256&gt;0),100*AF1256/AT1256,"")</f>
        <v/>
      </c>
      <c r="AV1256" s="44">
        <f>IF(AU1256="","",T1256/(AU1256/100))</f>
        <v/>
      </c>
      <c r="AW1256" s="53">
        <f>IF(AU1256="","",IF(AND(ABS(AH1256)&gt;=0.1,ABS(T1256)&gt;=0.05,SIGN(AH1256)=SIGN(T1256)),100*T1256/AH1256,""))</f>
        <v/>
      </c>
      <c r="AX1256" s="45">
        <f>IF(AU1256="","",T1256-AV1256)</f>
        <v/>
      </c>
      <c r="AY1256" s="45">
        <f>IF(AU1256="","",AH1256-AV1256)</f>
        <v/>
      </c>
      <c r="AZ1256" s="54">
        <f>(AL1256-AM1256)-T1256*AT1256</f>
        <v/>
      </c>
      <c r="BA1256" s="43">
        <f>IF(AU1256="",0,(AH1256-T1256)*AF1256)</f>
        <v/>
      </c>
      <c r="BB1256" s="43">
        <f>IF(AU1256="",0,T1256*(AF1256-AT1256))</f>
        <v/>
      </c>
      <c r="BC1256" s="51" t="n">
        <v>0.01950796375246849</v>
      </c>
      <c r="BD1256" s="51" t="n">
        <v>0.4069357547570271</v>
      </c>
      <c r="BE1256" s="51" t="n">
        <v>0.2627216926427743</v>
      </c>
      <c r="BF1256" s="43" t="n">
        <v>54183</v>
      </c>
    </row>
    <row r="1257">
      <c r="A1257" s="42" t="inlineStr">
        <is>
          <t>TX</t>
        </is>
      </c>
      <c r="B1257" s="42" t="inlineStr">
        <is>
          <t>48495</t>
        </is>
      </c>
      <c r="C1257" s="42" t="inlineStr">
        <is>
          <t>Winkler</t>
        </is>
      </c>
      <c r="D1257" s="42" t="inlineStr">
        <is>
          <t>Hispanic</t>
        </is>
      </c>
      <c r="E1257" s="42" t="inlineStr"/>
      <c r="F1257" s="43" t="n">
        <v>283</v>
      </c>
      <c r="G1257" s="43" t="n">
        <v>1646</v>
      </c>
      <c r="H1257" s="43" t="n">
        <v>1932</v>
      </c>
      <c r="I1257" s="43" t="n">
        <v>358</v>
      </c>
      <c r="J1257" s="43" t="n">
        <v>1753</v>
      </c>
      <c r="K1257" s="42" t="inlineStr">
        <is>
          <t>Governor</t>
        </is>
      </c>
      <c r="L1257" s="43" t="n">
        <v>177</v>
      </c>
      <c r="M1257" s="43" t="n">
        <v>1130</v>
      </c>
      <c r="N1257" s="43" t="n">
        <v>1321</v>
      </c>
      <c r="O1257" s="44">
        <f>IFERROR((F1257-G1257)/(F1257+G1257),"")</f>
        <v/>
      </c>
      <c r="P1257" s="44">
        <f>IFERROR((I1257-J1257)/(I1257+J1257),"")</f>
        <v/>
      </c>
      <c r="Q1257" s="45">
        <f>IFERROR(O1257-P1257,"")</f>
        <v/>
      </c>
      <c r="R1257" s="44">
        <f>IFERROR((L1257-M1257)/(L1257+M1257),"")</f>
        <v/>
      </c>
      <c r="S1257" s="46">
        <f>H1257/SUMIFS(Counties!$H$2:$H$1583,Counties!$A$2:$A$1583,$A1257)</f>
        <v/>
      </c>
      <c r="T1257" s="44">
        <f>O1257+INDEX(Dashboard!$F$6:$F$22,MATCH($A1257,Dashboard!$A$6:$A$22,0))</f>
        <v/>
      </c>
      <c r="U1257" s="43">
        <f>AQ1257*INDEX(Dashboard!$G$6:$G$22,MATCH($A1257,Dashboard!$A$6:$A$22,0))</f>
        <v/>
      </c>
      <c r="V1257" s="47" t="n"/>
      <c r="W1257" s="47" t="n"/>
      <c r="X1257" s="47" t="n"/>
      <c r="Y1257" s="48" t="n"/>
      <c r="Z1257" s="49" t="n"/>
      <c r="AA1257" s="49" t="n"/>
      <c r="AB1257" s="49" t="n"/>
      <c r="AC1257" s="50" t="n"/>
      <c r="AD1257" s="43">
        <f>IF(Z1257&lt;&gt;"",Z1257,N(V1257))</f>
        <v/>
      </c>
      <c r="AE1257" s="43">
        <f>IF(AA1257&lt;&gt;"",AA1257,N(W1257))</f>
        <v/>
      </c>
      <c r="AF1257" s="43">
        <f>AD1257+AE1257</f>
        <v/>
      </c>
      <c r="AG1257" s="42">
        <f>IF(UPPER(AC1257)="Y",1,IF(AF1257=0,0,IF(AND(Z1257="",Y1257&lt;&gt;""),IF(Y1257&gt;=0.999,1,0),IF(AF1257&gt;=U1257,1,0))))</f>
        <v/>
      </c>
      <c r="AH1257" s="44">
        <f>IF(AF1257&gt;0,(AD1257-AE1257)/AF1257,"")</f>
        <v/>
      </c>
      <c r="AI1257" s="45">
        <f>IF(AG1257=1,AH1257-O1257,"")</f>
        <v/>
      </c>
      <c r="AJ1257" s="44">
        <f>IF(AG1257=1,AH1257,MAX(-1,MIN(1,O1257+INDEX(Types!$H:$H,MATCH($A1257&amp;"|"&amp;$D1257,Types!$A:$A,0)))))</f>
        <v/>
      </c>
      <c r="AK1257" s="43">
        <f>IF(AG1257=1,AF1257,MAX(AQ1257*AS1257,AF1257))</f>
        <v/>
      </c>
      <c r="AL1257" s="43">
        <f>IF(AG1257=1,AD1257,AK1257*(1+AJ1257)/2)</f>
        <v/>
      </c>
      <c r="AM1257" s="43">
        <f>IF(AG1257=1,AE1257,AK1257*(1-AJ1257)/2)</f>
        <v/>
      </c>
      <c r="AN1257" s="45">
        <f>IF(AH1257="","",AH1257-T1257)</f>
        <v/>
      </c>
      <c r="AO1257" s="51">
        <f>IF(AG1257=1,1,IF(U1257&gt;0,MIN(AF1257/U1257,0.99),0))</f>
        <v/>
      </c>
      <c r="AP1257" s="43">
        <f>IF(AG1257=1,AI1257*AF1257,0)</f>
        <v/>
      </c>
      <c r="AQ1257" s="43">
        <f>N1257*(F1257+G1257)/H1257</f>
        <v/>
      </c>
      <c r="AR1257" s="43">
        <f>O1257*AQ1257</f>
        <v/>
      </c>
      <c r="AS1257" s="52">
        <f>IF(AG1257=1,IF(AQ1257&gt;0,AF1257/AQ1257,1),IFERROR(INDEX(Types!$K:$K,MATCH($A1257&amp;"|"&amp;$D1257,Types!$A:$A,0)),INDEX(Dashboard!$X$6:$X$22,MATCH($A1257,Dashboard!$A$6:$A$22,0))))</f>
        <v/>
      </c>
      <c r="AT1257" s="43">
        <f>AQ1257*INDEX(Dashboard!$Y$6:$Y$22,MATCH($A1257,Dashboard!$A$6:$A$22,0))</f>
        <v/>
      </c>
      <c r="AU1257" s="53">
        <f>IF(AND(AG1257=1,AT1257&gt;0,AF1257&gt;0),100*AF1257/AT1257,"")</f>
        <v/>
      </c>
      <c r="AV1257" s="44">
        <f>IF(AU1257="","",T1257/(AU1257/100))</f>
        <v/>
      </c>
      <c r="AW1257" s="53">
        <f>IF(AU1257="","",IF(AND(ABS(AH1257)&gt;=0.1,ABS(T1257)&gt;=0.05,SIGN(AH1257)=SIGN(T1257)),100*T1257/AH1257,""))</f>
        <v/>
      </c>
      <c r="AX1257" s="45">
        <f>IF(AU1257="","",T1257-AV1257)</f>
        <v/>
      </c>
      <c r="AY1257" s="45">
        <f>IF(AU1257="","",AH1257-AV1257)</f>
        <v/>
      </c>
      <c r="AZ1257" s="54">
        <f>(AL1257-AM1257)-T1257*AT1257</f>
        <v/>
      </c>
      <c r="BA1257" s="43">
        <f>IF(AU1257="",0,(AH1257-T1257)*AF1257)</f>
        <v/>
      </c>
      <c r="BB1257" s="43">
        <f>IF(AU1257="",0,T1257*(AF1257-AT1257))</f>
        <v/>
      </c>
      <c r="BC1257" s="51" t="n">
        <v>0.02360399244672242</v>
      </c>
      <c r="BD1257" s="51" t="n">
        <v>0.6382519557593742</v>
      </c>
      <c r="BE1257" s="51" t="n">
        <v>0.1000638705556738</v>
      </c>
      <c r="BF1257" s="43" t="n">
        <v>7414</v>
      </c>
    </row>
    <row r="1258">
      <c r="A1258" s="42" t="inlineStr">
        <is>
          <t>TX</t>
        </is>
      </c>
      <c r="B1258" s="42" t="inlineStr">
        <is>
          <t>48497</t>
        </is>
      </c>
      <c r="C1258" s="42" t="inlineStr">
        <is>
          <t>Wise</t>
        </is>
      </c>
      <c r="D1258" s="42" t="inlineStr">
        <is>
          <t>Small town &amp; rural</t>
        </is>
      </c>
      <c r="E1258" s="42" t="inlineStr"/>
      <c r="F1258" s="43" t="n">
        <v>5605</v>
      </c>
      <c r="G1258" s="43" t="n">
        <v>32385</v>
      </c>
      <c r="H1258" s="43" t="n">
        <v>38230</v>
      </c>
      <c r="I1258" s="43" t="n">
        <v>4973</v>
      </c>
      <c r="J1258" s="43" t="n">
        <v>27032</v>
      </c>
      <c r="K1258" s="42" t="inlineStr">
        <is>
          <t>Governor</t>
        </is>
      </c>
      <c r="L1258" s="43" t="n">
        <v>3538</v>
      </c>
      <c r="M1258" s="43" t="n">
        <v>21979</v>
      </c>
      <c r="N1258" s="43" t="n">
        <v>25821</v>
      </c>
      <c r="O1258" s="44">
        <f>IFERROR((F1258-G1258)/(F1258+G1258),"")</f>
        <v/>
      </c>
      <c r="P1258" s="44">
        <f>IFERROR((I1258-J1258)/(I1258+J1258),"")</f>
        <v/>
      </c>
      <c r="Q1258" s="45">
        <f>IFERROR(O1258-P1258,"")</f>
        <v/>
      </c>
      <c r="R1258" s="44">
        <f>IFERROR((L1258-M1258)/(L1258+M1258),"")</f>
        <v/>
      </c>
      <c r="S1258" s="46">
        <f>H1258/SUMIFS(Counties!$H$2:$H$1583,Counties!$A$2:$A$1583,$A1258)</f>
        <v/>
      </c>
      <c r="T1258" s="44">
        <f>O1258+INDEX(Dashboard!$F$6:$F$22,MATCH($A1258,Dashboard!$A$6:$A$22,0))</f>
        <v/>
      </c>
      <c r="U1258" s="43">
        <f>AQ1258*INDEX(Dashboard!$G$6:$G$22,MATCH($A1258,Dashboard!$A$6:$A$22,0))</f>
        <v/>
      </c>
      <c r="V1258" s="47" t="n"/>
      <c r="W1258" s="47" t="n"/>
      <c r="X1258" s="47" t="n"/>
      <c r="Y1258" s="48" t="n"/>
      <c r="Z1258" s="49" t="n"/>
      <c r="AA1258" s="49" t="n"/>
      <c r="AB1258" s="49" t="n"/>
      <c r="AC1258" s="50" t="n"/>
      <c r="AD1258" s="43">
        <f>IF(Z1258&lt;&gt;"",Z1258,N(V1258))</f>
        <v/>
      </c>
      <c r="AE1258" s="43">
        <f>IF(AA1258&lt;&gt;"",AA1258,N(W1258))</f>
        <v/>
      </c>
      <c r="AF1258" s="43">
        <f>AD1258+AE1258</f>
        <v/>
      </c>
      <c r="AG1258" s="42">
        <f>IF(UPPER(AC1258)="Y",1,IF(AF1258=0,0,IF(AND(Z1258="",Y1258&lt;&gt;""),IF(Y1258&gt;=0.999,1,0),IF(AF1258&gt;=U1258,1,0))))</f>
        <v/>
      </c>
      <c r="AH1258" s="44">
        <f>IF(AF1258&gt;0,(AD1258-AE1258)/AF1258,"")</f>
        <v/>
      </c>
      <c r="AI1258" s="45">
        <f>IF(AG1258=1,AH1258-O1258,"")</f>
        <v/>
      </c>
      <c r="AJ1258" s="44">
        <f>IF(AG1258=1,AH1258,MAX(-1,MIN(1,O1258+INDEX(Types!$H:$H,MATCH($A1258&amp;"|"&amp;$D1258,Types!$A:$A,0)))))</f>
        <v/>
      </c>
      <c r="AK1258" s="43">
        <f>IF(AG1258=1,AF1258,MAX(AQ1258*AS1258,AF1258))</f>
        <v/>
      </c>
      <c r="AL1258" s="43">
        <f>IF(AG1258=1,AD1258,AK1258*(1+AJ1258)/2)</f>
        <v/>
      </c>
      <c r="AM1258" s="43">
        <f>IF(AG1258=1,AE1258,AK1258*(1-AJ1258)/2)</f>
        <v/>
      </c>
      <c r="AN1258" s="45">
        <f>IF(AH1258="","",AH1258-T1258)</f>
        <v/>
      </c>
      <c r="AO1258" s="51">
        <f>IF(AG1258=1,1,IF(U1258&gt;0,MIN(AF1258/U1258,0.99),0))</f>
        <v/>
      </c>
      <c r="AP1258" s="43">
        <f>IF(AG1258=1,AI1258*AF1258,0)</f>
        <v/>
      </c>
      <c r="AQ1258" s="43">
        <f>N1258*(F1258+G1258)/H1258</f>
        <v/>
      </c>
      <c r="AR1258" s="43">
        <f>O1258*AQ1258</f>
        <v/>
      </c>
      <c r="AS1258" s="52">
        <f>IF(AG1258=1,IF(AQ1258&gt;0,AF1258/AQ1258,1),IFERROR(INDEX(Types!$K:$K,MATCH($A1258&amp;"|"&amp;$D1258,Types!$A:$A,0)),INDEX(Dashboard!$X$6:$X$22,MATCH($A1258,Dashboard!$A$6:$A$22,0))))</f>
        <v/>
      </c>
      <c r="AT1258" s="43">
        <f>AQ1258*INDEX(Dashboard!$Y$6:$Y$22,MATCH($A1258,Dashboard!$A$6:$A$22,0))</f>
        <v/>
      </c>
      <c r="AU1258" s="53">
        <f>IF(AND(AG1258=1,AT1258&gt;0,AF1258&gt;0),100*AF1258/AT1258,"")</f>
        <v/>
      </c>
      <c r="AV1258" s="44">
        <f>IF(AU1258="","",T1258/(AU1258/100))</f>
        <v/>
      </c>
      <c r="AW1258" s="53">
        <f>IF(AU1258="","",IF(AND(ABS(AH1258)&gt;=0.1,ABS(T1258)&gt;=0.05,SIGN(AH1258)=SIGN(T1258)),100*T1258/AH1258,""))</f>
        <v/>
      </c>
      <c r="AX1258" s="45">
        <f>IF(AU1258="","",T1258-AV1258)</f>
        <v/>
      </c>
      <c r="AY1258" s="45">
        <f>IF(AU1258="","",AH1258-AV1258)</f>
        <v/>
      </c>
      <c r="AZ1258" s="54">
        <f>(AL1258-AM1258)-T1258*AT1258</f>
        <v/>
      </c>
      <c r="BA1258" s="43">
        <f>IF(AU1258="",0,(AH1258-T1258)*AF1258)</f>
        <v/>
      </c>
      <c r="BB1258" s="43">
        <f>IF(AU1258="",0,T1258*(AF1258-AT1258))</f>
        <v/>
      </c>
      <c r="BC1258" s="51" t="n">
        <v>0.01828495332727249</v>
      </c>
      <c r="BD1258" s="51" t="n">
        <v>0.2149762474870994</v>
      </c>
      <c r="BE1258" s="51" t="n">
        <v>0.2063897111360621</v>
      </c>
      <c r="BF1258" s="43" t="n">
        <v>78097</v>
      </c>
    </row>
    <row r="1259">
      <c r="A1259" s="42" t="inlineStr">
        <is>
          <t>TX</t>
        </is>
      </c>
      <c r="B1259" s="42" t="inlineStr">
        <is>
          <t>48499</t>
        </is>
      </c>
      <c r="C1259" s="42" t="inlineStr">
        <is>
          <t>Wood</t>
        </is>
      </c>
      <c r="D1259" s="42" t="inlineStr">
        <is>
          <t>Small town &amp; rural</t>
        </is>
      </c>
      <c r="E1259" s="42" t="inlineStr"/>
      <c r="F1259" s="43" t="n">
        <v>3618</v>
      </c>
      <c r="G1259" s="43" t="n">
        <v>20621</v>
      </c>
      <c r="H1259" s="43" t="n">
        <v>24381</v>
      </c>
      <c r="I1259" s="43" t="n">
        <v>3509</v>
      </c>
      <c r="J1259" s="43" t="n">
        <v>19049</v>
      </c>
      <c r="K1259" s="42" t="inlineStr">
        <is>
          <t>Governor</t>
        </is>
      </c>
      <c r="L1259" s="43" t="n">
        <v>2331</v>
      </c>
      <c r="M1259" s="43" t="n">
        <v>15678</v>
      </c>
      <c r="N1259" s="43" t="n">
        <v>18173</v>
      </c>
      <c r="O1259" s="44">
        <f>IFERROR((F1259-G1259)/(F1259+G1259),"")</f>
        <v/>
      </c>
      <c r="P1259" s="44">
        <f>IFERROR((I1259-J1259)/(I1259+J1259),"")</f>
        <v/>
      </c>
      <c r="Q1259" s="45">
        <f>IFERROR(O1259-P1259,"")</f>
        <v/>
      </c>
      <c r="R1259" s="44">
        <f>IFERROR((L1259-M1259)/(L1259+M1259),"")</f>
        <v/>
      </c>
      <c r="S1259" s="46">
        <f>H1259/SUMIFS(Counties!$H$2:$H$1583,Counties!$A$2:$A$1583,$A1259)</f>
        <v/>
      </c>
      <c r="T1259" s="44">
        <f>O1259+INDEX(Dashboard!$F$6:$F$22,MATCH($A1259,Dashboard!$A$6:$A$22,0))</f>
        <v/>
      </c>
      <c r="U1259" s="43">
        <f>AQ1259*INDEX(Dashboard!$G$6:$G$22,MATCH($A1259,Dashboard!$A$6:$A$22,0))</f>
        <v/>
      </c>
      <c r="V1259" s="47" t="n"/>
      <c r="W1259" s="47" t="n"/>
      <c r="X1259" s="47" t="n"/>
      <c r="Y1259" s="48" t="n"/>
      <c r="Z1259" s="49" t="n"/>
      <c r="AA1259" s="49" t="n"/>
      <c r="AB1259" s="49" t="n"/>
      <c r="AC1259" s="50" t="n"/>
      <c r="AD1259" s="43">
        <f>IF(Z1259&lt;&gt;"",Z1259,N(V1259))</f>
        <v/>
      </c>
      <c r="AE1259" s="43">
        <f>IF(AA1259&lt;&gt;"",AA1259,N(W1259))</f>
        <v/>
      </c>
      <c r="AF1259" s="43">
        <f>AD1259+AE1259</f>
        <v/>
      </c>
      <c r="AG1259" s="42">
        <f>IF(UPPER(AC1259)="Y",1,IF(AF1259=0,0,IF(AND(Z1259="",Y1259&lt;&gt;""),IF(Y1259&gt;=0.999,1,0),IF(AF1259&gt;=U1259,1,0))))</f>
        <v/>
      </c>
      <c r="AH1259" s="44">
        <f>IF(AF1259&gt;0,(AD1259-AE1259)/AF1259,"")</f>
        <v/>
      </c>
      <c r="AI1259" s="45">
        <f>IF(AG1259=1,AH1259-O1259,"")</f>
        <v/>
      </c>
      <c r="AJ1259" s="44">
        <f>IF(AG1259=1,AH1259,MAX(-1,MIN(1,O1259+INDEX(Types!$H:$H,MATCH($A1259&amp;"|"&amp;$D1259,Types!$A:$A,0)))))</f>
        <v/>
      </c>
      <c r="AK1259" s="43">
        <f>IF(AG1259=1,AF1259,MAX(AQ1259*AS1259,AF1259))</f>
        <v/>
      </c>
      <c r="AL1259" s="43">
        <f>IF(AG1259=1,AD1259,AK1259*(1+AJ1259)/2)</f>
        <v/>
      </c>
      <c r="AM1259" s="43">
        <f>IF(AG1259=1,AE1259,AK1259*(1-AJ1259)/2)</f>
        <v/>
      </c>
      <c r="AN1259" s="45">
        <f>IF(AH1259="","",AH1259-T1259)</f>
        <v/>
      </c>
      <c r="AO1259" s="51">
        <f>IF(AG1259=1,1,IF(U1259&gt;0,MIN(AF1259/U1259,0.99),0))</f>
        <v/>
      </c>
      <c r="AP1259" s="43">
        <f>IF(AG1259=1,AI1259*AF1259,0)</f>
        <v/>
      </c>
      <c r="AQ1259" s="43">
        <f>N1259*(F1259+G1259)/H1259</f>
        <v/>
      </c>
      <c r="AR1259" s="43">
        <f>O1259*AQ1259</f>
        <v/>
      </c>
      <c r="AS1259" s="52">
        <f>IF(AG1259=1,IF(AQ1259&gt;0,AF1259/AQ1259,1),IFERROR(INDEX(Types!$K:$K,MATCH($A1259&amp;"|"&amp;$D1259,Types!$A:$A,0)),INDEX(Dashboard!$X$6:$X$22,MATCH($A1259,Dashboard!$A$6:$A$22,0))))</f>
        <v/>
      </c>
      <c r="AT1259" s="43">
        <f>AQ1259*INDEX(Dashboard!$Y$6:$Y$22,MATCH($A1259,Dashboard!$A$6:$A$22,0))</f>
        <v/>
      </c>
      <c r="AU1259" s="53">
        <f>IF(AND(AG1259=1,AT1259&gt;0,AF1259&gt;0),100*AF1259/AT1259,"")</f>
        <v/>
      </c>
      <c r="AV1259" s="44">
        <f>IF(AU1259="","",T1259/(AU1259/100))</f>
        <v/>
      </c>
      <c r="AW1259" s="53">
        <f>IF(AU1259="","",IF(AND(ABS(AH1259)&gt;=0.1,ABS(T1259)&gt;=0.05,SIGN(AH1259)=SIGN(T1259)),100*T1259/AH1259,""))</f>
        <v/>
      </c>
      <c r="AX1259" s="45">
        <f>IF(AU1259="","",T1259-AV1259)</f>
        <v/>
      </c>
      <c r="AY1259" s="45">
        <f>IF(AU1259="","",AH1259-AV1259)</f>
        <v/>
      </c>
      <c r="AZ1259" s="54">
        <f>(AL1259-AM1259)-T1259*AT1259</f>
        <v/>
      </c>
      <c r="BA1259" s="43">
        <f>IF(AU1259="",0,(AH1259-T1259)*AF1259)</f>
        <v/>
      </c>
      <c r="BB1259" s="43">
        <f>IF(AU1259="",0,T1259*(AF1259-AT1259))</f>
        <v/>
      </c>
      <c r="BC1259" s="51" t="n">
        <v>0.04054589845787859</v>
      </c>
      <c r="BD1259" s="51" t="n">
        <v>0.1167963940652324</v>
      </c>
      <c r="BE1259" s="51" t="n">
        <v>0.2226073047187417</v>
      </c>
      <c r="BF1259" s="43" t="n">
        <v>47921</v>
      </c>
    </row>
    <row r="1260">
      <c r="A1260" s="42" t="inlineStr">
        <is>
          <t>TX</t>
        </is>
      </c>
      <c r="B1260" s="42" t="inlineStr">
        <is>
          <t>48501</t>
        </is>
      </c>
      <c r="C1260" s="42" t="inlineStr">
        <is>
          <t>Yoakum</t>
        </is>
      </c>
      <c r="D1260" s="42" t="inlineStr">
        <is>
          <t>Hispanic</t>
        </is>
      </c>
      <c r="E1260" s="42" t="inlineStr"/>
      <c r="F1260" s="43" t="n">
        <v>342</v>
      </c>
      <c r="G1260" s="43" t="n">
        <v>2039</v>
      </c>
      <c r="H1260" s="43" t="n">
        <v>2393</v>
      </c>
      <c r="I1260" s="43" t="n">
        <v>420</v>
      </c>
      <c r="J1260" s="43" t="n">
        <v>2174</v>
      </c>
      <c r="K1260" s="42" t="inlineStr">
        <is>
          <t>Governor</t>
        </is>
      </c>
      <c r="L1260" s="43" t="n">
        <v>190</v>
      </c>
      <c r="M1260" s="43" t="n">
        <v>1427</v>
      </c>
      <c r="N1260" s="43" t="n">
        <v>1637</v>
      </c>
      <c r="O1260" s="44">
        <f>IFERROR((F1260-G1260)/(F1260+G1260),"")</f>
        <v/>
      </c>
      <c r="P1260" s="44">
        <f>IFERROR((I1260-J1260)/(I1260+J1260),"")</f>
        <v/>
      </c>
      <c r="Q1260" s="45">
        <f>IFERROR(O1260-P1260,"")</f>
        <v/>
      </c>
      <c r="R1260" s="44">
        <f>IFERROR((L1260-M1260)/(L1260+M1260),"")</f>
        <v/>
      </c>
      <c r="S1260" s="46">
        <f>H1260/SUMIFS(Counties!$H$2:$H$1583,Counties!$A$2:$A$1583,$A1260)</f>
        <v/>
      </c>
      <c r="T1260" s="44">
        <f>O1260+INDEX(Dashboard!$F$6:$F$22,MATCH($A1260,Dashboard!$A$6:$A$22,0))</f>
        <v/>
      </c>
      <c r="U1260" s="43">
        <f>AQ1260*INDEX(Dashboard!$G$6:$G$22,MATCH($A1260,Dashboard!$A$6:$A$22,0))</f>
        <v/>
      </c>
      <c r="V1260" s="47" t="n"/>
      <c r="W1260" s="47" t="n"/>
      <c r="X1260" s="47" t="n"/>
      <c r="Y1260" s="48" t="n"/>
      <c r="Z1260" s="49" t="n"/>
      <c r="AA1260" s="49" t="n"/>
      <c r="AB1260" s="49" t="n"/>
      <c r="AC1260" s="50" t="n"/>
      <c r="AD1260" s="43">
        <f>IF(Z1260&lt;&gt;"",Z1260,N(V1260))</f>
        <v/>
      </c>
      <c r="AE1260" s="43">
        <f>IF(AA1260&lt;&gt;"",AA1260,N(W1260))</f>
        <v/>
      </c>
      <c r="AF1260" s="43">
        <f>AD1260+AE1260</f>
        <v/>
      </c>
      <c r="AG1260" s="42">
        <f>IF(UPPER(AC1260)="Y",1,IF(AF1260=0,0,IF(AND(Z1260="",Y1260&lt;&gt;""),IF(Y1260&gt;=0.999,1,0),IF(AF1260&gt;=U1260,1,0))))</f>
        <v/>
      </c>
      <c r="AH1260" s="44">
        <f>IF(AF1260&gt;0,(AD1260-AE1260)/AF1260,"")</f>
        <v/>
      </c>
      <c r="AI1260" s="45">
        <f>IF(AG1260=1,AH1260-O1260,"")</f>
        <v/>
      </c>
      <c r="AJ1260" s="44">
        <f>IF(AG1260=1,AH1260,MAX(-1,MIN(1,O1260+INDEX(Types!$H:$H,MATCH($A1260&amp;"|"&amp;$D1260,Types!$A:$A,0)))))</f>
        <v/>
      </c>
      <c r="AK1260" s="43">
        <f>IF(AG1260=1,AF1260,MAX(AQ1260*AS1260,AF1260))</f>
        <v/>
      </c>
      <c r="AL1260" s="43">
        <f>IF(AG1260=1,AD1260,AK1260*(1+AJ1260)/2)</f>
        <v/>
      </c>
      <c r="AM1260" s="43">
        <f>IF(AG1260=1,AE1260,AK1260*(1-AJ1260)/2)</f>
        <v/>
      </c>
      <c r="AN1260" s="45">
        <f>IF(AH1260="","",AH1260-T1260)</f>
        <v/>
      </c>
      <c r="AO1260" s="51">
        <f>IF(AG1260=1,1,IF(U1260&gt;0,MIN(AF1260/U1260,0.99),0))</f>
        <v/>
      </c>
      <c r="AP1260" s="43">
        <f>IF(AG1260=1,AI1260*AF1260,0)</f>
        <v/>
      </c>
      <c r="AQ1260" s="43">
        <f>N1260*(F1260+G1260)/H1260</f>
        <v/>
      </c>
      <c r="AR1260" s="43">
        <f>O1260*AQ1260</f>
        <v/>
      </c>
      <c r="AS1260" s="52">
        <f>IF(AG1260=1,IF(AQ1260&gt;0,AF1260/AQ1260,1),IFERROR(INDEX(Types!$K:$K,MATCH($A1260&amp;"|"&amp;$D1260,Types!$A:$A,0)),INDEX(Dashboard!$X$6:$X$22,MATCH($A1260,Dashboard!$A$6:$A$22,0))))</f>
        <v/>
      </c>
      <c r="AT1260" s="43">
        <f>AQ1260*INDEX(Dashboard!$Y$6:$Y$22,MATCH($A1260,Dashboard!$A$6:$A$22,0))</f>
        <v/>
      </c>
      <c r="AU1260" s="53">
        <f>IF(AND(AG1260=1,AT1260&gt;0,AF1260&gt;0),100*AF1260/AT1260,"")</f>
        <v/>
      </c>
      <c r="AV1260" s="44">
        <f>IF(AU1260="","",T1260/(AU1260/100))</f>
        <v/>
      </c>
      <c r="AW1260" s="53">
        <f>IF(AU1260="","",IF(AND(ABS(AH1260)&gt;=0.1,ABS(T1260)&gt;=0.05,SIGN(AH1260)=SIGN(T1260)),100*T1260/AH1260,""))</f>
        <v/>
      </c>
      <c r="AX1260" s="45">
        <f>IF(AU1260="","",T1260-AV1260)</f>
        <v/>
      </c>
      <c r="AY1260" s="45">
        <f>IF(AU1260="","",AH1260-AV1260)</f>
        <v/>
      </c>
      <c r="AZ1260" s="54">
        <f>(AL1260-AM1260)-T1260*AT1260</f>
        <v/>
      </c>
      <c r="BA1260" s="43">
        <f>IF(AU1260="",0,(AH1260-T1260)*AF1260)</f>
        <v/>
      </c>
      <c r="BB1260" s="43">
        <f>IF(AU1260="",0,T1260*(AF1260-AT1260))</f>
        <v/>
      </c>
      <c r="BC1260" s="51" t="n">
        <v>0.01231922870915908</v>
      </c>
      <c r="BD1260" s="51" t="n">
        <v>0.6581414033208356</v>
      </c>
      <c r="BE1260" s="51" t="n">
        <v>0.142</v>
      </c>
      <c r="BF1260" s="43" t="n">
        <v>7468</v>
      </c>
    </row>
    <row r="1261">
      <c r="A1261" s="42" t="inlineStr">
        <is>
          <t>TX</t>
        </is>
      </c>
      <c r="B1261" s="42" t="inlineStr">
        <is>
          <t>48503</t>
        </is>
      </c>
      <c r="C1261" s="42" t="inlineStr">
        <is>
          <t>Young</t>
        </is>
      </c>
      <c r="D1261" s="42" t="inlineStr">
        <is>
          <t>Small town &amp; rural</t>
        </is>
      </c>
      <c r="E1261" s="42" t="inlineStr"/>
      <c r="F1261" s="43" t="n">
        <v>962</v>
      </c>
      <c r="G1261" s="43" t="n">
        <v>7298</v>
      </c>
      <c r="H1261" s="43" t="n">
        <v>8309</v>
      </c>
      <c r="I1261" s="43" t="n">
        <v>1034</v>
      </c>
      <c r="J1261" s="43" t="n">
        <v>7110</v>
      </c>
      <c r="K1261" s="42" t="inlineStr">
        <is>
          <t>Governor</t>
        </is>
      </c>
      <c r="L1261" s="43" t="n">
        <v>630</v>
      </c>
      <c r="M1261" s="43" t="n">
        <v>5498</v>
      </c>
      <c r="N1261" s="43" t="n">
        <v>6194</v>
      </c>
      <c r="O1261" s="44">
        <f>IFERROR((F1261-G1261)/(F1261+G1261),"")</f>
        <v/>
      </c>
      <c r="P1261" s="44">
        <f>IFERROR((I1261-J1261)/(I1261+J1261),"")</f>
        <v/>
      </c>
      <c r="Q1261" s="45">
        <f>IFERROR(O1261-P1261,"")</f>
        <v/>
      </c>
      <c r="R1261" s="44">
        <f>IFERROR((L1261-M1261)/(L1261+M1261),"")</f>
        <v/>
      </c>
      <c r="S1261" s="46">
        <f>H1261/SUMIFS(Counties!$H$2:$H$1583,Counties!$A$2:$A$1583,$A1261)</f>
        <v/>
      </c>
      <c r="T1261" s="44">
        <f>O1261+INDEX(Dashboard!$F$6:$F$22,MATCH($A1261,Dashboard!$A$6:$A$22,0))</f>
        <v/>
      </c>
      <c r="U1261" s="43">
        <f>AQ1261*INDEX(Dashboard!$G$6:$G$22,MATCH($A1261,Dashboard!$A$6:$A$22,0))</f>
        <v/>
      </c>
      <c r="V1261" s="47" t="n"/>
      <c r="W1261" s="47" t="n"/>
      <c r="X1261" s="47" t="n"/>
      <c r="Y1261" s="48" t="n"/>
      <c r="Z1261" s="49" t="n"/>
      <c r="AA1261" s="49" t="n"/>
      <c r="AB1261" s="49" t="n"/>
      <c r="AC1261" s="50" t="n"/>
      <c r="AD1261" s="43">
        <f>IF(Z1261&lt;&gt;"",Z1261,N(V1261))</f>
        <v/>
      </c>
      <c r="AE1261" s="43">
        <f>IF(AA1261&lt;&gt;"",AA1261,N(W1261))</f>
        <v/>
      </c>
      <c r="AF1261" s="43">
        <f>AD1261+AE1261</f>
        <v/>
      </c>
      <c r="AG1261" s="42">
        <f>IF(UPPER(AC1261)="Y",1,IF(AF1261=0,0,IF(AND(Z1261="",Y1261&lt;&gt;""),IF(Y1261&gt;=0.999,1,0),IF(AF1261&gt;=U1261,1,0))))</f>
        <v/>
      </c>
      <c r="AH1261" s="44">
        <f>IF(AF1261&gt;0,(AD1261-AE1261)/AF1261,"")</f>
        <v/>
      </c>
      <c r="AI1261" s="45">
        <f>IF(AG1261=1,AH1261-O1261,"")</f>
        <v/>
      </c>
      <c r="AJ1261" s="44">
        <f>IF(AG1261=1,AH1261,MAX(-1,MIN(1,O1261+INDEX(Types!$H:$H,MATCH($A1261&amp;"|"&amp;$D1261,Types!$A:$A,0)))))</f>
        <v/>
      </c>
      <c r="AK1261" s="43">
        <f>IF(AG1261=1,AF1261,MAX(AQ1261*AS1261,AF1261))</f>
        <v/>
      </c>
      <c r="AL1261" s="43">
        <f>IF(AG1261=1,AD1261,AK1261*(1+AJ1261)/2)</f>
        <v/>
      </c>
      <c r="AM1261" s="43">
        <f>IF(AG1261=1,AE1261,AK1261*(1-AJ1261)/2)</f>
        <v/>
      </c>
      <c r="AN1261" s="45">
        <f>IF(AH1261="","",AH1261-T1261)</f>
        <v/>
      </c>
      <c r="AO1261" s="51">
        <f>IF(AG1261=1,1,IF(U1261&gt;0,MIN(AF1261/U1261,0.99),0))</f>
        <v/>
      </c>
      <c r="AP1261" s="43">
        <f>IF(AG1261=1,AI1261*AF1261,0)</f>
        <v/>
      </c>
      <c r="AQ1261" s="43">
        <f>N1261*(F1261+G1261)/H1261</f>
        <v/>
      </c>
      <c r="AR1261" s="43">
        <f>O1261*AQ1261</f>
        <v/>
      </c>
      <c r="AS1261" s="52">
        <f>IF(AG1261=1,IF(AQ1261&gt;0,AF1261/AQ1261,1),IFERROR(INDEX(Types!$K:$K,MATCH($A1261&amp;"|"&amp;$D1261,Types!$A:$A,0)),INDEX(Dashboard!$X$6:$X$22,MATCH($A1261,Dashboard!$A$6:$A$22,0))))</f>
        <v/>
      </c>
      <c r="AT1261" s="43">
        <f>AQ1261*INDEX(Dashboard!$Y$6:$Y$22,MATCH($A1261,Dashboard!$A$6:$A$22,0))</f>
        <v/>
      </c>
      <c r="AU1261" s="53">
        <f>IF(AND(AG1261=1,AT1261&gt;0,AF1261&gt;0),100*AF1261/AT1261,"")</f>
        <v/>
      </c>
      <c r="AV1261" s="44">
        <f>IF(AU1261="","",T1261/(AU1261/100))</f>
        <v/>
      </c>
      <c r="AW1261" s="53">
        <f>IF(AU1261="","",IF(AND(ABS(AH1261)&gt;=0.1,ABS(T1261)&gt;=0.05,SIGN(AH1261)=SIGN(T1261)),100*T1261/AH1261,""))</f>
        <v/>
      </c>
      <c r="AX1261" s="45">
        <f>IF(AU1261="","",T1261-AV1261)</f>
        <v/>
      </c>
      <c r="AY1261" s="45">
        <f>IF(AU1261="","",AH1261-AV1261)</f>
        <v/>
      </c>
      <c r="AZ1261" s="54">
        <f>(AL1261-AM1261)-T1261*AT1261</f>
        <v/>
      </c>
      <c r="BA1261" s="43">
        <f>IF(AU1261="",0,(AH1261-T1261)*AF1261)</f>
        <v/>
      </c>
      <c r="BB1261" s="43">
        <f>IF(AU1261="",0,T1261*(AF1261-AT1261))</f>
        <v/>
      </c>
      <c r="BC1261" s="51" t="n">
        <v>0.01489737364820128</v>
      </c>
      <c r="BD1261" s="51" t="n">
        <v>0.2100529684396381</v>
      </c>
      <c r="BE1261" s="51" t="n">
        <v>0.2358232931726908</v>
      </c>
      <c r="BF1261" s="43" t="n">
        <v>18124</v>
      </c>
    </row>
    <row r="1262">
      <c r="A1262" s="42" t="inlineStr">
        <is>
          <t>TX</t>
        </is>
      </c>
      <c r="B1262" s="42" t="inlineStr">
        <is>
          <t>48505</t>
        </is>
      </c>
      <c r="C1262" s="42" t="inlineStr">
        <is>
          <t>Zapata</t>
        </is>
      </c>
      <c r="D1262" s="42" t="inlineStr">
        <is>
          <t>Hispanic</t>
        </is>
      </c>
      <c r="E1262" s="42" t="inlineStr"/>
      <c r="F1262" s="43" t="n">
        <v>1877</v>
      </c>
      <c r="G1262" s="43" t="n">
        <v>2970</v>
      </c>
      <c r="H1262" s="43" t="n">
        <v>4871</v>
      </c>
      <c r="I1262" s="43" t="n">
        <v>1826</v>
      </c>
      <c r="J1262" s="43" t="n">
        <v>2033</v>
      </c>
      <c r="K1262" s="42" t="inlineStr">
        <is>
          <t>Governor</t>
        </is>
      </c>
      <c r="L1262" s="43" t="n">
        <v>1585</v>
      </c>
      <c r="M1262" s="43" t="n">
        <v>1817</v>
      </c>
      <c r="N1262" s="43" t="n">
        <v>3444</v>
      </c>
      <c r="O1262" s="44">
        <f>IFERROR((F1262-G1262)/(F1262+G1262),"")</f>
        <v/>
      </c>
      <c r="P1262" s="44">
        <f>IFERROR((I1262-J1262)/(I1262+J1262),"")</f>
        <v/>
      </c>
      <c r="Q1262" s="45">
        <f>IFERROR(O1262-P1262,"")</f>
        <v/>
      </c>
      <c r="R1262" s="44">
        <f>IFERROR((L1262-M1262)/(L1262+M1262),"")</f>
        <v/>
      </c>
      <c r="S1262" s="46">
        <f>H1262/SUMIFS(Counties!$H$2:$H$1583,Counties!$A$2:$A$1583,$A1262)</f>
        <v/>
      </c>
      <c r="T1262" s="44">
        <f>O1262+INDEX(Dashboard!$F$6:$F$22,MATCH($A1262,Dashboard!$A$6:$A$22,0))</f>
        <v/>
      </c>
      <c r="U1262" s="43">
        <f>AQ1262*INDEX(Dashboard!$G$6:$G$22,MATCH($A1262,Dashboard!$A$6:$A$22,0))</f>
        <v/>
      </c>
      <c r="V1262" s="47" t="n"/>
      <c r="W1262" s="47" t="n"/>
      <c r="X1262" s="47" t="n"/>
      <c r="Y1262" s="48" t="n"/>
      <c r="Z1262" s="49" t="n"/>
      <c r="AA1262" s="49" t="n"/>
      <c r="AB1262" s="49" t="n"/>
      <c r="AC1262" s="50" t="n"/>
      <c r="AD1262" s="43">
        <f>IF(Z1262&lt;&gt;"",Z1262,N(V1262))</f>
        <v/>
      </c>
      <c r="AE1262" s="43">
        <f>IF(AA1262&lt;&gt;"",AA1262,N(W1262))</f>
        <v/>
      </c>
      <c r="AF1262" s="43">
        <f>AD1262+AE1262</f>
        <v/>
      </c>
      <c r="AG1262" s="42">
        <f>IF(UPPER(AC1262)="Y",1,IF(AF1262=0,0,IF(AND(Z1262="",Y1262&lt;&gt;""),IF(Y1262&gt;=0.999,1,0),IF(AF1262&gt;=U1262,1,0))))</f>
        <v/>
      </c>
      <c r="AH1262" s="44">
        <f>IF(AF1262&gt;0,(AD1262-AE1262)/AF1262,"")</f>
        <v/>
      </c>
      <c r="AI1262" s="45">
        <f>IF(AG1262=1,AH1262-O1262,"")</f>
        <v/>
      </c>
      <c r="AJ1262" s="44">
        <f>IF(AG1262=1,AH1262,MAX(-1,MIN(1,O1262+INDEX(Types!$H:$H,MATCH($A1262&amp;"|"&amp;$D1262,Types!$A:$A,0)))))</f>
        <v/>
      </c>
      <c r="AK1262" s="43">
        <f>IF(AG1262=1,AF1262,MAX(AQ1262*AS1262,AF1262))</f>
        <v/>
      </c>
      <c r="AL1262" s="43">
        <f>IF(AG1262=1,AD1262,AK1262*(1+AJ1262)/2)</f>
        <v/>
      </c>
      <c r="AM1262" s="43">
        <f>IF(AG1262=1,AE1262,AK1262*(1-AJ1262)/2)</f>
        <v/>
      </c>
      <c r="AN1262" s="45">
        <f>IF(AH1262="","",AH1262-T1262)</f>
        <v/>
      </c>
      <c r="AO1262" s="51">
        <f>IF(AG1262=1,1,IF(U1262&gt;0,MIN(AF1262/U1262,0.99),0))</f>
        <v/>
      </c>
      <c r="AP1262" s="43">
        <f>IF(AG1262=1,AI1262*AF1262,0)</f>
        <v/>
      </c>
      <c r="AQ1262" s="43">
        <f>N1262*(F1262+G1262)/H1262</f>
        <v/>
      </c>
      <c r="AR1262" s="43">
        <f>O1262*AQ1262</f>
        <v/>
      </c>
      <c r="AS1262" s="52">
        <f>IF(AG1262=1,IF(AQ1262&gt;0,AF1262/AQ1262,1),IFERROR(INDEX(Types!$K:$K,MATCH($A1262&amp;"|"&amp;$D1262,Types!$A:$A,0)),INDEX(Dashboard!$X$6:$X$22,MATCH($A1262,Dashboard!$A$6:$A$22,0))))</f>
        <v/>
      </c>
      <c r="AT1262" s="43">
        <f>AQ1262*INDEX(Dashboard!$Y$6:$Y$22,MATCH($A1262,Dashboard!$A$6:$A$22,0))</f>
        <v/>
      </c>
      <c r="AU1262" s="53">
        <f>IF(AND(AG1262=1,AT1262&gt;0,AF1262&gt;0),100*AF1262/AT1262,"")</f>
        <v/>
      </c>
      <c r="AV1262" s="44">
        <f>IF(AU1262="","",T1262/(AU1262/100))</f>
        <v/>
      </c>
      <c r="AW1262" s="53">
        <f>IF(AU1262="","",IF(AND(ABS(AH1262)&gt;=0.1,ABS(T1262)&gt;=0.05,SIGN(AH1262)=SIGN(T1262)),100*T1262/AH1262,""))</f>
        <v/>
      </c>
      <c r="AX1262" s="45">
        <f>IF(AU1262="","",T1262-AV1262)</f>
        <v/>
      </c>
      <c r="AY1262" s="45">
        <f>IF(AU1262="","",AH1262-AV1262)</f>
        <v/>
      </c>
      <c r="AZ1262" s="54">
        <f>(AL1262-AM1262)-T1262*AT1262</f>
        <v/>
      </c>
      <c r="BA1262" s="43">
        <f>IF(AU1262="",0,(AH1262-T1262)*AF1262)</f>
        <v/>
      </c>
      <c r="BB1262" s="43">
        <f>IF(AU1262="",0,T1262*(AF1262-AT1262))</f>
        <v/>
      </c>
      <c r="BC1262" s="51" t="n">
        <v>0.005751310425160163</v>
      </c>
      <c r="BD1262" s="51" t="n">
        <v>0.9424868957483984</v>
      </c>
      <c r="BE1262" s="51" t="n">
        <v>0.1328046324269889</v>
      </c>
      <c r="BF1262" s="43" t="n">
        <v>13736</v>
      </c>
    </row>
    <row r="1263">
      <c r="A1263" s="42" t="inlineStr">
        <is>
          <t>TX</t>
        </is>
      </c>
      <c r="B1263" s="42" t="inlineStr">
        <is>
          <t>48507</t>
        </is>
      </c>
      <c r="C1263" s="42" t="inlineStr">
        <is>
          <t>Zavala</t>
        </is>
      </c>
      <c r="D1263" s="42" t="inlineStr">
        <is>
          <t>Hispanic</t>
        </is>
      </c>
      <c r="E1263" s="42" t="inlineStr"/>
      <c r="F1263" s="43" t="n">
        <v>1984</v>
      </c>
      <c r="G1263" s="43" t="n">
        <v>1482</v>
      </c>
      <c r="H1263" s="43" t="n">
        <v>3492</v>
      </c>
      <c r="I1263" s="43" t="n">
        <v>2864</v>
      </c>
      <c r="J1263" s="43" t="n">
        <v>1490</v>
      </c>
      <c r="K1263" s="42" t="inlineStr">
        <is>
          <t>Governor</t>
        </is>
      </c>
      <c r="L1263" s="43" t="n">
        <v>1642</v>
      </c>
      <c r="M1263" s="43" t="n">
        <v>780</v>
      </c>
      <c r="N1263" s="43" t="n">
        <v>2450</v>
      </c>
      <c r="O1263" s="44">
        <f>IFERROR((F1263-G1263)/(F1263+G1263),"")</f>
        <v/>
      </c>
      <c r="P1263" s="44">
        <f>IFERROR((I1263-J1263)/(I1263+J1263),"")</f>
        <v/>
      </c>
      <c r="Q1263" s="45">
        <f>IFERROR(O1263-P1263,"")</f>
        <v/>
      </c>
      <c r="R1263" s="44">
        <f>IFERROR((L1263-M1263)/(L1263+M1263),"")</f>
        <v/>
      </c>
      <c r="S1263" s="46">
        <f>H1263/SUMIFS(Counties!$H$2:$H$1583,Counties!$A$2:$A$1583,$A1263)</f>
        <v/>
      </c>
      <c r="T1263" s="44">
        <f>O1263+INDEX(Dashboard!$F$6:$F$22,MATCH($A1263,Dashboard!$A$6:$A$22,0))</f>
        <v/>
      </c>
      <c r="U1263" s="43">
        <f>AQ1263*INDEX(Dashboard!$G$6:$G$22,MATCH($A1263,Dashboard!$A$6:$A$22,0))</f>
        <v/>
      </c>
      <c r="V1263" s="47" t="n"/>
      <c r="W1263" s="47" t="n"/>
      <c r="X1263" s="47" t="n"/>
      <c r="Y1263" s="48" t="n"/>
      <c r="Z1263" s="49" t="n"/>
      <c r="AA1263" s="49" t="n"/>
      <c r="AB1263" s="49" t="n"/>
      <c r="AC1263" s="50" t="n"/>
      <c r="AD1263" s="43">
        <f>IF(Z1263&lt;&gt;"",Z1263,N(V1263))</f>
        <v/>
      </c>
      <c r="AE1263" s="43">
        <f>IF(AA1263&lt;&gt;"",AA1263,N(W1263))</f>
        <v/>
      </c>
      <c r="AF1263" s="43">
        <f>AD1263+AE1263</f>
        <v/>
      </c>
      <c r="AG1263" s="42">
        <f>IF(UPPER(AC1263)="Y",1,IF(AF1263=0,0,IF(AND(Z1263="",Y1263&lt;&gt;""),IF(Y1263&gt;=0.999,1,0),IF(AF1263&gt;=U1263,1,0))))</f>
        <v/>
      </c>
      <c r="AH1263" s="44">
        <f>IF(AF1263&gt;0,(AD1263-AE1263)/AF1263,"")</f>
        <v/>
      </c>
      <c r="AI1263" s="45">
        <f>IF(AG1263=1,AH1263-O1263,"")</f>
        <v/>
      </c>
      <c r="AJ1263" s="44">
        <f>IF(AG1263=1,AH1263,MAX(-1,MIN(1,O1263+INDEX(Types!$H:$H,MATCH($A1263&amp;"|"&amp;$D1263,Types!$A:$A,0)))))</f>
        <v/>
      </c>
      <c r="AK1263" s="43">
        <f>IF(AG1263=1,AF1263,MAX(AQ1263*AS1263,AF1263))</f>
        <v/>
      </c>
      <c r="AL1263" s="43">
        <f>IF(AG1263=1,AD1263,AK1263*(1+AJ1263)/2)</f>
        <v/>
      </c>
      <c r="AM1263" s="43">
        <f>IF(AG1263=1,AE1263,AK1263*(1-AJ1263)/2)</f>
        <v/>
      </c>
      <c r="AN1263" s="45">
        <f>IF(AH1263="","",AH1263-T1263)</f>
        <v/>
      </c>
      <c r="AO1263" s="51">
        <f>IF(AG1263=1,1,IF(U1263&gt;0,MIN(AF1263/U1263,0.99),0))</f>
        <v/>
      </c>
      <c r="AP1263" s="43">
        <f>IF(AG1263=1,AI1263*AF1263,0)</f>
        <v/>
      </c>
      <c r="AQ1263" s="43">
        <f>N1263*(F1263+G1263)/H1263</f>
        <v/>
      </c>
      <c r="AR1263" s="43">
        <f>O1263*AQ1263</f>
        <v/>
      </c>
      <c r="AS1263" s="52">
        <f>IF(AG1263=1,IF(AQ1263&gt;0,AF1263/AQ1263,1),IFERROR(INDEX(Types!$K:$K,MATCH($A1263&amp;"|"&amp;$D1263,Types!$A:$A,0)),INDEX(Dashboard!$X$6:$X$22,MATCH($A1263,Dashboard!$A$6:$A$22,0))))</f>
        <v/>
      </c>
      <c r="AT1263" s="43">
        <f>AQ1263*INDEX(Dashboard!$Y$6:$Y$22,MATCH($A1263,Dashboard!$A$6:$A$22,0))</f>
        <v/>
      </c>
      <c r="AU1263" s="53">
        <f>IF(AND(AG1263=1,AT1263&gt;0,AF1263&gt;0),100*AF1263/AT1263,"")</f>
        <v/>
      </c>
      <c r="AV1263" s="44">
        <f>IF(AU1263="","",T1263/(AU1263/100))</f>
        <v/>
      </c>
      <c r="AW1263" s="53">
        <f>IF(AU1263="","",IF(AND(ABS(AH1263)&gt;=0.1,ABS(T1263)&gt;=0.05,SIGN(AH1263)=SIGN(T1263)),100*T1263/AH1263,""))</f>
        <v/>
      </c>
      <c r="AX1263" s="45">
        <f>IF(AU1263="","",T1263-AV1263)</f>
        <v/>
      </c>
      <c r="AY1263" s="45">
        <f>IF(AU1263="","",AH1263-AV1263)</f>
        <v/>
      </c>
      <c r="AZ1263" s="54">
        <f>(AL1263-AM1263)-T1263*AT1263</f>
        <v/>
      </c>
      <c r="BA1263" s="43">
        <f>IF(AU1263="",0,(AH1263-T1263)*AF1263)</f>
        <v/>
      </c>
      <c r="BB1263" s="43">
        <f>IF(AU1263="",0,T1263*(AF1263-AT1263))</f>
        <v/>
      </c>
      <c r="BC1263" s="51" t="n">
        <v>0.009342783505154639</v>
      </c>
      <c r="BD1263" s="51" t="n">
        <v>0.9265463917525774</v>
      </c>
      <c r="BE1263" s="51" t="n">
        <v>0.09551349456712233</v>
      </c>
      <c r="BF1263" s="43" t="n">
        <v>9312</v>
      </c>
    </row>
    <row r="1264">
      <c r="A1264" s="42" t="inlineStr">
        <is>
          <t>FL</t>
        </is>
      </c>
      <c r="B1264" s="42" t="inlineStr">
        <is>
          <t>12001</t>
        </is>
      </c>
      <c r="C1264" s="42" t="inlineStr">
        <is>
          <t>Alachua</t>
        </is>
      </c>
      <c r="D1264" s="42" t="inlineStr">
        <is>
          <t>College suburb/metro</t>
        </is>
      </c>
      <c r="E1264" s="42" t="inlineStr"/>
      <c r="F1264" s="43" t="n">
        <v>81578</v>
      </c>
      <c r="G1264" s="43" t="n">
        <v>52939</v>
      </c>
      <c r="H1264" s="43" t="n">
        <v>136548</v>
      </c>
      <c r="I1264" s="43" t="n">
        <v>89704</v>
      </c>
      <c r="J1264" s="43" t="n">
        <v>50972</v>
      </c>
      <c r="K1264" s="42" t="inlineStr">
        <is>
          <t>US Senate</t>
        </is>
      </c>
      <c r="L1264" s="43" t="n">
        <v>55439</v>
      </c>
      <c r="M1264" s="43" t="n">
        <v>39220</v>
      </c>
      <c r="N1264" s="43" t="n">
        <v>95768</v>
      </c>
      <c r="O1264" s="44">
        <f>IFERROR((F1264-G1264)/(F1264+G1264),"")</f>
        <v/>
      </c>
      <c r="P1264" s="44">
        <f>IFERROR((I1264-J1264)/(I1264+J1264),"")</f>
        <v/>
      </c>
      <c r="Q1264" s="45">
        <f>IFERROR(O1264-P1264,"")</f>
        <v/>
      </c>
      <c r="R1264" s="44">
        <f>IFERROR((L1264-M1264)/(L1264+M1264),"")</f>
        <v/>
      </c>
      <c r="S1264" s="46">
        <f>H1264/SUMIFS(Counties!$H$2:$H$1583,Counties!$A$2:$A$1583,$A1264)</f>
        <v/>
      </c>
      <c r="T1264" s="44">
        <f>O1264+INDEX(Dashboard!$F$6:$F$22,MATCH($A1264,Dashboard!$A$6:$A$22,0))</f>
        <v/>
      </c>
      <c r="U1264" s="43">
        <f>AQ1264*INDEX(Dashboard!$G$6:$G$22,MATCH($A1264,Dashboard!$A$6:$A$22,0))</f>
        <v/>
      </c>
      <c r="V1264" s="47" t="n"/>
      <c r="W1264" s="47" t="n"/>
      <c r="X1264" s="47" t="n"/>
      <c r="Y1264" s="48" t="n"/>
      <c r="Z1264" s="49" t="n"/>
      <c r="AA1264" s="49" t="n"/>
      <c r="AB1264" s="49" t="n"/>
      <c r="AC1264" s="50" t="n"/>
      <c r="AD1264" s="43">
        <f>IF(Z1264&lt;&gt;"",Z1264,N(V1264))</f>
        <v/>
      </c>
      <c r="AE1264" s="43">
        <f>IF(AA1264&lt;&gt;"",AA1264,N(W1264))</f>
        <v/>
      </c>
      <c r="AF1264" s="43">
        <f>AD1264+AE1264</f>
        <v/>
      </c>
      <c r="AG1264" s="42">
        <f>IF(UPPER(AC1264)="Y",1,IF(AF1264=0,0,IF(AND(Z1264="",Y1264&lt;&gt;""),IF(Y1264&gt;=0.999,1,0),IF(AF1264&gt;=U1264,1,0))))</f>
        <v/>
      </c>
      <c r="AH1264" s="44">
        <f>IF(AF1264&gt;0,(AD1264-AE1264)/AF1264,"")</f>
        <v/>
      </c>
      <c r="AI1264" s="45">
        <f>IF(AG1264=1,AH1264-O1264,"")</f>
        <v/>
      </c>
      <c r="AJ1264" s="44">
        <f>IF(AG1264=1,AH1264,MAX(-1,MIN(1,O1264+INDEX(Types!$H:$H,MATCH($A1264&amp;"|"&amp;$D1264,Types!$A:$A,0)))))</f>
        <v/>
      </c>
      <c r="AK1264" s="43">
        <f>IF(AG1264=1,AF1264,MAX(AQ1264*AS1264,AF1264))</f>
        <v/>
      </c>
      <c r="AL1264" s="43">
        <f>IF(AG1264=1,AD1264,AK1264*(1+AJ1264)/2)</f>
        <v/>
      </c>
      <c r="AM1264" s="43">
        <f>IF(AG1264=1,AE1264,AK1264*(1-AJ1264)/2)</f>
        <v/>
      </c>
      <c r="AN1264" s="45">
        <f>IF(AH1264="","",AH1264-T1264)</f>
        <v/>
      </c>
      <c r="AO1264" s="51">
        <f>IF(AG1264=1,1,IF(U1264&gt;0,MIN(AF1264/U1264,0.99),0))</f>
        <v/>
      </c>
      <c r="AP1264" s="43">
        <f>IF(AG1264=1,AI1264*AF1264,0)</f>
        <v/>
      </c>
      <c r="AQ1264" s="43">
        <f>N1264*(F1264+G1264)/H1264</f>
        <v/>
      </c>
      <c r="AR1264" s="43">
        <f>O1264*AQ1264</f>
        <v/>
      </c>
      <c r="AS1264" s="52">
        <f>IF(AG1264=1,IF(AQ1264&gt;0,AF1264/AQ1264,1),IFERROR(INDEX(Types!$K:$K,MATCH($A1264&amp;"|"&amp;$D1264,Types!$A:$A,0)),INDEX(Dashboard!$X$6:$X$22,MATCH($A1264,Dashboard!$A$6:$A$22,0))))</f>
        <v/>
      </c>
      <c r="AT1264" s="43">
        <f>AQ1264*INDEX(Dashboard!$Y$6:$Y$22,MATCH($A1264,Dashboard!$A$6:$A$22,0))</f>
        <v/>
      </c>
      <c r="AU1264" s="53">
        <f>IF(AND(AG1264=1,AT1264&gt;0,AF1264&gt;0),100*AF1264/AT1264,"")</f>
        <v/>
      </c>
      <c r="AV1264" s="44">
        <f>IF(AU1264="","",T1264/(AU1264/100))</f>
        <v/>
      </c>
      <c r="AW1264" s="53">
        <f>IF(AU1264="","",IF(AND(ABS(AH1264)&gt;=0.1,ABS(T1264)&gt;=0.05,SIGN(AH1264)=SIGN(T1264)),100*T1264/AH1264,""))</f>
        <v/>
      </c>
      <c r="AX1264" s="45">
        <f>IF(AU1264="","",T1264-AV1264)</f>
        <v/>
      </c>
      <c r="AY1264" s="45">
        <f>IF(AU1264="","",AH1264-AV1264)</f>
        <v/>
      </c>
      <c r="AZ1264" s="54">
        <f>(AL1264-AM1264)-T1264*AT1264</f>
        <v/>
      </c>
      <c r="BA1264" s="43">
        <f>IF(AU1264="",0,(AH1264-T1264)*AF1264)</f>
        <v/>
      </c>
      <c r="BB1264" s="43">
        <f>IF(AU1264="",0,T1264*(AF1264-AT1264))</f>
        <v/>
      </c>
      <c r="BC1264" s="51" t="n">
        <v>0.194790799806989</v>
      </c>
      <c r="BD1264" s="51" t="n">
        <v>0.1262509003685392</v>
      </c>
      <c r="BE1264" s="51" t="n">
        <v>0.476699339751607</v>
      </c>
      <c r="BF1264" s="43" t="n">
        <v>285994</v>
      </c>
    </row>
    <row r="1265">
      <c r="A1265" s="42" t="inlineStr">
        <is>
          <t>FL</t>
        </is>
      </c>
      <c r="B1265" s="42" t="inlineStr">
        <is>
          <t>12003</t>
        </is>
      </c>
      <c r="C1265" s="42" t="inlineStr">
        <is>
          <t>Baker</t>
        </is>
      </c>
      <c r="D1265" s="42" t="inlineStr">
        <is>
          <t>Small town &amp; rural</t>
        </is>
      </c>
      <c r="E1265" s="42" t="inlineStr"/>
      <c r="F1265" s="43" t="n">
        <v>1982</v>
      </c>
      <c r="G1265" s="43" t="n">
        <v>12926</v>
      </c>
      <c r="H1265" s="43" t="n">
        <v>14977</v>
      </c>
      <c r="I1265" s="43" t="n">
        <v>2037</v>
      </c>
      <c r="J1265" s="43" t="n">
        <v>11911</v>
      </c>
      <c r="K1265" s="42" t="inlineStr">
        <is>
          <t>US Senate</t>
        </is>
      </c>
      <c r="L1265" s="43" t="n">
        <v>1181</v>
      </c>
      <c r="M1265" s="43" t="n">
        <v>9431</v>
      </c>
      <c r="N1265" s="43" t="n">
        <v>10697</v>
      </c>
      <c r="O1265" s="44">
        <f>IFERROR((F1265-G1265)/(F1265+G1265),"")</f>
        <v/>
      </c>
      <c r="P1265" s="44">
        <f>IFERROR((I1265-J1265)/(I1265+J1265),"")</f>
        <v/>
      </c>
      <c r="Q1265" s="45">
        <f>IFERROR(O1265-P1265,"")</f>
        <v/>
      </c>
      <c r="R1265" s="44">
        <f>IFERROR((L1265-M1265)/(L1265+M1265),"")</f>
        <v/>
      </c>
      <c r="S1265" s="46">
        <f>H1265/SUMIFS(Counties!$H$2:$H$1583,Counties!$A$2:$A$1583,$A1265)</f>
        <v/>
      </c>
      <c r="T1265" s="44">
        <f>O1265+INDEX(Dashboard!$F$6:$F$22,MATCH($A1265,Dashboard!$A$6:$A$22,0))</f>
        <v/>
      </c>
      <c r="U1265" s="43">
        <f>AQ1265*INDEX(Dashboard!$G$6:$G$22,MATCH($A1265,Dashboard!$A$6:$A$22,0))</f>
        <v/>
      </c>
      <c r="V1265" s="47" t="n"/>
      <c r="W1265" s="47" t="n"/>
      <c r="X1265" s="47" t="n"/>
      <c r="Y1265" s="48" t="n"/>
      <c r="Z1265" s="49" t="n"/>
      <c r="AA1265" s="49" t="n"/>
      <c r="AB1265" s="49" t="n"/>
      <c r="AC1265" s="50" t="n"/>
      <c r="AD1265" s="43">
        <f>IF(Z1265&lt;&gt;"",Z1265,N(V1265))</f>
        <v/>
      </c>
      <c r="AE1265" s="43">
        <f>IF(AA1265&lt;&gt;"",AA1265,N(W1265))</f>
        <v/>
      </c>
      <c r="AF1265" s="43">
        <f>AD1265+AE1265</f>
        <v/>
      </c>
      <c r="AG1265" s="42">
        <f>IF(UPPER(AC1265)="Y",1,IF(AF1265=0,0,IF(AND(Z1265="",Y1265&lt;&gt;""),IF(Y1265&gt;=0.999,1,0),IF(AF1265&gt;=U1265,1,0))))</f>
        <v/>
      </c>
      <c r="AH1265" s="44">
        <f>IF(AF1265&gt;0,(AD1265-AE1265)/AF1265,"")</f>
        <v/>
      </c>
      <c r="AI1265" s="45">
        <f>IF(AG1265=1,AH1265-O1265,"")</f>
        <v/>
      </c>
      <c r="AJ1265" s="44">
        <f>IF(AG1265=1,AH1265,MAX(-1,MIN(1,O1265+INDEX(Types!$H:$H,MATCH($A1265&amp;"|"&amp;$D1265,Types!$A:$A,0)))))</f>
        <v/>
      </c>
      <c r="AK1265" s="43">
        <f>IF(AG1265=1,AF1265,MAX(AQ1265*AS1265,AF1265))</f>
        <v/>
      </c>
      <c r="AL1265" s="43">
        <f>IF(AG1265=1,AD1265,AK1265*(1+AJ1265)/2)</f>
        <v/>
      </c>
      <c r="AM1265" s="43">
        <f>IF(AG1265=1,AE1265,AK1265*(1-AJ1265)/2)</f>
        <v/>
      </c>
      <c r="AN1265" s="45">
        <f>IF(AH1265="","",AH1265-T1265)</f>
        <v/>
      </c>
      <c r="AO1265" s="51">
        <f>IF(AG1265=1,1,IF(U1265&gt;0,MIN(AF1265/U1265,0.99),0))</f>
        <v/>
      </c>
      <c r="AP1265" s="43">
        <f>IF(AG1265=1,AI1265*AF1265,0)</f>
        <v/>
      </c>
      <c r="AQ1265" s="43">
        <f>N1265*(F1265+G1265)/H1265</f>
        <v/>
      </c>
      <c r="AR1265" s="43">
        <f>O1265*AQ1265</f>
        <v/>
      </c>
      <c r="AS1265" s="52">
        <f>IF(AG1265=1,IF(AQ1265&gt;0,AF1265/AQ1265,1),IFERROR(INDEX(Types!$K:$K,MATCH($A1265&amp;"|"&amp;$D1265,Types!$A:$A,0)),INDEX(Dashboard!$X$6:$X$22,MATCH($A1265,Dashboard!$A$6:$A$22,0))))</f>
        <v/>
      </c>
      <c r="AT1265" s="43">
        <f>AQ1265*INDEX(Dashboard!$Y$6:$Y$22,MATCH($A1265,Dashboard!$A$6:$A$22,0))</f>
        <v/>
      </c>
      <c r="AU1265" s="53">
        <f>IF(AND(AG1265=1,AT1265&gt;0,AF1265&gt;0),100*AF1265/AT1265,"")</f>
        <v/>
      </c>
      <c r="AV1265" s="44">
        <f>IF(AU1265="","",T1265/(AU1265/100))</f>
        <v/>
      </c>
      <c r="AW1265" s="53">
        <f>IF(AU1265="","",IF(AND(ABS(AH1265)&gt;=0.1,ABS(T1265)&gt;=0.05,SIGN(AH1265)=SIGN(T1265)),100*T1265/AH1265,""))</f>
        <v/>
      </c>
      <c r="AX1265" s="45">
        <f>IF(AU1265="","",T1265-AV1265)</f>
        <v/>
      </c>
      <c r="AY1265" s="45">
        <f>IF(AU1265="","",AH1265-AV1265)</f>
        <v/>
      </c>
      <c r="AZ1265" s="54">
        <f>(AL1265-AM1265)-T1265*AT1265</f>
        <v/>
      </c>
      <c r="BA1265" s="43">
        <f>IF(AU1265="",0,(AH1265-T1265)*AF1265)</f>
        <v/>
      </c>
      <c r="BB1265" s="43">
        <f>IF(AU1265="",0,T1265*(AF1265-AT1265))</f>
        <v/>
      </c>
      <c r="BC1265" s="51" t="n">
        <v>0.1267625493513818</v>
      </c>
      <c r="BD1265" s="51" t="n">
        <v>0.04282994923857868</v>
      </c>
      <c r="BE1265" s="51" t="n">
        <v>0.1533558107680961</v>
      </c>
      <c r="BF1265" s="43" t="n">
        <v>28368</v>
      </c>
    </row>
    <row r="1266">
      <c r="A1266" s="42" t="inlineStr">
        <is>
          <t>FL</t>
        </is>
      </c>
      <c r="B1266" s="42" t="inlineStr">
        <is>
          <t>12005</t>
        </is>
      </c>
      <c r="C1266" s="42" t="inlineStr">
        <is>
          <t>Bay</t>
        </is>
      </c>
      <c r="D1266" s="42" t="inlineStr">
        <is>
          <t>Mid-size/working metro</t>
        </is>
      </c>
      <c r="E1266" s="42" t="inlineStr"/>
      <c r="F1266" s="43" t="n">
        <v>25201</v>
      </c>
      <c r="G1266" s="43" t="n">
        <v>71497</v>
      </c>
      <c r="H1266" s="43" t="n">
        <v>97775</v>
      </c>
      <c r="I1266" s="43" t="n">
        <v>25614</v>
      </c>
      <c r="J1266" s="43" t="n">
        <v>66097</v>
      </c>
      <c r="K1266" s="42" t="inlineStr">
        <is>
          <t>US Senate</t>
        </is>
      </c>
      <c r="L1266" s="43" t="n">
        <v>14547</v>
      </c>
      <c r="M1266" s="43" t="n">
        <v>51657</v>
      </c>
      <c r="N1266" s="43" t="n">
        <v>67009</v>
      </c>
      <c r="O1266" s="44">
        <f>IFERROR((F1266-G1266)/(F1266+G1266),"")</f>
        <v/>
      </c>
      <c r="P1266" s="44">
        <f>IFERROR((I1266-J1266)/(I1266+J1266),"")</f>
        <v/>
      </c>
      <c r="Q1266" s="45">
        <f>IFERROR(O1266-P1266,"")</f>
        <v/>
      </c>
      <c r="R1266" s="44">
        <f>IFERROR((L1266-M1266)/(L1266+M1266),"")</f>
        <v/>
      </c>
      <c r="S1266" s="46">
        <f>H1266/SUMIFS(Counties!$H$2:$H$1583,Counties!$A$2:$A$1583,$A1266)</f>
        <v/>
      </c>
      <c r="T1266" s="44">
        <f>O1266+INDEX(Dashboard!$F$6:$F$22,MATCH($A1266,Dashboard!$A$6:$A$22,0))</f>
        <v/>
      </c>
      <c r="U1266" s="43">
        <f>AQ1266*INDEX(Dashboard!$G$6:$G$22,MATCH($A1266,Dashboard!$A$6:$A$22,0))</f>
        <v/>
      </c>
      <c r="V1266" s="47" t="n"/>
      <c r="W1266" s="47" t="n"/>
      <c r="X1266" s="47" t="n"/>
      <c r="Y1266" s="48" t="n"/>
      <c r="Z1266" s="49" t="n"/>
      <c r="AA1266" s="49" t="n"/>
      <c r="AB1266" s="49" t="n"/>
      <c r="AC1266" s="50" t="n"/>
      <c r="AD1266" s="43">
        <f>IF(Z1266&lt;&gt;"",Z1266,N(V1266))</f>
        <v/>
      </c>
      <c r="AE1266" s="43">
        <f>IF(AA1266&lt;&gt;"",AA1266,N(W1266))</f>
        <v/>
      </c>
      <c r="AF1266" s="43">
        <f>AD1266+AE1266</f>
        <v/>
      </c>
      <c r="AG1266" s="42">
        <f>IF(UPPER(AC1266)="Y",1,IF(AF1266=0,0,IF(AND(Z1266="",Y1266&lt;&gt;""),IF(Y1266&gt;=0.999,1,0),IF(AF1266&gt;=U1266,1,0))))</f>
        <v/>
      </c>
      <c r="AH1266" s="44">
        <f>IF(AF1266&gt;0,(AD1266-AE1266)/AF1266,"")</f>
        <v/>
      </c>
      <c r="AI1266" s="45">
        <f>IF(AG1266=1,AH1266-O1266,"")</f>
        <v/>
      </c>
      <c r="AJ1266" s="44">
        <f>IF(AG1266=1,AH1266,MAX(-1,MIN(1,O1266+INDEX(Types!$H:$H,MATCH($A1266&amp;"|"&amp;$D1266,Types!$A:$A,0)))))</f>
        <v/>
      </c>
      <c r="AK1266" s="43">
        <f>IF(AG1266=1,AF1266,MAX(AQ1266*AS1266,AF1266))</f>
        <v/>
      </c>
      <c r="AL1266" s="43">
        <f>IF(AG1266=1,AD1266,AK1266*(1+AJ1266)/2)</f>
        <v/>
      </c>
      <c r="AM1266" s="43">
        <f>IF(AG1266=1,AE1266,AK1266*(1-AJ1266)/2)</f>
        <v/>
      </c>
      <c r="AN1266" s="45">
        <f>IF(AH1266="","",AH1266-T1266)</f>
        <v/>
      </c>
      <c r="AO1266" s="51">
        <f>IF(AG1266=1,1,IF(U1266&gt;0,MIN(AF1266/U1266,0.99),0))</f>
        <v/>
      </c>
      <c r="AP1266" s="43">
        <f>IF(AG1266=1,AI1266*AF1266,0)</f>
        <v/>
      </c>
      <c r="AQ1266" s="43">
        <f>N1266*(F1266+G1266)/H1266</f>
        <v/>
      </c>
      <c r="AR1266" s="43">
        <f>O1266*AQ1266</f>
        <v/>
      </c>
      <c r="AS1266" s="52">
        <f>IF(AG1266=1,IF(AQ1266&gt;0,AF1266/AQ1266,1),IFERROR(INDEX(Types!$K:$K,MATCH($A1266&amp;"|"&amp;$D1266,Types!$A:$A,0)),INDEX(Dashboard!$X$6:$X$22,MATCH($A1266,Dashboard!$A$6:$A$22,0))))</f>
        <v/>
      </c>
      <c r="AT1266" s="43">
        <f>AQ1266*INDEX(Dashboard!$Y$6:$Y$22,MATCH($A1266,Dashboard!$A$6:$A$22,0))</f>
        <v/>
      </c>
      <c r="AU1266" s="53">
        <f>IF(AND(AG1266=1,AT1266&gt;0,AF1266&gt;0),100*AF1266/AT1266,"")</f>
        <v/>
      </c>
      <c r="AV1266" s="44">
        <f>IF(AU1266="","",T1266/(AU1266/100))</f>
        <v/>
      </c>
      <c r="AW1266" s="53">
        <f>IF(AU1266="","",IF(AND(ABS(AH1266)&gt;=0.1,ABS(T1266)&gt;=0.05,SIGN(AH1266)=SIGN(T1266)),100*T1266/AH1266,""))</f>
        <v/>
      </c>
      <c r="AX1266" s="45">
        <f>IF(AU1266="","",T1266-AV1266)</f>
        <v/>
      </c>
      <c r="AY1266" s="45">
        <f>IF(AU1266="","",AH1266-AV1266)</f>
        <v/>
      </c>
      <c r="AZ1266" s="54">
        <f>(AL1266-AM1266)-T1266*AT1266</f>
        <v/>
      </c>
      <c r="BA1266" s="43">
        <f>IF(AU1266="",0,(AH1266-T1266)*AF1266)</f>
        <v/>
      </c>
      <c r="BB1266" s="43">
        <f>IF(AU1266="",0,T1266*(AF1266-AT1266))</f>
        <v/>
      </c>
      <c r="BC1266" s="51" t="n">
        <v>0.1119206999040725</v>
      </c>
      <c r="BD1266" s="51" t="n">
        <v>0.09320172564724877</v>
      </c>
      <c r="BE1266" s="51" t="n">
        <v>0.2804132925485603</v>
      </c>
      <c r="BF1266" s="43" t="n">
        <v>190769</v>
      </c>
    </row>
    <row r="1267">
      <c r="A1267" s="42" t="inlineStr">
        <is>
          <t>FL</t>
        </is>
      </c>
      <c r="B1267" s="42" t="inlineStr">
        <is>
          <t>12007</t>
        </is>
      </c>
      <c r="C1267" s="42" t="inlineStr">
        <is>
          <t>Bradford</t>
        </is>
      </c>
      <c r="D1267" s="42" t="inlineStr">
        <is>
          <t>Small town &amp; rural</t>
        </is>
      </c>
      <c r="E1267" s="42" t="inlineStr"/>
      <c r="F1267" s="43" t="n">
        <v>2946</v>
      </c>
      <c r="G1267" s="43" t="n">
        <v>10920</v>
      </c>
      <c r="H1267" s="43" t="n">
        <v>13932</v>
      </c>
      <c r="I1267" s="43" t="n">
        <v>3160</v>
      </c>
      <c r="J1267" s="43" t="n">
        <v>10334</v>
      </c>
      <c r="K1267" s="42" t="inlineStr">
        <is>
          <t>US Senate</t>
        </is>
      </c>
      <c r="L1267" s="43" t="n">
        <v>1942</v>
      </c>
      <c r="M1267" s="43" t="n">
        <v>8156</v>
      </c>
      <c r="N1267" s="43" t="n">
        <v>10213</v>
      </c>
      <c r="O1267" s="44">
        <f>IFERROR((F1267-G1267)/(F1267+G1267),"")</f>
        <v/>
      </c>
      <c r="P1267" s="44">
        <f>IFERROR((I1267-J1267)/(I1267+J1267),"")</f>
        <v/>
      </c>
      <c r="Q1267" s="45">
        <f>IFERROR(O1267-P1267,"")</f>
        <v/>
      </c>
      <c r="R1267" s="44">
        <f>IFERROR((L1267-M1267)/(L1267+M1267),"")</f>
        <v/>
      </c>
      <c r="S1267" s="46">
        <f>H1267/SUMIFS(Counties!$H$2:$H$1583,Counties!$A$2:$A$1583,$A1267)</f>
        <v/>
      </c>
      <c r="T1267" s="44">
        <f>O1267+INDEX(Dashboard!$F$6:$F$22,MATCH($A1267,Dashboard!$A$6:$A$22,0))</f>
        <v/>
      </c>
      <c r="U1267" s="43">
        <f>AQ1267*INDEX(Dashboard!$G$6:$G$22,MATCH($A1267,Dashboard!$A$6:$A$22,0))</f>
        <v/>
      </c>
      <c r="V1267" s="47" t="n"/>
      <c r="W1267" s="47" t="n"/>
      <c r="X1267" s="47" t="n"/>
      <c r="Y1267" s="48" t="n"/>
      <c r="Z1267" s="49" t="n"/>
      <c r="AA1267" s="49" t="n"/>
      <c r="AB1267" s="49" t="n"/>
      <c r="AC1267" s="50" t="n"/>
      <c r="AD1267" s="43">
        <f>IF(Z1267&lt;&gt;"",Z1267,N(V1267))</f>
        <v/>
      </c>
      <c r="AE1267" s="43">
        <f>IF(AA1267&lt;&gt;"",AA1267,N(W1267))</f>
        <v/>
      </c>
      <c r="AF1267" s="43">
        <f>AD1267+AE1267</f>
        <v/>
      </c>
      <c r="AG1267" s="42">
        <f>IF(UPPER(AC1267)="Y",1,IF(AF1267=0,0,IF(AND(Z1267="",Y1267&lt;&gt;""),IF(Y1267&gt;=0.999,1,0),IF(AF1267&gt;=U1267,1,0))))</f>
        <v/>
      </c>
      <c r="AH1267" s="44">
        <f>IF(AF1267&gt;0,(AD1267-AE1267)/AF1267,"")</f>
        <v/>
      </c>
      <c r="AI1267" s="45">
        <f>IF(AG1267=1,AH1267-O1267,"")</f>
        <v/>
      </c>
      <c r="AJ1267" s="44">
        <f>IF(AG1267=1,AH1267,MAX(-1,MIN(1,O1267+INDEX(Types!$H:$H,MATCH($A1267&amp;"|"&amp;$D1267,Types!$A:$A,0)))))</f>
        <v/>
      </c>
      <c r="AK1267" s="43">
        <f>IF(AG1267=1,AF1267,MAX(AQ1267*AS1267,AF1267))</f>
        <v/>
      </c>
      <c r="AL1267" s="43">
        <f>IF(AG1267=1,AD1267,AK1267*(1+AJ1267)/2)</f>
        <v/>
      </c>
      <c r="AM1267" s="43">
        <f>IF(AG1267=1,AE1267,AK1267*(1-AJ1267)/2)</f>
        <v/>
      </c>
      <c r="AN1267" s="45">
        <f>IF(AH1267="","",AH1267-T1267)</f>
        <v/>
      </c>
      <c r="AO1267" s="51">
        <f>IF(AG1267=1,1,IF(U1267&gt;0,MIN(AF1267/U1267,0.99),0))</f>
        <v/>
      </c>
      <c r="AP1267" s="43">
        <f>IF(AG1267=1,AI1267*AF1267,0)</f>
        <v/>
      </c>
      <c r="AQ1267" s="43">
        <f>N1267*(F1267+G1267)/H1267</f>
        <v/>
      </c>
      <c r="AR1267" s="43">
        <f>O1267*AQ1267</f>
        <v/>
      </c>
      <c r="AS1267" s="52">
        <f>IF(AG1267=1,IF(AQ1267&gt;0,AF1267/AQ1267,1),IFERROR(INDEX(Types!$K:$K,MATCH($A1267&amp;"|"&amp;$D1267,Types!$A:$A,0)),INDEX(Dashboard!$X$6:$X$22,MATCH($A1267,Dashboard!$A$6:$A$22,0))))</f>
        <v/>
      </c>
      <c r="AT1267" s="43">
        <f>AQ1267*INDEX(Dashboard!$Y$6:$Y$22,MATCH($A1267,Dashboard!$A$6:$A$22,0))</f>
        <v/>
      </c>
      <c r="AU1267" s="53">
        <f>IF(AND(AG1267=1,AT1267&gt;0,AF1267&gt;0),100*AF1267/AT1267,"")</f>
        <v/>
      </c>
      <c r="AV1267" s="44">
        <f>IF(AU1267="","",T1267/(AU1267/100))</f>
        <v/>
      </c>
      <c r="AW1267" s="53">
        <f>IF(AU1267="","",IF(AND(ABS(AH1267)&gt;=0.1,ABS(T1267)&gt;=0.05,SIGN(AH1267)=SIGN(T1267)),100*T1267/AH1267,""))</f>
        <v/>
      </c>
      <c r="AX1267" s="45">
        <f>IF(AU1267="","",T1267-AV1267)</f>
        <v/>
      </c>
      <c r="AY1267" s="45">
        <f>IF(AU1267="","",AH1267-AV1267)</f>
        <v/>
      </c>
      <c r="AZ1267" s="54">
        <f>(AL1267-AM1267)-T1267*AT1267</f>
        <v/>
      </c>
      <c r="BA1267" s="43">
        <f>IF(AU1267="",0,(AH1267-T1267)*AF1267)</f>
        <v/>
      </c>
      <c r="BB1267" s="43">
        <f>IF(AU1267="",0,T1267*(AF1267-AT1267))</f>
        <v/>
      </c>
      <c r="BC1267" s="51" t="n">
        <v>0.1740254146026276</v>
      </c>
      <c r="BD1267" s="51" t="n">
        <v>0.05161892454591141</v>
      </c>
      <c r="BE1267" s="51" t="n">
        <v>0.1499431846252655</v>
      </c>
      <c r="BF1267" s="43" t="n">
        <v>27858</v>
      </c>
    </row>
    <row r="1268">
      <c r="A1268" s="42" t="inlineStr">
        <is>
          <t>FL</t>
        </is>
      </c>
      <c r="B1268" s="42" t="inlineStr">
        <is>
          <t>12009</t>
        </is>
      </c>
      <c r="C1268" s="42" t="inlineStr">
        <is>
          <t>Brevard</t>
        </is>
      </c>
      <c r="D1268" s="42" t="inlineStr">
        <is>
          <t>Mid-size/working metro</t>
        </is>
      </c>
      <c r="E1268" s="42" t="inlineStr"/>
      <c r="F1268" s="43" t="n">
        <v>141233</v>
      </c>
      <c r="G1268" s="43" t="n">
        <v>216533</v>
      </c>
      <c r="H1268" s="43" t="n">
        <v>361449</v>
      </c>
      <c r="I1268" s="43" t="n">
        <v>148549</v>
      </c>
      <c r="J1268" s="43" t="n">
        <v>207883</v>
      </c>
      <c r="K1268" s="42" t="inlineStr">
        <is>
          <t>US Senate</t>
        </is>
      </c>
      <c r="L1268" s="43" t="n">
        <v>98978</v>
      </c>
      <c r="M1268" s="43" t="n">
        <v>165233</v>
      </c>
      <c r="N1268" s="43" t="n">
        <v>267279</v>
      </c>
      <c r="O1268" s="44">
        <f>IFERROR((F1268-G1268)/(F1268+G1268),"")</f>
        <v/>
      </c>
      <c r="P1268" s="44">
        <f>IFERROR((I1268-J1268)/(I1268+J1268),"")</f>
        <v/>
      </c>
      <c r="Q1268" s="45">
        <f>IFERROR(O1268-P1268,"")</f>
        <v/>
      </c>
      <c r="R1268" s="44">
        <f>IFERROR((L1268-M1268)/(L1268+M1268),"")</f>
        <v/>
      </c>
      <c r="S1268" s="46">
        <f>H1268/SUMIFS(Counties!$H$2:$H$1583,Counties!$A$2:$A$1583,$A1268)</f>
        <v/>
      </c>
      <c r="T1268" s="44">
        <f>O1268+INDEX(Dashboard!$F$6:$F$22,MATCH($A1268,Dashboard!$A$6:$A$22,0))</f>
        <v/>
      </c>
      <c r="U1268" s="43">
        <f>AQ1268*INDEX(Dashboard!$G$6:$G$22,MATCH($A1268,Dashboard!$A$6:$A$22,0))</f>
        <v/>
      </c>
      <c r="V1268" s="47" t="n"/>
      <c r="W1268" s="47" t="n"/>
      <c r="X1268" s="47" t="n"/>
      <c r="Y1268" s="48" t="n"/>
      <c r="Z1268" s="49" t="n"/>
      <c r="AA1268" s="49" t="n"/>
      <c r="AB1268" s="49" t="n"/>
      <c r="AC1268" s="50" t="n"/>
      <c r="AD1268" s="43">
        <f>IF(Z1268&lt;&gt;"",Z1268,N(V1268))</f>
        <v/>
      </c>
      <c r="AE1268" s="43">
        <f>IF(AA1268&lt;&gt;"",AA1268,N(W1268))</f>
        <v/>
      </c>
      <c r="AF1268" s="43">
        <f>AD1268+AE1268</f>
        <v/>
      </c>
      <c r="AG1268" s="42">
        <f>IF(UPPER(AC1268)="Y",1,IF(AF1268=0,0,IF(AND(Z1268="",Y1268&lt;&gt;""),IF(Y1268&gt;=0.999,1,0),IF(AF1268&gt;=U1268,1,0))))</f>
        <v/>
      </c>
      <c r="AH1268" s="44">
        <f>IF(AF1268&gt;0,(AD1268-AE1268)/AF1268,"")</f>
        <v/>
      </c>
      <c r="AI1268" s="45">
        <f>IF(AG1268=1,AH1268-O1268,"")</f>
        <v/>
      </c>
      <c r="AJ1268" s="44">
        <f>IF(AG1268=1,AH1268,MAX(-1,MIN(1,O1268+INDEX(Types!$H:$H,MATCH($A1268&amp;"|"&amp;$D1268,Types!$A:$A,0)))))</f>
        <v/>
      </c>
      <c r="AK1268" s="43">
        <f>IF(AG1268=1,AF1268,MAX(AQ1268*AS1268,AF1268))</f>
        <v/>
      </c>
      <c r="AL1268" s="43">
        <f>IF(AG1268=1,AD1268,AK1268*(1+AJ1268)/2)</f>
        <v/>
      </c>
      <c r="AM1268" s="43">
        <f>IF(AG1268=1,AE1268,AK1268*(1-AJ1268)/2)</f>
        <v/>
      </c>
      <c r="AN1268" s="45">
        <f>IF(AH1268="","",AH1268-T1268)</f>
        <v/>
      </c>
      <c r="AO1268" s="51">
        <f>IF(AG1268=1,1,IF(U1268&gt;0,MIN(AF1268/U1268,0.99),0))</f>
        <v/>
      </c>
      <c r="AP1268" s="43">
        <f>IF(AG1268=1,AI1268*AF1268,0)</f>
        <v/>
      </c>
      <c r="AQ1268" s="43">
        <f>N1268*(F1268+G1268)/H1268</f>
        <v/>
      </c>
      <c r="AR1268" s="43">
        <f>O1268*AQ1268</f>
        <v/>
      </c>
      <c r="AS1268" s="52">
        <f>IF(AG1268=1,IF(AQ1268&gt;0,AF1268/AQ1268,1),IFERROR(INDEX(Types!$K:$K,MATCH($A1268&amp;"|"&amp;$D1268,Types!$A:$A,0)),INDEX(Dashboard!$X$6:$X$22,MATCH($A1268,Dashboard!$A$6:$A$22,0))))</f>
        <v/>
      </c>
      <c r="AT1268" s="43">
        <f>AQ1268*INDEX(Dashboard!$Y$6:$Y$22,MATCH($A1268,Dashboard!$A$6:$A$22,0))</f>
        <v/>
      </c>
      <c r="AU1268" s="53">
        <f>IF(AND(AG1268=1,AT1268&gt;0,AF1268&gt;0),100*AF1268/AT1268,"")</f>
        <v/>
      </c>
      <c r="AV1268" s="44">
        <f>IF(AU1268="","",T1268/(AU1268/100))</f>
        <v/>
      </c>
      <c r="AW1268" s="53">
        <f>IF(AU1268="","",IF(AND(ABS(AH1268)&gt;=0.1,ABS(T1268)&gt;=0.05,SIGN(AH1268)=SIGN(T1268)),100*T1268/AH1268,""))</f>
        <v/>
      </c>
      <c r="AX1268" s="45">
        <f>IF(AU1268="","",T1268-AV1268)</f>
        <v/>
      </c>
      <c r="AY1268" s="45">
        <f>IF(AU1268="","",AH1268-AV1268)</f>
        <v/>
      </c>
      <c r="AZ1268" s="54">
        <f>(AL1268-AM1268)-T1268*AT1268</f>
        <v/>
      </c>
      <c r="BA1268" s="43">
        <f>IF(AU1268="",0,(AH1268-T1268)*AF1268)</f>
        <v/>
      </c>
      <c r="BB1268" s="43">
        <f>IF(AU1268="",0,T1268*(AF1268-AT1268))</f>
        <v/>
      </c>
      <c r="BC1268" s="51" t="n">
        <v>0.1024474400562751</v>
      </c>
      <c r="BD1268" s="51" t="n">
        <v>0.1251842063172867</v>
      </c>
      <c r="BE1268" s="51" t="n">
        <v>0.3353988571773184</v>
      </c>
      <c r="BF1268" s="43" t="n">
        <v>643979</v>
      </c>
    </row>
    <row r="1269">
      <c r="A1269" s="42" t="inlineStr">
        <is>
          <t>FL</t>
        </is>
      </c>
      <c r="B1269" s="42" t="inlineStr">
        <is>
          <t>12011</t>
        </is>
      </c>
      <c r="C1269" s="42" t="inlineStr">
        <is>
          <t>Broward</t>
        </is>
      </c>
      <c r="D1269" s="42" t="inlineStr">
        <is>
          <t>Big metro core</t>
        </is>
      </c>
      <c r="E1269" s="42" t="inlineStr">
        <is>
          <t>★</t>
        </is>
      </c>
      <c r="F1269" s="43" t="n">
        <v>507328</v>
      </c>
      <c r="G1269" s="43" t="n">
        <v>358952</v>
      </c>
      <c r="H1269" s="43" t="n">
        <v>874526</v>
      </c>
      <c r="I1269" s="43" t="n">
        <v>618752</v>
      </c>
      <c r="J1269" s="43" t="n">
        <v>333409</v>
      </c>
      <c r="K1269" s="42" t="inlineStr">
        <is>
          <t>US Senate</t>
        </is>
      </c>
      <c r="L1269" s="43" t="n">
        <v>353575</v>
      </c>
      <c r="M1269" s="43" t="n">
        <v>238962</v>
      </c>
      <c r="N1269" s="43" t="n">
        <v>598167</v>
      </c>
      <c r="O1269" s="44">
        <f>IFERROR((F1269-G1269)/(F1269+G1269),"")</f>
        <v/>
      </c>
      <c r="P1269" s="44">
        <f>IFERROR((I1269-J1269)/(I1269+J1269),"")</f>
        <v/>
      </c>
      <c r="Q1269" s="45">
        <f>IFERROR(O1269-P1269,"")</f>
        <v/>
      </c>
      <c r="R1269" s="44">
        <f>IFERROR((L1269-M1269)/(L1269+M1269),"")</f>
        <v/>
      </c>
      <c r="S1269" s="46">
        <f>H1269/SUMIFS(Counties!$H$2:$H$1583,Counties!$A$2:$A$1583,$A1269)</f>
        <v/>
      </c>
      <c r="T1269" s="44">
        <f>O1269+INDEX(Dashboard!$F$6:$F$22,MATCH($A1269,Dashboard!$A$6:$A$22,0))</f>
        <v/>
      </c>
      <c r="U1269" s="43">
        <f>AQ1269*INDEX(Dashboard!$G$6:$G$22,MATCH($A1269,Dashboard!$A$6:$A$22,0))</f>
        <v/>
      </c>
      <c r="V1269" s="47" t="n"/>
      <c r="W1269" s="47" t="n"/>
      <c r="X1269" s="47" t="n"/>
      <c r="Y1269" s="48" t="n"/>
      <c r="Z1269" s="49" t="n"/>
      <c r="AA1269" s="49" t="n"/>
      <c r="AB1269" s="49" t="n"/>
      <c r="AC1269" s="50" t="n"/>
      <c r="AD1269" s="43">
        <f>IF(Z1269&lt;&gt;"",Z1269,N(V1269))</f>
        <v/>
      </c>
      <c r="AE1269" s="43">
        <f>IF(AA1269&lt;&gt;"",AA1269,N(W1269))</f>
        <v/>
      </c>
      <c r="AF1269" s="43">
        <f>AD1269+AE1269</f>
        <v/>
      </c>
      <c r="AG1269" s="42">
        <f>IF(UPPER(AC1269)="Y",1,IF(AF1269=0,0,IF(AND(Z1269="",Y1269&lt;&gt;""),IF(Y1269&gt;=0.999,1,0),IF(AF1269&gt;=U1269,1,0))))</f>
        <v/>
      </c>
      <c r="AH1269" s="44">
        <f>IF(AF1269&gt;0,(AD1269-AE1269)/AF1269,"")</f>
        <v/>
      </c>
      <c r="AI1269" s="45">
        <f>IF(AG1269=1,AH1269-O1269,"")</f>
        <v/>
      </c>
      <c r="AJ1269" s="44">
        <f>IF(AG1269=1,AH1269,MAX(-1,MIN(1,O1269+INDEX(Types!$H:$H,MATCH($A1269&amp;"|"&amp;$D1269,Types!$A:$A,0)))))</f>
        <v/>
      </c>
      <c r="AK1269" s="43">
        <f>IF(AG1269=1,AF1269,MAX(AQ1269*AS1269,AF1269))</f>
        <v/>
      </c>
      <c r="AL1269" s="43">
        <f>IF(AG1269=1,AD1269,AK1269*(1+AJ1269)/2)</f>
        <v/>
      </c>
      <c r="AM1269" s="43">
        <f>IF(AG1269=1,AE1269,AK1269*(1-AJ1269)/2)</f>
        <v/>
      </c>
      <c r="AN1269" s="45">
        <f>IF(AH1269="","",AH1269-T1269)</f>
        <v/>
      </c>
      <c r="AO1269" s="51">
        <f>IF(AG1269=1,1,IF(U1269&gt;0,MIN(AF1269/U1269,0.99),0))</f>
        <v/>
      </c>
      <c r="AP1269" s="43">
        <f>IF(AG1269=1,AI1269*AF1269,0)</f>
        <v/>
      </c>
      <c r="AQ1269" s="43">
        <f>N1269*(F1269+G1269)/H1269</f>
        <v/>
      </c>
      <c r="AR1269" s="43">
        <f>O1269*AQ1269</f>
        <v/>
      </c>
      <c r="AS1269" s="52">
        <f>IF(AG1269=1,IF(AQ1269&gt;0,AF1269/AQ1269,1),IFERROR(INDEX(Types!$K:$K,MATCH($A1269&amp;"|"&amp;$D1269,Types!$A:$A,0)),INDEX(Dashboard!$X$6:$X$22,MATCH($A1269,Dashboard!$A$6:$A$22,0))))</f>
        <v/>
      </c>
      <c r="AT1269" s="43">
        <f>AQ1269*INDEX(Dashboard!$Y$6:$Y$22,MATCH($A1269,Dashboard!$A$6:$A$22,0))</f>
        <v/>
      </c>
      <c r="AU1269" s="53">
        <f>IF(AND(AG1269=1,AT1269&gt;0,AF1269&gt;0),100*AF1269/AT1269,"")</f>
        <v/>
      </c>
      <c r="AV1269" s="44">
        <f>IF(AU1269="","",T1269/(AU1269/100))</f>
        <v/>
      </c>
      <c r="AW1269" s="53">
        <f>IF(AU1269="","",IF(AND(ABS(AH1269)&gt;=0.1,ABS(T1269)&gt;=0.05,SIGN(AH1269)=SIGN(T1269)),100*T1269/AH1269,""))</f>
        <v/>
      </c>
      <c r="AX1269" s="45">
        <f>IF(AU1269="","",T1269-AV1269)</f>
        <v/>
      </c>
      <c r="AY1269" s="45">
        <f>IF(AU1269="","",AH1269-AV1269)</f>
        <v/>
      </c>
      <c r="AZ1269" s="54">
        <f>(AL1269-AM1269)-T1269*AT1269</f>
        <v/>
      </c>
      <c r="BA1269" s="43">
        <f>IF(AU1269="",0,(AH1269-T1269)*AF1269)</f>
        <v/>
      </c>
      <c r="BB1269" s="43">
        <f>IF(AU1269="",0,T1269*(AF1269-AT1269))</f>
        <v/>
      </c>
      <c r="BC1269" s="51" t="n">
        <v>0.2857147224680782</v>
      </c>
      <c r="BD1269" s="51" t="n">
        <v>0.3304640792935246</v>
      </c>
      <c r="BE1269" s="51" t="n">
        <v>0.3579891532577914</v>
      </c>
      <c r="BF1269" s="43" t="n">
        <v>1962531</v>
      </c>
    </row>
    <row r="1270">
      <c r="A1270" s="42" t="inlineStr">
        <is>
          <t>FL</t>
        </is>
      </c>
      <c r="B1270" s="42" t="inlineStr">
        <is>
          <t>12013</t>
        </is>
      </c>
      <c r="C1270" s="42" t="inlineStr">
        <is>
          <t>Calhoun</t>
        </is>
      </c>
      <c r="D1270" s="42" t="inlineStr">
        <is>
          <t>Small town &amp; rural</t>
        </is>
      </c>
      <c r="E1270" s="42" t="inlineStr"/>
      <c r="F1270" s="43" t="n">
        <v>1021</v>
      </c>
      <c r="G1270" s="43" t="n">
        <v>5367</v>
      </c>
      <c r="H1270" s="43" t="n">
        <v>6428</v>
      </c>
      <c r="I1270" s="43" t="n">
        <v>1209</v>
      </c>
      <c r="J1270" s="43" t="n">
        <v>5274</v>
      </c>
      <c r="K1270" s="42" t="inlineStr">
        <is>
          <t>US Senate</t>
        </is>
      </c>
      <c r="L1270" s="43" t="n">
        <v>700</v>
      </c>
      <c r="M1270" s="43" t="n">
        <v>4067</v>
      </c>
      <c r="N1270" s="43" t="n">
        <v>4835</v>
      </c>
      <c r="O1270" s="44">
        <f>IFERROR((F1270-G1270)/(F1270+G1270),"")</f>
        <v/>
      </c>
      <c r="P1270" s="44">
        <f>IFERROR((I1270-J1270)/(I1270+J1270),"")</f>
        <v/>
      </c>
      <c r="Q1270" s="45">
        <f>IFERROR(O1270-P1270,"")</f>
        <v/>
      </c>
      <c r="R1270" s="44">
        <f>IFERROR((L1270-M1270)/(L1270+M1270),"")</f>
        <v/>
      </c>
      <c r="S1270" s="46">
        <f>H1270/SUMIFS(Counties!$H$2:$H$1583,Counties!$A$2:$A$1583,$A1270)</f>
        <v/>
      </c>
      <c r="T1270" s="44">
        <f>O1270+INDEX(Dashboard!$F$6:$F$22,MATCH($A1270,Dashboard!$A$6:$A$22,0))</f>
        <v/>
      </c>
      <c r="U1270" s="43">
        <f>AQ1270*INDEX(Dashboard!$G$6:$G$22,MATCH($A1270,Dashboard!$A$6:$A$22,0))</f>
        <v/>
      </c>
      <c r="V1270" s="47" t="n"/>
      <c r="W1270" s="47" t="n"/>
      <c r="X1270" s="47" t="n"/>
      <c r="Y1270" s="48" t="n"/>
      <c r="Z1270" s="49" t="n"/>
      <c r="AA1270" s="49" t="n"/>
      <c r="AB1270" s="49" t="n"/>
      <c r="AC1270" s="50" t="n"/>
      <c r="AD1270" s="43">
        <f>IF(Z1270&lt;&gt;"",Z1270,N(V1270))</f>
        <v/>
      </c>
      <c r="AE1270" s="43">
        <f>IF(AA1270&lt;&gt;"",AA1270,N(W1270))</f>
        <v/>
      </c>
      <c r="AF1270" s="43">
        <f>AD1270+AE1270</f>
        <v/>
      </c>
      <c r="AG1270" s="42">
        <f>IF(UPPER(AC1270)="Y",1,IF(AF1270=0,0,IF(AND(Z1270="",Y1270&lt;&gt;""),IF(Y1270&gt;=0.999,1,0),IF(AF1270&gt;=U1270,1,0))))</f>
        <v/>
      </c>
      <c r="AH1270" s="44">
        <f>IF(AF1270&gt;0,(AD1270-AE1270)/AF1270,"")</f>
        <v/>
      </c>
      <c r="AI1270" s="45">
        <f>IF(AG1270=1,AH1270-O1270,"")</f>
        <v/>
      </c>
      <c r="AJ1270" s="44">
        <f>IF(AG1270=1,AH1270,MAX(-1,MIN(1,O1270+INDEX(Types!$H:$H,MATCH($A1270&amp;"|"&amp;$D1270,Types!$A:$A,0)))))</f>
        <v/>
      </c>
      <c r="AK1270" s="43">
        <f>IF(AG1270=1,AF1270,MAX(AQ1270*AS1270,AF1270))</f>
        <v/>
      </c>
      <c r="AL1270" s="43">
        <f>IF(AG1270=1,AD1270,AK1270*(1+AJ1270)/2)</f>
        <v/>
      </c>
      <c r="AM1270" s="43">
        <f>IF(AG1270=1,AE1270,AK1270*(1-AJ1270)/2)</f>
        <v/>
      </c>
      <c r="AN1270" s="45">
        <f>IF(AH1270="","",AH1270-T1270)</f>
        <v/>
      </c>
      <c r="AO1270" s="51">
        <f>IF(AG1270=1,1,IF(U1270&gt;0,MIN(AF1270/U1270,0.99),0))</f>
        <v/>
      </c>
      <c r="AP1270" s="43">
        <f>IF(AG1270=1,AI1270*AF1270,0)</f>
        <v/>
      </c>
      <c r="AQ1270" s="43">
        <f>N1270*(F1270+G1270)/H1270</f>
        <v/>
      </c>
      <c r="AR1270" s="43">
        <f>O1270*AQ1270</f>
        <v/>
      </c>
      <c r="AS1270" s="52">
        <f>IF(AG1270=1,IF(AQ1270&gt;0,AF1270/AQ1270,1),IFERROR(INDEX(Types!$K:$K,MATCH($A1270&amp;"|"&amp;$D1270,Types!$A:$A,0)),INDEX(Dashboard!$X$6:$X$22,MATCH($A1270,Dashboard!$A$6:$A$22,0))))</f>
        <v/>
      </c>
      <c r="AT1270" s="43">
        <f>AQ1270*INDEX(Dashboard!$Y$6:$Y$22,MATCH($A1270,Dashboard!$A$6:$A$22,0))</f>
        <v/>
      </c>
      <c r="AU1270" s="53">
        <f>IF(AND(AG1270=1,AT1270&gt;0,AF1270&gt;0),100*AF1270/AT1270,"")</f>
        <v/>
      </c>
      <c r="AV1270" s="44">
        <f>IF(AU1270="","",T1270/(AU1270/100))</f>
        <v/>
      </c>
      <c r="AW1270" s="53">
        <f>IF(AU1270="","",IF(AND(ABS(AH1270)&gt;=0.1,ABS(T1270)&gt;=0.05,SIGN(AH1270)=SIGN(T1270)),100*T1270/AH1270,""))</f>
        <v/>
      </c>
      <c r="AX1270" s="45">
        <f>IF(AU1270="","",T1270-AV1270)</f>
        <v/>
      </c>
      <c r="AY1270" s="45">
        <f>IF(AU1270="","",AH1270-AV1270)</f>
        <v/>
      </c>
      <c r="AZ1270" s="54">
        <f>(AL1270-AM1270)-T1270*AT1270</f>
        <v/>
      </c>
      <c r="BA1270" s="43">
        <f>IF(AU1270="",0,(AH1270-T1270)*AF1270)</f>
        <v/>
      </c>
      <c r="BB1270" s="43">
        <f>IF(AU1270="",0,T1270*(AF1270-AT1270))</f>
        <v/>
      </c>
      <c r="BC1270" s="51" t="n">
        <v>0.1246473645137342</v>
      </c>
      <c r="BD1270" s="51" t="n">
        <v>0.05515961395694135</v>
      </c>
      <c r="BE1270" s="51" t="n">
        <v>0.1310074401769556</v>
      </c>
      <c r="BF1270" s="43" t="n">
        <v>13470</v>
      </c>
    </row>
    <row r="1271">
      <c r="A1271" s="42" t="inlineStr">
        <is>
          <t>FL</t>
        </is>
      </c>
      <c r="B1271" s="42" t="inlineStr">
        <is>
          <t>12015</t>
        </is>
      </c>
      <c r="C1271" s="42" t="inlineStr">
        <is>
          <t>Charlotte</t>
        </is>
      </c>
      <c r="D1271" s="42" t="inlineStr">
        <is>
          <t>Mid-size/working metro</t>
        </is>
      </c>
      <c r="E1271" s="42" t="inlineStr"/>
      <c r="F1271" s="43" t="n">
        <v>40450</v>
      </c>
      <c r="G1271" s="43" t="n">
        <v>82480</v>
      </c>
      <c r="H1271" s="43" t="n">
        <v>123674</v>
      </c>
      <c r="I1271" s="43" t="n">
        <v>42273</v>
      </c>
      <c r="J1271" s="43" t="n">
        <v>73243</v>
      </c>
      <c r="K1271" s="42" t="inlineStr">
        <is>
          <t>US Senate</t>
        </is>
      </c>
      <c r="L1271" s="43" t="n">
        <v>27757</v>
      </c>
      <c r="M1271" s="43" t="n">
        <v>63845</v>
      </c>
      <c r="N1271" s="43" t="n">
        <v>92482</v>
      </c>
      <c r="O1271" s="44">
        <f>IFERROR((F1271-G1271)/(F1271+G1271),"")</f>
        <v/>
      </c>
      <c r="P1271" s="44">
        <f>IFERROR((I1271-J1271)/(I1271+J1271),"")</f>
        <v/>
      </c>
      <c r="Q1271" s="45">
        <f>IFERROR(O1271-P1271,"")</f>
        <v/>
      </c>
      <c r="R1271" s="44">
        <f>IFERROR((L1271-M1271)/(L1271+M1271),"")</f>
        <v/>
      </c>
      <c r="S1271" s="46">
        <f>H1271/SUMIFS(Counties!$H$2:$H$1583,Counties!$A$2:$A$1583,$A1271)</f>
        <v/>
      </c>
      <c r="T1271" s="44">
        <f>O1271+INDEX(Dashboard!$F$6:$F$22,MATCH($A1271,Dashboard!$A$6:$A$22,0))</f>
        <v/>
      </c>
      <c r="U1271" s="43">
        <f>AQ1271*INDEX(Dashboard!$G$6:$G$22,MATCH($A1271,Dashboard!$A$6:$A$22,0))</f>
        <v/>
      </c>
      <c r="V1271" s="47" t="n"/>
      <c r="W1271" s="47" t="n"/>
      <c r="X1271" s="47" t="n"/>
      <c r="Y1271" s="48" t="n"/>
      <c r="Z1271" s="49" t="n"/>
      <c r="AA1271" s="49" t="n"/>
      <c r="AB1271" s="49" t="n"/>
      <c r="AC1271" s="50" t="n"/>
      <c r="AD1271" s="43">
        <f>IF(Z1271&lt;&gt;"",Z1271,N(V1271))</f>
        <v/>
      </c>
      <c r="AE1271" s="43">
        <f>IF(AA1271&lt;&gt;"",AA1271,N(W1271))</f>
        <v/>
      </c>
      <c r="AF1271" s="43">
        <f>AD1271+AE1271</f>
        <v/>
      </c>
      <c r="AG1271" s="42">
        <f>IF(UPPER(AC1271)="Y",1,IF(AF1271=0,0,IF(AND(Z1271="",Y1271&lt;&gt;""),IF(Y1271&gt;=0.999,1,0),IF(AF1271&gt;=U1271,1,0))))</f>
        <v/>
      </c>
      <c r="AH1271" s="44">
        <f>IF(AF1271&gt;0,(AD1271-AE1271)/AF1271,"")</f>
        <v/>
      </c>
      <c r="AI1271" s="45">
        <f>IF(AG1271=1,AH1271-O1271,"")</f>
        <v/>
      </c>
      <c r="AJ1271" s="44">
        <f>IF(AG1271=1,AH1271,MAX(-1,MIN(1,O1271+INDEX(Types!$H:$H,MATCH($A1271&amp;"|"&amp;$D1271,Types!$A:$A,0)))))</f>
        <v/>
      </c>
      <c r="AK1271" s="43">
        <f>IF(AG1271=1,AF1271,MAX(AQ1271*AS1271,AF1271))</f>
        <v/>
      </c>
      <c r="AL1271" s="43">
        <f>IF(AG1271=1,AD1271,AK1271*(1+AJ1271)/2)</f>
        <v/>
      </c>
      <c r="AM1271" s="43">
        <f>IF(AG1271=1,AE1271,AK1271*(1-AJ1271)/2)</f>
        <v/>
      </c>
      <c r="AN1271" s="45">
        <f>IF(AH1271="","",AH1271-T1271)</f>
        <v/>
      </c>
      <c r="AO1271" s="51">
        <f>IF(AG1271=1,1,IF(U1271&gt;0,MIN(AF1271/U1271,0.99),0))</f>
        <v/>
      </c>
      <c r="AP1271" s="43">
        <f>IF(AG1271=1,AI1271*AF1271,0)</f>
        <v/>
      </c>
      <c r="AQ1271" s="43">
        <f>N1271*(F1271+G1271)/H1271</f>
        <v/>
      </c>
      <c r="AR1271" s="43">
        <f>O1271*AQ1271</f>
        <v/>
      </c>
      <c r="AS1271" s="52">
        <f>IF(AG1271=1,IF(AQ1271&gt;0,AF1271/AQ1271,1),IFERROR(INDEX(Types!$K:$K,MATCH($A1271&amp;"|"&amp;$D1271,Types!$A:$A,0)),INDEX(Dashboard!$X$6:$X$22,MATCH($A1271,Dashboard!$A$6:$A$22,0))))</f>
        <v/>
      </c>
      <c r="AT1271" s="43">
        <f>AQ1271*INDEX(Dashboard!$Y$6:$Y$22,MATCH($A1271,Dashboard!$A$6:$A$22,0))</f>
        <v/>
      </c>
      <c r="AU1271" s="53">
        <f>IF(AND(AG1271=1,AT1271&gt;0,AF1271&gt;0),100*AF1271/AT1271,"")</f>
        <v/>
      </c>
      <c r="AV1271" s="44">
        <f>IF(AU1271="","",T1271/(AU1271/100))</f>
        <v/>
      </c>
      <c r="AW1271" s="53">
        <f>IF(AU1271="","",IF(AND(ABS(AH1271)&gt;=0.1,ABS(T1271)&gt;=0.05,SIGN(AH1271)=SIGN(T1271)),100*T1271/AH1271,""))</f>
        <v/>
      </c>
      <c r="AX1271" s="45">
        <f>IF(AU1271="","",T1271-AV1271)</f>
        <v/>
      </c>
      <c r="AY1271" s="45">
        <f>IF(AU1271="","",AH1271-AV1271)</f>
        <v/>
      </c>
      <c r="AZ1271" s="54">
        <f>(AL1271-AM1271)-T1271*AT1271</f>
        <v/>
      </c>
      <c r="BA1271" s="43">
        <f>IF(AU1271="",0,(AH1271-T1271)*AF1271)</f>
        <v/>
      </c>
      <c r="BB1271" s="43">
        <f>IF(AU1271="",0,T1271*(AF1271-AT1271))</f>
        <v/>
      </c>
      <c r="BC1271" s="51" t="n">
        <v>0.05492543685175662</v>
      </c>
      <c r="BD1271" s="51" t="n">
        <v>0.08310613484432457</v>
      </c>
      <c r="BE1271" s="51" t="n">
        <v>0.2531037540644399</v>
      </c>
      <c r="BF1271" s="43" t="n">
        <v>206134</v>
      </c>
    </row>
    <row r="1272">
      <c r="A1272" s="42" t="inlineStr">
        <is>
          <t>FL</t>
        </is>
      </c>
      <c r="B1272" s="42" t="inlineStr">
        <is>
          <t>12017</t>
        </is>
      </c>
      <c r="C1272" s="42" t="inlineStr">
        <is>
          <t>Citrus</t>
        </is>
      </c>
      <c r="D1272" s="42" t="inlineStr">
        <is>
          <t>Mid-size/working metro</t>
        </is>
      </c>
      <c r="E1272" s="42" t="inlineStr"/>
      <c r="F1272" s="43" t="n">
        <v>26276</v>
      </c>
      <c r="G1272" s="43" t="n">
        <v>71356</v>
      </c>
      <c r="H1272" s="43" t="n">
        <v>98233</v>
      </c>
      <c r="I1272" s="43" t="n">
        <v>27092</v>
      </c>
      <c r="J1272" s="43" t="n">
        <v>65352</v>
      </c>
      <c r="K1272" s="42" t="inlineStr">
        <is>
          <t>US Senate</t>
        </is>
      </c>
      <c r="L1272" s="43" t="n">
        <v>19634</v>
      </c>
      <c r="M1272" s="43" t="n">
        <v>55087</v>
      </c>
      <c r="N1272" s="43" t="n">
        <v>75696</v>
      </c>
      <c r="O1272" s="44">
        <f>IFERROR((F1272-G1272)/(F1272+G1272),"")</f>
        <v/>
      </c>
      <c r="P1272" s="44">
        <f>IFERROR((I1272-J1272)/(I1272+J1272),"")</f>
        <v/>
      </c>
      <c r="Q1272" s="45">
        <f>IFERROR(O1272-P1272,"")</f>
        <v/>
      </c>
      <c r="R1272" s="44">
        <f>IFERROR((L1272-M1272)/(L1272+M1272),"")</f>
        <v/>
      </c>
      <c r="S1272" s="46">
        <f>H1272/SUMIFS(Counties!$H$2:$H$1583,Counties!$A$2:$A$1583,$A1272)</f>
        <v/>
      </c>
      <c r="T1272" s="44">
        <f>O1272+INDEX(Dashboard!$F$6:$F$22,MATCH($A1272,Dashboard!$A$6:$A$22,0))</f>
        <v/>
      </c>
      <c r="U1272" s="43">
        <f>AQ1272*INDEX(Dashboard!$G$6:$G$22,MATCH($A1272,Dashboard!$A$6:$A$22,0))</f>
        <v/>
      </c>
      <c r="V1272" s="47" t="n"/>
      <c r="W1272" s="47" t="n"/>
      <c r="X1272" s="47" t="n"/>
      <c r="Y1272" s="48" t="n"/>
      <c r="Z1272" s="49" t="n"/>
      <c r="AA1272" s="49" t="n"/>
      <c r="AB1272" s="49" t="n"/>
      <c r="AC1272" s="50" t="n"/>
      <c r="AD1272" s="43">
        <f>IF(Z1272&lt;&gt;"",Z1272,N(V1272))</f>
        <v/>
      </c>
      <c r="AE1272" s="43">
        <f>IF(AA1272&lt;&gt;"",AA1272,N(W1272))</f>
        <v/>
      </c>
      <c r="AF1272" s="43">
        <f>AD1272+AE1272</f>
        <v/>
      </c>
      <c r="AG1272" s="42">
        <f>IF(UPPER(AC1272)="Y",1,IF(AF1272=0,0,IF(AND(Z1272="",Y1272&lt;&gt;""),IF(Y1272&gt;=0.999,1,0),IF(AF1272&gt;=U1272,1,0))))</f>
        <v/>
      </c>
      <c r="AH1272" s="44">
        <f>IF(AF1272&gt;0,(AD1272-AE1272)/AF1272,"")</f>
        <v/>
      </c>
      <c r="AI1272" s="45">
        <f>IF(AG1272=1,AH1272-O1272,"")</f>
        <v/>
      </c>
      <c r="AJ1272" s="44">
        <f>IF(AG1272=1,AH1272,MAX(-1,MIN(1,O1272+INDEX(Types!$H:$H,MATCH($A1272&amp;"|"&amp;$D1272,Types!$A:$A,0)))))</f>
        <v/>
      </c>
      <c r="AK1272" s="43">
        <f>IF(AG1272=1,AF1272,MAX(AQ1272*AS1272,AF1272))</f>
        <v/>
      </c>
      <c r="AL1272" s="43">
        <f>IF(AG1272=1,AD1272,AK1272*(1+AJ1272)/2)</f>
        <v/>
      </c>
      <c r="AM1272" s="43">
        <f>IF(AG1272=1,AE1272,AK1272*(1-AJ1272)/2)</f>
        <v/>
      </c>
      <c r="AN1272" s="45">
        <f>IF(AH1272="","",AH1272-T1272)</f>
        <v/>
      </c>
      <c r="AO1272" s="51">
        <f>IF(AG1272=1,1,IF(U1272&gt;0,MIN(AF1272/U1272,0.99),0))</f>
        <v/>
      </c>
      <c r="AP1272" s="43">
        <f>IF(AG1272=1,AI1272*AF1272,0)</f>
        <v/>
      </c>
      <c r="AQ1272" s="43">
        <f>N1272*(F1272+G1272)/H1272</f>
        <v/>
      </c>
      <c r="AR1272" s="43">
        <f>O1272*AQ1272</f>
        <v/>
      </c>
      <c r="AS1272" s="52">
        <f>IF(AG1272=1,IF(AQ1272&gt;0,AF1272/AQ1272,1),IFERROR(INDEX(Types!$K:$K,MATCH($A1272&amp;"|"&amp;$D1272,Types!$A:$A,0)),INDEX(Dashboard!$X$6:$X$22,MATCH($A1272,Dashboard!$A$6:$A$22,0))))</f>
        <v/>
      </c>
      <c r="AT1272" s="43">
        <f>AQ1272*INDEX(Dashboard!$Y$6:$Y$22,MATCH($A1272,Dashboard!$A$6:$A$22,0))</f>
        <v/>
      </c>
      <c r="AU1272" s="53">
        <f>IF(AND(AG1272=1,AT1272&gt;0,AF1272&gt;0),100*AF1272/AT1272,"")</f>
        <v/>
      </c>
      <c r="AV1272" s="44">
        <f>IF(AU1272="","",T1272/(AU1272/100))</f>
        <v/>
      </c>
      <c r="AW1272" s="53">
        <f>IF(AU1272="","",IF(AND(ABS(AH1272)&gt;=0.1,ABS(T1272)&gt;=0.05,SIGN(AH1272)=SIGN(T1272)),100*T1272/AH1272,""))</f>
        <v/>
      </c>
      <c r="AX1272" s="45">
        <f>IF(AU1272="","",T1272-AV1272)</f>
        <v/>
      </c>
      <c r="AY1272" s="45">
        <f>IF(AU1272="","",AH1272-AV1272)</f>
        <v/>
      </c>
      <c r="AZ1272" s="54">
        <f>(AL1272-AM1272)-T1272*AT1272</f>
        <v/>
      </c>
      <c r="BA1272" s="43">
        <f>IF(AU1272="",0,(AH1272-T1272)*AF1272)</f>
        <v/>
      </c>
      <c r="BB1272" s="43">
        <f>IF(AU1272="",0,T1272*(AF1272-AT1272))</f>
        <v/>
      </c>
      <c r="BC1272" s="51" t="n">
        <v>0.03057061957095551</v>
      </c>
      <c r="BD1272" s="51" t="n">
        <v>0.07249724048567452</v>
      </c>
      <c r="BE1272" s="51" t="n">
        <v>0.2040040387467264</v>
      </c>
      <c r="BF1272" s="43" t="n">
        <v>166696</v>
      </c>
    </row>
    <row r="1273">
      <c r="A1273" s="42" t="inlineStr">
        <is>
          <t>FL</t>
        </is>
      </c>
      <c r="B1273" s="42" t="inlineStr">
        <is>
          <t>12019</t>
        </is>
      </c>
      <c r="C1273" s="42" t="inlineStr">
        <is>
          <t>Clay</t>
        </is>
      </c>
      <c r="D1273" s="42" t="inlineStr">
        <is>
          <t>Mid-size/working metro</t>
        </is>
      </c>
      <c r="E1273" s="42" t="inlineStr"/>
      <c r="F1273" s="43" t="n">
        <v>37926</v>
      </c>
      <c r="G1273" s="43" t="n">
        <v>87711</v>
      </c>
      <c r="H1273" s="43" t="n">
        <v>126806</v>
      </c>
      <c r="I1273" s="43" t="n">
        <v>38317</v>
      </c>
      <c r="J1273" s="43" t="n">
        <v>84480</v>
      </c>
      <c r="K1273" s="42" t="inlineStr">
        <is>
          <t>US Senate</t>
        </is>
      </c>
      <c r="L1273" s="43" t="n">
        <v>23054</v>
      </c>
      <c r="M1273" s="43" t="n">
        <v>65972</v>
      </c>
      <c r="N1273" s="43" t="n">
        <v>90083</v>
      </c>
      <c r="O1273" s="44">
        <f>IFERROR((F1273-G1273)/(F1273+G1273),"")</f>
        <v/>
      </c>
      <c r="P1273" s="44">
        <f>IFERROR((I1273-J1273)/(I1273+J1273),"")</f>
        <v/>
      </c>
      <c r="Q1273" s="45">
        <f>IFERROR(O1273-P1273,"")</f>
        <v/>
      </c>
      <c r="R1273" s="44">
        <f>IFERROR((L1273-M1273)/(L1273+M1273),"")</f>
        <v/>
      </c>
      <c r="S1273" s="46">
        <f>H1273/SUMIFS(Counties!$H$2:$H$1583,Counties!$A$2:$A$1583,$A1273)</f>
        <v/>
      </c>
      <c r="T1273" s="44">
        <f>O1273+INDEX(Dashboard!$F$6:$F$22,MATCH($A1273,Dashboard!$A$6:$A$22,0))</f>
        <v/>
      </c>
      <c r="U1273" s="43">
        <f>AQ1273*INDEX(Dashboard!$G$6:$G$22,MATCH($A1273,Dashboard!$A$6:$A$22,0))</f>
        <v/>
      </c>
      <c r="V1273" s="47" t="n"/>
      <c r="W1273" s="47" t="n"/>
      <c r="X1273" s="47" t="n"/>
      <c r="Y1273" s="48" t="n"/>
      <c r="Z1273" s="49" t="n"/>
      <c r="AA1273" s="49" t="n"/>
      <c r="AB1273" s="49" t="n"/>
      <c r="AC1273" s="50" t="n"/>
      <c r="AD1273" s="43">
        <f>IF(Z1273&lt;&gt;"",Z1273,N(V1273))</f>
        <v/>
      </c>
      <c r="AE1273" s="43">
        <f>IF(AA1273&lt;&gt;"",AA1273,N(W1273))</f>
        <v/>
      </c>
      <c r="AF1273" s="43">
        <f>AD1273+AE1273</f>
        <v/>
      </c>
      <c r="AG1273" s="42">
        <f>IF(UPPER(AC1273)="Y",1,IF(AF1273=0,0,IF(AND(Z1273="",Y1273&lt;&gt;""),IF(Y1273&gt;=0.999,1,0),IF(AF1273&gt;=U1273,1,0))))</f>
        <v/>
      </c>
      <c r="AH1273" s="44">
        <f>IF(AF1273&gt;0,(AD1273-AE1273)/AF1273,"")</f>
        <v/>
      </c>
      <c r="AI1273" s="45">
        <f>IF(AG1273=1,AH1273-O1273,"")</f>
        <v/>
      </c>
      <c r="AJ1273" s="44">
        <f>IF(AG1273=1,AH1273,MAX(-1,MIN(1,O1273+INDEX(Types!$H:$H,MATCH($A1273&amp;"|"&amp;$D1273,Types!$A:$A,0)))))</f>
        <v/>
      </c>
      <c r="AK1273" s="43">
        <f>IF(AG1273=1,AF1273,MAX(AQ1273*AS1273,AF1273))</f>
        <v/>
      </c>
      <c r="AL1273" s="43">
        <f>IF(AG1273=1,AD1273,AK1273*(1+AJ1273)/2)</f>
        <v/>
      </c>
      <c r="AM1273" s="43">
        <f>IF(AG1273=1,AE1273,AK1273*(1-AJ1273)/2)</f>
        <v/>
      </c>
      <c r="AN1273" s="45">
        <f>IF(AH1273="","",AH1273-T1273)</f>
        <v/>
      </c>
      <c r="AO1273" s="51">
        <f>IF(AG1273=1,1,IF(U1273&gt;0,MIN(AF1273/U1273,0.99),0))</f>
        <v/>
      </c>
      <c r="AP1273" s="43">
        <f>IF(AG1273=1,AI1273*AF1273,0)</f>
        <v/>
      </c>
      <c r="AQ1273" s="43">
        <f>N1273*(F1273+G1273)/H1273</f>
        <v/>
      </c>
      <c r="AR1273" s="43">
        <f>O1273*AQ1273</f>
        <v/>
      </c>
      <c r="AS1273" s="52">
        <f>IF(AG1273=1,IF(AQ1273&gt;0,AF1273/AQ1273,1),IFERROR(INDEX(Types!$K:$K,MATCH($A1273&amp;"|"&amp;$D1273,Types!$A:$A,0)),INDEX(Dashboard!$X$6:$X$22,MATCH($A1273,Dashboard!$A$6:$A$22,0))))</f>
        <v/>
      </c>
      <c r="AT1273" s="43">
        <f>AQ1273*INDEX(Dashboard!$Y$6:$Y$22,MATCH($A1273,Dashboard!$A$6:$A$22,0))</f>
        <v/>
      </c>
      <c r="AU1273" s="53">
        <f>IF(AND(AG1273=1,AT1273&gt;0,AF1273&gt;0),100*AF1273/AT1273,"")</f>
        <v/>
      </c>
      <c r="AV1273" s="44">
        <f>IF(AU1273="","",T1273/(AU1273/100))</f>
        <v/>
      </c>
      <c r="AW1273" s="53">
        <f>IF(AU1273="","",IF(AND(ABS(AH1273)&gt;=0.1,ABS(T1273)&gt;=0.05,SIGN(AH1273)=SIGN(T1273)),100*T1273/AH1273,""))</f>
        <v/>
      </c>
      <c r="AX1273" s="45">
        <f>IF(AU1273="","",T1273-AV1273)</f>
        <v/>
      </c>
      <c r="AY1273" s="45">
        <f>IF(AU1273="","",AH1273-AV1273)</f>
        <v/>
      </c>
      <c r="AZ1273" s="54">
        <f>(AL1273-AM1273)-T1273*AT1273</f>
        <v/>
      </c>
      <c r="BA1273" s="43">
        <f>IF(AU1273="",0,(AH1273-T1273)*AF1273)</f>
        <v/>
      </c>
      <c r="BB1273" s="43">
        <f>IF(AU1273="",0,T1273*(AF1273-AT1273))</f>
        <v/>
      </c>
      <c r="BC1273" s="51" t="n">
        <v>0.1311957115630338</v>
      </c>
      <c r="BD1273" s="51" t="n">
        <v>0.1173254058053941</v>
      </c>
      <c r="BE1273" s="51" t="n">
        <v>0.2869454156077045</v>
      </c>
      <c r="BF1273" s="43" t="n">
        <v>232439</v>
      </c>
    </row>
    <row r="1274">
      <c r="A1274" s="42" t="inlineStr">
        <is>
          <t>FL</t>
        </is>
      </c>
      <c r="B1274" s="42" t="inlineStr">
        <is>
          <t>12021</t>
        </is>
      </c>
      <c r="C1274" s="42" t="inlineStr">
        <is>
          <t>Collier</t>
        </is>
      </c>
      <c r="D1274" s="42" t="inlineStr">
        <is>
          <t>Mid-size/working metro</t>
        </is>
      </c>
      <c r="E1274" s="42" t="inlineStr"/>
      <c r="F1274" s="43" t="n">
        <v>71720</v>
      </c>
      <c r="G1274" s="43" t="n">
        <v>143267</v>
      </c>
      <c r="H1274" s="43" t="n">
        <v>216363</v>
      </c>
      <c r="I1274" s="43" t="n">
        <v>77621</v>
      </c>
      <c r="J1274" s="43" t="n">
        <v>128950</v>
      </c>
      <c r="K1274" s="42" t="inlineStr">
        <is>
          <t>US Senate</t>
        </is>
      </c>
      <c r="L1274" s="43" t="n">
        <v>46537</v>
      </c>
      <c r="M1274" s="43" t="n">
        <v>116050</v>
      </c>
      <c r="N1274" s="43" t="n">
        <v>163546</v>
      </c>
      <c r="O1274" s="44">
        <f>IFERROR((F1274-G1274)/(F1274+G1274),"")</f>
        <v/>
      </c>
      <c r="P1274" s="44">
        <f>IFERROR((I1274-J1274)/(I1274+J1274),"")</f>
        <v/>
      </c>
      <c r="Q1274" s="45">
        <f>IFERROR(O1274-P1274,"")</f>
        <v/>
      </c>
      <c r="R1274" s="44">
        <f>IFERROR((L1274-M1274)/(L1274+M1274),"")</f>
        <v/>
      </c>
      <c r="S1274" s="46">
        <f>H1274/SUMIFS(Counties!$H$2:$H$1583,Counties!$A$2:$A$1583,$A1274)</f>
        <v/>
      </c>
      <c r="T1274" s="44">
        <f>O1274+INDEX(Dashboard!$F$6:$F$22,MATCH($A1274,Dashboard!$A$6:$A$22,0))</f>
        <v/>
      </c>
      <c r="U1274" s="43">
        <f>AQ1274*INDEX(Dashboard!$G$6:$G$22,MATCH($A1274,Dashboard!$A$6:$A$22,0))</f>
        <v/>
      </c>
      <c r="V1274" s="47" t="n"/>
      <c r="W1274" s="47" t="n"/>
      <c r="X1274" s="47" t="n"/>
      <c r="Y1274" s="48" t="n"/>
      <c r="Z1274" s="49" t="n"/>
      <c r="AA1274" s="49" t="n"/>
      <c r="AB1274" s="49" t="n"/>
      <c r="AC1274" s="50" t="n"/>
      <c r="AD1274" s="43">
        <f>IF(Z1274&lt;&gt;"",Z1274,N(V1274))</f>
        <v/>
      </c>
      <c r="AE1274" s="43">
        <f>IF(AA1274&lt;&gt;"",AA1274,N(W1274))</f>
        <v/>
      </c>
      <c r="AF1274" s="43">
        <f>AD1274+AE1274</f>
        <v/>
      </c>
      <c r="AG1274" s="42">
        <f>IF(UPPER(AC1274)="Y",1,IF(AF1274=0,0,IF(AND(Z1274="",Y1274&lt;&gt;""),IF(Y1274&gt;=0.999,1,0),IF(AF1274&gt;=U1274,1,0))))</f>
        <v/>
      </c>
      <c r="AH1274" s="44">
        <f>IF(AF1274&gt;0,(AD1274-AE1274)/AF1274,"")</f>
        <v/>
      </c>
      <c r="AI1274" s="45">
        <f>IF(AG1274=1,AH1274-O1274,"")</f>
        <v/>
      </c>
      <c r="AJ1274" s="44">
        <f>IF(AG1274=1,AH1274,MAX(-1,MIN(1,O1274+INDEX(Types!$H:$H,MATCH($A1274&amp;"|"&amp;$D1274,Types!$A:$A,0)))))</f>
        <v/>
      </c>
      <c r="AK1274" s="43">
        <f>IF(AG1274=1,AF1274,MAX(AQ1274*AS1274,AF1274))</f>
        <v/>
      </c>
      <c r="AL1274" s="43">
        <f>IF(AG1274=1,AD1274,AK1274*(1+AJ1274)/2)</f>
        <v/>
      </c>
      <c r="AM1274" s="43">
        <f>IF(AG1274=1,AE1274,AK1274*(1-AJ1274)/2)</f>
        <v/>
      </c>
      <c r="AN1274" s="45">
        <f>IF(AH1274="","",AH1274-T1274)</f>
        <v/>
      </c>
      <c r="AO1274" s="51">
        <f>IF(AG1274=1,1,IF(U1274&gt;0,MIN(AF1274/U1274,0.99),0))</f>
        <v/>
      </c>
      <c r="AP1274" s="43">
        <f>IF(AG1274=1,AI1274*AF1274,0)</f>
        <v/>
      </c>
      <c r="AQ1274" s="43">
        <f>N1274*(F1274+G1274)/H1274</f>
        <v/>
      </c>
      <c r="AR1274" s="43">
        <f>O1274*AQ1274</f>
        <v/>
      </c>
      <c r="AS1274" s="52">
        <f>IF(AG1274=1,IF(AQ1274&gt;0,AF1274/AQ1274,1),IFERROR(INDEX(Types!$K:$K,MATCH($A1274&amp;"|"&amp;$D1274,Types!$A:$A,0)),INDEX(Dashboard!$X$6:$X$22,MATCH($A1274,Dashboard!$A$6:$A$22,0))))</f>
        <v/>
      </c>
      <c r="AT1274" s="43">
        <f>AQ1274*INDEX(Dashboard!$Y$6:$Y$22,MATCH($A1274,Dashboard!$A$6:$A$22,0))</f>
        <v/>
      </c>
      <c r="AU1274" s="53">
        <f>IF(AND(AG1274=1,AT1274&gt;0,AF1274&gt;0),100*AF1274/AT1274,"")</f>
        <v/>
      </c>
      <c r="AV1274" s="44">
        <f>IF(AU1274="","",T1274/(AU1274/100))</f>
        <v/>
      </c>
      <c r="AW1274" s="53">
        <f>IF(AU1274="","",IF(AND(ABS(AH1274)&gt;=0.1,ABS(T1274)&gt;=0.05,SIGN(AH1274)=SIGN(T1274)),100*T1274/AH1274,""))</f>
        <v/>
      </c>
      <c r="AX1274" s="45">
        <f>IF(AU1274="","",T1274-AV1274)</f>
        <v/>
      </c>
      <c r="AY1274" s="45">
        <f>IF(AU1274="","",AH1274-AV1274)</f>
        <v/>
      </c>
      <c r="AZ1274" s="54">
        <f>(AL1274-AM1274)-T1274*AT1274</f>
        <v/>
      </c>
      <c r="BA1274" s="43">
        <f>IF(AU1274="",0,(AH1274-T1274)*AF1274)</f>
        <v/>
      </c>
      <c r="BB1274" s="43">
        <f>IF(AU1274="",0,T1274*(AF1274-AT1274))</f>
        <v/>
      </c>
      <c r="BC1274" s="51" t="n">
        <v>0.06583314783210903</v>
      </c>
      <c r="BD1274" s="51" t="n">
        <v>0.2801439489500631</v>
      </c>
      <c r="BE1274" s="51" t="n">
        <v>0.3954141631831966</v>
      </c>
      <c r="BF1274" s="43" t="n">
        <v>404310</v>
      </c>
    </row>
    <row r="1275">
      <c r="A1275" s="42" t="inlineStr">
        <is>
          <t>FL</t>
        </is>
      </c>
      <c r="B1275" s="42" t="inlineStr">
        <is>
          <t>12023</t>
        </is>
      </c>
      <c r="C1275" s="42" t="inlineStr">
        <is>
          <t>Columbia</t>
        </is>
      </c>
      <c r="D1275" s="42" t="inlineStr">
        <is>
          <t>Small town &amp; rural</t>
        </is>
      </c>
      <c r="E1275" s="42" t="inlineStr"/>
      <c r="F1275" s="43" t="n">
        <v>8250</v>
      </c>
      <c r="G1275" s="43" t="n">
        <v>25108</v>
      </c>
      <c r="H1275" s="43" t="n">
        <v>33592</v>
      </c>
      <c r="I1275" s="43" t="n">
        <v>8914</v>
      </c>
      <c r="J1275" s="43" t="n">
        <v>23836</v>
      </c>
      <c r="K1275" s="42" t="inlineStr">
        <is>
          <t>US Senate</t>
        </is>
      </c>
      <c r="L1275" s="43" t="n">
        <v>5070</v>
      </c>
      <c r="M1275" s="43" t="n">
        <v>18344</v>
      </c>
      <c r="N1275" s="43" t="n">
        <v>23665</v>
      </c>
      <c r="O1275" s="44">
        <f>IFERROR((F1275-G1275)/(F1275+G1275),"")</f>
        <v/>
      </c>
      <c r="P1275" s="44">
        <f>IFERROR((I1275-J1275)/(I1275+J1275),"")</f>
        <v/>
      </c>
      <c r="Q1275" s="45">
        <f>IFERROR(O1275-P1275,"")</f>
        <v/>
      </c>
      <c r="R1275" s="44">
        <f>IFERROR((L1275-M1275)/(L1275+M1275),"")</f>
        <v/>
      </c>
      <c r="S1275" s="46">
        <f>H1275/SUMIFS(Counties!$H$2:$H$1583,Counties!$A$2:$A$1583,$A1275)</f>
        <v/>
      </c>
      <c r="T1275" s="44">
        <f>O1275+INDEX(Dashboard!$F$6:$F$22,MATCH($A1275,Dashboard!$A$6:$A$22,0))</f>
        <v/>
      </c>
      <c r="U1275" s="43">
        <f>AQ1275*INDEX(Dashboard!$G$6:$G$22,MATCH($A1275,Dashboard!$A$6:$A$22,0))</f>
        <v/>
      </c>
      <c r="V1275" s="47" t="n"/>
      <c r="W1275" s="47" t="n"/>
      <c r="X1275" s="47" t="n"/>
      <c r="Y1275" s="48" t="n"/>
      <c r="Z1275" s="49" t="n"/>
      <c r="AA1275" s="49" t="n"/>
      <c r="AB1275" s="49" t="n"/>
      <c r="AC1275" s="50" t="n"/>
      <c r="AD1275" s="43">
        <f>IF(Z1275&lt;&gt;"",Z1275,N(V1275))</f>
        <v/>
      </c>
      <c r="AE1275" s="43">
        <f>IF(AA1275&lt;&gt;"",AA1275,N(W1275))</f>
        <v/>
      </c>
      <c r="AF1275" s="43">
        <f>AD1275+AE1275</f>
        <v/>
      </c>
      <c r="AG1275" s="42">
        <f>IF(UPPER(AC1275)="Y",1,IF(AF1275=0,0,IF(AND(Z1275="",Y1275&lt;&gt;""),IF(Y1275&gt;=0.999,1,0),IF(AF1275&gt;=U1275,1,0))))</f>
        <v/>
      </c>
      <c r="AH1275" s="44">
        <f>IF(AF1275&gt;0,(AD1275-AE1275)/AF1275,"")</f>
        <v/>
      </c>
      <c r="AI1275" s="45">
        <f>IF(AG1275=1,AH1275-O1275,"")</f>
        <v/>
      </c>
      <c r="AJ1275" s="44">
        <f>IF(AG1275=1,AH1275,MAX(-1,MIN(1,O1275+INDEX(Types!$H:$H,MATCH($A1275&amp;"|"&amp;$D1275,Types!$A:$A,0)))))</f>
        <v/>
      </c>
      <c r="AK1275" s="43">
        <f>IF(AG1275=1,AF1275,MAX(AQ1275*AS1275,AF1275))</f>
        <v/>
      </c>
      <c r="AL1275" s="43">
        <f>IF(AG1275=1,AD1275,AK1275*(1+AJ1275)/2)</f>
        <v/>
      </c>
      <c r="AM1275" s="43">
        <f>IF(AG1275=1,AE1275,AK1275*(1-AJ1275)/2)</f>
        <v/>
      </c>
      <c r="AN1275" s="45">
        <f>IF(AH1275="","",AH1275-T1275)</f>
        <v/>
      </c>
      <c r="AO1275" s="51">
        <f>IF(AG1275=1,1,IF(U1275&gt;0,MIN(AF1275/U1275,0.99),0))</f>
        <v/>
      </c>
      <c r="AP1275" s="43">
        <f>IF(AG1275=1,AI1275*AF1275,0)</f>
        <v/>
      </c>
      <c r="AQ1275" s="43">
        <f>N1275*(F1275+G1275)/H1275</f>
        <v/>
      </c>
      <c r="AR1275" s="43">
        <f>O1275*AQ1275</f>
        <v/>
      </c>
      <c r="AS1275" s="52">
        <f>IF(AG1275=1,IF(AQ1275&gt;0,AF1275/AQ1275,1),IFERROR(INDEX(Types!$K:$K,MATCH($A1275&amp;"|"&amp;$D1275,Types!$A:$A,0)),INDEX(Dashboard!$X$6:$X$22,MATCH($A1275,Dashboard!$A$6:$A$22,0))))</f>
        <v/>
      </c>
      <c r="AT1275" s="43">
        <f>AQ1275*INDEX(Dashboard!$Y$6:$Y$22,MATCH($A1275,Dashboard!$A$6:$A$22,0))</f>
        <v/>
      </c>
      <c r="AU1275" s="53">
        <f>IF(AND(AG1275=1,AT1275&gt;0,AF1275&gt;0),100*AF1275/AT1275,"")</f>
        <v/>
      </c>
      <c r="AV1275" s="44">
        <f>IF(AU1275="","",T1275/(AU1275/100))</f>
        <v/>
      </c>
      <c r="AW1275" s="53">
        <f>IF(AU1275="","",IF(AND(ABS(AH1275)&gt;=0.1,ABS(T1275)&gt;=0.05,SIGN(AH1275)=SIGN(T1275)),100*T1275/AH1275,""))</f>
        <v/>
      </c>
      <c r="AX1275" s="45">
        <f>IF(AU1275="","",T1275-AV1275)</f>
        <v/>
      </c>
      <c r="AY1275" s="45">
        <f>IF(AU1275="","",AH1275-AV1275)</f>
        <v/>
      </c>
      <c r="AZ1275" s="54">
        <f>(AL1275-AM1275)-T1275*AT1275</f>
        <v/>
      </c>
      <c r="BA1275" s="43">
        <f>IF(AU1275="",0,(AH1275-T1275)*AF1275)</f>
        <v/>
      </c>
      <c r="BB1275" s="43">
        <f>IF(AU1275="",0,T1275*(AF1275-AT1275))</f>
        <v/>
      </c>
      <c r="BC1275" s="51" t="n">
        <v>0.1709894200895118</v>
      </c>
      <c r="BD1275" s="51" t="n">
        <v>0.0796572820716368</v>
      </c>
      <c r="BE1275" s="51" t="n">
        <v>0.1634514063386561</v>
      </c>
      <c r="BF1275" s="43" t="n">
        <v>73063</v>
      </c>
    </row>
    <row r="1276">
      <c r="A1276" s="42" t="inlineStr">
        <is>
          <t>FL</t>
        </is>
      </c>
      <c r="B1276" s="42" t="inlineStr">
        <is>
          <t>12027</t>
        </is>
      </c>
      <c r="C1276" s="42" t="inlineStr">
        <is>
          <t>DeSoto</t>
        </is>
      </c>
      <c r="D1276" s="42" t="inlineStr">
        <is>
          <t>Small town &amp; rural</t>
        </is>
      </c>
      <c r="E1276" s="42" t="inlineStr"/>
      <c r="F1276" s="43" t="n">
        <v>3525</v>
      </c>
      <c r="G1276" s="43" t="n">
        <v>8888</v>
      </c>
      <c r="H1276" s="43" t="n">
        <v>12488</v>
      </c>
      <c r="I1276" s="43" t="n">
        <v>4259</v>
      </c>
      <c r="J1276" s="43" t="n">
        <v>8313</v>
      </c>
      <c r="K1276" s="42" t="inlineStr">
        <is>
          <t>US Senate</t>
        </is>
      </c>
      <c r="L1276" s="43" t="n">
        <v>2097</v>
      </c>
      <c r="M1276" s="43" t="n">
        <v>6469</v>
      </c>
      <c r="N1276" s="43" t="n">
        <v>8662</v>
      </c>
      <c r="O1276" s="44">
        <f>IFERROR((F1276-G1276)/(F1276+G1276),"")</f>
        <v/>
      </c>
      <c r="P1276" s="44">
        <f>IFERROR((I1276-J1276)/(I1276+J1276),"")</f>
        <v/>
      </c>
      <c r="Q1276" s="45">
        <f>IFERROR(O1276-P1276,"")</f>
        <v/>
      </c>
      <c r="R1276" s="44">
        <f>IFERROR((L1276-M1276)/(L1276+M1276),"")</f>
        <v/>
      </c>
      <c r="S1276" s="46">
        <f>H1276/SUMIFS(Counties!$H$2:$H$1583,Counties!$A$2:$A$1583,$A1276)</f>
        <v/>
      </c>
      <c r="T1276" s="44">
        <f>O1276+INDEX(Dashboard!$F$6:$F$22,MATCH($A1276,Dashboard!$A$6:$A$22,0))</f>
        <v/>
      </c>
      <c r="U1276" s="43">
        <f>AQ1276*INDEX(Dashboard!$G$6:$G$22,MATCH($A1276,Dashboard!$A$6:$A$22,0))</f>
        <v/>
      </c>
      <c r="V1276" s="47" t="n"/>
      <c r="W1276" s="47" t="n"/>
      <c r="X1276" s="47" t="n"/>
      <c r="Y1276" s="48" t="n"/>
      <c r="Z1276" s="49" t="n"/>
      <c r="AA1276" s="49" t="n"/>
      <c r="AB1276" s="49" t="n"/>
      <c r="AC1276" s="50" t="n"/>
      <c r="AD1276" s="43">
        <f>IF(Z1276&lt;&gt;"",Z1276,N(V1276))</f>
        <v/>
      </c>
      <c r="AE1276" s="43">
        <f>IF(AA1276&lt;&gt;"",AA1276,N(W1276))</f>
        <v/>
      </c>
      <c r="AF1276" s="43">
        <f>AD1276+AE1276</f>
        <v/>
      </c>
      <c r="AG1276" s="42">
        <f>IF(UPPER(AC1276)="Y",1,IF(AF1276=0,0,IF(AND(Z1276="",Y1276&lt;&gt;""),IF(Y1276&gt;=0.999,1,0),IF(AF1276&gt;=U1276,1,0))))</f>
        <v/>
      </c>
      <c r="AH1276" s="44">
        <f>IF(AF1276&gt;0,(AD1276-AE1276)/AF1276,"")</f>
        <v/>
      </c>
      <c r="AI1276" s="45">
        <f>IF(AG1276=1,AH1276-O1276,"")</f>
        <v/>
      </c>
      <c r="AJ1276" s="44">
        <f>IF(AG1276=1,AH1276,MAX(-1,MIN(1,O1276+INDEX(Types!$H:$H,MATCH($A1276&amp;"|"&amp;$D1276,Types!$A:$A,0)))))</f>
        <v/>
      </c>
      <c r="AK1276" s="43">
        <f>IF(AG1276=1,AF1276,MAX(AQ1276*AS1276,AF1276))</f>
        <v/>
      </c>
      <c r="AL1276" s="43">
        <f>IF(AG1276=1,AD1276,AK1276*(1+AJ1276)/2)</f>
        <v/>
      </c>
      <c r="AM1276" s="43">
        <f>IF(AG1276=1,AE1276,AK1276*(1-AJ1276)/2)</f>
        <v/>
      </c>
      <c r="AN1276" s="45">
        <f>IF(AH1276="","",AH1276-T1276)</f>
        <v/>
      </c>
      <c r="AO1276" s="51">
        <f>IF(AG1276=1,1,IF(U1276&gt;0,MIN(AF1276/U1276,0.99),0))</f>
        <v/>
      </c>
      <c r="AP1276" s="43">
        <f>IF(AG1276=1,AI1276*AF1276,0)</f>
        <v/>
      </c>
      <c r="AQ1276" s="43">
        <f>N1276*(F1276+G1276)/H1276</f>
        <v/>
      </c>
      <c r="AR1276" s="43">
        <f>O1276*AQ1276</f>
        <v/>
      </c>
      <c r="AS1276" s="52">
        <f>IF(AG1276=1,IF(AQ1276&gt;0,AF1276/AQ1276,1),IFERROR(INDEX(Types!$K:$K,MATCH($A1276&amp;"|"&amp;$D1276,Types!$A:$A,0)),INDEX(Dashboard!$X$6:$X$22,MATCH($A1276,Dashboard!$A$6:$A$22,0))))</f>
        <v/>
      </c>
      <c r="AT1276" s="43">
        <f>AQ1276*INDEX(Dashboard!$Y$6:$Y$22,MATCH($A1276,Dashboard!$A$6:$A$22,0))</f>
        <v/>
      </c>
      <c r="AU1276" s="53">
        <f>IF(AND(AG1276=1,AT1276&gt;0,AF1276&gt;0),100*AF1276/AT1276,"")</f>
        <v/>
      </c>
      <c r="AV1276" s="44">
        <f>IF(AU1276="","",T1276/(AU1276/100))</f>
        <v/>
      </c>
      <c r="AW1276" s="53">
        <f>IF(AU1276="","",IF(AND(ABS(AH1276)&gt;=0.1,ABS(T1276)&gt;=0.05,SIGN(AH1276)=SIGN(T1276)),100*T1276/AH1276,""))</f>
        <v/>
      </c>
      <c r="AX1276" s="45">
        <f>IF(AU1276="","",T1276-AV1276)</f>
        <v/>
      </c>
      <c r="AY1276" s="45">
        <f>IF(AU1276="","",AH1276-AV1276)</f>
        <v/>
      </c>
      <c r="AZ1276" s="54">
        <f>(AL1276-AM1276)-T1276*AT1276</f>
        <v/>
      </c>
      <c r="BA1276" s="43">
        <f>IF(AU1276="",0,(AH1276-T1276)*AF1276)</f>
        <v/>
      </c>
      <c r="BB1276" s="43">
        <f>IF(AU1276="",0,T1276*(AF1276-AT1276))</f>
        <v/>
      </c>
      <c r="BC1276" s="51" t="n">
        <v>0.119069457183357</v>
      </c>
      <c r="BD1276" s="51" t="n">
        <v>0.3010089218710915</v>
      </c>
      <c r="BE1276" s="51" t="n">
        <v>0.1097870677866771</v>
      </c>
      <c r="BF1276" s="43" t="n">
        <v>35979</v>
      </c>
    </row>
    <row r="1277">
      <c r="A1277" s="42" t="inlineStr">
        <is>
          <t>FL</t>
        </is>
      </c>
      <c r="B1277" s="42" t="inlineStr">
        <is>
          <t>12029</t>
        </is>
      </c>
      <c r="C1277" s="42" t="inlineStr">
        <is>
          <t>Dixie</t>
        </is>
      </c>
      <c r="D1277" s="42" t="inlineStr">
        <is>
          <t>Small town &amp; rural</t>
        </is>
      </c>
      <c r="E1277" s="42" t="inlineStr"/>
      <c r="F1277" s="43" t="n">
        <v>1183</v>
      </c>
      <c r="G1277" s="43" t="n">
        <v>6920</v>
      </c>
      <c r="H1277" s="43" t="n">
        <v>8148</v>
      </c>
      <c r="I1277" s="43" t="n">
        <v>1365</v>
      </c>
      <c r="J1277" s="43" t="n">
        <v>6759</v>
      </c>
      <c r="K1277" s="42" t="inlineStr">
        <is>
          <t>US Senate</t>
        </is>
      </c>
      <c r="L1277" s="43" t="n">
        <v>826</v>
      </c>
      <c r="M1277" s="43" t="n">
        <v>5225</v>
      </c>
      <c r="N1277" s="43" t="n">
        <v>6144</v>
      </c>
      <c r="O1277" s="44">
        <f>IFERROR((F1277-G1277)/(F1277+G1277),"")</f>
        <v/>
      </c>
      <c r="P1277" s="44">
        <f>IFERROR((I1277-J1277)/(I1277+J1277),"")</f>
        <v/>
      </c>
      <c r="Q1277" s="45">
        <f>IFERROR(O1277-P1277,"")</f>
        <v/>
      </c>
      <c r="R1277" s="44">
        <f>IFERROR((L1277-M1277)/(L1277+M1277),"")</f>
        <v/>
      </c>
      <c r="S1277" s="46">
        <f>H1277/SUMIFS(Counties!$H$2:$H$1583,Counties!$A$2:$A$1583,$A1277)</f>
        <v/>
      </c>
      <c r="T1277" s="44">
        <f>O1277+INDEX(Dashboard!$F$6:$F$22,MATCH($A1277,Dashboard!$A$6:$A$22,0))</f>
        <v/>
      </c>
      <c r="U1277" s="43">
        <f>AQ1277*INDEX(Dashboard!$G$6:$G$22,MATCH($A1277,Dashboard!$A$6:$A$22,0))</f>
        <v/>
      </c>
      <c r="V1277" s="47" t="n"/>
      <c r="W1277" s="47" t="n"/>
      <c r="X1277" s="47" t="n"/>
      <c r="Y1277" s="48" t="n"/>
      <c r="Z1277" s="49" t="n"/>
      <c r="AA1277" s="49" t="n"/>
      <c r="AB1277" s="49" t="n"/>
      <c r="AC1277" s="50" t="n"/>
      <c r="AD1277" s="43">
        <f>IF(Z1277&lt;&gt;"",Z1277,N(V1277))</f>
        <v/>
      </c>
      <c r="AE1277" s="43">
        <f>IF(AA1277&lt;&gt;"",AA1277,N(W1277))</f>
        <v/>
      </c>
      <c r="AF1277" s="43">
        <f>AD1277+AE1277</f>
        <v/>
      </c>
      <c r="AG1277" s="42">
        <f>IF(UPPER(AC1277)="Y",1,IF(AF1277=0,0,IF(AND(Z1277="",Y1277&lt;&gt;""),IF(Y1277&gt;=0.999,1,0),IF(AF1277&gt;=U1277,1,0))))</f>
        <v/>
      </c>
      <c r="AH1277" s="44">
        <f>IF(AF1277&gt;0,(AD1277-AE1277)/AF1277,"")</f>
        <v/>
      </c>
      <c r="AI1277" s="45">
        <f>IF(AG1277=1,AH1277-O1277,"")</f>
        <v/>
      </c>
      <c r="AJ1277" s="44">
        <f>IF(AG1277=1,AH1277,MAX(-1,MIN(1,O1277+INDEX(Types!$H:$H,MATCH($A1277&amp;"|"&amp;$D1277,Types!$A:$A,0)))))</f>
        <v/>
      </c>
      <c r="AK1277" s="43">
        <f>IF(AG1277=1,AF1277,MAX(AQ1277*AS1277,AF1277))</f>
        <v/>
      </c>
      <c r="AL1277" s="43">
        <f>IF(AG1277=1,AD1277,AK1277*(1+AJ1277)/2)</f>
        <v/>
      </c>
      <c r="AM1277" s="43">
        <f>IF(AG1277=1,AE1277,AK1277*(1-AJ1277)/2)</f>
        <v/>
      </c>
      <c r="AN1277" s="45">
        <f>IF(AH1277="","",AH1277-T1277)</f>
        <v/>
      </c>
      <c r="AO1277" s="51">
        <f>IF(AG1277=1,1,IF(U1277&gt;0,MIN(AF1277/U1277,0.99),0))</f>
        <v/>
      </c>
      <c r="AP1277" s="43">
        <f>IF(AG1277=1,AI1277*AF1277,0)</f>
        <v/>
      </c>
      <c r="AQ1277" s="43">
        <f>N1277*(F1277+G1277)/H1277</f>
        <v/>
      </c>
      <c r="AR1277" s="43">
        <f>O1277*AQ1277</f>
        <v/>
      </c>
      <c r="AS1277" s="52">
        <f>IF(AG1277=1,IF(AQ1277&gt;0,AF1277/AQ1277,1),IFERROR(INDEX(Types!$K:$K,MATCH($A1277&amp;"|"&amp;$D1277,Types!$A:$A,0)),INDEX(Dashboard!$X$6:$X$22,MATCH($A1277,Dashboard!$A$6:$A$22,0))))</f>
        <v/>
      </c>
      <c r="AT1277" s="43">
        <f>AQ1277*INDEX(Dashboard!$Y$6:$Y$22,MATCH($A1277,Dashboard!$A$6:$A$22,0))</f>
        <v/>
      </c>
      <c r="AU1277" s="53">
        <f>IF(AND(AG1277=1,AT1277&gt;0,AF1277&gt;0),100*AF1277/AT1277,"")</f>
        <v/>
      </c>
      <c r="AV1277" s="44">
        <f>IF(AU1277="","",T1277/(AU1277/100))</f>
        <v/>
      </c>
      <c r="AW1277" s="53">
        <f>IF(AU1277="","",IF(AND(ABS(AH1277)&gt;=0.1,ABS(T1277)&gt;=0.05,SIGN(AH1277)=SIGN(T1277)),100*T1277/AH1277,""))</f>
        <v/>
      </c>
      <c r="AX1277" s="45">
        <f>IF(AU1277="","",T1277-AV1277)</f>
        <v/>
      </c>
      <c r="AY1277" s="45">
        <f>IF(AU1277="","",AH1277-AV1277)</f>
        <v/>
      </c>
      <c r="AZ1277" s="54">
        <f>(AL1277-AM1277)-T1277*AT1277</f>
        <v/>
      </c>
      <c r="BA1277" s="43">
        <f>IF(AU1277="",0,(AH1277-T1277)*AF1277)</f>
        <v/>
      </c>
      <c r="BB1277" s="43">
        <f>IF(AU1277="",0,T1277*(AF1277-AT1277))</f>
        <v/>
      </c>
      <c r="BC1277" s="51" t="n">
        <v>0.0892642427712568</v>
      </c>
      <c r="BD1277" s="51" t="n">
        <v>0.04987117091325508</v>
      </c>
      <c r="BE1277" s="51" t="n">
        <v>0.08086400499064254</v>
      </c>
      <c r="BF1277" s="43" t="n">
        <v>17465</v>
      </c>
    </row>
    <row r="1278">
      <c r="A1278" s="42" t="inlineStr">
        <is>
          <t>FL</t>
        </is>
      </c>
      <c r="B1278" s="42" t="inlineStr">
        <is>
          <t>12031</t>
        </is>
      </c>
      <c r="C1278" s="42" t="inlineStr">
        <is>
          <t>Duval</t>
        </is>
      </c>
      <c r="D1278" s="42" t="inlineStr">
        <is>
          <t>Big metro core</t>
        </is>
      </c>
      <c r="E1278" s="42" t="inlineStr">
        <is>
          <t>★</t>
        </is>
      </c>
      <c r="F1278" s="43" t="n">
        <v>229365</v>
      </c>
      <c r="G1278" s="43" t="n">
        <v>236285</v>
      </c>
      <c r="H1278" s="43" t="n">
        <v>471268</v>
      </c>
      <c r="I1278" s="43" t="n">
        <v>252556</v>
      </c>
      <c r="J1278" s="43" t="n">
        <v>233762</v>
      </c>
      <c r="K1278" s="42" t="inlineStr">
        <is>
          <t>US Senate</t>
        </is>
      </c>
      <c r="L1278" s="43" t="n">
        <v>147646</v>
      </c>
      <c r="M1278" s="43" t="n">
        <v>177401</v>
      </c>
      <c r="N1278" s="43" t="n">
        <v>329009</v>
      </c>
      <c r="O1278" s="44">
        <f>IFERROR((F1278-G1278)/(F1278+G1278),"")</f>
        <v/>
      </c>
      <c r="P1278" s="44">
        <f>IFERROR((I1278-J1278)/(I1278+J1278),"")</f>
        <v/>
      </c>
      <c r="Q1278" s="45">
        <f>IFERROR(O1278-P1278,"")</f>
        <v/>
      </c>
      <c r="R1278" s="44">
        <f>IFERROR((L1278-M1278)/(L1278+M1278),"")</f>
        <v/>
      </c>
      <c r="S1278" s="46">
        <f>H1278/SUMIFS(Counties!$H$2:$H$1583,Counties!$A$2:$A$1583,$A1278)</f>
        <v/>
      </c>
      <c r="T1278" s="44">
        <f>O1278+INDEX(Dashboard!$F$6:$F$22,MATCH($A1278,Dashboard!$A$6:$A$22,0))</f>
        <v/>
      </c>
      <c r="U1278" s="43">
        <f>AQ1278*INDEX(Dashboard!$G$6:$G$22,MATCH($A1278,Dashboard!$A$6:$A$22,0))</f>
        <v/>
      </c>
      <c r="V1278" s="47" t="n"/>
      <c r="W1278" s="47" t="n"/>
      <c r="X1278" s="47" t="n"/>
      <c r="Y1278" s="48" t="n"/>
      <c r="Z1278" s="49" t="n"/>
      <c r="AA1278" s="49" t="n"/>
      <c r="AB1278" s="49" t="n"/>
      <c r="AC1278" s="50" t="n"/>
      <c r="AD1278" s="43">
        <f>IF(Z1278&lt;&gt;"",Z1278,N(V1278))</f>
        <v/>
      </c>
      <c r="AE1278" s="43">
        <f>IF(AA1278&lt;&gt;"",AA1278,N(W1278))</f>
        <v/>
      </c>
      <c r="AF1278" s="43">
        <f>AD1278+AE1278</f>
        <v/>
      </c>
      <c r="AG1278" s="42">
        <f>IF(UPPER(AC1278)="Y",1,IF(AF1278=0,0,IF(AND(Z1278="",Y1278&lt;&gt;""),IF(Y1278&gt;=0.999,1,0),IF(AF1278&gt;=U1278,1,0))))</f>
        <v/>
      </c>
      <c r="AH1278" s="44">
        <f>IF(AF1278&gt;0,(AD1278-AE1278)/AF1278,"")</f>
        <v/>
      </c>
      <c r="AI1278" s="45">
        <f>IF(AG1278=1,AH1278-O1278,"")</f>
        <v/>
      </c>
      <c r="AJ1278" s="44">
        <f>IF(AG1278=1,AH1278,MAX(-1,MIN(1,O1278+INDEX(Types!$H:$H,MATCH($A1278&amp;"|"&amp;$D1278,Types!$A:$A,0)))))</f>
        <v/>
      </c>
      <c r="AK1278" s="43">
        <f>IF(AG1278=1,AF1278,MAX(AQ1278*AS1278,AF1278))</f>
        <v/>
      </c>
      <c r="AL1278" s="43">
        <f>IF(AG1278=1,AD1278,AK1278*(1+AJ1278)/2)</f>
        <v/>
      </c>
      <c r="AM1278" s="43">
        <f>IF(AG1278=1,AE1278,AK1278*(1-AJ1278)/2)</f>
        <v/>
      </c>
      <c r="AN1278" s="45">
        <f>IF(AH1278="","",AH1278-T1278)</f>
        <v/>
      </c>
      <c r="AO1278" s="51">
        <f>IF(AG1278=1,1,IF(U1278&gt;0,MIN(AF1278/U1278,0.99),0))</f>
        <v/>
      </c>
      <c r="AP1278" s="43">
        <f>IF(AG1278=1,AI1278*AF1278,0)</f>
        <v/>
      </c>
      <c r="AQ1278" s="43">
        <f>N1278*(F1278+G1278)/H1278</f>
        <v/>
      </c>
      <c r="AR1278" s="43">
        <f>O1278*AQ1278</f>
        <v/>
      </c>
      <c r="AS1278" s="52">
        <f>IF(AG1278=1,IF(AQ1278&gt;0,AF1278/AQ1278,1),IFERROR(INDEX(Types!$K:$K,MATCH($A1278&amp;"|"&amp;$D1278,Types!$A:$A,0)),INDEX(Dashboard!$X$6:$X$22,MATCH($A1278,Dashboard!$A$6:$A$22,0))))</f>
        <v/>
      </c>
      <c r="AT1278" s="43">
        <f>AQ1278*INDEX(Dashboard!$Y$6:$Y$22,MATCH($A1278,Dashboard!$A$6:$A$22,0))</f>
        <v/>
      </c>
      <c r="AU1278" s="53">
        <f>IF(AND(AG1278=1,AT1278&gt;0,AF1278&gt;0),100*AF1278/AT1278,"")</f>
        <v/>
      </c>
      <c r="AV1278" s="44">
        <f>IF(AU1278="","",T1278/(AU1278/100))</f>
        <v/>
      </c>
      <c r="AW1278" s="53">
        <f>IF(AU1278="","",IF(AND(ABS(AH1278)&gt;=0.1,ABS(T1278)&gt;=0.05,SIGN(AH1278)=SIGN(T1278)),100*T1278/AH1278,""))</f>
        <v/>
      </c>
      <c r="AX1278" s="45">
        <f>IF(AU1278="","",T1278-AV1278)</f>
        <v/>
      </c>
      <c r="AY1278" s="45">
        <f>IF(AU1278="","",AH1278-AV1278)</f>
        <v/>
      </c>
      <c r="AZ1278" s="54">
        <f>(AL1278-AM1278)-T1278*AT1278</f>
        <v/>
      </c>
      <c r="BA1278" s="43">
        <f>IF(AU1278="",0,(AH1278-T1278)*AF1278)</f>
        <v/>
      </c>
      <c r="BB1278" s="43">
        <f>IF(AU1278="",0,T1278*(AF1278-AT1278))</f>
        <v/>
      </c>
      <c r="BC1278" s="51" t="n">
        <v>0.2945474582420631</v>
      </c>
      <c r="BD1278" s="51" t="n">
        <v>0.1261614517346351</v>
      </c>
      <c r="BE1278" s="51" t="n">
        <v>0.3309080460433981</v>
      </c>
      <c r="BF1278" s="43" t="n">
        <v>1030822</v>
      </c>
    </row>
    <row r="1279">
      <c r="A1279" s="42" t="inlineStr">
        <is>
          <t>FL</t>
        </is>
      </c>
      <c r="B1279" s="42" t="inlineStr">
        <is>
          <t>12033</t>
        </is>
      </c>
      <c r="C1279" s="42" t="inlineStr">
        <is>
          <t>Escambia</t>
        </is>
      </c>
      <c r="D1279" s="42" t="inlineStr">
        <is>
          <t>Mid-size/working metro</t>
        </is>
      </c>
      <c r="E1279" s="42" t="inlineStr"/>
      <c r="F1279" s="43" t="n">
        <v>64601</v>
      </c>
      <c r="G1279" s="43" t="n">
        <v>96407</v>
      </c>
      <c r="H1279" s="43" t="n">
        <v>162754</v>
      </c>
      <c r="I1279" s="43" t="n">
        <v>70929</v>
      </c>
      <c r="J1279" s="43" t="n">
        <v>96674</v>
      </c>
      <c r="K1279" s="42" t="inlineStr">
        <is>
          <t>US Senate</t>
        </is>
      </c>
      <c r="L1279" s="43" t="n">
        <v>40790</v>
      </c>
      <c r="M1279" s="43" t="n">
        <v>73225</v>
      </c>
      <c r="N1279" s="43" t="n">
        <v>115552</v>
      </c>
      <c r="O1279" s="44">
        <f>IFERROR((F1279-G1279)/(F1279+G1279),"")</f>
        <v/>
      </c>
      <c r="P1279" s="44">
        <f>IFERROR((I1279-J1279)/(I1279+J1279),"")</f>
        <v/>
      </c>
      <c r="Q1279" s="45">
        <f>IFERROR(O1279-P1279,"")</f>
        <v/>
      </c>
      <c r="R1279" s="44">
        <f>IFERROR((L1279-M1279)/(L1279+M1279),"")</f>
        <v/>
      </c>
      <c r="S1279" s="46">
        <f>H1279/SUMIFS(Counties!$H$2:$H$1583,Counties!$A$2:$A$1583,$A1279)</f>
        <v/>
      </c>
      <c r="T1279" s="44">
        <f>O1279+INDEX(Dashboard!$F$6:$F$22,MATCH($A1279,Dashboard!$A$6:$A$22,0))</f>
        <v/>
      </c>
      <c r="U1279" s="43">
        <f>AQ1279*INDEX(Dashboard!$G$6:$G$22,MATCH($A1279,Dashboard!$A$6:$A$22,0))</f>
        <v/>
      </c>
      <c r="V1279" s="47" t="n"/>
      <c r="W1279" s="47" t="n"/>
      <c r="X1279" s="47" t="n"/>
      <c r="Y1279" s="48" t="n"/>
      <c r="Z1279" s="49" t="n"/>
      <c r="AA1279" s="49" t="n"/>
      <c r="AB1279" s="49" t="n"/>
      <c r="AC1279" s="50" t="n"/>
      <c r="AD1279" s="43">
        <f>IF(Z1279&lt;&gt;"",Z1279,N(V1279))</f>
        <v/>
      </c>
      <c r="AE1279" s="43">
        <f>IF(AA1279&lt;&gt;"",AA1279,N(W1279))</f>
        <v/>
      </c>
      <c r="AF1279" s="43">
        <f>AD1279+AE1279</f>
        <v/>
      </c>
      <c r="AG1279" s="42">
        <f>IF(UPPER(AC1279)="Y",1,IF(AF1279=0,0,IF(AND(Z1279="",Y1279&lt;&gt;""),IF(Y1279&gt;=0.999,1,0),IF(AF1279&gt;=U1279,1,0))))</f>
        <v/>
      </c>
      <c r="AH1279" s="44">
        <f>IF(AF1279&gt;0,(AD1279-AE1279)/AF1279,"")</f>
        <v/>
      </c>
      <c r="AI1279" s="45">
        <f>IF(AG1279=1,AH1279-O1279,"")</f>
        <v/>
      </c>
      <c r="AJ1279" s="44">
        <f>IF(AG1279=1,AH1279,MAX(-1,MIN(1,O1279+INDEX(Types!$H:$H,MATCH($A1279&amp;"|"&amp;$D1279,Types!$A:$A,0)))))</f>
        <v/>
      </c>
      <c r="AK1279" s="43">
        <f>IF(AG1279=1,AF1279,MAX(AQ1279*AS1279,AF1279))</f>
        <v/>
      </c>
      <c r="AL1279" s="43">
        <f>IF(AG1279=1,AD1279,AK1279*(1+AJ1279)/2)</f>
        <v/>
      </c>
      <c r="AM1279" s="43">
        <f>IF(AG1279=1,AE1279,AK1279*(1-AJ1279)/2)</f>
        <v/>
      </c>
      <c r="AN1279" s="45">
        <f>IF(AH1279="","",AH1279-T1279)</f>
        <v/>
      </c>
      <c r="AO1279" s="51">
        <f>IF(AG1279=1,1,IF(U1279&gt;0,MIN(AF1279/U1279,0.99),0))</f>
        <v/>
      </c>
      <c r="AP1279" s="43">
        <f>IF(AG1279=1,AI1279*AF1279,0)</f>
        <v/>
      </c>
      <c r="AQ1279" s="43">
        <f>N1279*(F1279+G1279)/H1279</f>
        <v/>
      </c>
      <c r="AR1279" s="43">
        <f>O1279*AQ1279</f>
        <v/>
      </c>
      <c r="AS1279" s="52">
        <f>IF(AG1279=1,IF(AQ1279&gt;0,AF1279/AQ1279,1),IFERROR(INDEX(Types!$K:$K,MATCH($A1279&amp;"|"&amp;$D1279,Types!$A:$A,0)),INDEX(Dashboard!$X$6:$X$22,MATCH($A1279,Dashboard!$A$6:$A$22,0))))</f>
        <v/>
      </c>
      <c r="AT1279" s="43">
        <f>AQ1279*INDEX(Dashboard!$Y$6:$Y$22,MATCH($A1279,Dashboard!$A$6:$A$22,0))</f>
        <v/>
      </c>
      <c r="AU1279" s="53">
        <f>IF(AND(AG1279=1,AT1279&gt;0,AF1279&gt;0),100*AF1279/AT1279,"")</f>
        <v/>
      </c>
      <c r="AV1279" s="44">
        <f>IF(AU1279="","",T1279/(AU1279/100))</f>
        <v/>
      </c>
      <c r="AW1279" s="53">
        <f>IF(AU1279="","",IF(AND(ABS(AH1279)&gt;=0.1,ABS(T1279)&gt;=0.05,SIGN(AH1279)=SIGN(T1279)),100*T1279/AH1279,""))</f>
        <v/>
      </c>
      <c r="AX1279" s="45">
        <f>IF(AU1279="","",T1279-AV1279)</f>
        <v/>
      </c>
      <c r="AY1279" s="45">
        <f>IF(AU1279="","",AH1279-AV1279)</f>
        <v/>
      </c>
      <c r="AZ1279" s="54">
        <f>(AL1279-AM1279)-T1279*AT1279</f>
        <v/>
      </c>
      <c r="BA1279" s="43">
        <f>IF(AU1279="",0,(AH1279-T1279)*AF1279)</f>
        <v/>
      </c>
      <c r="BB1279" s="43">
        <f>IF(AU1279="",0,T1279*(AF1279-AT1279))</f>
        <v/>
      </c>
      <c r="BC1279" s="51" t="n">
        <v>0.2208192629569813</v>
      </c>
      <c r="BD1279" s="51" t="n">
        <v>0.07016223755689326</v>
      </c>
      <c r="BE1279" s="51" t="n">
        <v>0.289297871374756</v>
      </c>
      <c r="BF1279" s="43" t="n">
        <v>326928</v>
      </c>
    </row>
    <row r="1280">
      <c r="A1280" s="42" t="inlineStr">
        <is>
          <t>FL</t>
        </is>
      </c>
      <c r="B1280" s="42" t="inlineStr">
        <is>
          <t>12035</t>
        </is>
      </c>
      <c r="C1280" s="42" t="inlineStr">
        <is>
          <t>Flagler</t>
        </is>
      </c>
      <c r="D1280" s="42" t="inlineStr">
        <is>
          <t>Mid-size/working metro</t>
        </is>
      </c>
      <c r="E1280" s="42" t="inlineStr"/>
      <c r="F1280" s="43" t="n">
        <v>28431</v>
      </c>
      <c r="G1280" s="43" t="n">
        <v>51014</v>
      </c>
      <c r="H1280" s="43" t="n">
        <v>79963</v>
      </c>
      <c r="I1280" s="43" t="n">
        <v>28161</v>
      </c>
      <c r="J1280" s="43" t="n">
        <v>43043</v>
      </c>
      <c r="K1280" s="42" t="inlineStr">
        <is>
          <t>US Senate</t>
        </is>
      </c>
      <c r="L1280" s="43" t="n">
        <v>20204</v>
      </c>
      <c r="M1280" s="43" t="n">
        <v>37934</v>
      </c>
      <c r="N1280" s="43" t="n">
        <v>58637</v>
      </c>
      <c r="O1280" s="44">
        <f>IFERROR((F1280-G1280)/(F1280+G1280),"")</f>
        <v/>
      </c>
      <c r="P1280" s="44">
        <f>IFERROR((I1280-J1280)/(I1280+J1280),"")</f>
        <v/>
      </c>
      <c r="Q1280" s="45">
        <f>IFERROR(O1280-P1280,"")</f>
        <v/>
      </c>
      <c r="R1280" s="44">
        <f>IFERROR((L1280-M1280)/(L1280+M1280),"")</f>
        <v/>
      </c>
      <c r="S1280" s="46">
        <f>H1280/SUMIFS(Counties!$H$2:$H$1583,Counties!$A$2:$A$1583,$A1280)</f>
        <v/>
      </c>
      <c r="T1280" s="44">
        <f>O1280+INDEX(Dashboard!$F$6:$F$22,MATCH($A1280,Dashboard!$A$6:$A$22,0))</f>
        <v/>
      </c>
      <c r="U1280" s="43">
        <f>AQ1280*INDEX(Dashboard!$G$6:$G$22,MATCH($A1280,Dashboard!$A$6:$A$22,0))</f>
        <v/>
      </c>
      <c r="V1280" s="47" t="n"/>
      <c r="W1280" s="47" t="n"/>
      <c r="X1280" s="47" t="n"/>
      <c r="Y1280" s="48" t="n"/>
      <c r="Z1280" s="49" t="n"/>
      <c r="AA1280" s="49" t="n"/>
      <c r="AB1280" s="49" t="n"/>
      <c r="AC1280" s="50" t="n"/>
      <c r="AD1280" s="43">
        <f>IF(Z1280&lt;&gt;"",Z1280,N(V1280))</f>
        <v/>
      </c>
      <c r="AE1280" s="43">
        <f>IF(AA1280&lt;&gt;"",AA1280,N(W1280))</f>
        <v/>
      </c>
      <c r="AF1280" s="43">
        <f>AD1280+AE1280</f>
        <v/>
      </c>
      <c r="AG1280" s="42">
        <f>IF(UPPER(AC1280)="Y",1,IF(AF1280=0,0,IF(AND(Z1280="",Y1280&lt;&gt;""),IF(Y1280&gt;=0.999,1,0),IF(AF1280&gt;=U1280,1,0))))</f>
        <v/>
      </c>
      <c r="AH1280" s="44">
        <f>IF(AF1280&gt;0,(AD1280-AE1280)/AF1280,"")</f>
        <v/>
      </c>
      <c r="AI1280" s="45">
        <f>IF(AG1280=1,AH1280-O1280,"")</f>
        <v/>
      </c>
      <c r="AJ1280" s="44">
        <f>IF(AG1280=1,AH1280,MAX(-1,MIN(1,O1280+INDEX(Types!$H:$H,MATCH($A1280&amp;"|"&amp;$D1280,Types!$A:$A,0)))))</f>
        <v/>
      </c>
      <c r="AK1280" s="43">
        <f>IF(AG1280=1,AF1280,MAX(AQ1280*AS1280,AF1280))</f>
        <v/>
      </c>
      <c r="AL1280" s="43">
        <f>IF(AG1280=1,AD1280,AK1280*(1+AJ1280)/2)</f>
        <v/>
      </c>
      <c r="AM1280" s="43">
        <f>IF(AG1280=1,AE1280,AK1280*(1-AJ1280)/2)</f>
        <v/>
      </c>
      <c r="AN1280" s="45">
        <f>IF(AH1280="","",AH1280-T1280)</f>
        <v/>
      </c>
      <c r="AO1280" s="51">
        <f>IF(AG1280=1,1,IF(U1280&gt;0,MIN(AF1280/U1280,0.99),0))</f>
        <v/>
      </c>
      <c r="AP1280" s="43">
        <f>IF(AG1280=1,AI1280*AF1280,0)</f>
        <v/>
      </c>
      <c r="AQ1280" s="43">
        <f>N1280*(F1280+G1280)/H1280</f>
        <v/>
      </c>
      <c r="AR1280" s="43">
        <f>O1280*AQ1280</f>
        <v/>
      </c>
      <c r="AS1280" s="52">
        <f>IF(AG1280=1,IF(AQ1280&gt;0,AF1280/AQ1280,1),IFERROR(INDEX(Types!$K:$K,MATCH($A1280&amp;"|"&amp;$D1280,Types!$A:$A,0)),INDEX(Dashboard!$X$6:$X$22,MATCH($A1280,Dashboard!$A$6:$A$22,0))))</f>
        <v/>
      </c>
      <c r="AT1280" s="43">
        <f>AQ1280*INDEX(Dashboard!$Y$6:$Y$22,MATCH($A1280,Dashboard!$A$6:$A$22,0))</f>
        <v/>
      </c>
      <c r="AU1280" s="53">
        <f>IF(AND(AG1280=1,AT1280&gt;0,AF1280&gt;0),100*AF1280/AT1280,"")</f>
        <v/>
      </c>
      <c r="AV1280" s="44">
        <f>IF(AU1280="","",T1280/(AU1280/100))</f>
        <v/>
      </c>
      <c r="AW1280" s="53">
        <f>IF(AU1280="","",IF(AND(ABS(AH1280)&gt;=0.1,ABS(T1280)&gt;=0.05,SIGN(AH1280)=SIGN(T1280)),100*T1280/AH1280,""))</f>
        <v/>
      </c>
      <c r="AX1280" s="45">
        <f>IF(AU1280="","",T1280-AV1280)</f>
        <v/>
      </c>
      <c r="AY1280" s="45">
        <f>IF(AU1280="","",AH1280-AV1280)</f>
        <v/>
      </c>
      <c r="AZ1280" s="54">
        <f>(AL1280-AM1280)-T1280*AT1280</f>
        <v/>
      </c>
      <c r="BA1280" s="43">
        <f>IF(AU1280="",0,(AH1280-T1280)*AF1280)</f>
        <v/>
      </c>
      <c r="BB1280" s="43">
        <f>IF(AU1280="",0,T1280*(AF1280-AT1280))</f>
        <v/>
      </c>
      <c r="BC1280" s="51" t="n">
        <v>0.09548916227299356</v>
      </c>
      <c r="BD1280" s="51" t="n">
        <v>0.1191807606570348</v>
      </c>
      <c r="BE1280" s="51" t="n">
        <v>0.3043925075221426</v>
      </c>
      <c r="BF1280" s="43" t="n">
        <v>131439</v>
      </c>
    </row>
    <row r="1281">
      <c r="A1281" s="42" t="inlineStr">
        <is>
          <t>FL</t>
        </is>
      </c>
      <c r="B1281" s="42" t="inlineStr">
        <is>
          <t>12037</t>
        </is>
      </c>
      <c r="C1281" s="42" t="inlineStr">
        <is>
          <t>Franklin</t>
        </is>
      </c>
      <c r="D1281" s="42" t="inlineStr">
        <is>
          <t>Small town &amp; rural</t>
        </is>
      </c>
      <c r="E1281" s="42" t="inlineStr"/>
      <c r="F1281" s="43" t="n">
        <v>1870</v>
      </c>
      <c r="G1281" s="43" t="n">
        <v>4831</v>
      </c>
      <c r="H1281" s="43" t="n">
        <v>6758</v>
      </c>
      <c r="I1281" s="43" t="n">
        <v>2120</v>
      </c>
      <c r="J1281" s="43" t="n">
        <v>4675</v>
      </c>
      <c r="K1281" s="42" t="inlineStr">
        <is>
          <t>US Senate</t>
        </is>
      </c>
      <c r="L1281" s="43" t="n">
        <v>1471</v>
      </c>
      <c r="M1281" s="43" t="n">
        <v>3885</v>
      </c>
      <c r="N1281" s="43" t="n">
        <v>5419</v>
      </c>
      <c r="O1281" s="44">
        <f>IFERROR((F1281-G1281)/(F1281+G1281),"")</f>
        <v/>
      </c>
      <c r="P1281" s="44">
        <f>IFERROR((I1281-J1281)/(I1281+J1281),"")</f>
        <v/>
      </c>
      <c r="Q1281" s="45">
        <f>IFERROR(O1281-P1281,"")</f>
        <v/>
      </c>
      <c r="R1281" s="44">
        <f>IFERROR((L1281-M1281)/(L1281+M1281),"")</f>
        <v/>
      </c>
      <c r="S1281" s="46">
        <f>H1281/SUMIFS(Counties!$H$2:$H$1583,Counties!$A$2:$A$1583,$A1281)</f>
        <v/>
      </c>
      <c r="T1281" s="44">
        <f>O1281+INDEX(Dashboard!$F$6:$F$22,MATCH($A1281,Dashboard!$A$6:$A$22,0))</f>
        <v/>
      </c>
      <c r="U1281" s="43">
        <f>AQ1281*INDEX(Dashboard!$G$6:$G$22,MATCH($A1281,Dashboard!$A$6:$A$22,0))</f>
        <v/>
      </c>
      <c r="V1281" s="47" t="n"/>
      <c r="W1281" s="47" t="n"/>
      <c r="X1281" s="47" t="n"/>
      <c r="Y1281" s="48" t="n"/>
      <c r="Z1281" s="49" t="n"/>
      <c r="AA1281" s="49" t="n"/>
      <c r="AB1281" s="49" t="n"/>
      <c r="AC1281" s="50" t="n"/>
      <c r="AD1281" s="43">
        <f>IF(Z1281&lt;&gt;"",Z1281,N(V1281))</f>
        <v/>
      </c>
      <c r="AE1281" s="43">
        <f>IF(AA1281&lt;&gt;"",AA1281,N(W1281))</f>
        <v/>
      </c>
      <c r="AF1281" s="43">
        <f>AD1281+AE1281</f>
        <v/>
      </c>
      <c r="AG1281" s="42">
        <f>IF(UPPER(AC1281)="Y",1,IF(AF1281=0,0,IF(AND(Z1281="",Y1281&lt;&gt;""),IF(Y1281&gt;=0.999,1,0),IF(AF1281&gt;=U1281,1,0))))</f>
        <v/>
      </c>
      <c r="AH1281" s="44">
        <f>IF(AF1281&gt;0,(AD1281-AE1281)/AF1281,"")</f>
        <v/>
      </c>
      <c r="AI1281" s="45">
        <f>IF(AG1281=1,AH1281-O1281,"")</f>
        <v/>
      </c>
      <c r="AJ1281" s="44">
        <f>IF(AG1281=1,AH1281,MAX(-1,MIN(1,O1281+INDEX(Types!$H:$H,MATCH($A1281&amp;"|"&amp;$D1281,Types!$A:$A,0)))))</f>
        <v/>
      </c>
      <c r="AK1281" s="43">
        <f>IF(AG1281=1,AF1281,MAX(AQ1281*AS1281,AF1281))</f>
        <v/>
      </c>
      <c r="AL1281" s="43">
        <f>IF(AG1281=1,AD1281,AK1281*(1+AJ1281)/2)</f>
        <v/>
      </c>
      <c r="AM1281" s="43">
        <f>IF(AG1281=1,AE1281,AK1281*(1-AJ1281)/2)</f>
        <v/>
      </c>
      <c r="AN1281" s="45">
        <f>IF(AH1281="","",AH1281-T1281)</f>
        <v/>
      </c>
      <c r="AO1281" s="51">
        <f>IF(AG1281=1,1,IF(U1281&gt;0,MIN(AF1281/U1281,0.99),0))</f>
        <v/>
      </c>
      <c r="AP1281" s="43">
        <f>IF(AG1281=1,AI1281*AF1281,0)</f>
        <v/>
      </c>
      <c r="AQ1281" s="43">
        <f>N1281*(F1281+G1281)/H1281</f>
        <v/>
      </c>
      <c r="AR1281" s="43">
        <f>O1281*AQ1281</f>
        <v/>
      </c>
      <c r="AS1281" s="52">
        <f>IF(AG1281=1,IF(AQ1281&gt;0,AF1281/AQ1281,1),IFERROR(INDEX(Types!$K:$K,MATCH($A1281&amp;"|"&amp;$D1281,Types!$A:$A,0)),INDEX(Dashboard!$X$6:$X$22,MATCH($A1281,Dashboard!$A$6:$A$22,0))))</f>
        <v/>
      </c>
      <c r="AT1281" s="43">
        <f>AQ1281*INDEX(Dashboard!$Y$6:$Y$22,MATCH($A1281,Dashboard!$A$6:$A$22,0))</f>
        <v/>
      </c>
      <c r="AU1281" s="53">
        <f>IF(AND(AG1281=1,AT1281&gt;0,AF1281&gt;0),100*AF1281/AT1281,"")</f>
        <v/>
      </c>
      <c r="AV1281" s="44">
        <f>IF(AU1281="","",T1281/(AU1281/100))</f>
        <v/>
      </c>
      <c r="AW1281" s="53">
        <f>IF(AU1281="","",IF(AND(ABS(AH1281)&gt;=0.1,ABS(T1281)&gt;=0.05,SIGN(AH1281)=SIGN(T1281)),100*T1281/AH1281,""))</f>
        <v/>
      </c>
      <c r="AX1281" s="45">
        <f>IF(AU1281="","",T1281-AV1281)</f>
        <v/>
      </c>
      <c r="AY1281" s="45">
        <f>IF(AU1281="","",AH1281-AV1281)</f>
        <v/>
      </c>
      <c r="AZ1281" s="54">
        <f>(AL1281-AM1281)-T1281*AT1281</f>
        <v/>
      </c>
      <c r="BA1281" s="43">
        <f>IF(AU1281="",0,(AH1281-T1281)*AF1281)</f>
        <v/>
      </c>
      <c r="BB1281" s="43">
        <f>IF(AU1281="",0,T1281*(AF1281-AT1281))</f>
        <v/>
      </c>
      <c r="BC1281" s="51" t="n">
        <v>0.09774495791646816</v>
      </c>
      <c r="BD1281" s="51" t="n">
        <v>0.0561378434175004</v>
      </c>
      <c r="BE1281" s="51" t="n">
        <v>0.2528503682776713</v>
      </c>
      <c r="BF1281" s="43" t="n">
        <v>12594</v>
      </c>
    </row>
    <row r="1282">
      <c r="A1282" s="42" t="inlineStr">
        <is>
          <t>FL</t>
        </is>
      </c>
      <c r="B1282" s="42" t="inlineStr">
        <is>
          <t>12039</t>
        </is>
      </c>
      <c r="C1282" s="42" t="inlineStr">
        <is>
          <t>Gadsden</t>
        </is>
      </c>
      <c r="D1282" s="42" t="inlineStr">
        <is>
          <t>Black Belt</t>
        </is>
      </c>
      <c r="E1282" s="42" t="inlineStr"/>
      <c r="F1282" s="43" t="n">
        <v>14203</v>
      </c>
      <c r="G1282" s="43" t="n">
        <v>7495</v>
      </c>
      <c r="H1282" s="43" t="n">
        <v>21868</v>
      </c>
      <c r="I1282" s="43" t="n">
        <v>16153</v>
      </c>
      <c r="J1282" s="43" t="n">
        <v>7465</v>
      </c>
      <c r="K1282" s="42" t="inlineStr">
        <is>
          <t>US Senate</t>
        </is>
      </c>
      <c r="L1282" s="43" t="n">
        <v>11113</v>
      </c>
      <c r="M1282" s="43" t="n">
        <v>6086</v>
      </c>
      <c r="N1282" s="43" t="n">
        <v>17384</v>
      </c>
      <c r="O1282" s="44">
        <f>IFERROR((F1282-G1282)/(F1282+G1282),"")</f>
        <v/>
      </c>
      <c r="P1282" s="44">
        <f>IFERROR((I1282-J1282)/(I1282+J1282),"")</f>
        <v/>
      </c>
      <c r="Q1282" s="45">
        <f>IFERROR(O1282-P1282,"")</f>
        <v/>
      </c>
      <c r="R1282" s="44">
        <f>IFERROR((L1282-M1282)/(L1282+M1282),"")</f>
        <v/>
      </c>
      <c r="S1282" s="46">
        <f>H1282/SUMIFS(Counties!$H$2:$H$1583,Counties!$A$2:$A$1583,$A1282)</f>
        <v/>
      </c>
      <c r="T1282" s="44">
        <f>O1282+INDEX(Dashboard!$F$6:$F$22,MATCH($A1282,Dashboard!$A$6:$A$22,0))</f>
        <v/>
      </c>
      <c r="U1282" s="43">
        <f>AQ1282*INDEX(Dashboard!$G$6:$G$22,MATCH($A1282,Dashboard!$A$6:$A$22,0))</f>
        <v/>
      </c>
      <c r="V1282" s="47" t="n"/>
      <c r="W1282" s="47" t="n"/>
      <c r="X1282" s="47" t="n"/>
      <c r="Y1282" s="48" t="n"/>
      <c r="Z1282" s="49" t="n"/>
      <c r="AA1282" s="49" t="n"/>
      <c r="AB1282" s="49" t="n"/>
      <c r="AC1282" s="50" t="n"/>
      <c r="AD1282" s="43">
        <f>IF(Z1282&lt;&gt;"",Z1282,N(V1282))</f>
        <v/>
      </c>
      <c r="AE1282" s="43">
        <f>IF(AA1282&lt;&gt;"",AA1282,N(W1282))</f>
        <v/>
      </c>
      <c r="AF1282" s="43">
        <f>AD1282+AE1282</f>
        <v/>
      </c>
      <c r="AG1282" s="42">
        <f>IF(UPPER(AC1282)="Y",1,IF(AF1282=0,0,IF(AND(Z1282="",Y1282&lt;&gt;""),IF(Y1282&gt;=0.999,1,0),IF(AF1282&gt;=U1282,1,0))))</f>
        <v/>
      </c>
      <c r="AH1282" s="44">
        <f>IF(AF1282&gt;0,(AD1282-AE1282)/AF1282,"")</f>
        <v/>
      </c>
      <c r="AI1282" s="45">
        <f>IF(AG1282=1,AH1282-O1282,"")</f>
        <v/>
      </c>
      <c r="AJ1282" s="44">
        <f>IF(AG1282=1,AH1282,MAX(-1,MIN(1,O1282+INDEX(Types!$H:$H,MATCH($A1282&amp;"|"&amp;$D1282,Types!$A:$A,0)))))</f>
        <v/>
      </c>
      <c r="AK1282" s="43">
        <f>IF(AG1282=1,AF1282,MAX(AQ1282*AS1282,AF1282))</f>
        <v/>
      </c>
      <c r="AL1282" s="43">
        <f>IF(AG1282=1,AD1282,AK1282*(1+AJ1282)/2)</f>
        <v/>
      </c>
      <c r="AM1282" s="43">
        <f>IF(AG1282=1,AE1282,AK1282*(1-AJ1282)/2)</f>
        <v/>
      </c>
      <c r="AN1282" s="45">
        <f>IF(AH1282="","",AH1282-T1282)</f>
        <v/>
      </c>
      <c r="AO1282" s="51">
        <f>IF(AG1282=1,1,IF(U1282&gt;0,MIN(AF1282/U1282,0.99),0))</f>
        <v/>
      </c>
      <c r="AP1282" s="43">
        <f>IF(AG1282=1,AI1282*AF1282,0)</f>
        <v/>
      </c>
      <c r="AQ1282" s="43">
        <f>N1282*(F1282+G1282)/H1282</f>
        <v/>
      </c>
      <c r="AR1282" s="43">
        <f>O1282*AQ1282</f>
        <v/>
      </c>
      <c r="AS1282" s="52">
        <f>IF(AG1282=1,IF(AQ1282&gt;0,AF1282/AQ1282,1),IFERROR(INDEX(Types!$K:$K,MATCH($A1282&amp;"|"&amp;$D1282,Types!$A:$A,0)),INDEX(Dashboard!$X$6:$X$22,MATCH($A1282,Dashboard!$A$6:$A$22,0))))</f>
        <v/>
      </c>
      <c r="AT1282" s="43">
        <f>AQ1282*INDEX(Dashboard!$Y$6:$Y$22,MATCH($A1282,Dashboard!$A$6:$A$22,0))</f>
        <v/>
      </c>
      <c r="AU1282" s="53">
        <f>IF(AND(AG1282=1,AT1282&gt;0,AF1282&gt;0),100*AF1282/AT1282,"")</f>
        <v/>
      </c>
      <c r="AV1282" s="44">
        <f>IF(AU1282="","",T1282/(AU1282/100))</f>
        <v/>
      </c>
      <c r="AW1282" s="53">
        <f>IF(AU1282="","",IF(AND(ABS(AH1282)&gt;=0.1,ABS(T1282)&gt;=0.05,SIGN(AH1282)=SIGN(T1282)),100*T1282/AH1282,""))</f>
        <v/>
      </c>
      <c r="AX1282" s="45">
        <f>IF(AU1282="","",T1282-AV1282)</f>
        <v/>
      </c>
      <c r="AY1282" s="45">
        <f>IF(AU1282="","",AH1282-AV1282)</f>
        <v/>
      </c>
      <c r="AZ1282" s="54">
        <f>(AL1282-AM1282)-T1282*AT1282</f>
        <v/>
      </c>
      <c r="BA1282" s="43">
        <f>IF(AU1282="",0,(AH1282-T1282)*AF1282)</f>
        <v/>
      </c>
      <c r="BB1282" s="43">
        <f>IF(AU1282="",0,T1282*(AF1282-AT1282))</f>
        <v/>
      </c>
      <c r="BC1282" s="51" t="n">
        <v>0.5365363995163461</v>
      </c>
      <c r="BD1282" s="51" t="n">
        <v>0.1246321264800493</v>
      </c>
      <c r="BE1282" s="51" t="n">
        <v>0.2008236909197882</v>
      </c>
      <c r="BF1282" s="43" t="n">
        <v>43833</v>
      </c>
    </row>
    <row r="1283">
      <c r="A1283" s="42" t="inlineStr">
        <is>
          <t>FL</t>
        </is>
      </c>
      <c r="B1283" s="42" t="inlineStr">
        <is>
          <t>12041</t>
        </is>
      </c>
      <c r="C1283" s="42" t="inlineStr">
        <is>
          <t>Gilchrist</t>
        </is>
      </c>
      <c r="D1283" s="42" t="inlineStr">
        <is>
          <t>Small town &amp; rural</t>
        </is>
      </c>
      <c r="E1283" s="42" t="inlineStr"/>
      <c r="F1283" s="43" t="n">
        <v>1662</v>
      </c>
      <c r="G1283" s="43" t="n">
        <v>8931</v>
      </c>
      <c r="H1283" s="43" t="n">
        <v>10686</v>
      </c>
      <c r="I1283" s="43" t="n">
        <v>1700</v>
      </c>
      <c r="J1283" s="43" t="n">
        <v>7895</v>
      </c>
      <c r="K1283" s="42" t="inlineStr">
        <is>
          <t>US Senate</t>
        </is>
      </c>
      <c r="L1283" s="43" t="n">
        <v>1087</v>
      </c>
      <c r="M1283" s="43" t="n">
        <v>6657</v>
      </c>
      <c r="N1283" s="43" t="n">
        <v>7851</v>
      </c>
      <c r="O1283" s="44">
        <f>IFERROR((F1283-G1283)/(F1283+G1283),"")</f>
        <v/>
      </c>
      <c r="P1283" s="44">
        <f>IFERROR((I1283-J1283)/(I1283+J1283),"")</f>
        <v/>
      </c>
      <c r="Q1283" s="45">
        <f>IFERROR(O1283-P1283,"")</f>
        <v/>
      </c>
      <c r="R1283" s="44">
        <f>IFERROR((L1283-M1283)/(L1283+M1283),"")</f>
        <v/>
      </c>
      <c r="S1283" s="46">
        <f>H1283/SUMIFS(Counties!$H$2:$H$1583,Counties!$A$2:$A$1583,$A1283)</f>
        <v/>
      </c>
      <c r="T1283" s="44">
        <f>O1283+INDEX(Dashboard!$F$6:$F$22,MATCH($A1283,Dashboard!$A$6:$A$22,0))</f>
        <v/>
      </c>
      <c r="U1283" s="43">
        <f>AQ1283*INDEX(Dashboard!$G$6:$G$22,MATCH($A1283,Dashboard!$A$6:$A$22,0))</f>
        <v/>
      </c>
      <c r="V1283" s="47" t="n"/>
      <c r="W1283" s="47" t="n"/>
      <c r="X1283" s="47" t="n"/>
      <c r="Y1283" s="48" t="n"/>
      <c r="Z1283" s="49" t="n"/>
      <c r="AA1283" s="49" t="n"/>
      <c r="AB1283" s="49" t="n"/>
      <c r="AC1283" s="50" t="n"/>
      <c r="AD1283" s="43">
        <f>IF(Z1283&lt;&gt;"",Z1283,N(V1283))</f>
        <v/>
      </c>
      <c r="AE1283" s="43">
        <f>IF(AA1283&lt;&gt;"",AA1283,N(W1283))</f>
        <v/>
      </c>
      <c r="AF1283" s="43">
        <f>AD1283+AE1283</f>
        <v/>
      </c>
      <c r="AG1283" s="42">
        <f>IF(UPPER(AC1283)="Y",1,IF(AF1283=0,0,IF(AND(Z1283="",Y1283&lt;&gt;""),IF(Y1283&gt;=0.999,1,0),IF(AF1283&gt;=U1283,1,0))))</f>
        <v/>
      </c>
      <c r="AH1283" s="44">
        <f>IF(AF1283&gt;0,(AD1283-AE1283)/AF1283,"")</f>
        <v/>
      </c>
      <c r="AI1283" s="45">
        <f>IF(AG1283=1,AH1283-O1283,"")</f>
        <v/>
      </c>
      <c r="AJ1283" s="44">
        <f>IF(AG1283=1,AH1283,MAX(-1,MIN(1,O1283+INDEX(Types!$H:$H,MATCH($A1283&amp;"|"&amp;$D1283,Types!$A:$A,0)))))</f>
        <v/>
      </c>
      <c r="AK1283" s="43">
        <f>IF(AG1283=1,AF1283,MAX(AQ1283*AS1283,AF1283))</f>
        <v/>
      </c>
      <c r="AL1283" s="43">
        <f>IF(AG1283=1,AD1283,AK1283*(1+AJ1283)/2)</f>
        <v/>
      </c>
      <c r="AM1283" s="43">
        <f>IF(AG1283=1,AE1283,AK1283*(1-AJ1283)/2)</f>
        <v/>
      </c>
      <c r="AN1283" s="45">
        <f>IF(AH1283="","",AH1283-T1283)</f>
        <v/>
      </c>
      <c r="AO1283" s="51">
        <f>IF(AG1283=1,1,IF(U1283&gt;0,MIN(AF1283/U1283,0.99),0))</f>
        <v/>
      </c>
      <c r="AP1283" s="43">
        <f>IF(AG1283=1,AI1283*AF1283,0)</f>
        <v/>
      </c>
      <c r="AQ1283" s="43">
        <f>N1283*(F1283+G1283)/H1283</f>
        <v/>
      </c>
      <c r="AR1283" s="43">
        <f>O1283*AQ1283</f>
        <v/>
      </c>
      <c r="AS1283" s="52">
        <f>IF(AG1283=1,IF(AQ1283&gt;0,AF1283/AQ1283,1),IFERROR(INDEX(Types!$K:$K,MATCH($A1283&amp;"|"&amp;$D1283,Types!$A:$A,0)),INDEX(Dashboard!$X$6:$X$22,MATCH($A1283,Dashboard!$A$6:$A$22,0))))</f>
        <v/>
      </c>
      <c r="AT1283" s="43">
        <f>AQ1283*INDEX(Dashboard!$Y$6:$Y$22,MATCH($A1283,Dashboard!$A$6:$A$22,0))</f>
        <v/>
      </c>
      <c r="AU1283" s="53">
        <f>IF(AND(AG1283=1,AT1283&gt;0,AF1283&gt;0),100*AF1283/AT1283,"")</f>
        <v/>
      </c>
      <c r="AV1283" s="44">
        <f>IF(AU1283="","",T1283/(AU1283/100))</f>
        <v/>
      </c>
      <c r="AW1283" s="53">
        <f>IF(AU1283="","",IF(AND(ABS(AH1283)&gt;=0.1,ABS(T1283)&gt;=0.05,SIGN(AH1283)=SIGN(T1283)),100*T1283/AH1283,""))</f>
        <v/>
      </c>
      <c r="AX1283" s="45">
        <f>IF(AU1283="","",T1283-AV1283)</f>
        <v/>
      </c>
      <c r="AY1283" s="45">
        <f>IF(AU1283="","",AH1283-AV1283)</f>
        <v/>
      </c>
      <c r="AZ1283" s="54">
        <f>(AL1283-AM1283)-T1283*AT1283</f>
        <v/>
      </c>
      <c r="BA1283" s="43">
        <f>IF(AU1283="",0,(AH1283-T1283)*AF1283)</f>
        <v/>
      </c>
      <c r="BB1283" s="43">
        <f>IF(AU1283="",0,T1283*(AF1283-AT1283))</f>
        <v/>
      </c>
      <c r="BC1283" s="51" t="n">
        <v>0.03563588094144075</v>
      </c>
      <c r="BD1283" s="51" t="n">
        <v>0.07841935977944554</v>
      </c>
      <c r="BE1283" s="51" t="n">
        <v>0.1452152746082458</v>
      </c>
      <c r="BF1283" s="43" t="n">
        <v>19587</v>
      </c>
    </row>
    <row r="1284">
      <c r="A1284" s="42" t="inlineStr">
        <is>
          <t>FL</t>
        </is>
      </c>
      <c r="B1284" s="42" t="inlineStr">
        <is>
          <t>12043</t>
        </is>
      </c>
      <c r="C1284" s="42" t="inlineStr">
        <is>
          <t>Glades</t>
        </is>
      </c>
      <c r="D1284" s="42" t="inlineStr">
        <is>
          <t>Small town &amp; rural</t>
        </is>
      </c>
      <c r="E1284" s="42" t="inlineStr"/>
      <c r="F1284" s="43" t="n">
        <v>1222</v>
      </c>
      <c r="G1284" s="43" t="n">
        <v>4034</v>
      </c>
      <c r="H1284" s="43" t="n">
        <v>5279</v>
      </c>
      <c r="I1284" s="43" t="n">
        <v>1385</v>
      </c>
      <c r="J1284" s="43" t="n">
        <v>3782</v>
      </c>
      <c r="K1284" s="42" t="inlineStr">
        <is>
          <t>US Senate</t>
        </is>
      </c>
      <c r="L1284" s="43" t="n">
        <v>764</v>
      </c>
      <c r="M1284" s="43" t="n">
        <v>3026</v>
      </c>
      <c r="N1284" s="43" t="n">
        <v>3820</v>
      </c>
      <c r="O1284" s="44">
        <f>IFERROR((F1284-G1284)/(F1284+G1284),"")</f>
        <v/>
      </c>
      <c r="P1284" s="44">
        <f>IFERROR((I1284-J1284)/(I1284+J1284),"")</f>
        <v/>
      </c>
      <c r="Q1284" s="45">
        <f>IFERROR(O1284-P1284,"")</f>
        <v/>
      </c>
      <c r="R1284" s="44">
        <f>IFERROR((L1284-M1284)/(L1284+M1284),"")</f>
        <v/>
      </c>
      <c r="S1284" s="46">
        <f>H1284/SUMIFS(Counties!$H$2:$H$1583,Counties!$A$2:$A$1583,$A1284)</f>
        <v/>
      </c>
      <c r="T1284" s="44">
        <f>O1284+INDEX(Dashboard!$F$6:$F$22,MATCH($A1284,Dashboard!$A$6:$A$22,0))</f>
        <v/>
      </c>
      <c r="U1284" s="43">
        <f>AQ1284*INDEX(Dashboard!$G$6:$G$22,MATCH($A1284,Dashboard!$A$6:$A$22,0))</f>
        <v/>
      </c>
      <c r="V1284" s="47" t="n"/>
      <c r="W1284" s="47" t="n"/>
      <c r="X1284" s="47" t="n"/>
      <c r="Y1284" s="48" t="n"/>
      <c r="Z1284" s="49" t="n"/>
      <c r="AA1284" s="49" t="n"/>
      <c r="AB1284" s="49" t="n"/>
      <c r="AC1284" s="50" t="n"/>
      <c r="AD1284" s="43">
        <f>IF(Z1284&lt;&gt;"",Z1284,N(V1284))</f>
        <v/>
      </c>
      <c r="AE1284" s="43">
        <f>IF(AA1284&lt;&gt;"",AA1284,N(W1284))</f>
        <v/>
      </c>
      <c r="AF1284" s="43">
        <f>AD1284+AE1284</f>
        <v/>
      </c>
      <c r="AG1284" s="42">
        <f>IF(UPPER(AC1284)="Y",1,IF(AF1284=0,0,IF(AND(Z1284="",Y1284&lt;&gt;""),IF(Y1284&gt;=0.999,1,0),IF(AF1284&gt;=U1284,1,0))))</f>
        <v/>
      </c>
      <c r="AH1284" s="44">
        <f>IF(AF1284&gt;0,(AD1284-AE1284)/AF1284,"")</f>
        <v/>
      </c>
      <c r="AI1284" s="45">
        <f>IF(AG1284=1,AH1284-O1284,"")</f>
        <v/>
      </c>
      <c r="AJ1284" s="44">
        <f>IF(AG1284=1,AH1284,MAX(-1,MIN(1,O1284+INDEX(Types!$H:$H,MATCH($A1284&amp;"|"&amp;$D1284,Types!$A:$A,0)))))</f>
        <v/>
      </c>
      <c r="AK1284" s="43">
        <f>IF(AG1284=1,AF1284,MAX(AQ1284*AS1284,AF1284))</f>
        <v/>
      </c>
      <c r="AL1284" s="43">
        <f>IF(AG1284=1,AD1284,AK1284*(1+AJ1284)/2)</f>
        <v/>
      </c>
      <c r="AM1284" s="43">
        <f>IF(AG1284=1,AE1284,AK1284*(1-AJ1284)/2)</f>
        <v/>
      </c>
      <c r="AN1284" s="45">
        <f>IF(AH1284="","",AH1284-T1284)</f>
        <v/>
      </c>
      <c r="AO1284" s="51">
        <f>IF(AG1284=1,1,IF(U1284&gt;0,MIN(AF1284/U1284,0.99),0))</f>
        <v/>
      </c>
      <c r="AP1284" s="43">
        <f>IF(AG1284=1,AI1284*AF1284,0)</f>
        <v/>
      </c>
      <c r="AQ1284" s="43">
        <f>N1284*(F1284+G1284)/H1284</f>
        <v/>
      </c>
      <c r="AR1284" s="43">
        <f>O1284*AQ1284</f>
        <v/>
      </c>
      <c r="AS1284" s="52">
        <f>IF(AG1284=1,IF(AQ1284&gt;0,AF1284/AQ1284,1),IFERROR(INDEX(Types!$K:$K,MATCH($A1284&amp;"|"&amp;$D1284,Types!$A:$A,0)),INDEX(Dashboard!$X$6:$X$22,MATCH($A1284,Dashboard!$A$6:$A$22,0))))</f>
        <v/>
      </c>
      <c r="AT1284" s="43">
        <f>AQ1284*INDEX(Dashboard!$Y$6:$Y$22,MATCH($A1284,Dashboard!$A$6:$A$22,0))</f>
        <v/>
      </c>
      <c r="AU1284" s="53">
        <f>IF(AND(AG1284=1,AT1284&gt;0,AF1284&gt;0),100*AF1284/AT1284,"")</f>
        <v/>
      </c>
      <c r="AV1284" s="44">
        <f>IF(AU1284="","",T1284/(AU1284/100))</f>
        <v/>
      </c>
      <c r="AW1284" s="53">
        <f>IF(AU1284="","",IF(AND(ABS(AH1284)&gt;=0.1,ABS(T1284)&gt;=0.05,SIGN(AH1284)=SIGN(T1284)),100*T1284/AH1284,""))</f>
        <v/>
      </c>
      <c r="AX1284" s="45">
        <f>IF(AU1284="","",T1284-AV1284)</f>
        <v/>
      </c>
      <c r="AY1284" s="45">
        <f>IF(AU1284="","",AH1284-AV1284)</f>
        <v/>
      </c>
      <c r="AZ1284" s="54">
        <f>(AL1284-AM1284)-T1284*AT1284</f>
        <v/>
      </c>
      <c r="BA1284" s="43">
        <f>IF(AU1284="",0,(AH1284-T1284)*AF1284)</f>
        <v/>
      </c>
      <c r="BB1284" s="43">
        <f>IF(AU1284="",0,T1284*(AF1284-AT1284))</f>
        <v/>
      </c>
      <c r="BC1284" s="51" t="n">
        <v>0.1413264508055686</v>
      </c>
      <c r="BD1284" s="51" t="n">
        <v>0.2562177381511028</v>
      </c>
      <c r="BE1284" s="51" t="n">
        <v>0.1270983213429256</v>
      </c>
      <c r="BF1284" s="43" t="n">
        <v>12786</v>
      </c>
    </row>
    <row r="1285">
      <c r="A1285" s="42" t="inlineStr">
        <is>
          <t>FL</t>
        </is>
      </c>
      <c r="B1285" s="42" t="inlineStr">
        <is>
          <t>12045</t>
        </is>
      </c>
      <c r="C1285" s="42" t="inlineStr">
        <is>
          <t>Gulf</t>
        </is>
      </c>
      <c r="D1285" s="42" t="inlineStr">
        <is>
          <t>Small town &amp; rural</t>
        </is>
      </c>
      <c r="E1285" s="42" t="inlineStr"/>
      <c r="F1285" s="43" t="n">
        <v>1970</v>
      </c>
      <c r="G1285" s="43" t="n">
        <v>6684</v>
      </c>
      <c r="H1285" s="43" t="n">
        <v>8697</v>
      </c>
      <c r="I1285" s="43" t="n">
        <v>1985</v>
      </c>
      <c r="J1285" s="43" t="n">
        <v>6113</v>
      </c>
      <c r="K1285" s="42" t="inlineStr">
        <is>
          <t>US Senate</t>
        </is>
      </c>
      <c r="L1285" s="43" t="n">
        <v>1295</v>
      </c>
      <c r="M1285" s="43" t="n">
        <v>5069</v>
      </c>
      <c r="N1285" s="43" t="n">
        <v>6420</v>
      </c>
      <c r="O1285" s="44">
        <f>IFERROR((F1285-G1285)/(F1285+G1285),"")</f>
        <v/>
      </c>
      <c r="P1285" s="44">
        <f>IFERROR((I1285-J1285)/(I1285+J1285),"")</f>
        <v/>
      </c>
      <c r="Q1285" s="45">
        <f>IFERROR(O1285-P1285,"")</f>
        <v/>
      </c>
      <c r="R1285" s="44">
        <f>IFERROR((L1285-M1285)/(L1285+M1285),"")</f>
        <v/>
      </c>
      <c r="S1285" s="46">
        <f>H1285/SUMIFS(Counties!$H$2:$H$1583,Counties!$A$2:$A$1583,$A1285)</f>
        <v/>
      </c>
      <c r="T1285" s="44">
        <f>O1285+INDEX(Dashboard!$F$6:$F$22,MATCH($A1285,Dashboard!$A$6:$A$22,0))</f>
        <v/>
      </c>
      <c r="U1285" s="43">
        <f>AQ1285*INDEX(Dashboard!$G$6:$G$22,MATCH($A1285,Dashboard!$A$6:$A$22,0))</f>
        <v/>
      </c>
      <c r="V1285" s="47" t="n"/>
      <c r="W1285" s="47" t="n"/>
      <c r="X1285" s="47" t="n"/>
      <c r="Y1285" s="48" t="n"/>
      <c r="Z1285" s="49" t="n"/>
      <c r="AA1285" s="49" t="n"/>
      <c r="AB1285" s="49" t="n"/>
      <c r="AC1285" s="50" t="n"/>
      <c r="AD1285" s="43">
        <f>IF(Z1285&lt;&gt;"",Z1285,N(V1285))</f>
        <v/>
      </c>
      <c r="AE1285" s="43">
        <f>IF(AA1285&lt;&gt;"",AA1285,N(W1285))</f>
        <v/>
      </c>
      <c r="AF1285" s="43">
        <f>AD1285+AE1285</f>
        <v/>
      </c>
      <c r="AG1285" s="42">
        <f>IF(UPPER(AC1285)="Y",1,IF(AF1285=0,0,IF(AND(Z1285="",Y1285&lt;&gt;""),IF(Y1285&gt;=0.999,1,0),IF(AF1285&gt;=U1285,1,0))))</f>
        <v/>
      </c>
      <c r="AH1285" s="44">
        <f>IF(AF1285&gt;0,(AD1285-AE1285)/AF1285,"")</f>
        <v/>
      </c>
      <c r="AI1285" s="45">
        <f>IF(AG1285=1,AH1285-O1285,"")</f>
        <v/>
      </c>
      <c r="AJ1285" s="44">
        <f>IF(AG1285=1,AH1285,MAX(-1,MIN(1,O1285+INDEX(Types!$H:$H,MATCH($A1285&amp;"|"&amp;$D1285,Types!$A:$A,0)))))</f>
        <v/>
      </c>
      <c r="AK1285" s="43">
        <f>IF(AG1285=1,AF1285,MAX(AQ1285*AS1285,AF1285))</f>
        <v/>
      </c>
      <c r="AL1285" s="43">
        <f>IF(AG1285=1,AD1285,AK1285*(1+AJ1285)/2)</f>
        <v/>
      </c>
      <c r="AM1285" s="43">
        <f>IF(AG1285=1,AE1285,AK1285*(1-AJ1285)/2)</f>
        <v/>
      </c>
      <c r="AN1285" s="45">
        <f>IF(AH1285="","",AH1285-T1285)</f>
        <v/>
      </c>
      <c r="AO1285" s="51">
        <f>IF(AG1285=1,1,IF(U1285&gt;0,MIN(AF1285/U1285,0.99),0))</f>
        <v/>
      </c>
      <c r="AP1285" s="43">
        <f>IF(AG1285=1,AI1285*AF1285,0)</f>
        <v/>
      </c>
      <c r="AQ1285" s="43">
        <f>N1285*(F1285+G1285)/H1285</f>
        <v/>
      </c>
      <c r="AR1285" s="43">
        <f>O1285*AQ1285</f>
        <v/>
      </c>
      <c r="AS1285" s="52">
        <f>IF(AG1285=1,IF(AQ1285&gt;0,AF1285/AQ1285,1),IFERROR(INDEX(Types!$K:$K,MATCH($A1285&amp;"|"&amp;$D1285,Types!$A:$A,0)),INDEX(Dashboard!$X$6:$X$22,MATCH($A1285,Dashboard!$A$6:$A$22,0))))</f>
        <v/>
      </c>
      <c r="AT1285" s="43">
        <f>AQ1285*INDEX(Dashboard!$Y$6:$Y$22,MATCH($A1285,Dashboard!$A$6:$A$22,0))</f>
        <v/>
      </c>
      <c r="AU1285" s="53">
        <f>IF(AND(AG1285=1,AT1285&gt;0,AF1285&gt;0),100*AF1285/AT1285,"")</f>
        <v/>
      </c>
      <c r="AV1285" s="44">
        <f>IF(AU1285="","",T1285/(AU1285/100))</f>
        <v/>
      </c>
      <c r="AW1285" s="53">
        <f>IF(AU1285="","",IF(AND(ABS(AH1285)&gt;=0.1,ABS(T1285)&gt;=0.05,SIGN(AH1285)=SIGN(T1285)),100*T1285/AH1285,""))</f>
        <v/>
      </c>
      <c r="AX1285" s="45">
        <f>IF(AU1285="","",T1285-AV1285)</f>
        <v/>
      </c>
      <c r="AY1285" s="45">
        <f>IF(AU1285="","",AH1285-AV1285)</f>
        <v/>
      </c>
      <c r="AZ1285" s="54">
        <f>(AL1285-AM1285)-T1285*AT1285</f>
        <v/>
      </c>
      <c r="BA1285" s="43">
        <f>IF(AU1285="",0,(AH1285-T1285)*AF1285)</f>
        <v/>
      </c>
      <c r="BB1285" s="43">
        <f>IF(AU1285="",0,T1285*(AF1285-AT1285))</f>
        <v/>
      </c>
      <c r="BC1285" s="51" t="n">
        <v>0.1356018607022239</v>
      </c>
      <c r="BD1285" s="51" t="n">
        <v>0.05212515134136239</v>
      </c>
      <c r="BE1285" s="51" t="n">
        <v>0.2448735475051265</v>
      </c>
      <c r="BF1285" s="43" t="n">
        <v>15693</v>
      </c>
    </row>
    <row r="1286">
      <c r="A1286" s="42" t="inlineStr">
        <is>
          <t>FL</t>
        </is>
      </c>
      <c r="B1286" s="42" t="inlineStr">
        <is>
          <t>12047</t>
        </is>
      </c>
      <c r="C1286" s="42" t="inlineStr">
        <is>
          <t>Hamilton</t>
        </is>
      </c>
      <c r="D1286" s="42" t="inlineStr">
        <is>
          <t>Small town &amp; rural</t>
        </is>
      </c>
      <c r="E1286" s="42" t="inlineStr"/>
      <c r="F1286" s="43" t="n">
        <v>1727</v>
      </c>
      <c r="G1286" s="43" t="n">
        <v>3964</v>
      </c>
      <c r="H1286" s="43" t="n">
        <v>5733</v>
      </c>
      <c r="I1286" s="43" t="n">
        <v>1963</v>
      </c>
      <c r="J1286" s="43" t="n">
        <v>3815</v>
      </c>
      <c r="K1286" s="42" t="inlineStr">
        <is>
          <t>US Senate</t>
        </is>
      </c>
      <c r="L1286" s="43" t="n">
        <v>1215</v>
      </c>
      <c r="M1286" s="43" t="n">
        <v>3030</v>
      </c>
      <c r="N1286" s="43" t="n">
        <v>4283</v>
      </c>
      <c r="O1286" s="44">
        <f>IFERROR((F1286-G1286)/(F1286+G1286),"")</f>
        <v/>
      </c>
      <c r="P1286" s="44">
        <f>IFERROR((I1286-J1286)/(I1286+J1286),"")</f>
        <v/>
      </c>
      <c r="Q1286" s="45">
        <f>IFERROR(O1286-P1286,"")</f>
        <v/>
      </c>
      <c r="R1286" s="44">
        <f>IFERROR((L1286-M1286)/(L1286+M1286),"")</f>
        <v/>
      </c>
      <c r="S1286" s="46">
        <f>H1286/SUMIFS(Counties!$H$2:$H$1583,Counties!$A$2:$A$1583,$A1286)</f>
        <v/>
      </c>
      <c r="T1286" s="44">
        <f>O1286+INDEX(Dashboard!$F$6:$F$22,MATCH($A1286,Dashboard!$A$6:$A$22,0))</f>
        <v/>
      </c>
      <c r="U1286" s="43">
        <f>AQ1286*INDEX(Dashboard!$G$6:$G$22,MATCH($A1286,Dashboard!$A$6:$A$22,0))</f>
        <v/>
      </c>
      <c r="V1286" s="47" t="n"/>
      <c r="W1286" s="47" t="n"/>
      <c r="X1286" s="47" t="n"/>
      <c r="Y1286" s="48" t="n"/>
      <c r="Z1286" s="49" t="n"/>
      <c r="AA1286" s="49" t="n"/>
      <c r="AB1286" s="49" t="n"/>
      <c r="AC1286" s="50" t="n"/>
      <c r="AD1286" s="43">
        <f>IF(Z1286&lt;&gt;"",Z1286,N(V1286))</f>
        <v/>
      </c>
      <c r="AE1286" s="43">
        <f>IF(AA1286&lt;&gt;"",AA1286,N(W1286))</f>
        <v/>
      </c>
      <c r="AF1286" s="43">
        <f>AD1286+AE1286</f>
        <v/>
      </c>
      <c r="AG1286" s="42">
        <f>IF(UPPER(AC1286)="Y",1,IF(AF1286=0,0,IF(AND(Z1286="",Y1286&lt;&gt;""),IF(Y1286&gt;=0.999,1,0),IF(AF1286&gt;=U1286,1,0))))</f>
        <v/>
      </c>
      <c r="AH1286" s="44">
        <f>IF(AF1286&gt;0,(AD1286-AE1286)/AF1286,"")</f>
        <v/>
      </c>
      <c r="AI1286" s="45">
        <f>IF(AG1286=1,AH1286-O1286,"")</f>
        <v/>
      </c>
      <c r="AJ1286" s="44">
        <f>IF(AG1286=1,AH1286,MAX(-1,MIN(1,O1286+INDEX(Types!$H:$H,MATCH($A1286&amp;"|"&amp;$D1286,Types!$A:$A,0)))))</f>
        <v/>
      </c>
      <c r="AK1286" s="43">
        <f>IF(AG1286=1,AF1286,MAX(AQ1286*AS1286,AF1286))</f>
        <v/>
      </c>
      <c r="AL1286" s="43">
        <f>IF(AG1286=1,AD1286,AK1286*(1+AJ1286)/2)</f>
        <v/>
      </c>
      <c r="AM1286" s="43">
        <f>IF(AG1286=1,AE1286,AK1286*(1-AJ1286)/2)</f>
        <v/>
      </c>
      <c r="AN1286" s="45">
        <f>IF(AH1286="","",AH1286-T1286)</f>
        <v/>
      </c>
      <c r="AO1286" s="51">
        <f>IF(AG1286=1,1,IF(U1286&gt;0,MIN(AF1286/U1286,0.99),0))</f>
        <v/>
      </c>
      <c r="AP1286" s="43">
        <f>IF(AG1286=1,AI1286*AF1286,0)</f>
        <v/>
      </c>
      <c r="AQ1286" s="43">
        <f>N1286*(F1286+G1286)/H1286</f>
        <v/>
      </c>
      <c r="AR1286" s="43">
        <f>O1286*AQ1286</f>
        <v/>
      </c>
      <c r="AS1286" s="52">
        <f>IF(AG1286=1,IF(AQ1286&gt;0,AF1286/AQ1286,1),IFERROR(INDEX(Types!$K:$K,MATCH($A1286&amp;"|"&amp;$D1286,Types!$A:$A,0)),INDEX(Dashboard!$X$6:$X$22,MATCH($A1286,Dashboard!$A$6:$A$22,0))))</f>
        <v/>
      </c>
      <c r="AT1286" s="43">
        <f>AQ1286*INDEX(Dashboard!$Y$6:$Y$22,MATCH($A1286,Dashboard!$A$6:$A$22,0))</f>
        <v/>
      </c>
      <c r="AU1286" s="53">
        <f>IF(AND(AG1286=1,AT1286&gt;0,AF1286&gt;0),100*AF1286/AT1286,"")</f>
        <v/>
      </c>
      <c r="AV1286" s="44">
        <f>IF(AU1286="","",T1286/(AU1286/100))</f>
        <v/>
      </c>
      <c r="AW1286" s="53">
        <f>IF(AU1286="","",IF(AND(ABS(AH1286)&gt;=0.1,ABS(T1286)&gt;=0.05,SIGN(AH1286)=SIGN(T1286)),100*T1286/AH1286,""))</f>
        <v/>
      </c>
      <c r="AX1286" s="45">
        <f>IF(AU1286="","",T1286-AV1286)</f>
        <v/>
      </c>
      <c r="AY1286" s="45">
        <f>IF(AU1286="","",AH1286-AV1286)</f>
        <v/>
      </c>
      <c r="AZ1286" s="54">
        <f>(AL1286-AM1286)-T1286*AT1286</f>
        <v/>
      </c>
      <c r="BA1286" s="43">
        <f>IF(AU1286="",0,(AH1286-T1286)*AF1286)</f>
        <v/>
      </c>
      <c r="BB1286" s="43">
        <f>IF(AU1286="",0,T1286*(AF1286-AT1286))</f>
        <v/>
      </c>
      <c r="BC1286" s="51" t="n">
        <v>0.2881003637443397</v>
      </c>
      <c r="BD1286" s="51" t="n">
        <v>0.1160270210080915</v>
      </c>
      <c r="BE1286" s="51" t="n">
        <v>0.1120592166135499</v>
      </c>
      <c r="BF1286" s="43" t="n">
        <v>13471</v>
      </c>
    </row>
    <row r="1287">
      <c r="A1287" s="42" t="inlineStr">
        <is>
          <t>FL</t>
        </is>
      </c>
      <c r="B1287" s="42" t="inlineStr">
        <is>
          <t>12049</t>
        </is>
      </c>
      <c r="C1287" s="42" t="inlineStr">
        <is>
          <t>Hardee</t>
        </is>
      </c>
      <c r="D1287" s="42" t="inlineStr">
        <is>
          <t>Hispanic</t>
        </is>
      </c>
      <c r="E1287" s="42" t="inlineStr"/>
      <c r="F1287" s="43" t="n">
        <v>1751</v>
      </c>
      <c r="G1287" s="43" t="n">
        <v>6336</v>
      </c>
      <c r="H1287" s="43" t="n">
        <v>8143</v>
      </c>
      <c r="I1287" s="43" t="n">
        <v>2298</v>
      </c>
      <c r="J1287" s="43" t="n">
        <v>6122</v>
      </c>
      <c r="K1287" s="42" t="inlineStr">
        <is>
          <t>US Senate</t>
        </is>
      </c>
      <c r="L1287" s="43" t="n">
        <v>981</v>
      </c>
      <c r="M1287" s="43" t="n">
        <v>4480</v>
      </c>
      <c r="N1287" s="43" t="n">
        <v>5523</v>
      </c>
      <c r="O1287" s="44">
        <f>IFERROR((F1287-G1287)/(F1287+G1287),"")</f>
        <v/>
      </c>
      <c r="P1287" s="44">
        <f>IFERROR((I1287-J1287)/(I1287+J1287),"")</f>
        <v/>
      </c>
      <c r="Q1287" s="45">
        <f>IFERROR(O1287-P1287,"")</f>
        <v/>
      </c>
      <c r="R1287" s="44">
        <f>IFERROR((L1287-M1287)/(L1287+M1287),"")</f>
        <v/>
      </c>
      <c r="S1287" s="46">
        <f>H1287/SUMIFS(Counties!$H$2:$H$1583,Counties!$A$2:$A$1583,$A1287)</f>
        <v/>
      </c>
      <c r="T1287" s="44">
        <f>O1287+INDEX(Dashboard!$F$6:$F$22,MATCH($A1287,Dashboard!$A$6:$A$22,0))</f>
        <v/>
      </c>
      <c r="U1287" s="43">
        <f>AQ1287*INDEX(Dashboard!$G$6:$G$22,MATCH($A1287,Dashboard!$A$6:$A$22,0))</f>
        <v/>
      </c>
      <c r="V1287" s="47" t="n"/>
      <c r="W1287" s="47" t="n"/>
      <c r="X1287" s="47" t="n"/>
      <c r="Y1287" s="48" t="n"/>
      <c r="Z1287" s="49" t="n"/>
      <c r="AA1287" s="49" t="n"/>
      <c r="AB1287" s="49" t="n"/>
      <c r="AC1287" s="50" t="n"/>
      <c r="AD1287" s="43">
        <f>IF(Z1287&lt;&gt;"",Z1287,N(V1287))</f>
        <v/>
      </c>
      <c r="AE1287" s="43">
        <f>IF(AA1287&lt;&gt;"",AA1287,N(W1287))</f>
        <v/>
      </c>
      <c r="AF1287" s="43">
        <f>AD1287+AE1287</f>
        <v/>
      </c>
      <c r="AG1287" s="42">
        <f>IF(UPPER(AC1287)="Y",1,IF(AF1287=0,0,IF(AND(Z1287="",Y1287&lt;&gt;""),IF(Y1287&gt;=0.999,1,0),IF(AF1287&gt;=U1287,1,0))))</f>
        <v/>
      </c>
      <c r="AH1287" s="44">
        <f>IF(AF1287&gt;0,(AD1287-AE1287)/AF1287,"")</f>
        <v/>
      </c>
      <c r="AI1287" s="45">
        <f>IF(AG1287=1,AH1287-O1287,"")</f>
        <v/>
      </c>
      <c r="AJ1287" s="44">
        <f>IF(AG1287=1,AH1287,MAX(-1,MIN(1,O1287+INDEX(Types!$H:$H,MATCH($A1287&amp;"|"&amp;$D1287,Types!$A:$A,0)))))</f>
        <v/>
      </c>
      <c r="AK1287" s="43">
        <f>IF(AG1287=1,AF1287,MAX(AQ1287*AS1287,AF1287))</f>
        <v/>
      </c>
      <c r="AL1287" s="43">
        <f>IF(AG1287=1,AD1287,AK1287*(1+AJ1287)/2)</f>
        <v/>
      </c>
      <c r="AM1287" s="43">
        <f>IF(AG1287=1,AE1287,AK1287*(1-AJ1287)/2)</f>
        <v/>
      </c>
      <c r="AN1287" s="45">
        <f>IF(AH1287="","",AH1287-T1287)</f>
        <v/>
      </c>
      <c r="AO1287" s="51">
        <f>IF(AG1287=1,1,IF(U1287&gt;0,MIN(AF1287/U1287,0.99),0))</f>
        <v/>
      </c>
      <c r="AP1287" s="43">
        <f>IF(AG1287=1,AI1287*AF1287,0)</f>
        <v/>
      </c>
      <c r="AQ1287" s="43">
        <f>N1287*(F1287+G1287)/H1287</f>
        <v/>
      </c>
      <c r="AR1287" s="43">
        <f>O1287*AQ1287</f>
        <v/>
      </c>
      <c r="AS1287" s="52">
        <f>IF(AG1287=1,IF(AQ1287&gt;0,AF1287/AQ1287,1),IFERROR(INDEX(Types!$K:$K,MATCH($A1287&amp;"|"&amp;$D1287,Types!$A:$A,0)),INDEX(Dashboard!$X$6:$X$22,MATCH($A1287,Dashboard!$A$6:$A$22,0))))</f>
        <v/>
      </c>
      <c r="AT1287" s="43">
        <f>AQ1287*INDEX(Dashboard!$Y$6:$Y$22,MATCH($A1287,Dashboard!$A$6:$A$22,0))</f>
        <v/>
      </c>
      <c r="AU1287" s="53">
        <f>IF(AND(AG1287=1,AT1287&gt;0,AF1287&gt;0),100*AF1287/AT1287,"")</f>
        <v/>
      </c>
      <c r="AV1287" s="44">
        <f>IF(AU1287="","",T1287/(AU1287/100))</f>
        <v/>
      </c>
      <c r="AW1287" s="53">
        <f>IF(AU1287="","",IF(AND(ABS(AH1287)&gt;=0.1,ABS(T1287)&gt;=0.05,SIGN(AH1287)=SIGN(T1287)),100*T1287/AH1287,""))</f>
        <v/>
      </c>
      <c r="AX1287" s="45">
        <f>IF(AU1287="","",T1287-AV1287)</f>
        <v/>
      </c>
      <c r="AY1287" s="45">
        <f>IF(AU1287="","",AH1287-AV1287)</f>
        <v/>
      </c>
      <c r="AZ1287" s="54">
        <f>(AL1287-AM1287)-T1287*AT1287</f>
        <v/>
      </c>
      <c r="BA1287" s="43">
        <f>IF(AU1287="",0,(AH1287-T1287)*AF1287)</f>
        <v/>
      </c>
      <c r="BB1287" s="43">
        <f>IF(AU1287="",0,T1287*(AF1287-AT1287))</f>
        <v/>
      </c>
      <c r="BC1287" s="51" t="n">
        <v>0.07597049689440993</v>
      </c>
      <c r="BD1287" s="51" t="n">
        <v>0.4247670807453416</v>
      </c>
      <c r="BE1287" s="51" t="n">
        <v>0.12254286909243</v>
      </c>
      <c r="BF1287" s="43" t="n">
        <v>25760</v>
      </c>
    </row>
    <row r="1288">
      <c r="A1288" s="42" t="inlineStr">
        <is>
          <t>FL</t>
        </is>
      </c>
      <c r="B1288" s="42" t="inlineStr">
        <is>
          <t>12051</t>
        </is>
      </c>
      <c r="C1288" s="42" t="inlineStr">
        <is>
          <t>Hendry</t>
        </is>
      </c>
      <c r="D1288" s="42" t="inlineStr">
        <is>
          <t>Hispanic</t>
        </is>
      </c>
      <c r="E1288" s="42" t="inlineStr"/>
      <c r="F1288" s="43" t="n">
        <v>4096</v>
      </c>
      <c r="G1288" s="43" t="n">
        <v>9253</v>
      </c>
      <c r="H1288" s="43" t="n">
        <v>13460</v>
      </c>
      <c r="I1288" s="43" t="n">
        <v>4929</v>
      </c>
      <c r="J1288" s="43" t="n">
        <v>7906</v>
      </c>
      <c r="K1288" s="42" t="inlineStr">
        <is>
          <t>US Senate</t>
        </is>
      </c>
      <c r="L1288" s="43" t="n">
        <v>2121</v>
      </c>
      <c r="M1288" s="43" t="n">
        <v>6008</v>
      </c>
      <c r="N1288" s="43" t="n">
        <v>8235</v>
      </c>
      <c r="O1288" s="44">
        <f>IFERROR((F1288-G1288)/(F1288+G1288),"")</f>
        <v/>
      </c>
      <c r="P1288" s="44">
        <f>IFERROR((I1288-J1288)/(I1288+J1288),"")</f>
        <v/>
      </c>
      <c r="Q1288" s="45">
        <f>IFERROR(O1288-P1288,"")</f>
        <v/>
      </c>
      <c r="R1288" s="44">
        <f>IFERROR((L1288-M1288)/(L1288+M1288),"")</f>
        <v/>
      </c>
      <c r="S1288" s="46">
        <f>H1288/SUMIFS(Counties!$H$2:$H$1583,Counties!$A$2:$A$1583,$A1288)</f>
        <v/>
      </c>
      <c r="T1288" s="44">
        <f>O1288+INDEX(Dashboard!$F$6:$F$22,MATCH($A1288,Dashboard!$A$6:$A$22,0))</f>
        <v/>
      </c>
      <c r="U1288" s="43">
        <f>AQ1288*INDEX(Dashboard!$G$6:$G$22,MATCH($A1288,Dashboard!$A$6:$A$22,0))</f>
        <v/>
      </c>
      <c r="V1288" s="47" t="n"/>
      <c r="W1288" s="47" t="n"/>
      <c r="X1288" s="47" t="n"/>
      <c r="Y1288" s="48" t="n"/>
      <c r="Z1288" s="49" t="n"/>
      <c r="AA1288" s="49" t="n"/>
      <c r="AB1288" s="49" t="n"/>
      <c r="AC1288" s="50" t="n"/>
      <c r="AD1288" s="43">
        <f>IF(Z1288&lt;&gt;"",Z1288,N(V1288))</f>
        <v/>
      </c>
      <c r="AE1288" s="43">
        <f>IF(AA1288&lt;&gt;"",AA1288,N(W1288))</f>
        <v/>
      </c>
      <c r="AF1288" s="43">
        <f>AD1288+AE1288</f>
        <v/>
      </c>
      <c r="AG1288" s="42">
        <f>IF(UPPER(AC1288)="Y",1,IF(AF1288=0,0,IF(AND(Z1288="",Y1288&lt;&gt;""),IF(Y1288&gt;=0.999,1,0),IF(AF1288&gt;=U1288,1,0))))</f>
        <v/>
      </c>
      <c r="AH1288" s="44">
        <f>IF(AF1288&gt;0,(AD1288-AE1288)/AF1288,"")</f>
        <v/>
      </c>
      <c r="AI1288" s="45">
        <f>IF(AG1288=1,AH1288-O1288,"")</f>
        <v/>
      </c>
      <c r="AJ1288" s="44">
        <f>IF(AG1288=1,AH1288,MAX(-1,MIN(1,O1288+INDEX(Types!$H:$H,MATCH($A1288&amp;"|"&amp;$D1288,Types!$A:$A,0)))))</f>
        <v/>
      </c>
      <c r="AK1288" s="43">
        <f>IF(AG1288=1,AF1288,MAX(AQ1288*AS1288,AF1288))</f>
        <v/>
      </c>
      <c r="AL1288" s="43">
        <f>IF(AG1288=1,AD1288,AK1288*(1+AJ1288)/2)</f>
        <v/>
      </c>
      <c r="AM1288" s="43">
        <f>IF(AG1288=1,AE1288,AK1288*(1-AJ1288)/2)</f>
        <v/>
      </c>
      <c r="AN1288" s="45">
        <f>IF(AH1288="","",AH1288-T1288)</f>
        <v/>
      </c>
      <c r="AO1288" s="51">
        <f>IF(AG1288=1,1,IF(U1288&gt;0,MIN(AF1288/U1288,0.99),0))</f>
        <v/>
      </c>
      <c r="AP1288" s="43">
        <f>IF(AG1288=1,AI1288*AF1288,0)</f>
        <v/>
      </c>
      <c r="AQ1288" s="43">
        <f>N1288*(F1288+G1288)/H1288</f>
        <v/>
      </c>
      <c r="AR1288" s="43">
        <f>O1288*AQ1288</f>
        <v/>
      </c>
      <c r="AS1288" s="52">
        <f>IF(AG1288=1,IF(AQ1288&gt;0,AF1288/AQ1288,1),IFERROR(INDEX(Types!$K:$K,MATCH($A1288&amp;"|"&amp;$D1288,Types!$A:$A,0)),INDEX(Dashboard!$X$6:$X$22,MATCH($A1288,Dashboard!$A$6:$A$22,0))))</f>
        <v/>
      </c>
      <c r="AT1288" s="43">
        <f>AQ1288*INDEX(Dashboard!$Y$6:$Y$22,MATCH($A1288,Dashboard!$A$6:$A$22,0))</f>
        <v/>
      </c>
      <c r="AU1288" s="53">
        <f>IF(AND(AG1288=1,AT1288&gt;0,AF1288&gt;0),100*AF1288/AT1288,"")</f>
        <v/>
      </c>
      <c r="AV1288" s="44">
        <f>IF(AU1288="","",T1288/(AU1288/100))</f>
        <v/>
      </c>
      <c r="AW1288" s="53">
        <f>IF(AU1288="","",IF(AND(ABS(AH1288)&gt;=0.1,ABS(T1288)&gt;=0.05,SIGN(AH1288)=SIGN(T1288)),100*T1288/AH1288,""))</f>
        <v/>
      </c>
      <c r="AX1288" s="45">
        <f>IF(AU1288="","",T1288-AV1288)</f>
        <v/>
      </c>
      <c r="AY1288" s="45">
        <f>IF(AU1288="","",AH1288-AV1288)</f>
        <v/>
      </c>
      <c r="AZ1288" s="54">
        <f>(AL1288-AM1288)-T1288*AT1288</f>
        <v/>
      </c>
      <c r="BA1288" s="43">
        <f>IF(AU1288="",0,(AH1288-T1288)*AF1288)</f>
        <v/>
      </c>
      <c r="BB1288" s="43">
        <f>IF(AU1288="",0,T1288*(AF1288-AT1288))</f>
        <v/>
      </c>
      <c r="BC1288" s="51" t="n">
        <v>0.1012623174024416</v>
      </c>
      <c r="BD1288" s="51" t="n">
        <v>0.5772736713359333</v>
      </c>
      <c r="BE1288" s="51" t="n">
        <v>0.1072913884543477</v>
      </c>
      <c r="BF1288" s="43" t="n">
        <v>43333</v>
      </c>
    </row>
    <row r="1289">
      <c r="A1289" s="42" t="inlineStr">
        <is>
          <t>FL</t>
        </is>
      </c>
      <c r="B1289" s="42" t="inlineStr">
        <is>
          <t>12053</t>
        </is>
      </c>
      <c r="C1289" s="42" t="inlineStr">
        <is>
          <t>Hernando</t>
        </is>
      </c>
      <c r="D1289" s="42" t="inlineStr">
        <is>
          <t>Mid-size/working metro</t>
        </is>
      </c>
      <c r="E1289" s="42" t="inlineStr"/>
      <c r="F1289" s="43" t="n">
        <v>34431</v>
      </c>
      <c r="G1289" s="43" t="n">
        <v>75446</v>
      </c>
      <c r="H1289" s="43" t="n">
        <v>110687</v>
      </c>
      <c r="I1289" s="43" t="n">
        <v>37519</v>
      </c>
      <c r="J1289" s="43" t="n">
        <v>70412</v>
      </c>
      <c r="K1289" s="42" t="inlineStr">
        <is>
          <t>US Senate</t>
        </is>
      </c>
      <c r="L1289" s="43" t="n">
        <v>24298</v>
      </c>
      <c r="M1289" s="43" t="n">
        <v>54822</v>
      </c>
      <c r="N1289" s="43" t="n">
        <v>80202</v>
      </c>
      <c r="O1289" s="44">
        <f>IFERROR((F1289-G1289)/(F1289+G1289),"")</f>
        <v/>
      </c>
      <c r="P1289" s="44">
        <f>IFERROR((I1289-J1289)/(I1289+J1289),"")</f>
        <v/>
      </c>
      <c r="Q1289" s="45">
        <f>IFERROR(O1289-P1289,"")</f>
        <v/>
      </c>
      <c r="R1289" s="44">
        <f>IFERROR((L1289-M1289)/(L1289+M1289),"")</f>
        <v/>
      </c>
      <c r="S1289" s="46">
        <f>H1289/SUMIFS(Counties!$H$2:$H$1583,Counties!$A$2:$A$1583,$A1289)</f>
        <v/>
      </c>
      <c r="T1289" s="44">
        <f>O1289+INDEX(Dashboard!$F$6:$F$22,MATCH($A1289,Dashboard!$A$6:$A$22,0))</f>
        <v/>
      </c>
      <c r="U1289" s="43">
        <f>AQ1289*INDEX(Dashboard!$G$6:$G$22,MATCH($A1289,Dashboard!$A$6:$A$22,0))</f>
        <v/>
      </c>
      <c r="V1289" s="47" t="n"/>
      <c r="W1289" s="47" t="n"/>
      <c r="X1289" s="47" t="n"/>
      <c r="Y1289" s="48" t="n"/>
      <c r="Z1289" s="49" t="n"/>
      <c r="AA1289" s="49" t="n"/>
      <c r="AB1289" s="49" t="n"/>
      <c r="AC1289" s="50" t="n"/>
      <c r="AD1289" s="43">
        <f>IF(Z1289&lt;&gt;"",Z1289,N(V1289))</f>
        <v/>
      </c>
      <c r="AE1289" s="43">
        <f>IF(AA1289&lt;&gt;"",AA1289,N(W1289))</f>
        <v/>
      </c>
      <c r="AF1289" s="43">
        <f>AD1289+AE1289</f>
        <v/>
      </c>
      <c r="AG1289" s="42">
        <f>IF(UPPER(AC1289)="Y",1,IF(AF1289=0,0,IF(AND(Z1289="",Y1289&lt;&gt;""),IF(Y1289&gt;=0.999,1,0),IF(AF1289&gt;=U1289,1,0))))</f>
        <v/>
      </c>
      <c r="AH1289" s="44">
        <f>IF(AF1289&gt;0,(AD1289-AE1289)/AF1289,"")</f>
        <v/>
      </c>
      <c r="AI1289" s="45">
        <f>IF(AG1289=1,AH1289-O1289,"")</f>
        <v/>
      </c>
      <c r="AJ1289" s="44">
        <f>IF(AG1289=1,AH1289,MAX(-1,MIN(1,O1289+INDEX(Types!$H:$H,MATCH($A1289&amp;"|"&amp;$D1289,Types!$A:$A,0)))))</f>
        <v/>
      </c>
      <c r="AK1289" s="43">
        <f>IF(AG1289=1,AF1289,MAX(AQ1289*AS1289,AF1289))</f>
        <v/>
      </c>
      <c r="AL1289" s="43">
        <f>IF(AG1289=1,AD1289,AK1289*(1+AJ1289)/2)</f>
        <v/>
      </c>
      <c r="AM1289" s="43">
        <f>IF(AG1289=1,AE1289,AK1289*(1-AJ1289)/2)</f>
        <v/>
      </c>
      <c r="AN1289" s="45">
        <f>IF(AH1289="","",AH1289-T1289)</f>
        <v/>
      </c>
      <c r="AO1289" s="51">
        <f>IF(AG1289=1,1,IF(U1289&gt;0,MIN(AF1289/U1289,0.99),0))</f>
        <v/>
      </c>
      <c r="AP1289" s="43">
        <f>IF(AG1289=1,AI1289*AF1289,0)</f>
        <v/>
      </c>
      <c r="AQ1289" s="43">
        <f>N1289*(F1289+G1289)/H1289</f>
        <v/>
      </c>
      <c r="AR1289" s="43">
        <f>O1289*AQ1289</f>
        <v/>
      </c>
      <c r="AS1289" s="52">
        <f>IF(AG1289=1,IF(AQ1289&gt;0,AF1289/AQ1289,1),IFERROR(INDEX(Types!$K:$K,MATCH($A1289&amp;"|"&amp;$D1289,Types!$A:$A,0)),INDEX(Dashboard!$X$6:$X$22,MATCH($A1289,Dashboard!$A$6:$A$22,0))))</f>
        <v/>
      </c>
      <c r="AT1289" s="43">
        <f>AQ1289*INDEX(Dashboard!$Y$6:$Y$22,MATCH($A1289,Dashboard!$A$6:$A$22,0))</f>
        <v/>
      </c>
      <c r="AU1289" s="53">
        <f>IF(AND(AG1289=1,AT1289&gt;0,AF1289&gt;0),100*AF1289/AT1289,"")</f>
        <v/>
      </c>
      <c r="AV1289" s="44">
        <f>IF(AU1289="","",T1289/(AU1289/100))</f>
        <v/>
      </c>
      <c r="AW1289" s="53">
        <f>IF(AU1289="","",IF(AND(ABS(AH1289)&gt;=0.1,ABS(T1289)&gt;=0.05,SIGN(AH1289)=SIGN(T1289)),100*T1289/AH1289,""))</f>
        <v/>
      </c>
      <c r="AX1289" s="45">
        <f>IF(AU1289="","",T1289-AV1289)</f>
        <v/>
      </c>
      <c r="AY1289" s="45">
        <f>IF(AU1289="","",AH1289-AV1289)</f>
        <v/>
      </c>
      <c r="AZ1289" s="54">
        <f>(AL1289-AM1289)-T1289*AT1289</f>
        <v/>
      </c>
      <c r="BA1289" s="43">
        <f>IF(AU1289="",0,(AH1289-T1289)*AF1289)</f>
        <v/>
      </c>
      <c r="BB1289" s="43">
        <f>IF(AU1289="",0,T1289*(AF1289-AT1289))</f>
        <v/>
      </c>
      <c r="BC1289" s="51" t="n">
        <v>0.05753100226966218</v>
      </c>
      <c r="BD1289" s="51" t="n">
        <v>0.1776492314632507</v>
      </c>
      <c r="BE1289" s="51" t="n">
        <v>0.204379610421458</v>
      </c>
      <c r="BF1289" s="43" t="n">
        <v>212807</v>
      </c>
    </row>
    <row r="1290">
      <c r="A1290" s="42" t="inlineStr">
        <is>
          <t>FL</t>
        </is>
      </c>
      <c r="B1290" s="42" t="inlineStr">
        <is>
          <t>12055</t>
        </is>
      </c>
      <c r="C1290" s="42" t="inlineStr">
        <is>
          <t>Highlands</t>
        </is>
      </c>
      <c r="D1290" s="42" t="inlineStr">
        <is>
          <t>Mid-size/working metro</t>
        </is>
      </c>
      <c r="E1290" s="42" t="inlineStr"/>
      <c r="F1290" s="43" t="n">
        <v>15227</v>
      </c>
      <c r="G1290" s="43" t="n">
        <v>36382</v>
      </c>
      <c r="H1290" s="43" t="n">
        <v>51905</v>
      </c>
      <c r="I1290" s="43" t="n">
        <v>16938</v>
      </c>
      <c r="J1290" s="43" t="n">
        <v>34873</v>
      </c>
      <c r="K1290" s="42" t="inlineStr">
        <is>
          <t>US Senate</t>
        </is>
      </c>
      <c r="L1290" s="43" t="n">
        <v>10480</v>
      </c>
      <c r="M1290" s="43" t="n">
        <v>28777</v>
      </c>
      <c r="N1290" s="43" t="n">
        <v>39741</v>
      </c>
      <c r="O1290" s="44">
        <f>IFERROR((F1290-G1290)/(F1290+G1290),"")</f>
        <v/>
      </c>
      <c r="P1290" s="44">
        <f>IFERROR((I1290-J1290)/(I1290+J1290),"")</f>
        <v/>
      </c>
      <c r="Q1290" s="45">
        <f>IFERROR(O1290-P1290,"")</f>
        <v/>
      </c>
      <c r="R1290" s="44">
        <f>IFERROR((L1290-M1290)/(L1290+M1290),"")</f>
        <v/>
      </c>
      <c r="S1290" s="46">
        <f>H1290/SUMIFS(Counties!$H$2:$H$1583,Counties!$A$2:$A$1583,$A1290)</f>
        <v/>
      </c>
      <c r="T1290" s="44">
        <f>O1290+INDEX(Dashboard!$F$6:$F$22,MATCH($A1290,Dashboard!$A$6:$A$22,0))</f>
        <v/>
      </c>
      <c r="U1290" s="43">
        <f>AQ1290*INDEX(Dashboard!$G$6:$G$22,MATCH($A1290,Dashboard!$A$6:$A$22,0))</f>
        <v/>
      </c>
      <c r="V1290" s="47" t="n"/>
      <c r="W1290" s="47" t="n"/>
      <c r="X1290" s="47" t="n"/>
      <c r="Y1290" s="48" t="n"/>
      <c r="Z1290" s="49" t="n"/>
      <c r="AA1290" s="49" t="n"/>
      <c r="AB1290" s="49" t="n"/>
      <c r="AC1290" s="50" t="n"/>
      <c r="AD1290" s="43">
        <f>IF(Z1290&lt;&gt;"",Z1290,N(V1290))</f>
        <v/>
      </c>
      <c r="AE1290" s="43">
        <f>IF(AA1290&lt;&gt;"",AA1290,N(W1290))</f>
        <v/>
      </c>
      <c r="AF1290" s="43">
        <f>AD1290+AE1290</f>
        <v/>
      </c>
      <c r="AG1290" s="42">
        <f>IF(UPPER(AC1290)="Y",1,IF(AF1290=0,0,IF(AND(Z1290="",Y1290&lt;&gt;""),IF(Y1290&gt;=0.999,1,0),IF(AF1290&gt;=U1290,1,0))))</f>
        <v/>
      </c>
      <c r="AH1290" s="44">
        <f>IF(AF1290&gt;0,(AD1290-AE1290)/AF1290,"")</f>
        <v/>
      </c>
      <c r="AI1290" s="45">
        <f>IF(AG1290=1,AH1290-O1290,"")</f>
        <v/>
      </c>
      <c r="AJ1290" s="44">
        <f>IF(AG1290=1,AH1290,MAX(-1,MIN(1,O1290+INDEX(Types!$H:$H,MATCH($A1290&amp;"|"&amp;$D1290,Types!$A:$A,0)))))</f>
        <v/>
      </c>
      <c r="AK1290" s="43">
        <f>IF(AG1290=1,AF1290,MAX(AQ1290*AS1290,AF1290))</f>
        <v/>
      </c>
      <c r="AL1290" s="43">
        <f>IF(AG1290=1,AD1290,AK1290*(1+AJ1290)/2)</f>
        <v/>
      </c>
      <c r="AM1290" s="43">
        <f>IF(AG1290=1,AE1290,AK1290*(1-AJ1290)/2)</f>
        <v/>
      </c>
      <c r="AN1290" s="45">
        <f>IF(AH1290="","",AH1290-T1290)</f>
        <v/>
      </c>
      <c r="AO1290" s="51">
        <f>IF(AG1290=1,1,IF(U1290&gt;0,MIN(AF1290/U1290,0.99),0))</f>
        <v/>
      </c>
      <c r="AP1290" s="43">
        <f>IF(AG1290=1,AI1290*AF1290,0)</f>
        <v/>
      </c>
      <c r="AQ1290" s="43">
        <f>N1290*(F1290+G1290)/H1290</f>
        <v/>
      </c>
      <c r="AR1290" s="43">
        <f>O1290*AQ1290</f>
        <v/>
      </c>
      <c r="AS1290" s="52">
        <f>IF(AG1290=1,IF(AQ1290&gt;0,AF1290/AQ1290,1),IFERROR(INDEX(Types!$K:$K,MATCH($A1290&amp;"|"&amp;$D1290,Types!$A:$A,0)),INDEX(Dashboard!$X$6:$X$22,MATCH($A1290,Dashboard!$A$6:$A$22,0))))</f>
        <v/>
      </c>
      <c r="AT1290" s="43">
        <f>AQ1290*INDEX(Dashboard!$Y$6:$Y$22,MATCH($A1290,Dashboard!$A$6:$A$22,0))</f>
        <v/>
      </c>
      <c r="AU1290" s="53">
        <f>IF(AND(AG1290=1,AT1290&gt;0,AF1290&gt;0),100*AF1290/AT1290,"")</f>
        <v/>
      </c>
      <c r="AV1290" s="44">
        <f>IF(AU1290="","",T1290/(AU1290/100))</f>
        <v/>
      </c>
      <c r="AW1290" s="53">
        <f>IF(AU1290="","",IF(AND(ABS(AH1290)&gt;=0.1,ABS(T1290)&gt;=0.05,SIGN(AH1290)=SIGN(T1290)),100*T1290/AH1290,""))</f>
        <v/>
      </c>
      <c r="AX1290" s="45">
        <f>IF(AU1290="","",T1290-AV1290)</f>
        <v/>
      </c>
      <c r="AY1290" s="45">
        <f>IF(AU1290="","",AH1290-AV1290)</f>
        <v/>
      </c>
      <c r="AZ1290" s="54">
        <f>(AL1290-AM1290)-T1290*AT1290</f>
        <v/>
      </c>
      <c r="BA1290" s="43">
        <f>IF(AU1290="",0,(AH1290-T1290)*AF1290)</f>
        <v/>
      </c>
      <c r="BB1290" s="43">
        <f>IF(AU1290="",0,T1290*(AF1290-AT1290))</f>
        <v/>
      </c>
      <c r="BC1290" s="51" t="n">
        <v>0.09817495864850298</v>
      </c>
      <c r="BD1290" s="51" t="n">
        <v>0.2270057799171112</v>
      </c>
      <c r="BE1290" s="51" t="n">
        <v>0.1972793341201317</v>
      </c>
      <c r="BF1290" s="43" t="n">
        <v>107614</v>
      </c>
    </row>
    <row r="1291">
      <c r="A1291" s="42" t="inlineStr">
        <is>
          <t>FL</t>
        </is>
      </c>
      <c r="B1291" s="42" t="inlineStr">
        <is>
          <t>12057</t>
        </is>
      </c>
      <c r="C1291" s="42" t="inlineStr">
        <is>
          <t>Hillsborough</t>
        </is>
      </c>
      <c r="D1291" s="42" t="inlineStr">
        <is>
          <t>Big metro core</t>
        </is>
      </c>
      <c r="E1291" s="42" t="inlineStr">
        <is>
          <t>★</t>
        </is>
      </c>
      <c r="F1291" s="43" t="n">
        <v>321455</v>
      </c>
      <c r="G1291" s="43" t="n">
        <v>342017</v>
      </c>
      <c r="H1291" s="43" t="n">
        <v>671981</v>
      </c>
      <c r="I1291" s="43" t="n">
        <v>376367</v>
      </c>
      <c r="J1291" s="43" t="n">
        <v>327398</v>
      </c>
      <c r="K1291" s="42" t="inlineStr">
        <is>
          <t>US Senate</t>
        </is>
      </c>
      <c r="L1291" s="43" t="n">
        <v>222378</v>
      </c>
      <c r="M1291" s="43" t="n">
        <v>253495</v>
      </c>
      <c r="N1291" s="43" t="n">
        <v>482587</v>
      </c>
      <c r="O1291" s="44">
        <f>IFERROR((F1291-G1291)/(F1291+G1291),"")</f>
        <v/>
      </c>
      <c r="P1291" s="44">
        <f>IFERROR((I1291-J1291)/(I1291+J1291),"")</f>
        <v/>
      </c>
      <c r="Q1291" s="45">
        <f>IFERROR(O1291-P1291,"")</f>
        <v/>
      </c>
      <c r="R1291" s="44">
        <f>IFERROR((L1291-M1291)/(L1291+M1291),"")</f>
        <v/>
      </c>
      <c r="S1291" s="46">
        <f>H1291/SUMIFS(Counties!$H$2:$H$1583,Counties!$A$2:$A$1583,$A1291)</f>
        <v/>
      </c>
      <c r="T1291" s="44">
        <f>O1291+INDEX(Dashboard!$F$6:$F$22,MATCH($A1291,Dashboard!$A$6:$A$22,0))</f>
        <v/>
      </c>
      <c r="U1291" s="43">
        <f>AQ1291*INDEX(Dashboard!$G$6:$G$22,MATCH($A1291,Dashboard!$A$6:$A$22,0))</f>
        <v/>
      </c>
      <c r="V1291" s="47" t="n"/>
      <c r="W1291" s="47" t="n"/>
      <c r="X1291" s="47" t="n"/>
      <c r="Y1291" s="48" t="n"/>
      <c r="Z1291" s="49" t="n"/>
      <c r="AA1291" s="49" t="n"/>
      <c r="AB1291" s="49" t="n"/>
      <c r="AC1291" s="50" t="n"/>
      <c r="AD1291" s="43">
        <f>IF(Z1291&lt;&gt;"",Z1291,N(V1291))</f>
        <v/>
      </c>
      <c r="AE1291" s="43">
        <f>IF(AA1291&lt;&gt;"",AA1291,N(W1291))</f>
        <v/>
      </c>
      <c r="AF1291" s="43">
        <f>AD1291+AE1291</f>
        <v/>
      </c>
      <c r="AG1291" s="42">
        <f>IF(UPPER(AC1291)="Y",1,IF(AF1291=0,0,IF(AND(Z1291="",Y1291&lt;&gt;""),IF(Y1291&gt;=0.999,1,0),IF(AF1291&gt;=U1291,1,0))))</f>
        <v/>
      </c>
      <c r="AH1291" s="44">
        <f>IF(AF1291&gt;0,(AD1291-AE1291)/AF1291,"")</f>
        <v/>
      </c>
      <c r="AI1291" s="45">
        <f>IF(AG1291=1,AH1291-O1291,"")</f>
        <v/>
      </c>
      <c r="AJ1291" s="44">
        <f>IF(AG1291=1,AH1291,MAX(-1,MIN(1,O1291+INDEX(Types!$H:$H,MATCH($A1291&amp;"|"&amp;$D1291,Types!$A:$A,0)))))</f>
        <v/>
      </c>
      <c r="AK1291" s="43">
        <f>IF(AG1291=1,AF1291,MAX(AQ1291*AS1291,AF1291))</f>
        <v/>
      </c>
      <c r="AL1291" s="43">
        <f>IF(AG1291=1,AD1291,AK1291*(1+AJ1291)/2)</f>
        <v/>
      </c>
      <c r="AM1291" s="43">
        <f>IF(AG1291=1,AE1291,AK1291*(1-AJ1291)/2)</f>
        <v/>
      </c>
      <c r="AN1291" s="45">
        <f>IF(AH1291="","",AH1291-T1291)</f>
        <v/>
      </c>
      <c r="AO1291" s="51">
        <f>IF(AG1291=1,1,IF(U1291&gt;0,MIN(AF1291/U1291,0.99),0))</f>
        <v/>
      </c>
      <c r="AP1291" s="43">
        <f>IF(AG1291=1,AI1291*AF1291,0)</f>
        <v/>
      </c>
      <c r="AQ1291" s="43">
        <f>N1291*(F1291+G1291)/H1291</f>
        <v/>
      </c>
      <c r="AR1291" s="43">
        <f>O1291*AQ1291</f>
        <v/>
      </c>
      <c r="AS1291" s="52">
        <f>IF(AG1291=1,IF(AQ1291&gt;0,AF1291/AQ1291,1),IFERROR(INDEX(Types!$K:$K,MATCH($A1291&amp;"|"&amp;$D1291,Types!$A:$A,0)),INDEX(Dashboard!$X$6:$X$22,MATCH($A1291,Dashboard!$A$6:$A$22,0))))</f>
        <v/>
      </c>
      <c r="AT1291" s="43">
        <f>AQ1291*INDEX(Dashboard!$Y$6:$Y$22,MATCH($A1291,Dashboard!$A$6:$A$22,0))</f>
        <v/>
      </c>
      <c r="AU1291" s="53">
        <f>IF(AND(AG1291=1,AT1291&gt;0,AF1291&gt;0),100*AF1291/AT1291,"")</f>
        <v/>
      </c>
      <c r="AV1291" s="44">
        <f>IF(AU1291="","",T1291/(AU1291/100))</f>
        <v/>
      </c>
      <c r="AW1291" s="53">
        <f>IF(AU1291="","",IF(AND(ABS(AH1291)&gt;=0.1,ABS(T1291)&gt;=0.05,SIGN(AH1291)=SIGN(T1291)),100*T1291/AH1291,""))</f>
        <v/>
      </c>
      <c r="AX1291" s="45">
        <f>IF(AU1291="","",T1291-AV1291)</f>
        <v/>
      </c>
      <c r="AY1291" s="45">
        <f>IF(AU1291="","",AH1291-AV1291)</f>
        <v/>
      </c>
      <c r="AZ1291" s="54">
        <f>(AL1291-AM1291)-T1291*AT1291</f>
        <v/>
      </c>
      <c r="BA1291" s="43">
        <f>IF(AU1291="",0,(AH1291-T1291)*AF1291)</f>
        <v/>
      </c>
      <c r="BB1291" s="43">
        <f>IF(AU1291="",0,T1291*(AF1291-AT1291))</f>
        <v/>
      </c>
      <c r="BC1291" s="51" t="n">
        <v>0.1643096608151793</v>
      </c>
      <c r="BD1291" s="51" t="n">
        <v>0.3039228583113436</v>
      </c>
      <c r="BE1291" s="51" t="n">
        <v>0.3715522281944642</v>
      </c>
      <c r="BF1291" s="43" t="n">
        <v>1535564</v>
      </c>
    </row>
    <row r="1292">
      <c r="A1292" s="42" t="inlineStr">
        <is>
          <t>FL</t>
        </is>
      </c>
      <c r="B1292" s="42" t="inlineStr">
        <is>
          <t>12059</t>
        </is>
      </c>
      <c r="C1292" s="42" t="inlineStr">
        <is>
          <t>Holmes</t>
        </is>
      </c>
      <c r="D1292" s="42" t="inlineStr">
        <is>
          <t>Small town &amp; rural</t>
        </is>
      </c>
      <c r="E1292" s="42" t="inlineStr"/>
      <c r="F1292" s="43" t="n">
        <v>882</v>
      </c>
      <c r="G1292" s="43" t="n">
        <v>8193</v>
      </c>
      <c r="H1292" s="43" t="n">
        <v>9116</v>
      </c>
      <c r="I1292" s="43" t="n">
        <v>924</v>
      </c>
      <c r="J1292" s="43" t="n">
        <v>8080</v>
      </c>
      <c r="K1292" s="42" t="inlineStr">
        <is>
          <t>US Senate</t>
        </is>
      </c>
      <c r="L1292" s="43" t="n">
        <v>556</v>
      </c>
      <c r="M1292" s="43" t="n">
        <v>6151</v>
      </c>
      <c r="N1292" s="43" t="n">
        <v>6772</v>
      </c>
      <c r="O1292" s="44">
        <f>IFERROR((F1292-G1292)/(F1292+G1292),"")</f>
        <v/>
      </c>
      <c r="P1292" s="44">
        <f>IFERROR((I1292-J1292)/(I1292+J1292),"")</f>
        <v/>
      </c>
      <c r="Q1292" s="45">
        <f>IFERROR(O1292-P1292,"")</f>
        <v/>
      </c>
      <c r="R1292" s="44">
        <f>IFERROR((L1292-M1292)/(L1292+M1292),"")</f>
        <v/>
      </c>
      <c r="S1292" s="46">
        <f>H1292/SUMIFS(Counties!$H$2:$H$1583,Counties!$A$2:$A$1583,$A1292)</f>
        <v/>
      </c>
      <c r="T1292" s="44">
        <f>O1292+INDEX(Dashboard!$F$6:$F$22,MATCH($A1292,Dashboard!$A$6:$A$22,0))</f>
        <v/>
      </c>
      <c r="U1292" s="43">
        <f>AQ1292*INDEX(Dashboard!$G$6:$G$22,MATCH($A1292,Dashboard!$A$6:$A$22,0))</f>
        <v/>
      </c>
      <c r="V1292" s="47" t="n"/>
      <c r="W1292" s="47" t="n"/>
      <c r="X1292" s="47" t="n"/>
      <c r="Y1292" s="48" t="n"/>
      <c r="Z1292" s="49" t="n"/>
      <c r="AA1292" s="49" t="n"/>
      <c r="AB1292" s="49" t="n"/>
      <c r="AC1292" s="50" t="n"/>
      <c r="AD1292" s="43">
        <f>IF(Z1292&lt;&gt;"",Z1292,N(V1292))</f>
        <v/>
      </c>
      <c r="AE1292" s="43">
        <f>IF(AA1292&lt;&gt;"",AA1292,N(W1292))</f>
        <v/>
      </c>
      <c r="AF1292" s="43">
        <f>AD1292+AE1292</f>
        <v/>
      </c>
      <c r="AG1292" s="42">
        <f>IF(UPPER(AC1292)="Y",1,IF(AF1292=0,0,IF(AND(Z1292="",Y1292&lt;&gt;""),IF(Y1292&gt;=0.999,1,0),IF(AF1292&gt;=U1292,1,0))))</f>
        <v/>
      </c>
      <c r="AH1292" s="44">
        <f>IF(AF1292&gt;0,(AD1292-AE1292)/AF1292,"")</f>
        <v/>
      </c>
      <c r="AI1292" s="45">
        <f>IF(AG1292=1,AH1292-O1292,"")</f>
        <v/>
      </c>
      <c r="AJ1292" s="44">
        <f>IF(AG1292=1,AH1292,MAX(-1,MIN(1,O1292+INDEX(Types!$H:$H,MATCH($A1292&amp;"|"&amp;$D1292,Types!$A:$A,0)))))</f>
        <v/>
      </c>
      <c r="AK1292" s="43">
        <f>IF(AG1292=1,AF1292,MAX(AQ1292*AS1292,AF1292))</f>
        <v/>
      </c>
      <c r="AL1292" s="43">
        <f>IF(AG1292=1,AD1292,AK1292*(1+AJ1292)/2)</f>
        <v/>
      </c>
      <c r="AM1292" s="43">
        <f>IF(AG1292=1,AE1292,AK1292*(1-AJ1292)/2)</f>
        <v/>
      </c>
      <c r="AN1292" s="45">
        <f>IF(AH1292="","",AH1292-T1292)</f>
        <v/>
      </c>
      <c r="AO1292" s="51">
        <f>IF(AG1292=1,1,IF(U1292&gt;0,MIN(AF1292/U1292,0.99),0))</f>
        <v/>
      </c>
      <c r="AP1292" s="43">
        <f>IF(AG1292=1,AI1292*AF1292,0)</f>
        <v/>
      </c>
      <c r="AQ1292" s="43">
        <f>N1292*(F1292+G1292)/H1292</f>
        <v/>
      </c>
      <c r="AR1292" s="43">
        <f>O1292*AQ1292</f>
        <v/>
      </c>
      <c r="AS1292" s="52">
        <f>IF(AG1292=1,IF(AQ1292&gt;0,AF1292/AQ1292,1),IFERROR(INDEX(Types!$K:$K,MATCH($A1292&amp;"|"&amp;$D1292,Types!$A:$A,0)),INDEX(Dashboard!$X$6:$X$22,MATCH($A1292,Dashboard!$A$6:$A$22,0))))</f>
        <v/>
      </c>
      <c r="AT1292" s="43">
        <f>AQ1292*INDEX(Dashboard!$Y$6:$Y$22,MATCH($A1292,Dashboard!$A$6:$A$22,0))</f>
        <v/>
      </c>
      <c r="AU1292" s="53">
        <f>IF(AND(AG1292=1,AT1292&gt;0,AF1292&gt;0),100*AF1292/AT1292,"")</f>
        <v/>
      </c>
      <c r="AV1292" s="44">
        <f>IF(AU1292="","",T1292/(AU1292/100))</f>
        <v/>
      </c>
      <c r="AW1292" s="53">
        <f>IF(AU1292="","",IF(AND(ABS(AH1292)&gt;=0.1,ABS(T1292)&gt;=0.05,SIGN(AH1292)=SIGN(T1292)),100*T1292/AH1292,""))</f>
        <v/>
      </c>
      <c r="AX1292" s="45">
        <f>IF(AU1292="","",T1292-AV1292)</f>
        <v/>
      </c>
      <c r="AY1292" s="45">
        <f>IF(AU1292="","",AH1292-AV1292)</f>
        <v/>
      </c>
      <c r="AZ1292" s="54">
        <f>(AL1292-AM1292)-T1292*AT1292</f>
        <v/>
      </c>
      <c r="BA1292" s="43">
        <f>IF(AU1292="",0,(AH1292-T1292)*AF1292)</f>
        <v/>
      </c>
      <c r="BB1292" s="43">
        <f>IF(AU1292="",0,T1292*(AF1292-AT1292))</f>
        <v/>
      </c>
      <c r="BC1292" s="51" t="n">
        <v>0.06543321299638989</v>
      </c>
      <c r="BD1292" s="51" t="n">
        <v>0.03941034897713598</v>
      </c>
      <c r="BE1292" s="51" t="n">
        <v>0.1205115592720118</v>
      </c>
      <c r="BF1292" s="43" t="n">
        <v>19944</v>
      </c>
    </row>
    <row r="1293">
      <c r="A1293" s="42" t="inlineStr">
        <is>
          <t>FL</t>
        </is>
      </c>
      <c r="B1293" s="42" t="inlineStr">
        <is>
          <t>12061</t>
        </is>
      </c>
      <c r="C1293" s="42" t="inlineStr">
        <is>
          <t>Indian River</t>
        </is>
      </c>
      <c r="D1293" s="42" t="inlineStr">
        <is>
          <t>Mid-size/working metro</t>
        </is>
      </c>
      <c r="E1293" s="42" t="inlineStr"/>
      <c r="F1293" s="43" t="n">
        <v>35654</v>
      </c>
      <c r="G1293" s="43" t="n">
        <v>62737</v>
      </c>
      <c r="H1293" s="43" t="n">
        <v>99015</v>
      </c>
      <c r="I1293" s="43" t="n">
        <v>37844</v>
      </c>
      <c r="J1293" s="43" t="n">
        <v>58872</v>
      </c>
      <c r="K1293" s="42" t="inlineStr">
        <is>
          <t>US Senate</t>
        </is>
      </c>
      <c r="L1293" s="43" t="n">
        <v>25613</v>
      </c>
      <c r="M1293" s="43" t="n">
        <v>50878</v>
      </c>
      <c r="N1293" s="43" t="n">
        <v>77215</v>
      </c>
      <c r="O1293" s="44">
        <f>IFERROR((F1293-G1293)/(F1293+G1293),"")</f>
        <v/>
      </c>
      <c r="P1293" s="44">
        <f>IFERROR((I1293-J1293)/(I1293+J1293),"")</f>
        <v/>
      </c>
      <c r="Q1293" s="45">
        <f>IFERROR(O1293-P1293,"")</f>
        <v/>
      </c>
      <c r="R1293" s="44">
        <f>IFERROR((L1293-M1293)/(L1293+M1293),"")</f>
        <v/>
      </c>
      <c r="S1293" s="46">
        <f>H1293/SUMIFS(Counties!$H$2:$H$1583,Counties!$A$2:$A$1583,$A1293)</f>
        <v/>
      </c>
      <c r="T1293" s="44">
        <f>O1293+INDEX(Dashboard!$F$6:$F$22,MATCH($A1293,Dashboard!$A$6:$A$22,0))</f>
        <v/>
      </c>
      <c r="U1293" s="43">
        <f>AQ1293*INDEX(Dashboard!$G$6:$G$22,MATCH($A1293,Dashboard!$A$6:$A$22,0))</f>
        <v/>
      </c>
      <c r="V1293" s="47" t="n"/>
      <c r="W1293" s="47" t="n"/>
      <c r="X1293" s="47" t="n"/>
      <c r="Y1293" s="48" t="n"/>
      <c r="Z1293" s="49" t="n"/>
      <c r="AA1293" s="49" t="n"/>
      <c r="AB1293" s="49" t="n"/>
      <c r="AC1293" s="50" t="n"/>
      <c r="AD1293" s="43">
        <f>IF(Z1293&lt;&gt;"",Z1293,N(V1293))</f>
        <v/>
      </c>
      <c r="AE1293" s="43">
        <f>IF(AA1293&lt;&gt;"",AA1293,N(W1293))</f>
        <v/>
      </c>
      <c r="AF1293" s="43">
        <f>AD1293+AE1293</f>
        <v/>
      </c>
      <c r="AG1293" s="42">
        <f>IF(UPPER(AC1293)="Y",1,IF(AF1293=0,0,IF(AND(Z1293="",Y1293&lt;&gt;""),IF(Y1293&gt;=0.999,1,0),IF(AF1293&gt;=U1293,1,0))))</f>
        <v/>
      </c>
      <c r="AH1293" s="44">
        <f>IF(AF1293&gt;0,(AD1293-AE1293)/AF1293,"")</f>
        <v/>
      </c>
      <c r="AI1293" s="45">
        <f>IF(AG1293=1,AH1293-O1293,"")</f>
        <v/>
      </c>
      <c r="AJ1293" s="44">
        <f>IF(AG1293=1,AH1293,MAX(-1,MIN(1,O1293+INDEX(Types!$H:$H,MATCH($A1293&amp;"|"&amp;$D1293,Types!$A:$A,0)))))</f>
        <v/>
      </c>
      <c r="AK1293" s="43">
        <f>IF(AG1293=1,AF1293,MAX(AQ1293*AS1293,AF1293))</f>
        <v/>
      </c>
      <c r="AL1293" s="43">
        <f>IF(AG1293=1,AD1293,AK1293*(1+AJ1293)/2)</f>
        <v/>
      </c>
      <c r="AM1293" s="43">
        <f>IF(AG1293=1,AE1293,AK1293*(1-AJ1293)/2)</f>
        <v/>
      </c>
      <c r="AN1293" s="45">
        <f>IF(AH1293="","",AH1293-T1293)</f>
        <v/>
      </c>
      <c r="AO1293" s="51">
        <f>IF(AG1293=1,1,IF(U1293&gt;0,MIN(AF1293/U1293,0.99),0))</f>
        <v/>
      </c>
      <c r="AP1293" s="43">
        <f>IF(AG1293=1,AI1293*AF1293,0)</f>
        <v/>
      </c>
      <c r="AQ1293" s="43">
        <f>N1293*(F1293+G1293)/H1293</f>
        <v/>
      </c>
      <c r="AR1293" s="43">
        <f>O1293*AQ1293</f>
        <v/>
      </c>
      <c r="AS1293" s="52">
        <f>IF(AG1293=1,IF(AQ1293&gt;0,AF1293/AQ1293,1),IFERROR(INDEX(Types!$K:$K,MATCH($A1293&amp;"|"&amp;$D1293,Types!$A:$A,0)),INDEX(Dashboard!$X$6:$X$22,MATCH($A1293,Dashboard!$A$6:$A$22,0))))</f>
        <v/>
      </c>
      <c r="AT1293" s="43">
        <f>AQ1293*INDEX(Dashboard!$Y$6:$Y$22,MATCH($A1293,Dashboard!$A$6:$A$22,0))</f>
        <v/>
      </c>
      <c r="AU1293" s="53">
        <f>IF(AND(AG1293=1,AT1293&gt;0,AF1293&gt;0),100*AF1293/AT1293,"")</f>
        <v/>
      </c>
      <c r="AV1293" s="44">
        <f>IF(AU1293="","",T1293/(AU1293/100))</f>
        <v/>
      </c>
      <c r="AW1293" s="53">
        <f>IF(AU1293="","",IF(AND(ABS(AH1293)&gt;=0.1,ABS(T1293)&gt;=0.05,SIGN(AH1293)=SIGN(T1293)),100*T1293/AH1293,""))</f>
        <v/>
      </c>
      <c r="AX1293" s="45">
        <f>IF(AU1293="","",T1293-AV1293)</f>
        <v/>
      </c>
      <c r="AY1293" s="45">
        <f>IF(AU1293="","",AH1293-AV1293)</f>
        <v/>
      </c>
      <c r="AZ1293" s="54">
        <f>(AL1293-AM1293)-T1293*AT1293</f>
        <v/>
      </c>
      <c r="BA1293" s="43">
        <f>IF(AU1293="",0,(AH1293-T1293)*AF1293)</f>
        <v/>
      </c>
      <c r="BB1293" s="43">
        <f>IF(AU1293="",0,T1293*(AF1293-AT1293))</f>
        <v/>
      </c>
      <c r="BC1293" s="51" t="n">
        <v>0.08575046379457581</v>
      </c>
      <c r="BD1293" s="51" t="n">
        <v>0.1406401837509939</v>
      </c>
      <c r="BE1293" s="51" t="n">
        <v>0.3343323084108512</v>
      </c>
      <c r="BF1293" s="43" t="n">
        <v>169795</v>
      </c>
    </row>
    <row r="1294">
      <c r="A1294" s="42" t="inlineStr">
        <is>
          <t>FL</t>
        </is>
      </c>
      <c r="B1294" s="42" t="inlineStr">
        <is>
          <t>12063</t>
        </is>
      </c>
      <c r="C1294" s="42" t="inlineStr">
        <is>
          <t>Jackson</t>
        </is>
      </c>
      <c r="D1294" s="42" t="inlineStr">
        <is>
          <t>Small town &amp; rural</t>
        </is>
      </c>
      <c r="E1294" s="42" t="inlineStr"/>
      <c r="F1294" s="43" t="n">
        <v>5892</v>
      </c>
      <c r="G1294" s="43" t="n">
        <v>16074</v>
      </c>
      <c r="H1294" s="43" t="n">
        <v>22098</v>
      </c>
      <c r="I1294" s="43" t="n">
        <v>6766</v>
      </c>
      <c r="J1294" s="43" t="n">
        <v>15488</v>
      </c>
      <c r="K1294" s="42" t="inlineStr">
        <is>
          <t>US Senate</t>
        </is>
      </c>
      <c r="L1294" s="43" t="n">
        <v>3956</v>
      </c>
      <c r="M1294" s="43" t="n">
        <v>12188</v>
      </c>
      <c r="N1294" s="43" t="n">
        <v>16287</v>
      </c>
      <c r="O1294" s="44">
        <f>IFERROR((F1294-G1294)/(F1294+G1294),"")</f>
        <v/>
      </c>
      <c r="P1294" s="44">
        <f>IFERROR((I1294-J1294)/(I1294+J1294),"")</f>
        <v/>
      </c>
      <c r="Q1294" s="45">
        <f>IFERROR(O1294-P1294,"")</f>
        <v/>
      </c>
      <c r="R1294" s="44">
        <f>IFERROR((L1294-M1294)/(L1294+M1294),"")</f>
        <v/>
      </c>
      <c r="S1294" s="46">
        <f>H1294/SUMIFS(Counties!$H$2:$H$1583,Counties!$A$2:$A$1583,$A1294)</f>
        <v/>
      </c>
      <c r="T1294" s="44">
        <f>O1294+INDEX(Dashboard!$F$6:$F$22,MATCH($A1294,Dashboard!$A$6:$A$22,0))</f>
        <v/>
      </c>
      <c r="U1294" s="43">
        <f>AQ1294*INDEX(Dashboard!$G$6:$G$22,MATCH($A1294,Dashboard!$A$6:$A$22,0))</f>
        <v/>
      </c>
      <c r="V1294" s="47" t="n"/>
      <c r="W1294" s="47" t="n"/>
      <c r="X1294" s="47" t="n"/>
      <c r="Y1294" s="48" t="n"/>
      <c r="Z1294" s="49" t="n"/>
      <c r="AA1294" s="49" t="n"/>
      <c r="AB1294" s="49" t="n"/>
      <c r="AC1294" s="50" t="n"/>
      <c r="AD1294" s="43">
        <f>IF(Z1294&lt;&gt;"",Z1294,N(V1294))</f>
        <v/>
      </c>
      <c r="AE1294" s="43">
        <f>IF(AA1294&lt;&gt;"",AA1294,N(W1294))</f>
        <v/>
      </c>
      <c r="AF1294" s="43">
        <f>AD1294+AE1294</f>
        <v/>
      </c>
      <c r="AG1294" s="42">
        <f>IF(UPPER(AC1294)="Y",1,IF(AF1294=0,0,IF(AND(Z1294="",Y1294&lt;&gt;""),IF(Y1294&gt;=0.999,1,0),IF(AF1294&gt;=U1294,1,0))))</f>
        <v/>
      </c>
      <c r="AH1294" s="44">
        <f>IF(AF1294&gt;0,(AD1294-AE1294)/AF1294,"")</f>
        <v/>
      </c>
      <c r="AI1294" s="45">
        <f>IF(AG1294=1,AH1294-O1294,"")</f>
        <v/>
      </c>
      <c r="AJ1294" s="44">
        <f>IF(AG1294=1,AH1294,MAX(-1,MIN(1,O1294+INDEX(Types!$H:$H,MATCH($A1294&amp;"|"&amp;$D1294,Types!$A:$A,0)))))</f>
        <v/>
      </c>
      <c r="AK1294" s="43">
        <f>IF(AG1294=1,AF1294,MAX(AQ1294*AS1294,AF1294))</f>
        <v/>
      </c>
      <c r="AL1294" s="43">
        <f>IF(AG1294=1,AD1294,AK1294*(1+AJ1294)/2)</f>
        <v/>
      </c>
      <c r="AM1294" s="43">
        <f>IF(AG1294=1,AE1294,AK1294*(1-AJ1294)/2)</f>
        <v/>
      </c>
      <c r="AN1294" s="45">
        <f>IF(AH1294="","",AH1294-T1294)</f>
        <v/>
      </c>
      <c r="AO1294" s="51">
        <f>IF(AG1294=1,1,IF(U1294&gt;0,MIN(AF1294/U1294,0.99),0))</f>
        <v/>
      </c>
      <c r="AP1294" s="43">
        <f>IF(AG1294=1,AI1294*AF1294,0)</f>
        <v/>
      </c>
      <c r="AQ1294" s="43">
        <f>N1294*(F1294+G1294)/H1294</f>
        <v/>
      </c>
      <c r="AR1294" s="43">
        <f>O1294*AQ1294</f>
        <v/>
      </c>
      <c r="AS1294" s="52">
        <f>IF(AG1294=1,IF(AQ1294&gt;0,AF1294/AQ1294,1),IFERROR(INDEX(Types!$K:$K,MATCH($A1294&amp;"|"&amp;$D1294,Types!$A:$A,0)),INDEX(Dashboard!$X$6:$X$22,MATCH($A1294,Dashboard!$A$6:$A$22,0))))</f>
        <v/>
      </c>
      <c r="AT1294" s="43">
        <f>AQ1294*INDEX(Dashboard!$Y$6:$Y$22,MATCH($A1294,Dashboard!$A$6:$A$22,0))</f>
        <v/>
      </c>
      <c r="AU1294" s="53">
        <f>IF(AND(AG1294=1,AT1294&gt;0,AF1294&gt;0),100*AF1294/AT1294,"")</f>
        <v/>
      </c>
      <c r="AV1294" s="44">
        <f>IF(AU1294="","",T1294/(AU1294/100))</f>
        <v/>
      </c>
      <c r="AW1294" s="53">
        <f>IF(AU1294="","",IF(AND(ABS(AH1294)&gt;=0.1,ABS(T1294)&gt;=0.05,SIGN(AH1294)=SIGN(T1294)),100*T1294/AH1294,""))</f>
        <v/>
      </c>
      <c r="AX1294" s="45">
        <f>IF(AU1294="","",T1294-AV1294)</f>
        <v/>
      </c>
      <c r="AY1294" s="45">
        <f>IF(AU1294="","",AH1294-AV1294)</f>
        <v/>
      </c>
      <c r="AZ1294" s="54">
        <f>(AL1294-AM1294)-T1294*AT1294</f>
        <v/>
      </c>
      <c r="BA1294" s="43">
        <f>IF(AU1294="",0,(AH1294-T1294)*AF1294)</f>
        <v/>
      </c>
      <c r="BB1294" s="43">
        <f>IF(AU1294="",0,T1294*(AF1294-AT1294))</f>
        <v/>
      </c>
      <c r="BC1294" s="51" t="n">
        <v>0.2522109333223644</v>
      </c>
      <c r="BD1294" s="51" t="n">
        <v>0.05635309119328699</v>
      </c>
      <c r="BE1294" s="51" t="n">
        <v>0.1464484320357737</v>
      </c>
      <c r="BF1294" s="43" t="n">
        <v>48622</v>
      </c>
    </row>
    <row r="1295">
      <c r="A1295" s="42" t="inlineStr">
        <is>
          <t>FL</t>
        </is>
      </c>
      <c r="B1295" s="42" t="inlineStr">
        <is>
          <t>12065</t>
        </is>
      </c>
      <c r="C1295" s="42" t="inlineStr">
        <is>
          <t>Jefferson</t>
        </is>
      </c>
      <c r="D1295" s="42" t="inlineStr">
        <is>
          <t>Small town &amp; rural</t>
        </is>
      </c>
      <c r="E1295" s="42" t="inlineStr"/>
      <c r="F1295" s="43" t="n">
        <v>3429</v>
      </c>
      <c r="G1295" s="43" t="n">
        <v>5011</v>
      </c>
      <c r="H1295" s="43" t="n">
        <v>8502</v>
      </c>
      <c r="I1295" s="43" t="n">
        <v>3897</v>
      </c>
      <c r="J1295" s="43" t="n">
        <v>4479</v>
      </c>
      <c r="K1295" s="42" t="inlineStr">
        <is>
          <t>US Senate</t>
        </is>
      </c>
      <c r="L1295" s="43" t="n">
        <v>2929</v>
      </c>
      <c r="M1295" s="43" t="n">
        <v>4137</v>
      </c>
      <c r="N1295" s="43" t="n">
        <v>7127</v>
      </c>
      <c r="O1295" s="44">
        <f>IFERROR((F1295-G1295)/(F1295+G1295),"")</f>
        <v/>
      </c>
      <c r="P1295" s="44">
        <f>IFERROR((I1295-J1295)/(I1295+J1295),"")</f>
        <v/>
      </c>
      <c r="Q1295" s="45">
        <f>IFERROR(O1295-P1295,"")</f>
        <v/>
      </c>
      <c r="R1295" s="44">
        <f>IFERROR((L1295-M1295)/(L1295+M1295),"")</f>
        <v/>
      </c>
      <c r="S1295" s="46">
        <f>H1295/SUMIFS(Counties!$H$2:$H$1583,Counties!$A$2:$A$1583,$A1295)</f>
        <v/>
      </c>
      <c r="T1295" s="44">
        <f>O1295+INDEX(Dashboard!$F$6:$F$22,MATCH($A1295,Dashboard!$A$6:$A$22,0))</f>
        <v/>
      </c>
      <c r="U1295" s="43">
        <f>AQ1295*INDEX(Dashboard!$G$6:$G$22,MATCH($A1295,Dashboard!$A$6:$A$22,0))</f>
        <v/>
      </c>
      <c r="V1295" s="47" t="n"/>
      <c r="W1295" s="47" t="n"/>
      <c r="X1295" s="47" t="n"/>
      <c r="Y1295" s="48" t="n"/>
      <c r="Z1295" s="49" t="n"/>
      <c r="AA1295" s="49" t="n"/>
      <c r="AB1295" s="49" t="n"/>
      <c r="AC1295" s="50" t="n"/>
      <c r="AD1295" s="43">
        <f>IF(Z1295&lt;&gt;"",Z1295,N(V1295))</f>
        <v/>
      </c>
      <c r="AE1295" s="43">
        <f>IF(AA1295&lt;&gt;"",AA1295,N(W1295))</f>
        <v/>
      </c>
      <c r="AF1295" s="43">
        <f>AD1295+AE1295</f>
        <v/>
      </c>
      <c r="AG1295" s="42">
        <f>IF(UPPER(AC1295)="Y",1,IF(AF1295=0,0,IF(AND(Z1295="",Y1295&lt;&gt;""),IF(Y1295&gt;=0.999,1,0),IF(AF1295&gt;=U1295,1,0))))</f>
        <v/>
      </c>
      <c r="AH1295" s="44">
        <f>IF(AF1295&gt;0,(AD1295-AE1295)/AF1295,"")</f>
        <v/>
      </c>
      <c r="AI1295" s="45">
        <f>IF(AG1295=1,AH1295-O1295,"")</f>
        <v/>
      </c>
      <c r="AJ1295" s="44">
        <f>IF(AG1295=1,AH1295,MAX(-1,MIN(1,O1295+INDEX(Types!$H:$H,MATCH($A1295&amp;"|"&amp;$D1295,Types!$A:$A,0)))))</f>
        <v/>
      </c>
      <c r="AK1295" s="43">
        <f>IF(AG1295=1,AF1295,MAX(AQ1295*AS1295,AF1295))</f>
        <v/>
      </c>
      <c r="AL1295" s="43">
        <f>IF(AG1295=1,AD1295,AK1295*(1+AJ1295)/2)</f>
        <v/>
      </c>
      <c r="AM1295" s="43">
        <f>IF(AG1295=1,AE1295,AK1295*(1-AJ1295)/2)</f>
        <v/>
      </c>
      <c r="AN1295" s="45">
        <f>IF(AH1295="","",AH1295-T1295)</f>
        <v/>
      </c>
      <c r="AO1295" s="51">
        <f>IF(AG1295=1,1,IF(U1295&gt;0,MIN(AF1295/U1295,0.99),0))</f>
        <v/>
      </c>
      <c r="AP1295" s="43">
        <f>IF(AG1295=1,AI1295*AF1295,0)</f>
        <v/>
      </c>
      <c r="AQ1295" s="43">
        <f>N1295*(F1295+G1295)/H1295</f>
        <v/>
      </c>
      <c r="AR1295" s="43">
        <f>O1295*AQ1295</f>
        <v/>
      </c>
      <c r="AS1295" s="52">
        <f>IF(AG1295=1,IF(AQ1295&gt;0,AF1295/AQ1295,1),IFERROR(INDEX(Types!$K:$K,MATCH($A1295&amp;"|"&amp;$D1295,Types!$A:$A,0)),INDEX(Dashboard!$X$6:$X$22,MATCH($A1295,Dashboard!$A$6:$A$22,0))))</f>
        <v/>
      </c>
      <c r="AT1295" s="43">
        <f>AQ1295*INDEX(Dashboard!$Y$6:$Y$22,MATCH($A1295,Dashboard!$A$6:$A$22,0))</f>
        <v/>
      </c>
      <c r="AU1295" s="53">
        <f>IF(AND(AG1295=1,AT1295&gt;0,AF1295&gt;0),100*AF1295/AT1295,"")</f>
        <v/>
      </c>
      <c r="AV1295" s="44">
        <f>IF(AU1295="","",T1295/(AU1295/100))</f>
        <v/>
      </c>
      <c r="AW1295" s="53">
        <f>IF(AU1295="","",IF(AND(ABS(AH1295)&gt;=0.1,ABS(T1295)&gt;=0.05,SIGN(AH1295)=SIGN(T1295)),100*T1295/AH1295,""))</f>
        <v/>
      </c>
      <c r="AX1295" s="45">
        <f>IF(AU1295="","",T1295-AV1295)</f>
        <v/>
      </c>
      <c r="AY1295" s="45">
        <f>IF(AU1295="","",AH1295-AV1295)</f>
        <v/>
      </c>
      <c r="AZ1295" s="54">
        <f>(AL1295-AM1295)-T1295*AT1295</f>
        <v/>
      </c>
      <c r="BA1295" s="43">
        <f>IF(AU1295="",0,(AH1295-T1295)*AF1295)</f>
        <v/>
      </c>
      <c r="BB1295" s="43">
        <f>IF(AU1295="",0,T1295*(AF1295-AT1295))</f>
        <v/>
      </c>
      <c r="BC1295" s="51" t="n">
        <v>0.3023948220064725</v>
      </c>
      <c r="BD1295" s="51" t="n">
        <v>0.05378640776699029</v>
      </c>
      <c r="BE1295" s="51" t="n">
        <v>0.1884296012409891</v>
      </c>
      <c r="BF1295" s="43" t="n">
        <v>15450</v>
      </c>
    </row>
    <row r="1296">
      <c r="A1296" s="42" t="inlineStr">
        <is>
          <t>FL</t>
        </is>
      </c>
      <c r="B1296" s="42" t="inlineStr">
        <is>
          <t>12067</t>
        </is>
      </c>
      <c r="C1296" s="42" t="inlineStr">
        <is>
          <t>Lafayette</t>
        </is>
      </c>
      <c r="D1296" s="42" t="inlineStr">
        <is>
          <t>Small town &amp; rural</t>
        </is>
      </c>
      <c r="E1296" s="42" t="inlineStr"/>
      <c r="F1296" s="43" t="n">
        <v>441</v>
      </c>
      <c r="G1296" s="43" t="n">
        <v>3296</v>
      </c>
      <c r="H1296" s="43" t="n">
        <v>3756</v>
      </c>
      <c r="I1296" s="43" t="n">
        <v>510</v>
      </c>
      <c r="J1296" s="43" t="n">
        <v>3128</v>
      </c>
      <c r="K1296" s="42" t="inlineStr">
        <is>
          <t>US Senate</t>
        </is>
      </c>
      <c r="L1296" s="43" t="n">
        <v>348</v>
      </c>
      <c r="M1296" s="43" t="n">
        <v>2521</v>
      </c>
      <c r="N1296" s="43" t="n">
        <v>2908</v>
      </c>
      <c r="O1296" s="44">
        <f>IFERROR((F1296-G1296)/(F1296+G1296),"")</f>
        <v/>
      </c>
      <c r="P1296" s="44">
        <f>IFERROR((I1296-J1296)/(I1296+J1296),"")</f>
        <v/>
      </c>
      <c r="Q1296" s="45">
        <f>IFERROR(O1296-P1296,"")</f>
        <v/>
      </c>
      <c r="R1296" s="44">
        <f>IFERROR((L1296-M1296)/(L1296+M1296),"")</f>
        <v/>
      </c>
      <c r="S1296" s="46">
        <f>H1296/SUMIFS(Counties!$H$2:$H$1583,Counties!$A$2:$A$1583,$A1296)</f>
        <v/>
      </c>
      <c r="T1296" s="44">
        <f>O1296+INDEX(Dashboard!$F$6:$F$22,MATCH($A1296,Dashboard!$A$6:$A$22,0))</f>
        <v/>
      </c>
      <c r="U1296" s="43">
        <f>AQ1296*INDEX(Dashboard!$G$6:$G$22,MATCH($A1296,Dashboard!$A$6:$A$22,0))</f>
        <v/>
      </c>
      <c r="V1296" s="47" t="n"/>
      <c r="W1296" s="47" t="n"/>
      <c r="X1296" s="47" t="n"/>
      <c r="Y1296" s="48" t="n"/>
      <c r="Z1296" s="49" t="n"/>
      <c r="AA1296" s="49" t="n"/>
      <c r="AB1296" s="49" t="n"/>
      <c r="AC1296" s="50" t="n"/>
      <c r="AD1296" s="43">
        <f>IF(Z1296&lt;&gt;"",Z1296,N(V1296))</f>
        <v/>
      </c>
      <c r="AE1296" s="43">
        <f>IF(AA1296&lt;&gt;"",AA1296,N(W1296))</f>
        <v/>
      </c>
      <c r="AF1296" s="43">
        <f>AD1296+AE1296</f>
        <v/>
      </c>
      <c r="AG1296" s="42">
        <f>IF(UPPER(AC1296)="Y",1,IF(AF1296=0,0,IF(AND(Z1296="",Y1296&lt;&gt;""),IF(Y1296&gt;=0.999,1,0),IF(AF1296&gt;=U1296,1,0))))</f>
        <v/>
      </c>
      <c r="AH1296" s="44">
        <f>IF(AF1296&gt;0,(AD1296-AE1296)/AF1296,"")</f>
        <v/>
      </c>
      <c r="AI1296" s="45">
        <f>IF(AG1296=1,AH1296-O1296,"")</f>
        <v/>
      </c>
      <c r="AJ1296" s="44">
        <f>IF(AG1296=1,AH1296,MAX(-1,MIN(1,O1296+INDEX(Types!$H:$H,MATCH($A1296&amp;"|"&amp;$D1296,Types!$A:$A,0)))))</f>
        <v/>
      </c>
      <c r="AK1296" s="43">
        <f>IF(AG1296=1,AF1296,MAX(AQ1296*AS1296,AF1296))</f>
        <v/>
      </c>
      <c r="AL1296" s="43">
        <f>IF(AG1296=1,AD1296,AK1296*(1+AJ1296)/2)</f>
        <v/>
      </c>
      <c r="AM1296" s="43">
        <f>IF(AG1296=1,AE1296,AK1296*(1-AJ1296)/2)</f>
        <v/>
      </c>
      <c r="AN1296" s="45">
        <f>IF(AH1296="","",AH1296-T1296)</f>
        <v/>
      </c>
      <c r="AO1296" s="51">
        <f>IF(AG1296=1,1,IF(U1296&gt;0,MIN(AF1296/U1296,0.99),0))</f>
        <v/>
      </c>
      <c r="AP1296" s="43">
        <f>IF(AG1296=1,AI1296*AF1296,0)</f>
        <v/>
      </c>
      <c r="AQ1296" s="43">
        <f>N1296*(F1296+G1296)/H1296</f>
        <v/>
      </c>
      <c r="AR1296" s="43">
        <f>O1296*AQ1296</f>
        <v/>
      </c>
      <c r="AS1296" s="52">
        <f>IF(AG1296=1,IF(AQ1296&gt;0,AF1296/AQ1296,1),IFERROR(INDEX(Types!$K:$K,MATCH($A1296&amp;"|"&amp;$D1296,Types!$A:$A,0)),INDEX(Dashboard!$X$6:$X$22,MATCH($A1296,Dashboard!$A$6:$A$22,0))))</f>
        <v/>
      </c>
      <c r="AT1296" s="43">
        <f>AQ1296*INDEX(Dashboard!$Y$6:$Y$22,MATCH($A1296,Dashboard!$A$6:$A$22,0))</f>
        <v/>
      </c>
      <c r="AU1296" s="53">
        <f>IF(AND(AG1296=1,AT1296&gt;0,AF1296&gt;0),100*AF1296/AT1296,"")</f>
        <v/>
      </c>
      <c r="AV1296" s="44">
        <f>IF(AU1296="","",T1296/(AU1296/100))</f>
        <v/>
      </c>
      <c r="AW1296" s="53">
        <f>IF(AU1296="","",IF(AND(ABS(AH1296)&gt;=0.1,ABS(T1296)&gt;=0.05,SIGN(AH1296)=SIGN(T1296)),100*T1296/AH1296,""))</f>
        <v/>
      </c>
      <c r="AX1296" s="45">
        <f>IF(AU1296="","",T1296-AV1296)</f>
        <v/>
      </c>
      <c r="AY1296" s="45">
        <f>IF(AU1296="","",AH1296-AV1296)</f>
        <v/>
      </c>
      <c r="AZ1296" s="54">
        <f>(AL1296-AM1296)-T1296*AT1296</f>
        <v/>
      </c>
      <c r="BA1296" s="43">
        <f>IF(AU1296="",0,(AH1296-T1296)*AF1296)</f>
        <v/>
      </c>
      <c r="BB1296" s="43">
        <f>IF(AU1296="",0,T1296*(AF1296-AT1296))</f>
        <v/>
      </c>
      <c r="BC1296" s="51" t="n">
        <v>0.1079475117603367</v>
      </c>
      <c r="BD1296" s="51" t="n">
        <v>0.1176033671700916</v>
      </c>
      <c r="BE1296" s="51" t="n">
        <v>0.07899216887980932</v>
      </c>
      <c r="BF1296" s="43" t="n">
        <v>8078</v>
      </c>
    </row>
    <row r="1297">
      <c r="A1297" s="42" t="inlineStr">
        <is>
          <t>FL</t>
        </is>
      </c>
      <c r="B1297" s="42" t="inlineStr">
        <is>
          <t>12069</t>
        </is>
      </c>
      <c r="C1297" s="42" t="inlineStr">
        <is>
          <t>Lake</t>
        </is>
      </c>
      <c r="D1297" s="42" t="inlineStr">
        <is>
          <t>Mid-size/working metro</t>
        </is>
      </c>
      <c r="E1297" s="42" t="inlineStr"/>
      <c r="F1297" s="43" t="n">
        <v>84546</v>
      </c>
      <c r="G1297" s="43" t="n">
        <v>140500</v>
      </c>
      <c r="H1297" s="43" t="n">
        <v>226781</v>
      </c>
      <c r="I1297" s="43" t="n">
        <v>83505</v>
      </c>
      <c r="J1297" s="43" t="n">
        <v>125859</v>
      </c>
      <c r="K1297" s="42" t="inlineStr">
        <is>
          <t>US Senate</t>
        </is>
      </c>
      <c r="L1297" s="43" t="n">
        <v>55377</v>
      </c>
      <c r="M1297" s="43" t="n">
        <v>103103</v>
      </c>
      <c r="N1297" s="43" t="n">
        <v>160013</v>
      </c>
      <c r="O1297" s="44">
        <f>IFERROR((F1297-G1297)/(F1297+G1297),"")</f>
        <v/>
      </c>
      <c r="P1297" s="44">
        <f>IFERROR((I1297-J1297)/(I1297+J1297),"")</f>
        <v/>
      </c>
      <c r="Q1297" s="45">
        <f>IFERROR(O1297-P1297,"")</f>
        <v/>
      </c>
      <c r="R1297" s="44">
        <f>IFERROR((L1297-M1297)/(L1297+M1297),"")</f>
        <v/>
      </c>
      <c r="S1297" s="46">
        <f>H1297/SUMIFS(Counties!$H$2:$H$1583,Counties!$A$2:$A$1583,$A1297)</f>
        <v/>
      </c>
      <c r="T1297" s="44">
        <f>O1297+INDEX(Dashboard!$F$6:$F$22,MATCH($A1297,Dashboard!$A$6:$A$22,0))</f>
        <v/>
      </c>
      <c r="U1297" s="43">
        <f>AQ1297*INDEX(Dashboard!$G$6:$G$22,MATCH($A1297,Dashboard!$A$6:$A$22,0))</f>
        <v/>
      </c>
      <c r="V1297" s="47" t="n"/>
      <c r="W1297" s="47" t="n"/>
      <c r="X1297" s="47" t="n"/>
      <c r="Y1297" s="48" t="n"/>
      <c r="Z1297" s="49" t="n"/>
      <c r="AA1297" s="49" t="n"/>
      <c r="AB1297" s="49" t="n"/>
      <c r="AC1297" s="50" t="n"/>
      <c r="AD1297" s="43">
        <f>IF(Z1297&lt;&gt;"",Z1297,N(V1297))</f>
        <v/>
      </c>
      <c r="AE1297" s="43">
        <f>IF(AA1297&lt;&gt;"",AA1297,N(W1297))</f>
        <v/>
      </c>
      <c r="AF1297" s="43">
        <f>AD1297+AE1297</f>
        <v/>
      </c>
      <c r="AG1297" s="42">
        <f>IF(UPPER(AC1297)="Y",1,IF(AF1297=0,0,IF(AND(Z1297="",Y1297&lt;&gt;""),IF(Y1297&gt;=0.999,1,0),IF(AF1297&gt;=U1297,1,0))))</f>
        <v/>
      </c>
      <c r="AH1297" s="44">
        <f>IF(AF1297&gt;0,(AD1297-AE1297)/AF1297,"")</f>
        <v/>
      </c>
      <c r="AI1297" s="45">
        <f>IF(AG1297=1,AH1297-O1297,"")</f>
        <v/>
      </c>
      <c r="AJ1297" s="44">
        <f>IF(AG1297=1,AH1297,MAX(-1,MIN(1,O1297+INDEX(Types!$H:$H,MATCH($A1297&amp;"|"&amp;$D1297,Types!$A:$A,0)))))</f>
        <v/>
      </c>
      <c r="AK1297" s="43">
        <f>IF(AG1297=1,AF1297,MAX(AQ1297*AS1297,AF1297))</f>
        <v/>
      </c>
      <c r="AL1297" s="43">
        <f>IF(AG1297=1,AD1297,AK1297*(1+AJ1297)/2)</f>
        <v/>
      </c>
      <c r="AM1297" s="43">
        <f>IF(AG1297=1,AE1297,AK1297*(1-AJ1297)/2)</f>
        <v/>
      </c>
      <c r="AN1297" s="45">
        <f>IF(AH1297="","",AH1297-T1297)</f>
        <v/>
      </c>
      <c r="AO1297" s="51">
        <f>IF(AG1297=1,1,IF(U1297&gt;0,MIN(AF1297/U1297,0.99),0))</f>
        <v/>
      </c>
      <c r="AP1297" s="43">
        <f>IF(AG1297=1,AI1297*AF1297,0)</f>
        <v/>
      </c>
      <c r="AQ1297" s="43">
        <f>N1297*(F1297+G1297)/H1297</f>
        <v/>
      </c>
      <c r="AR1297" s="43">
        <f>O1297*AQ1297</f>
        <v/>
      </c>
      <c r="AS1297" s="52">
        <f>IF(AG1297=1,IF(AQ1297&gt;0,AF1297/AQ1297,1),IFERROR(INDEX(Types!$K:$K,MATCH($A1297&amp;"|"&amp;$D1297,Types!$A:$A,0)),INDEX(Dashboard!$X$6:$X$22,MATCH($A1297,Dashboard!$A$6:$A$22,0))))</f>
        <v/>
      </c>
      <c r="AT1297" s="43">
        <f>AQ1297*INDEX(Dashboard!$Y$6:$Y$22,MATCH($A1297,Dashboard!$A$6:$A$22,0))</f>
        <v/>
      </c>
      <c r="AU1297" s="53">
        <f>IF(AND(AG1297=1,AT1297&gt;0,AF1297&gt;0),100*AF1297/AT1297,"")</f>
        <v/>
      </c>
      <c r="AV1297" s="44">
        <f>IF(AU1297="","",T1297/(AU1297/100))</f>
        <v/>
      </c>
      <c r="AW1297" s="53">
        <f>IF(AU1297="","",IF(AND(ABS(AH1297)&gt;=0.1,ABS(T1297)&gt;=0.05,SIGN(AH1297)=SIGN(T1297)),100*T1297/AH1297,""))</f>
        <v/>
      </c>
      <c r="AX1297" s="45">
        <f>IF(AU1297="","",T1297-AV1297)</f>
        <v/>
      </c>
      <c r="AY1297" s="45">
        <f>IF(AU1297="","",AH1297-AV1297)</f>
        <v/>
      </c>
      <c r="AZ1297" s="54">
        <f>(AL1297-AM1297)-T1297*AT1297</f>
        <v/>
      </c>
      <c r="BA1297" s="43">
        <f>IF(AU1297="",0,(AH1297-T1297)*AF1297)</f>
        <v/>
      </c>
      <c r="BB1297" s="43">
        <f>IF(AU1297="",0,T1297*(AF1297-AT1297))</f>
        <v/>
      </c>
      <c r="BC1297" s="51" t="n">
        <v>0.1131550056306572</v>
      </c>
      <c r="BD1297" s="51" t="n">
        <v>0.1934378106874114</v>
      </c>
      <c r="BE1297" s="51" t="n">
        <v>0.2678251196656105</v>
      </c>
      <c r="BF1297" s="43" t="n">
        <v>424462</v>
      </c>
    </row>
    <row r="1298">
      <c r="A1298" s="42" t="inlineStr">
        <is>
          <t>FL</t>
        </is>
      </c>
      <c r="B1298" s="42" t="inlineStr">
        <is>
          <t>12071</t>
        </is>
      </c>
      <c r="C1298" s="42" t="inlineStr">
        <is>
          <t>Lee</t>
        </is>
      </c>
      <c r="D1298" s="42" t="inlineStr">
        <is>
          <t>Big metro core</t>
        </is>
      </c>
      <c r="E1298" s="42" t="inlineStr">
        <is>
          <t>★</t>
        </is>
      </c>
      <c r="F1298" s="43" t="n">
        <v>139240</v>
      </c>
      <c r="G1298" s="43" t="n">
        <v>250661</v>
      </c>
      <c r="H1298" s="43" t="n">
        <v>392519</v>
      </c>
      <c r="I1298" s="43" t="n">
        <v>157695</v>
      </c>
      <c r="J1298" s="43" t="n">
        <v>233247</v>
      </c>
      <c r="K1298" s="42" t="inlineStr">
        <is>
          <t>US Senate</t>
        </is>
      </c>
      <c r="L1298" s="43" t="n">
        <v>87108</v>
      </c>
      <c r="M1298" s="43" t="n">
        <v>185123</v>
      </c>
      <c r="N1298" s="43" t="n">
        <v>274612</v>
      </c>
      <c r="O1298" s="44">
        <f>IFERROR((F1298-G1298)/(F1298+G1298),"")</f>
        <v/>
      </c>
      <c r="P1298" s="44">
        <f>IFERROR((I1298-J1298)/(I1298+J1298),"")</f>
        <v/>
      </c>
      <c r="Q1298" s="45">
        <f>IFERROR(O1298-P1298,"")</f>
        <v/>
      </c>
      <c r="R1298" s="44">
        <f>IFERROR((L1298-M1298)/(L1298+M1298),"")</f>
        <v/>
      </c>
      <c r="S1298" s="46">
        <f>H1298/SUMIFS(Counties!$H$2:$H$1583,Counties!$A$2:$A$1583,$A1298)</f>
        <v/>
      </c>
      <c r="T1298" s="44">
        <f>O1298+INDEX(Dashboard!$F$6:$F$22,MATCH($A1298,Dashboard!$A$6:$A$22,0))</f>
        <v/>
      </c>
      <c r="U1298" s="43">
        <f>AQ1298*INDEX(Dashboard!$G$6:$G$22,MATCH($A1298,Dashboard!$A$6:$A$22,0))</f>
        <v/>
      </c>
      <c r="V1298" s="47" t="n"/>
      <c r="W1298" s="47" t="n"/>
      <c r="X1298" s="47" t="n"/>
      <c r="Y1298" s="48" t="n"/>
      <c r="Z1298" s="49" t="n"/>
      <c r="AA1298" s="49" t="n"/>
      <c r="AB1298" s="49" t="n"/>
      <c r="AC1298" s="50" t="n"/>
      <c r="AD1298" s="43">
        <f>IF(Z1298&lt;&gt;"",Z1298,N(V1298))</f>
        <v/>
      </c>
      <c r="AE1298" s="43">
        <f>IF(AA1298&lt;&gt;"",AA1298,N(W1298))</f>
        <v/>
      </c>
      <c r="AF1298" s="43">
        <f>AD1298+AE1298</f>
        <v/>
      </c>
      <c r="AG1298" s="42">
        <f>IF(UPPER(AC1298)="Y",1,IF(AF1298=0,0,IF(AND(Z1298="",Y1298&lt;&gt;""),IF(Y1298&gt;=0.999,1,0),IF(AF1298&gt;=U1298,1,0))))</f>
        <v/>
      </c>
      <c r="AH1298" s="44">
        <f>IF(AF1298&gt;0,(AD1298-AE1298)/AF1298,"")</f>
        <v/>
      </c>
      <c r="AI1298" s="45">
        <f>IF(AG1298=1,AH1298-O1298,"")</f>
        <v/>
      </c>
      <c r="AJ1298" s="44">
        <f>IF(AG1298=1,AH1298,MAX(-1,MIN(1,O1298+INDEX(Types!$H:$H,MATCH($A1298&amp;"|"&amp;$D1298,Types!$A:$A,0)))))</f>
        <v/>
      </c>
      <c r="AK1298" s="43">
        <f>IF(AG1298=1,AF1298,MAX(AQ1298*AS1298,AF1298))</f>
        <v/>
      </c>
      <c r="AL1298" s="43">
        <f>IF(AG1298=1,AD1298,AK1298*(1+AJ1298)/2)</f>
        <v/>
      </c>
      <c r="AM1298" s="43">
        <f>IF(AG1298=1,AE1298,AK1298*(1-AJ1298)/2)</f>
        <v/>
      </c>
      <c r="AN1298" s="45">
        <f>IF(AH1298="","",AH1298-T1298)</f>
        <v/>
      </c>
      <c r="AO1298" s="51">
        <f>IF(AG1298=1,1,IF(U1298&gt;0,MIN(AF1298/U1298,0.99),0))</f>
        <v/>
      </c>
      <c r="AP1298" s="43">
        <f>IF(AG1298=1,AI1298*AF1298,0)</f>
        <v/>
      </c>
      <c r="AQ1298" s="43">
        <f>N1298*(F1298+G1298)/H1298</f>
        <v/>
      </c>
      <c r="AR1298" s="43">
        <f>O1298*AQ1298</f>
        <v/>
      </c>
      <c r="AS1298" s="52">
        <f>IF(AG1298=1,IF(AQ1298&gt;0,AF1298/AQ1298,1),IFERROR(INDEX(Types!$K:$K,MATCH($A1298&amp;"|"&amp;$D1298,Types!$A:$A,0)),INDEX(Dashboard!$X$6:$X$22,MATCH($A1298,Dashboard!$A$6:$A$22,0))))</f>
        <v/>
      </c>
      <c r="AT1298" s="43">
        <f>AQ1298*INDEX(Dashboard!$Y$6:$Y$22,MATCH($A1298,Dashboard!$A$6:$A$22,0))</f>
        <v/>
      </c>
      <c r="AU1298" s="53">
        <f>IF(AND(AG1298=1,AT1298&gt;0,AF1298&gt;0),100*AF1298/AT1298,"")</f>
        <v/>
      </c>
      <c r="AV1298" s="44">
        <f>IF(AU1298="","",T1298/(AU1298/100))</f>
        <v/>
      </c>
      <c r="AW1298" s="53">
        <f>IF(AU1298="","",IF(AND(ABS(AH1298)&gt;=0.1,ABS(T1298)&gt;=0.05,SIGN(AH1298)=SIGN(T1298)),100*T1298/AH1298,""))</f>
        <v/>
      </c>
      <c r="AX1298" s="45">
        <f>IF(AU1298="","",T1298-AV1298)</f>
        <v/>
      </c>
      <c r="AY1298" s="45">
        <f>IF(AU1298="","",AH1298-AV1298)</f>
        <v/>
      </c>
      <c r="AZ1298" s="54">
        <f>(AL1298-AM1298)-T1298*AT1298</f>
        <v/>
      </c>
      <c r="BA1298" s="43">
        <f>IF(AU1298="",0,(AH1298-T1298)*AF1298)</f>
        <v/>
      </c>
      <c r="BB1298" s="43">
        <f>IF(AU1298="",0,T1298*(AF1298-AT1298))</f>
        <v/>
      </c>
      <c r="BC1298" s="51" t="n">
        <v>0.08174000357068824</v>
      </c>
      <c r="BD1298" s="51" t="n">
        <v>0.2508216776722947</v>
      </c>
      <c r="BE1298" s="51" t="n">
        <v>0.3075932003380163</v>
      </c>
      <c r="BF1298" s="43" t="n">
        <v>834573</v>
      </c>
    </row>
    <row r="1299">
      <c r="A1299" s="42" t="inlineStr">
        <is>
          <t>FL</t>
        </is>
      </c>
      <c r="B1299" s="42" t="inlineStr">
        <is>
          <t>12073</t>
        </is>
      </c>
      <c r="C1299" s="42" t="inlineStr">
        <is>
          <t>Leon</t>
        </is>
      </c>
      <c r="D1299" s="42" t="inlineStr">
        <is>
          <t>College suburb/metro</t>
        </is>
      </c>
      <c r="E1299" s="42" t="inlineStr"/>
      <c r="F1299" s="43" t="n">
        <v>94520</v>
      </c>
      <c r="G1299" s="43" t="n">
        <v>60397</v>
      </c>
      <c r="H1299" s="43" t="n">
        <v>156800</v>
      </c>
      <c r="I1299" s="43" t="n">
        <v>103517</v>
      </c>
      <c r="J1299" s="43" t="n">
        <v>57453</v>
      </c>
      <c r="K1299" s="42" t="inlineStr">
        <is>
          <t>US Senate</t>
        </is>
      </c>
      <c r="L1299" s="43" t="n">
        <v>69677</v>
      </c>
      <c r="M1299" s="43" t="n">
        <v>46511</v>
      </c>
      <c r="N1299" s="43" t="n">
        <v>117572</v>
      </c>
      <c r="O1299" s="44">
        <f>IFERROR((F1299-G1299)/(F1299+G1299),"")</f>
        <v/>
      </c>
      <c r="P1299" s="44">
        <f>IFERROR((I1299-J1299)/(I1299+J1299),"")</f>
        <v/>
      </c>
      <c r="Q1299" s="45">
        <f>IFERROR(O1299-P1299,"")</f>
        <v/>
      </c>
      <c r="R1299" s="44">
        <f>IFERROR((L1299-M1299)/(L1299+M1299),"")</f>
        <v/>
      </c>
      <c r="S1299" s="46">
        <f>H1299/SUMIFS(Counties!$H$2:$H$1583,Counties!$A$2:$A$1583,$A1299)</f>
        <v/>
      </c>
      <c r="T1299" s="44">
        <f>O1299+INDEX(Dashboard!$F$6:$F$22,MATCH($A1299,Dashboard!$A$6:$A$22,0))</f>
        <v/>
      </c>
      <c r="U1299" s="43">
        <f>AQ1299*INDEX(Dashboard!$G$6:$G$22,MATCH($A1299,Dashboard!$A$6:$A$22,0))</f>
        <v/>
      </c>
      <c r="V1299" s="47" t="n"/>
      <c r="W1299" s="47" t="n"/>
      <c r="X1299" s="47" t="n"/>
      <c r="Y1299" s="48" t="n"/>
      <c r="Z1299" s="49" t="n"/>
      <c r="AA1299" s="49" t="n"/>
      <c r="AB1299" s="49" t="n"/>
      <c r="AC1299" s="50" t="n"/>
      <c r="AD1299" s="43">
        <f>IF(Z1299&lt;&gt;"",Z1299,N(V1299))</f>
        <v/>
      </c>
      <c r="AE1299" s="43">
        <f>IF(AA1299&lt;&gt;"",AA1299,N(W1299))</f>
        <v/>
      </c>
      <c r="AF1299" s="43">
        <f>AD1299+AE1299</f>
        <v/>
      </c>
      <c r="AG1299" s="42">
        <f>IF(UPPER(AC1299)="Y",1,IF(AF1299=0,0,IF(AND(Z1299="",Y1299&lt;&gt;""),IF(Y1299&gt;=0.999,1,0),IF(AF1299&gt;=U1299,1,0))))</f>
        <v/>
      </c>
      <c r="AH1299" s="44">
        <f>IF(AF1299&gt;0,(AD1299-AE1299)/AF1299,"")</f>
        <v/>
      </c>
      <c r="AI1299" s="45">
        <f>IF(AG1299=1,AH1299-O1299,"")</f>
        <v/>
      </c>
      <c r="AJ1299" s="44">
        <f>IF(AG1299=1,AH1299,MAX(-1,MIN(1,O1299+INDEX(Types!$H:$H,MATCH($A1299&amp;"|"&amp;$D1299,Types!$A:$A,0)))))</f>
        <v/>
      </c>
      <c r="AK1299" s="43">
        <f>IF(AG1299=1,AF1299,MAX(AQ1299*AS1299,AF1299))</f>
        <v/>
      </c>
      <c r="AL1299" s="43">
        <f>IF(AG1299=1,AD1299,AK1299*(1+AJ1299)/2)</f>
        <v/>
      </c>
      <c r="AM1299" s="43">
        <f>IF(AG1299=1,AE1299,AK1299*(1-AJ1299)/2)</f>
        <v/>
      </c>
      <c r="AN1299" s="45">
        <f>IF(AH1299="","",AH1299-T1299)</f>
        <v/>
      </c>
      <c r="AO1299" s="51">
        <f>IF(AG1299=1,1,IF(U1299&gt;0,MIN(AF1299/U1299,0.99),0))</f>
        <v/>
      </c>
      <c r="AP1299" s="43">
        <f>IF(AG1299=1,AI1299*AF1299,0)</f>
        <v/>
      </c>
      <c r="AQ1299" s="43">
        <f>N1299*(F1299+G1299)/H1299</f>
        <v/>
      </c>
      <c r="AR1299" s="43">
        <f>O1299*AQ1299</f>
        <v/>
      </c>
      <c r="AS1299" s="52">
        <f>IF(AG1299=1,IF(AQ1299&gt;0,AF1299/AQ1299,1),IFERROR(INDEX(Types!$K:$K,MATCH($A1299&amp;"|"&amp;$D1299,Types!$A:$A,0)),INDEX(Dashboard!$X$6:$X$22,MATCH($A1299,Dashboard!$A$6:$A$22,0))))</f>
        <v/>
      </c>
      <c r="AT1299" s="43">
        <f>AQ1299*INDEX(Dashboard!$Y$6:$Y$22,MATCH($A1299,Dashboard!$A$6:$A$22,0))</f>
        <v/>
      </c>
      <c r="AU1299" s="53">
        <f>IF(AND(AG1299=1,AT1299&gt;0,AF1299&gt;0),100*AF1299/AT1299,"")</f>
        <v/>
      </c>
      <c r="AV1299" s="44">
        <f>IF(AU1299="","",T1299/(AU1299/100))</f>
        <v/>
      </c>
      <c r="AW1299" s="53">
        <f>IF(AU1299="","",IF(AND(ABS(AH1299)&gt;=0.1,ABS(T1299)&gt;=0.05,SIGN(AH1299)=SIGN(T1299)),100*T1299/AH1299,""))</f>
        <v/>
      </c>
      <c r="AX1299" s="45">
        <f>IF(AU1299="","",T1299-AV1299)</f>
        <v/>
      </c>
      <c r="AY1299" s="45">
        <f>IF(AU1299="","",AH1299-AV1299)</f>
        <v/>
      </c>
      <c r="AZ1299" s="54">
        <f>(AL1299-AM1299)-T1299*AT1299</f>
        <v/>
      </c>
      <c r="BA1299" s="43">
        <f>IF(AU1299="",0,(AH1299-T1299)*AF1299)</f>
        <v/>
      </c>
      <c r="BB1299" s="43">
        <f>IF(AU1299="",0,T1299*(AF1299-AT1299))</f>
        <v/>
      </c>
      <c r="BC1299" s="51" t="n">
        <v>0.3130310899152277</v>
      </c>
      <c r="BD1299" s="51" t="n">
        <v>0.08272456914988566</v>
      </c>
      <c r="BE1299" s="51" t="n">
        <v>0.4858254115203107</v>
      </c>
      <c r="BF1299" s="43" t="n">
        <v>296913</v>
      </c>
    </row>
    <row r="1300">
      <c r="A1300" s="42" t="inlineStr">
        <is>
          <t>FL</t>
        </is>
      </c>
      <c r="B1300" s="42" t="inlineStr">
        <is>
          <t>12075</t>
        </is>
      </c>
      <c r="C1300" s="42" t="inlineStr">
        <is>
          <t>Levy</t>
        </is>
      </c>
      <c r="D1300" s="42" t="inlineStr">
        <is>
          <t>Small town &amp; rural</t>
        </is>
      </c>
      <c r="E1300" s="42" t="inlineStr"/>
      <c r="F1300" s="43" t="n">
        <v>5994</v>
      </c>
      <c r="G1300" s="43" t="n">
        <v>18245</v>
      </c>
      <c r="H1300" s="43" t="n">
        <v>24377</v>
      </c>
      <c r="I1300" s="43" t="n">
        <v>6205</v>
      </c>
      <c r="J1300" s="43" t="n">
        <v>16749</v>
      </c>
      <c r="K1300" s="42" t="inlineStr">
        <is>
          <t>US Senate</t>
        </is>
      </c>
      <c r="L1300" s="43" t="n">
        <v>3944</v>
      </c>
      <c r="M1300" s="43" t="n">
        <v>13690</v>
      </c>
      <c r="N1300" s="43" t="n">
        <v>17874</v>
      </c>
      <c r="O1300" s="44">
        <f>IFERROR((F1300-G1300)/(F1300+G1300),"")</f>
        <v/>
      </c>
      <c r="P1300" s="44">
        <f>IFERROR((I1300-J1300)/(I1300+J1300),"")</f>
        <v/>
      </c>
      <c r="Q1300" s="45">
        <f>IFERROR(O1300-P1300,"")</f>
        <v/>
      </c>
      <c r="R1300" s="44">
        <f>IFERROR((L1300-M1300)/(L1300+M1300),"")</f>
        <v/>
      </c>
      <c r="S1300" s="46">
        <f>H1300/SUMIFS(Counties!$H$2:$H$1583,Counties!$A$2:$A$1583,$A1300)</f>
        <v/>
      </c>
      <c r="T1300" s="44">
        <f>O1300+INDEX(Dashboard!$F$6:$F$22,MATCH($A1300,Dashboard!$A$6:$A$22,0))</f>
        <v/>
      </c>
      <c r="U1300" s="43">
        <f>AQ1300*INDEX(Dashboard!$G$6:$G$22,MATCH($A1300,Dashboard!$A$6:$A$22,0))</f>
        <v/>
      </c>
      <c r="V1300" s="47" t="n"/>
      <c r="W1300" s="47" t="n"/>
      <c r="X1300" s="47" t="n"/>
      <c r="Y1300" s="48" t="n"/>
      <c r="Z1300" s="49" t="n"/>
      <c r="AA1300" s="49" t="n"/>
      <c r="AB1300" s="49" t="n"/>
      <c r="AC1300" s="50" t="n"/>
      <c r="AD1300" s="43">
        <f>IF(Z1300&lt;&gt;"",Z1300,N(V1300))</f>
        <v/>
      </c>
      <c r="AE1300" s="43">
        <f>IF(AA1300&lt;&gt;"",AA1300,N(W1300))</f>
        <v/>
      </c>
      <c r="AF1300" s="43">
        <f>AD1300+AE1300</f>
        <v/>
      </c>
      <c r="AG1300" s="42">
        <f>IF(UPPER(AC1300)="Y",1,IF(AF1300=0,0,IF(AND(Z1300="",Y1300&lt;&gt;""),IF(Y1300&gt;=0.999,1,0),IF(AF1300&gt;=U1300,1,0))))</f>
        <v/>
      </c>
      <c r="AH1300" s="44">
        <f>IF(AF1300&gt;0,(AD1300-AE1300)/AF1300,"")</f>
        <v/>
      </c>
      <c r="AI1300" s="45">
        <f>IF(AG1300=1,AH1300-O1300,"")</f>
        <v/>
      </c>
      <c r="AJ1300" s="44">
        <f>IF(AG1300=1,AH1300,MAX(-1,MIN(1,O1300+INDEX(Types!$H:$H,MATCH($A1300&amp;"|"&amp;$D1300,Types!$A:$A,0)))))</f>
        <v/>
      </c>
      <c r="AK1300" s="43">
        <f>IF(AG1300=1,AF1300,MAX(AQ1300*AS1300,AF1300))</f>
        <v/>
      </c>
      <c r="AL1300" s="43">
        <f>IF(AG1300=1,AD1300,AK1300*(1+AJ1300)/2)</f>
        <v/>
      </c>
      <c r="AM1300" s="43">
        <f>IF(AG1300=1,AE1300,AK1300*(1-AJ1300)/2)</f>
        <v/>
      </c>
      <c r="AN1300" s="45">
        <f>IF(AH1300="","",AH1300-T1300)</f>
        <v/>
      </c>
      <c r="AO1300" s="51">
        <f>IF(AG1300=1,1,IF(U1300&gt;0,MIN(AF1300/U1300,0.99),0))</f>
        <v/>
      </c>
      <c r="AP1300" s="43">
        <f>IF(AG1300=1,AI1300*AF1300,0)</f>
        <v/>
      </c>
      <c r="AQ1300" s="43">
        <f>N1300*(F1300+G1300)/H1300</f>
        <v/>
      </c>
      <c r="AR1300" s="43">
        <f>O1300*AQ1300</f>
        <v/>
      </c>
      <c r="AS1300" s="52">
        <f>IF(AG1300=1,IF(AQ1300&gt;0,AF1300/AQ1300,1),IFERROR(INDEX(Types!$K:$K,MATCH($A1300&amp;"|"&amp;$D1300,Types!$A:$A,0)),INDEX(Dashboard!$X$6:$X$22,MATCH($A1300,Dashboard!$A$6:$A$22,0))))</f>
        <v/>
      </c>
      <c r="AT1300" s="43">
        <f>AQ1300*INDEX(Dashboard!$Y$6:$Y$22,MATCH($A1300,Dashboard!$A$6:$A$22,0))</f>
        <v/>
      </c>
      <c r="AU1300" s="53">
        <f>IF(AND(AG1300=1,AT1300&gt;0,AF1300&gt;0),100*AF1300/AT1300,"")</f>
        <v/>
      </c>
      <c r="AV1300" s="44">
        <f>IF(AU1300="","",T1300/(AU1300/100))</f>
        <v/>
      </c>
      <c r="AW1300" s="53">
        <f>IF(AU1300="","",IF(AND(ABS(AH1300)&gt;=0.1,ABS(T1300)&gt;=0.05,SIGN(AH1300)=SIGN(T1300)),100*T1300/AH1300,""))</f>
        <v/>
      </c>
      <c r="AX1300" s="45">
        <f>IF(AU1300="","",T1300-AV1300)</f>
        <v/>
      </c>
      <c r="AY1300" s="45">
        <f>IF(AU1300="","",AH1300-AV1300)</f>
        <v/>
      </c>
      <c r="AZ1300" s="54">
        <f>(AL1300-AM1300)-T1300*AT1300</f>
        <v/>
      </c>
      <c r="BA1300" s="43">
        <f>IF(AU1300="",0,(AH1300-T1300)*AF1300)</f>
        <v/>
      </c>
      <c r="BB1300" s="43">
        <f>IF(AU1300="",0,T1300*(AF1300-AT1300))</f>
        <v/>
      </c>
      <c r="BC1300" s="51" t="n">
        <v>0.08950478032012031</v>
      </c>
      <c r="BD1300" s="51" t="n">
        <v>0.105338919325384</v>
      </c>
      <c r="BE1300" s="51" t="n">
        <v>0.1617534514953929</v>
      </c>
      <c r="BF1300" s="43" t="n">
        <v>46545</v>
      </c>
    </row>
    <row r="1301">
      <c r="A1301" s="42" t="inlineStr">
        <is>
          <t>FL</t>
        </is>
      </c>
      <c r="B1301" s="42" t="inlineStr">
        <is>
          <t>12077</t>
        </is>
      </c>
      <c r="C1301" s="42" t="inlineStr">
        <is>
          <t>Liberty</t>
        </is>
      </c>
      <c r="D1301" s="42" t="inlineStr">
        <is>
          <t>Small town &amp; rural</t>
        </is>
      </c>
      <c r="E1301" s="42" t="inlineStr"/>
      <c r="F1301" s="43" t="n">
        <v>566</v>
      </c>
      <c r="G1301" s="43" t="n">
        <v>2898</v>
      </c>
      <c r="H1301" s="43" t="n">
        <v>3490</v>
      </c>
      <c r="I1301" s="43" t="n">
        <v>694</v>
      </c>
      <c r="J1301" s="43" t="n">
        <v>2846</v>
      </c>
      <c r="K1301" s="42" t="inlineStr">
        <is>
          <t>US Senate</t>
        </is>
      </c>
      <c r="L1301" s="43" t="n">
        <v>405</v>
      </c>
      <c r="M1301" s="43" t="n">
        <v>2164</v>
      </c>
      <c r="N1301" s="43" t="n">
        <v>2602</v>
      </c>
      <c r="O1301" s="44">
        <f>IFERROR((F1301-G1301)/(F1301+G1301),"")</f>
        <v/>
      </c>
      <c r="P1301" s="44">
        <f>IFERROR((I1301-J1301)/(I1301+J1301),"")</f>
        <v/>
      </c>
      <c r="Q1301" s="45">
        <f>IFERROR(O1301-P1301,"")</f>
        <v/>
      </c>
      <c r="R1301" s="44">
        <f>IFERROR((L1301-M1301)/(L1301+M1301),"")</f>
        <v/>
      </c>
      <c r="S1301" s="46">
        <f>H1301/SUMIFS(Counties!$H$2:$H$1583,Counties!$A$2:$A$1583,$A1301)</f>
        <v/>
      </c>
      <c r="T1301" s="44">
        <f>O1301+INDEX(Dashboard!$F$6:$F$22,MATCH($A1301,Dashboard!$A$6:$A$22,0))</f>
        <v/>
      </c>
      <c r="U1301" s="43">
        <f>AQ1301*INDEX(Dashboard!$G$6:$G$22,MATCH($A1301,Dashboard!$A$6:$A$22,0))</f>
        <v/>
      </c>
      <c r="V1301" s="47" t="n"/>
      <c r="W1301" s="47" t="n"/>
      <c r="X1301" s="47" t="n"/>
      <c r="Y1301" s="48" t="n"/>
      <c r="Z1301" s="49" t="n"/>
      <c r="AA1301" s="49" t="n"/>
      <c r="AB1301" s="49" t="n"/>
      <c r="AC1301" s="50" t="n"/>
      <c r="AD1301" s="43">
        <f>IF(Z1301&lt;&gt;"",Z1301,N(V1301))</f>
        <v/>
      </c>
      <c r="AE1301" s="43">
        <f>IF(AA1301&lt;&gt;"",AA1301,N(W1301))</f>
        <v/>
      </c>
      <c r="AF1301" s="43">
        <f>AD1301+AE1301</f>
        <v/>
      </c>
      <c r="AG1301" s="42">
        <f>IF(UPPER(AC1301)="Y",1,IF(AF1301=0,0,IF(AND(Z1301="",Y1301&lt;&gt;""),IF(Y1301&gt;=0.999,1,0),IF(AF1301&gt;=U1301,1,0))))</f>
        <v/>
      </c>
      <c r="AH1301" s="44">
        <f>IF(AF1301&gt;0,(AD1301-AE1301)/AF1301,"")</f>
        <v/>
      </c>
      <c r="AI1301" s="45">
        <f>IF(AG1301=1,AH1301-O1301,"")</f>
        <v/>
      </c>
      <c r="AJ1301" s="44">
        <f>IF(AG1301=1,AH1301,MAX(-1,MIN(1,O1301+INDEX(Types!$H:$H,MATCH($A1301&amp;"|"&amp;$D1301,Types!$A:$A,0)))))</f>
        <v/>
      </c>
      <c r="AK1301" s="43">
        <f>IF(AG1301=1,AF1301,MAX(AQ1301*AS1301,AF1301))</f>
        <v/>
      </c>
      <c r="AL1301" s="43">
        <f>IF(AG1301=1,AD1301,AK1301*(1+AJ1301)/2)</f>
        <v/>
      </c>
      <c r="AM1301" s="43">
        <f>IF(AG1301=1,AE1301,AK1301*(1-AJ1301)/2)</f>
        <v/>
      </c>
      <c r="AN1301" s="45">
        <f>IF(AH1301="","",AH1301-T1301)</f>
        <v/>
      </c>
      <c r="AO1301" s="51">
        <f>IF(AG1301=1,1,IF(U1301&gt;0,MIN(AF1301/U1301,0.99),0))</f>
        <v/>
      </c>
      <c r="AP1301" s="43">
        <f>IF(AG1301=1,AI1301*AF1301,0)</f>
        <v/>
      </c>
      <c r="AQ1301" s="43">
        <f>N1301*(F1301+G1301)/H1301</f>
        <v/>
      </c>
      <c r="AR1301" s="43">
        <f>O1301*AQ1301</f>
        <v/>
      </c>
      <c r="AS1301" s="52">
        <f>IF(AG1301=1,IF(AQ1301&gt;0,AF1301/AQ1301,1),IFERROR(INDEX(Types!$K:$K,MATCH($A1301&amp;"|"&amp;$D1301,Types!$A:$A,0)),INDEX(Dashboard!$X$6:$X$22,MATCH($A1301,Dashboard!$A$6:$A$22,0))))</f>
        <v/>
      </c>
      <c r="AT1301" s="43">
        <f>AQ1301*INDEX(Dashboard!$Y$6:$Y$22,MATCH($A1301,Dashboard!$A$6:$A$22,0))</f>
        <v/>
      </c>
      <c r="AU1301" s="53">
        <f>IF(AND(AG1301=1,AT1301&gt;0,AF1301&gt;0),100*AF1301/AT1301,"")</f>
        <v/>
      </c>
      <c r="AV1301" s="44">
        <f>IF(AU1301="","",T1301/(AU1301/100))</f>
        <v/>
      </c>
      <c r="AW1301" s="53">
        <f>IF(AU1301="","",IF(AND(ABS(AH1301)&gt;=0.1,ABS(T1301)&gt;=0.05,SIGN(AH1301)=SIGN(T1301)),100*T1301/AH1301,""))</f>
        <v/>
      </c>
      <c r="AX1301" s="45">
        <f>IF(AU1301="","",T1301-AV1301)</f>
        <v/>
      </c>
      <c r="AY1301" s="45">
        <f>IF(AU1301="","",AH1301-AV1301)</f>
        <v/>
      </c>
      <c r="AZ1301" s="54">
        <f>(AL1301-AM1301)-T1301*AT1301</f>
        <v/>
      </c>
      <c r="BA1301" s="43">
        <f>IF(AU1301="",0,(AH1301-T1301)*AF1301)</f>
        <v/>
      </c>
      <c r="BB1301" s="43">
        <f>IF(AU1301="",0,T1301*(AF1301-AT1301))</f>
        <v/>
      </c>
      <c r="BC1301" s="51" t="n">
        <v>0.1735011679211004</v>
      </c>
      <c r="BD1301" s="51" t="n">
        <v>0.0772125616402803</v>
      </c>
      <c r="BE1301" s="51" t="n">
        <v>0.1576363636363636</v>
      </c>
      <c r="BF1301" s="43" t="n">
        <v>7706</v>
      </c>
    </row>
    <row r="1302">
      <c r="A1302" s="42" t="inlineStr">
        <is>
          <t>FL</t>
        </is>
      </c>
      <c r="B1302" s="42" t="inlineStr">
        <is>
          <t>12079</t>
        </is>
      </c>
      <c r="C1302" s="42" t="inlineStr">
        <is>
          <t>Madison</t>
        </is>
      </c>
      <c r="D1302" s="42" t="inlineStr">
        <is>
          <t>Small town &amp; rural</t>
        </is>
      </c>
      <c r="E1302" s="42" t="inlineStr"/>
      <c r="F1302" s="43" t="n">
        <v>3231</v>
      </c>
      <c r="G1302" s="43" t="n">
        <v>5874</v>
      </c>
      <c r="H1302" s="43" t="n">
        <v>9156</v>
      </c>
      <c r="I1302" s="43" t="n">
        <v>3747</v>
      </c>
      <c r="J1302" s="43" t="n">
        <v>5576</v>
      </c>
      <c r="K1302" s="42" t="inlineStr">
        <is>
          <t>US Senate</t>
        </is>
      </c>
      <c r="L1302" s="43" t="n">
        <v>2442</v>
      </c>
      <c r="M1302" s="43" t="n">
        <v>4476</v>
      </c>
      <c r="N1302" s="43" t="n">
        <v>6977</v>
      </c>
      <c r="O1302" s="44">
        <f>IFERROR((F1302-G1302)/(F1302+G1302),"")</f>
        <v/>
      </c>
      <c r="P1302" s="44">
        <f>IFERROR((I1302-J1302)/(I1302+J1302),"")</f>
        <v/>
      </c>
      <c r="Q1302" s="45">
        <f>IFERROR(O1302-P1302,"")</f>
        <v/>
      </c>
      <c r="R1302" s="44">
        <f>IFERROR((L1302-M1302)/(L1302+M1302),"")</f>
        <v/>
      </c>
      <c r="S1302" s="46">
        <f>H1302/SUMIFS(Counties!$H$2:$H$1583,Counties!$A$2:$A$1583,$A1302)</f>
        <v/>
      </c>
      <c r="T1302" s="44">
        <f>O1302+INDEX(Dashboard!$F$6:$F$22,MATCH($A1302,Dashboard!$A$6:$A$22,0))</f>
        <v/>
      </c>
      <c r="U1302" s="43">
        <f>AQ1302*INDEX(Dashboard!$G$6:$G$22,MATCH($A1302,Dashboard!$A$6:$A$22,0))</f>
        <v/>
      </c>
      <c r="V1302" s="47" t="n"/>
      <c r="W1302" s="47" t="n"/>
      <c r="X1302" s="47" t="n"/>
      <c r="Y1302" s="48" t="n"/>
      <c r="Z1302" s="49" t="n"/>
      <c r="AA1302" s="49" t="n"/>
      <c r="AB1302" s="49" t="n"/>
      <c r="AC1302" s="50" t="n"/>
      <c r="AD1302" s="43">
        <f>IF(Z1302&lt;&gt;"",Z1302,N(V1302))</f>
        <v/>
      </c>
      <c r="AE1302" s="43">
        <f>IF(AA1302&lt;&gt;"",AA1302,N(W1302))</f>
        <v/>
      </c>
      <c r="AF1302" s="43">
        <f>AD1302+AE1302</f>
        <v/>
      </c>
      <c r="AG1302" s="42">
        <f>IF(UPPER(AC1302)="Y",1,IF(AF1302=0,0,IF(AND(Z1302="",Y1302&lt;&gt;""),IF(Y1302&gt;=0.999,1,0),IF(AF1302&gt;=U1302,1,0))))</f>
        <v/>
      </c>
      <c r="AH1302" s="44">
        <f>IF(AF1302&gt;0,(AD1302-AE1302)/AF1302,"")</f>
        <v/>
      </c>
      <c r="AI1302" s="45">
        <f>IF(AG1302=1,AH1302-O1302,"")</f>
        <v/>
      </c>
      <c r="AJ1302" s="44">
        <f>IF(AG1302=1,AH1302,MAX(-1,MIN(1,O1302+INDEX(Types!$H:$H,MATCH($A1302&amp;"|"&amp;$D1302,Types!$A:$A,0)))))</f>
        <v/>
      </c>
      <c r="AK1302" s="43">
        <f>IF(AG1302=1,AF1302,MAX(AQ1302*AS1302,AF1302))</f>
        <v/>
      </c>
      <c r="AL1302" s="43">
        <f>IF(AG1302=1,AD1302,AK1302*(1+AJ1302)/2)</f>
        <v/>
      </c>
      <c r="AM1302" s="43">
        <f>IF(AG1302=1,AE1302,AK1302*(1-AJ1302)/2)</f>
        <v/>
      </c>
      <c r="AN1302" s="45">
        <f>IF(AH1302="","",AH1302-T1302)</f>
        <v/>
      </c>
      <c r="AO1302" s="51">
        <f>IF(AG1302=1,1,IF(U1302&gt;0,MIN(AF1302/U1302,0.99),0))</f>
        <v/>
      </c>
      <c r="AP1302" s="43">
        <f>IF(AG1302=1,AI1302*AF1302,0)</f>
        <v/>
      </c>
      <c r="AQ1302" s="43">
        <f>N1302*(F1302+G1302)/H1302</f>
        <v/>
      </c>
      <c r="AR1302" s="43">
        <f>O1302*AQ1302</f>
        <v/>
      </c>
      <c r="AS1302" s="52">
        <f>IF(AG1302=1,IF(AQ1302&gt;0,AF1302/AQ1302,1),IFERROR(INDEX(Types!$K:$K,MATCH($A1302&amp;"|"&amp;$D1302,Types!$A:$A,0)),INDEX(Dashboard!$X$6:$X$22,MATCH($A1302,Dashboard!$A$6:$A$22,0))))</f>
        <v/>
      </c>
      <c r="AT1302" s="43">
        <f>AQ1302*INDEX(Dashboard!$Y$6:$Y$22,MATCH($A1302,Dashboard!$A$6:$A$22,0))</f>
        <v/>
      </c>
      <c r="AU1302" s="53">
        <f>IF(AND(AG1302=1,AT1302&gt;0,AF1302&gt;0),100*AF1302/AT1302,"")</f>
        <v/>
      </c>
      <c r="AV1302" s="44">
        <f>IF(AU1302="","",T1302/(AU1302/100))</f>
        <v/>
      </c>
      <c r="AW1302" s="53">
        <f>IF(AU1302="","",IF(AND(ABS(AH1302)&gt;=0.1,ABS(T1302)&gt;=0.05,SIGN(AH1302)=SIGN(T1302)),100*T1302/AH1302,""))</f>
        <v/>
      </c>
      <c r="AX1302" s="45">
        <f>IF(AU1302="","",T1302-AV1302)</f>
        <v/>
      </c>
      <c r="AY1302" s="45">
        <f>IF(AU1302="","",AH1302-AV1302)</f>
        <v/>
      </c>
      <c r="AZ1302" s="54">
        <f>(AL1302-AM1302)-T1302*AT1302</f>
        <v/>
      </c>
      <c r="BA1302" s="43">
        <f>IF(AU1302="",0,(AH1302-T1302)*AF1302)</f>
        <v/>
      </c>
      <c r="BB1302" s="43">
        <f>IF(AU1302="",0,T1302*(AF1302-AT1302))</f>
        <v/>
      </c>
      <c r="BC1302" s="51" t="n">
        <v>0.3515848587936714</v>
      </c>
      <c r="BD1302" s="51" t="n">
        <v>0.06404233489929262</v>
      </c>
      <c r="BE1302" s="51" t="n">
        <v>0.1249816742413136</v>
      </c>
      <c r="BF1302" s="43" t="n">
        <v>18519</v>
      </c>
    </row>
    <row r="1303">
      <c r="A1303" s="42" t="inlineStr">
        <is>
          <t>FL</t>
        </is>
      </c>
      <c r="B1303" s="42" t="inlineStr">
        <is>
          <t>12081</t>
        </is>
      </c>
      <c r="C1303" s="42" t="inlineStr">
        <is>
          <t>Manatee</t>
        </is>
      </c>
      <c r="D1303" s="42" t="inlineStr">
        <is>
          <t>Mid-size/working metro</t>
        </is>
      </c>
      <c r="E1303" s="42" t="inlineStr"/>
      <c r="F1303" s="43" t="n">
        <v>86674</v>
      </c>
      <c r="G1303" s="43" t="n">
        <v>140486</v>
      </c>
      <c r="H1303" s="43" t="n">
        <v>228856</v>
      </c>
      <c r="I1303" s="43" t="n">
        <v>90166</v>
      </c>
      <c r="J1303" s="43" t="n">
        <v>124987</v>
      </c>
      <c r="K1303" s="42" t="inlineStr">
        <is>
          <t>US Senate</t>
        </is>
      </c>
      <c r="L1303" s="43" t="n">
        <v>61423</v>
      </c>
      <c r="M1303" s="43" t="n">
        <v>108234</v>
      </c>
      <c r="N1303" s="43" t="n">
        <v>171469</v>
      </c>
      <c r="O1303" s="44">
        <f>IFERROR((F1303-G1303)/(F1303+G1303),"")</f>
        <v/>
      </c>
      <c r="P1303" s="44">
        <f>IFERROR((I1303-J1303)/(I1303+J1303),"")</f>
        <v/>
      </c>
      <c r="Q1303" s="45">
        <f>IFERROR(O1303-P1303,"")</f>
        <v/>
      </c>
      <c r="R1303" s="44">
        <f>IFERROR((L1303-M1303)/(L1303+M1303),"")</f>
        <v/>
      </c>
      <c r="S1303" s="46">
        <f>H1303/SUMIFS(Counties!$H$2:$H$1583,Counties!$A$2:$A$1583,$A1303)</f>
        <v/>
      </c>
      <c r="T1303" s="44">
        <f>O1303+INDEX(Dashboard!$F$6:$F$22,MATCH($A1303,Dashboard!$A$6:$A$22,0))</f>
        <v/>
      </c>
      <c r="U1303" s="43">
        <f>AQ1303*INDEX(Dashboard!$G$6:$G$22,MATCH($A1303,Dashboard!$A$6:$A$22,0))</f>
        <v/>
      </c>
      <c r="V1303" s="47" t="n"/>
      <c r="W1303" s="47" t="n"/>
      <c r="X1303" s="47" t="n"/>
      <c r="Y1303" s="48" t="n"/>
      <c r="Z1303" s="49" t="n"/>
      <c r="AA1303" s="49" t="n"/>
      <c r="AB1303" s="49" t="n"/>
      <c r="AC1303" s="50" t="n"/>
      <c r="AD1303" s="43">
        <f>IF(Z1303&lt;&gt;"",Z1303,N(V1303))</f>
        <v/>
      </c>
      <c r="AE1303" s="43">
        <f>IF(AA1303&lt;&gt;"",AA1303,N(W1303))</f>
        <v/>
      </c>
      <c r="AF1303" s="43">
        <f>AD1303+AE1303</f>
        <v/>
      </c>
      <c r="AG1303" s="42">
        <f>IF(UPPER(AC1303)="Y",1,IF(AF1303=0,0,IF(AND(Z1303="",Y1303&lt;&gt;""),IF(Y1303&gt;=0.999,1,0),IF(AF1303&gt;=U1303,1,0))))</f>
        <v/>
      </c>
      <c r="AH1303" s="44">
        <f>IF(AF1303&gt;0,(AD1303-AE1303)/AF1303,"")</f>
        <v/>
      </c>
      <c r="AI1303" s="45">
        <f>IF(AG1303=1,AH1303-O1303,"")</f>
        <v/>
      </c>
      <c r="AJ1303" s="44">
        <f>IF(AG1303=1,AH1303,MAX(-1,MIN(1,O1303+INDEX(Types!$H:$H,MATCH($A1303&amp;"|"&amp;$D1303,Types!$A:$A,0)))))</f>
        <v/>
      </c>
      <c r="AK1303" s="43">
        <f>IF(AG1303=1,AF1303,MAX(AQ1303*AS1303,AF1303))</f>
        <v/>
      </c>
      <c r="AL1303" s="43">
        <f>IF(AG1303=1,AD1303,AK1303*(1+AJ1303)/2)</f>
        <v/>
      </c>
      <c r="AM1303" s="43">
        <f>IF(AG1303=1,AE1303,AK1303*(1-AJ1303)/2)</f>
        <v/>
      </c>
      <c r="AN1303" s="45">
        <f>IF(AH1303="","",AH1303-T1303)</f>
        <v/>
      </c>
      <c r="AO1303" s="51">
        <f>IF(AG1303=1,1,IF(U1303&gt;0,MIN(AF1303/U1303,0.99),0))</f>
        <v/>
      </c>
      <c r="AP1303" s="43">
        <f>IF(AG1303=1,AI1303*AF1303,0)</f>
        <v/>
      </c>
      <c r="AQ1303" s="43">
        <f>N1303*(F1303+G1303)/H1303</f>
        <v/>
      </c>
      <c r="AR1303" s="43">
        <f>O1303*AQ1303</f>
        <v/>
      </c>
      <c r="AS1303" s="52">
        <f>IF(AG1303=1,IF(AQ1303&gt;0,AF1303/AQ1303,1),IFERROR(INDEX(Types!$K:$K,MATCH($A1303&amp;"|"&amp;$D1303,Types!$A:$A,0)),INDEX(Dashboard!$X$6:$X$22,MATCH($A1303,Dashboard!$A$6:$A$22,0))))</f>
        <v/>
      </c>
      <c r="AT1303" s="43">
        <f>AQ1303*INDEX(Dashboard!$Y$6:$Y$22,MATCH($A1303,Dashboard!$A$6:$A$22,0))</f>
        <v/>
      </c>
      <c r="AU1303" s="53">
        <f>IF(AND(AG1303=1,AT1303&gt;0,AF1303&gt;0),100*AF1303/AT1303,"")</f>
        <v/>
      </c>
      <c r="AV1303" s="44">
        <f>IF(AU1303="","",T1303/(AU1303/100))</f>
        <v/>
      </c>
      <c r="AW1303" s="53">
        <f>IF(AU1303="","",IF(AND(ABS(AH1303)&gt;=0.1,ABS(T1303)&gt;=0.05,SIGN(AH1303)=SIGN(T1303)),100*T1303/AH1303,""))</f>
        <v/>
      </c>
      <c r="AX1303" s="45">
        <f>IF(AU1303="","",T1303-AV1303)</f>
        <v/>
      </c>
      <c r="AY1303" s="45">
        <f>IF(AU1303="","",AH1303-AV1303)</f>
        <v/>
      </c>
      <c r="AZ1303" s="54">
        <f>(AL1303-AM1303)-T1303*AT1303</f>
        <v/>
      </c>
      <c r="BA1303" s="43">
        <f>IF(AU1303="",0,(AH1303-T1303)*AF1303)</f>
        <v/>
      </c>
      <c r="BB1303" s="43">
        <f>IF(AU1303="",0,T1303*(AF1303-AT1303))</f>
        <v/>
      </c>
      <c r="BC1303" s="51" t="n">
        <v>0.08160373615661025</v>
      </c>
      <c r="BD1303" s="51" t="n">
        <v>0.1821467030911708</v>
      </c>
      <c r="BE1303" s="51" t="n">
        <v>0.3434397545296631</v>
      </c>
      <c r="BF1303" s="43" t="n">
        <v>441095</v>
      </c>
    </row>
    <row r="1304">
      <c r="A1304" s="42" t="inlineStr">
        <is>
          <t>FL</t>
        </is>
      </c>
      <c r="B1304" s="42" t="inlineStr">
        <is>
          <t>12083</t>
        </is>
      </c>
      <c r="C1304" s="42" t="inlineStr">
        <is>
          <t>Marion</t>
        </is>
      </c>
      <c r="D1304" s="42" t="inlineStr">
        <is>
          <t>Mid-size/working metro</t>
        </is>
      </c>
      <c r="E1304" s="42" t="inlineStr"/>
      <c r="F1304" s="43" t="n">
        <v>72436</v>
      </c>
      <c r="G1304" s="43" t="n">
        <v>140173</v>
      </c>
      <c r="H1304" s="43" t="n">
        <v>214101</v>
      </c>
      <c r="I1304" s="43" t="n">
        <v>74858</v>
      </c>
      <c r="J1304" s="43" t="n">
        <v>127826</v>
      </c>
      <c r="K1304" s="42" t="inlineStr">
        <is>
          <t>US Senate</t>
        </is>
      </c>
      <c r="L1304" s="43" t="n">
        <v>49698</v>
      </c>
      <c r="M1304" s="43" t="n">
        <v>104655</v>
      </c>
      <c r="N1304" s="43" t="n">
        <v>155834</v>
      </c>
      <c r="O1304" s="44">
        <f>IFERROR((F1304-G1304)/(F1304+G1304),"")</f>
        <v/>
      </c>
      <c r="P1304" s="44">
        <f>IFERROR((I1304-J1304)/(I1304+J1304),"")</f>
        <v/>
      </c>
      <c r="Q1304" s="45">
        <f>IFERROR(O1304-P1304,"")</f>
        <v/>
      </c>
      <c r="R1304" s="44">
        <f>IFERROR((L1304-M1304)/(L1304+M1304),"")</f>
        <v/>
      </c>
      <c r="S1304" s="46">
        <f>H1304/SUMIFS(Counties!$H$2:$H$1583,Counties!$A$2:$A$1583,$A1304)</f>
        <v/>
      </c>
      <c r="T1304" s="44">
        <f>O1304+INDEX(Dashboard!$F$6:$F$22,MATCH($A1304,Dashboard!$A$6:$A$22,0))</f>
        <v/>
      </c>
      <c r="U1304" s="43">
        <f>AQ1304*INDEX(Dashboard!$G$6:$G$22,MATCH($A1304,Dashboard!$A$6:$A$22,0))</f>
        <v/>
      </c>
      <c r="V1304" s="47" t="n"/>
      <c r="W1304" s="47" t="n"/>
      <c r="X1304" s="47" t="n"/>
      <c r="Y1304" s="48" t="n"/>
      <c r="Z1304" s="49" t="n"/>
      <c r="AA1304" s="49" t="n"/>
      <c r="AB1304" s="49" t="n"/>
      <c r="AC1304" s="50" t="n"/>
      <c r="AD1304" s="43">
        <f>IF(Z1304&lt;&gt;"",Z1304,N(V1304))</f>
        <v/>
      </c>
      <c r="AE1304" s="43">
        <f>IF(AA1304&lt;&gt;"",AA1304,N(W1304))</f>
        <v/>
      </c>
      <c r="AF1304" s="43">
        <f>AD1304+AE1304</f>
        <v/>
      </c>
      <c r="AG1304" s="42">
        <f>IF(UPPER(AC1304)="Y",1,IF(AF1304=0,0,IF(AND(Z1304="",Y1304&lt;&gt;""),IF(Y1304&gt;=0.999,1,0),IF(AF1304&gt;=U1304,1,0))))</f>
        <v/>
      </c>
      <c r="AH1304" s="44">
        <f>IF(AF1304&gt;0,(AD1304-AE1304)/AF1304,"")</f>
        <v/>
      </c>
      <c r="AI1304" s="45">
        <f>IF(AG1304=1,AH1304-O1304,"")</f>
        <v/>
      </c>
      <c r="AJ1304" s="44">
        <f>IF(AG1304=1,AH1304,MAX(-1,MIN(1,O1304+INDEX(Types!$H:$H,MATCH($A1304&amp;"|"&amp;$D1304,Types!$A:$A,0)))))</f>
        <v/>
      </c>
      <c r="AK1304" s="43">
        <f>IF(AG1304=1,AF1304,MAX(AQ1304*AS1304,AF1304))</f>
        <v/>
      </c>
      <c r="AL1304" s="43">
        <f>IF(AG1304=1,AD1304,AK1304*(1+AJ1304)/2)</f>
        <v/>
      </c>
      <c r="AM1304" s="43">
        <f>IF(AG1304=1,AE1304,AK1304*(1-AJ1304)/2)</f>
        <v/>
      </c>
      <c r="AN1304" s="45">
        <f>IF(AH1304="","",AH1304-T1304)</f>
        <v/>
      </c>
      <c r="AO1304" s="51">
        <f>IF(AG1304=1,1,IF(U1304&gt;0,MIN(AF1304/U1304,0.99),0))</f>
        <v/>
      </c>
      <c r="AP1304" s="43">
        <f>IF(AG1304=1,AI1304*AF1304,0)</f>
        <v/>
      </c>
      <c r="AQ1304" s="43">
        <f>N1304*(F1304+G1304)/H1304</f>
        <v/>
      </c>
      <c r="AR1304" s="43">
        <f>O1304*AQ1304</f>
        <v/>
      </c>
      <c r="AS1304" s="52">
        <f>IF(AG1304=1,IF(AQ1304&gt;0,AF1304/AQ1304,1),IFERROR(INDEX(Types!$K:$K,MATCH($A1304&amp;"|"&amp;$D1304,Types!$A:$A,0)),INDEX(Dashboard!$X$6:$X$22,MATCH($A1304,Dashboard!$A$6:$A$22,0))))</f>
        <v/>
      </c>
      <c r="AT1304" s="43">
        <f>AQ1304*INDEX(Dashboard!$Y$6:$Y$22,MATCH($A1304,Dashboard!$A$6:$A$22,0))</f>
        <v/>
      </c>
      <c r="AU1304" s="53">
        <f>IF(AND(AG1304=1,AT1304&gt;0,AF1304&gt;0),100*AF1304/AT1304,"")</f>
        <v/>
      </c>
      <c r="AV1304" s="44">
        <f>IF(AU1304="","",T1304/(AU1304/100))</f>
        <v/>
      </c>
      <c r="AW1304" s="53">
        <f>IF(AU1304="","",IF(AND(ABS(AH1304)&gt;=0.1,ABS(T1304)&gt;=0.05,SIGN(AH1304)=SIGN(T1304)),100*T1304/AH1304,""))</f>
        <v/>
      </c>
      <c r="AX1304" s="45">
        <f>IF(AU1304="","",T1304-AV1304)</f>
        <v/>
      </c>
      <c r="AY1304" s="45">
        <f>IF(AU1304="","",AH1304-AV1304)</f>
        <v/>
      </c>
      <c r="AZ1304" s="54">
        <f>(AL1304-AM1304)-T1304*AT1304</f>
        <v/>
      </c>
      <c r="BA1304" s="43">
        <f>IF(AU1304="",0,(AH1304-T1304)*AF1304)</f>
        <v/>
      </c>
      <c r="BB1304" s="43">
        <f>IF(AU1304="",0,T1304*(AF1304-AT1304))</f>
        <v/>
      </c>
      <c r="BC1304" s="51" t="n">
        <v>0.1239343446539776</v>
      </c>
      <c r="BD1304" s="51" t="n">
        <v>0.175951741515615</v>
      </c>
      <c r="BE1304" s="51" t="n">
        <v>0.2237578412136955</v>
      </c>
      <c r="BF1304" s="43" t="n">
        <v>409959</v>
      </c>
    </row>
    <row r="1305">
      <c r="A1305" s="42" t="inlineStr">
        <is>
          <t>FL</t>
        </is>
      </c>
      <c r="B1305" s="42" t="inlineStr">
        <is>
          <t>12085</t>
        </is>
      </c>
      <c r="C1305" s="42" t="inlineStr">
        <is>
          <t>Martin</t>
        </is>
      </c>
      <c r="D1305" s="42" t="inlineStr">
        <is>
          <t>Mid-size/working metro</t>
        </is>
      </c>
      <c r="E1305" s="42" t="inlineStr"/>
      <c r="F1305" s="43" t="n">
        <v>33539</v>
      </c>
      <c r="G1305" s="43" t="n">
        <v>64121</v>
      </c>
      <c r="H1305" s="43" t="n">
        <v>98291</v>
      </c>
      <c r="I1305" s="43" t="n">
        <v>36893</v>
      </c>
      <c r="J1305" s="43" t="n">
        <v>61168</v>
      </c>
      <c r="K1305" s="42" t="inlineStr">
        <is>
          <t>US Senate</t>
        </is>
      </c>
      <c r="L1305" s="43" t="n">
        <v>24639</v>
      </c>
      <c r="M1305" s="43" t="n">
        <v>52312</v>
      </c>
      <c r="N1305" s="43" t="n">
        <v>77593</v>
      </c>
      <c r="O1305" s="44">
        <f>IFERROR((F1305-G1305)/(F1305+G1305),"")</f>
        <v/>
      </c>
      <c r="P1305" s="44">
        <f>IFERROR((I1305-J1305)/(I1305+J1305),"")</f>
        <v/>
      </c>
      <c r="Q1305" s="45">
        <f>IFERROR(O1305-P1305,"")</f>
        <v/>
      </c>
      <c r="R1305" s="44">
        <f>IFERROR((L1305-M1305)/(L1305+M1305),"")</f>
        <v/>
      </c>
      <c r="S1305" s="46">
        <f>H1305/SUMIFS(Counties!$H$2:$H$1583,Counties!$A$2:$A$1583,$A1305)</f>
        <v/>
      </c>
      <c r="T1305" s="44">
        <f>O1305+INDEX(Dashboard!$F$6:$F$22,MATCH($A1305,Dashboard!$A$6:$A$22,0))</f>
        <v/>
      </c>
      <c r="U1305" s="43">
        <f>AQ1305*INDEX(Dashboard!$G$6:$G$22,MATCH($A1305,Dashboard!$A$6:$A$22,0))</f>
        <v/>
      </c>
      <c r="V1305" s="47" t="n"/>
      <c r="W1305" s="47" t="n"/>
      <c r="X1305" s="47" t="n"/>
      <c r="Y1305" s="48" t="n"/>
      <c r="Z1305" s="49" t="n"/>
      <c r="AA1305" s="49" t="n"/>
      <c r="AB1305" s="49" t="n"/>
      <c r="AC1305" s="50" t="n"/>
      <c r="AD1305" s="43">
        <f>IF(Z1305&lt;&gt;"",Z1305,N(V1305))</f>
        <v/>
      </c>
      <c r="AE1305" s="43">
        <f>IF(AA1305&lt;&gt;"",AA1305,N(W1305))</f>
        <v/>
      </c>
      <c r="AF1305" s="43">
        <f>AD1305+AE1305</f>
        <v/>
      </c>
      <c r="AG1305" s="42">
        <f>IF(UPPER(AC1305)="Y",1,IF(AF1305=0,0,IF(AND(Z1305="",Y1305&lt;&gt;""),IF(Y1305&gt;=0.999,1,0),IF(AF1305&gt;=U1305,1,0))))</f>
        <v/>
      </c>
      <c r="AH1305" s="44">
        <f>IF(AF1305&gt;0,(AD1305-AE1305)/AF1305,"")</f>
        <v/>
      </c>
      <c r="AI1305" s="45">
        <f>IF(AG1305=1,AH1305-O1305,"")</f>
        <v/>
      </c>
      <c r="AJ1305" s="44">
        <f>IF(AG1305=1,AH1305,MAX(-1,MIN(1,O1305+INDEX(Types!$H:$H,MATCH($A1305&amp;"|"&amp;$D1305,Types!$A:$A,0)))))</f>
        <v/>
      </c>
      <c r="AK1305" s="43">
        <f>IF(AG1305=1,AF1305,MAX(AQ1305*AS1305,AF1305))</f>
        <v/>
      </c>
      <c r="AL1305" s="43">
        <f>IF(AG1305=1,AD1305,AK1305*(1+AJ1305)/2)</f>
        <v/>
      </c>
      <c r="AM1305" s="43">
        <f>IF(AG1305=1,AE1305,AK1305*(1-AJ1305)/2)</f>
        <v/>
      </c>
      <c r="AN1305" s="45">
        <f>IF(AH1305="","",AH1305-T1305)</f>
        <v/>
      </c>
      <c r="AO1305" s="51">
        <f>IF(AG1305=1,1,IF(U1305&gt;0,MIN(AF1305/U1305,0.99),0))</f>
        <v/>
      </c>
      <c r="AP1305" s="43">
        <f>IF(AG1305=1,AI1305*AF1305,0)</f>
        <v/>
      </c>
      <c r="AQ1305" s="43">
        <f>N1305*(F1305+G1305)/H1305</f>
        <v/>
      </c>
      <c r="AR1305" s="43">
        <f>O1305*AQ1305</f>
        <v/>
      </c>
      <c r="AS1305" s="52">
        <f>IF(AG1305=1,IF(AQ1305&gt;0,AF1305/AQ1305,1),IFERROR(INDEX(Types!$K:$K,MATCH($A1305&amp;"|"&amp;$D1305,Types!$A:$A,0)),INDEX(Dashboard!$X$6:$X$22,MATCH($A1305,Dashboard!$A$6:$A$22,0))))</f>
        <v/>
      </c>
      <c r="AT1305" s="43">
        <f>AQ1305*INDEX(Dashboard!$Y$6:$Y$22,MATCH($A1305,Dashboard!$A$6:$A$22,0))</f>
        <v/>
      </c>
      <c r="AU1305" s="53">
        <f>IF(AND(AG1305=1,AT1305&gt;0,AF1305&gt;0),100*AF1305/AT1305,"")</f>
        <v/>
      </c>
      <c r="AV1305" s="44">
        <f>IF(AU1305="","",T1305/(AU1305/100))</f>
        <v/>
      </c>
      <c r="AW1305" s="53">
        <f>IF(AU1305="","",IF(AND(ABS(AH1305)&gt;=0.1,ABS(T1305)&gt;=0.05,SIGN(AH1305)=SIGN(T1305)),100*T1305/AH1305,""))</f>
        <v/>
      </c>
      <c r="AX1305" s="45">
        <f>IF(AU1305="","",T1305-AV1305)</f>
        <v/>
      </c>
      <c r="AY1305" s="45">
        <f>IF(AU1305="","",AH1305-AV1305)</f>
        <v/>
      </c>
      <c r="AZ1305" s="54">
        <f>(AL1305-AM1305)-T1305*AT1305</f>
        <v/>
      </c>
      <c r="BA1305" s="43">
        <f>IF(AU1305="",0,(AH1305-T1305)*AF1305)</f>
        <v/>
      </c>
      <c r="BB1305" s="43">
        <f>IF(AU1305="",0,T1305*(AF1305-AT1305))</f>
        <v/>
      </c>
      <c r="BC1305" s="51" t="n">
        <v>0.0502525793711539</v>
      </c>
      <c r="BD1305" s="51" t="n">
        <v>0.1579769157762606</v>
      </c>
      <c r="BE1305" s="51" t="n">
        <v>0.3663733284131657</v>
      </c>
      <c r="BF1305" s="43" t="n">
        <v>163315</v>
      </c>
    </row>
    <row r="1306">
      <c r="A1306" s="42" t="inlineStr">
        <is>
          <t>FL</t>
        </is>
      </c>
      <c r="B1306" s="42" t="inlineStr">
        <is>
          <t>12086</t>
        </is>
      </c>
      <c r="C1306" s="42" t="inlineStr">
        <is>
          <t>Miami-Dade</t>
        </is>
      </c>
      <c r="D1306" s="42" t="inlineStr">
        <is>
          <t>Hispanic</t>
        </is>
      </c>
      <c r="E1306" s="42" t="inlineStr">
        <is>
          <t>★</t>
        </is>
      </c>
      <c r="F1306" s="43" t="n">
        <v>480355</v>
      </c>
      <c r="G1306" s="43" t="n">
        <v>605590</v>
      </c>
      <c r="H1306" s="43" t="n">
        <v>1094093</v>
      </c>
      <c r="I1306" s="43" t="n">
        <v>617864</v>
      </c>
      <c r="J1306" s="43" t="n">
        <v>532833</v>
      </c>
      <c r="K1306" s="42" t="inlineStr">
        <is>
          <t>US Senate</t>
        </is>
      </c>
      <c r="L1306" s="43" t="n">
        <v>318978</v>
      </c>
      <c r="M1306" s="43" t="n">
        <v>386251</v>
      </c>
      <c r="N1306" s="43" t="n">
        <v>712005</v>
      </c>
      <c r="O1306" s="44">
        <f>IFERROR((F1306-G1306)/(F1306+G1306),"")</f>
        <v/>
      </c>
      <c r="P1306" s="44">
        <f>IFERROR((I1306-J1306)/(I1306+J1306),"")</f>
        <v/>
      </c>
      <c r="Q1306" s="45">
        <f>IFERROR(O1306-P1306,"")</f>
        <v/>
      </c>
      <c r="R1306" s="44">
        <f>IFERROR((L1306-M1306)/(L1306+M1306),"")</f>
        <v/>
      </c>
      <c r="S1306" s="46">
        <f>H1306/SUMIFS(Counties!$H$2:$H$1583,Counties!$A$2:$A$1583,$A1306)</f>
        <v/>
      </c>
      <c r="T1306" s="44">
        <f>O1306+INDEX(Dashboard!$F$6:$F$22,MATCH($A1306,Dashboard!$A$6:$A$22,0))</f>
        <v/>
      </c>
      <c r="U1306" s="43">
        <f>AQ1306*INDEX(Dashboard!$G$6:$G$22,MATCH($A1306,Dashboard!$A$6:$A$22,0))</f>
        <v/>
      </c>
      <c r="V1306" s="47" t="n"/>
      <c r="W1306" s="47" t="n"/>
      <c r="X1306" s="47" t="n"/>
      <c r="Y1306" s="48" t="n"/>
      <c r="Z1306" s="49" t="n"/>
      <c r="AA1306" s="49" t="n"/>
      <c r="AB1306" s="49" t="n"/>
      <c r="AC1306" s="50" t="n"/>
      <c r="AD1306" s="43">
        <f>IF(Z1306&lt;&gt;"",Z1306,N(V1306))</f>
        <v/>
      </c>
      <c r="AE1306" s="43">
        <f>IF(AA1306&lt;&gt;"",AA1306,N(W1306))</f>
        <v/>
      </c>
      <c r="AF1306" s="43">
        <f>AD1306+AE1306</f>
        <v/>
      </c>
      <c r="AG1306" s="42">
        <f>IF(UPPER(AC1306)="Y",1,IF(AF1306=0,0,IF(AND(Z1306="",Y1306&lt;&gt;""),IF(Y1306&gt;=0.999,1,0),IF(AF1306&gt;=U1306,1,0))))</f>
        <v/>
      </c>
      <c r="AH1306" s="44">
        <f>IF(AF1306&gt;0,(AD1306-AE1306)/AF1306,"")</f>
        <v/>
      </c>
      <c r="AI1306" s="45">
        <f>IF(AG1306=1,AH1306-O1306,"")</f>
        <v/>
      </c>
      <c r="AJ1306" s="44">
        <f>IF(AG1306=1,AH1306,MAX(-1,MIN(1,O1306+INDEX(Types!$H:$H,MATCH($A1306&amp;"|"&amp;$D1306,Types!$A:$A,0)))))</f>
        <v/>
      </c>
      <c r="AK1306" s="43">
        <f>IF(AG1306=1,AF1306,MAX(AQ1306*AS1306,AF1306))</f>
        <v/>
      </c>
      <c r="AL1306" s="43">
        <f>IF(AG1306=1,AD1306,AK1306*(1+AJ1306)/2)</f>
        <v/>
      </c>
      <c r="AM1306" s="43">
        <f>IF(AG1306=1,AE1306,AK1306*(1-AJ1306)/2)</f>
        <v/>
      </c>
      <c r="AN1306" s="45">
        <f>IF(AH1306="","",AH1306-T1306)</f>
        <v/>
      </c>
      <c r="AO1306" s="51">
        <f>IF(AG1306=1,1,IF(U1306&gt;0,MIN(AF1306/U1306,0.99),0))</f>
        <v/>
      </c>
      <c r="AP1306" s="43">
        <f>IF(AG1306=1,AI1306*AF1306,0)</f>
        <v/>
      </c>
      <c r="AQ1306" s="43">
        <f>N1306*(F1306+G1306)/H1306</f>
        <v/>
      </c>
      <c r="AR1306" s="43">
        <f>O1306*AQ1306</f>
        <v/>
      </c>
      <c r="AS1306" s="52">
        <f>IF(AG1306=1,IF(AQ1306&gt;0,AF1306/AQ1306,1),IFERROR(INDEX(Types!$K:$K,MATCH($A1306&amp;"|"&amp;$D1306,Types!$A:$A,0)),INDEX(Dashboard!$X$6:$X$22,MATCH($A1306,Dashboard!$A$6:$A$22,0))))</f>
        <v/>
      </c>
      <c r="AT1306" s="43">
        <f>AQ1306*INDEX(Dashboard!$Y$6:$Y$22,MATCH($A1306,Dashboard!$A$6:$A$22,0))</f>
        <v/>
      </c>
      <c r="AU1306" s="53">
        <f>IF(AND(AG1306=1,AT1306&gt;0,AF1306&gt;0),100*AF1306/AT1306,"")</f>
        <v/>
      </c>
      <c r="AV1306" s="44">
        <f>IF(AU1306="","",T1306/(AU1306/100))</f>
        <v/>
      </c>
      <c r="AW1306" s="53">
        <f>IF(AU1306="","",IF(AND(ABS(AH1306)&gt;=0.1,ABS(T1306)&gt;=0.05,SIGN(AH1306)=SIGN(T1306)),100*T1306/AH1306,""))</f>
        <v/>
      </c>
      <c r="AX1306" s="45">
        <f>IF(AU1306="","",T1306-AV1306)</f>
        <v/>
      </c>
      <c r="AY1306" s="45">
        <f>IF(AU1306="","",AH1306-AV1306)</f>
        <v/>
      </c>
      <c r="AZ1306" s="54">
        <f>(AL1306-AM1306)-T1306*AT1306</f>
        <v/>
      </c>
      <c r="BA1306" s="43">
        <f>IF(AU1306="",0,(AH1306-T1306)*AF1306)</f>
        <v/>
      </c>
      <c r="BB1306" s="43">
        <f>IF(AU1306="",0,T1306*(AF1306-AT1306))</f>
        <v/>
      </c>
      <c r="BC1306" s="51" t="n">
        <v>0.1447075720532501</v>
      </c>
      <c r="BD1306" s="51" t="n">
        <v>0.6913933588822967</v>
      </c>
      <c r="BE1306" s="51" t="n">
        <v>0.3320621452052817</v>
      </c>
      <c r="BF1306" s="43" t="n">
        <v>2686867</v>
      </c>
    </row>
    <row r="1307">
      <c r="A1307" s="42" t="inlineStr">
        <is>
          <t>FL</t>
        </is>
      </c>
      <c r="B1307" s="42" t="inlineStr">
        <is>
          <t>12087</t>
        </is>
      </c>
      <c r="C1307" s="42" t="inlineStr">
        <is>
          <t>Monroe</t>
        </is>
      </c>
      <c r="D1307" s="42" t="inlineStr">
        <is>
          <t>Small town &amp; rural</t>
        </is>
      </c>
      <c r="E1307" s="42" t="inlineStr"/>
      <c r="F1307" s="43" t="n">
        <v>17933</v>
      </c>
      <c r="G1307" s="43" t="n">
        <v>26064</v>
      </c>
      <c r="H1307" s="43" t="n">
        <v>44327</v>
      </c>
      <c r="I1307" s="43" t="n">
        <v>21881</v>
      </c>
      <c r="J1307" s="43" t="n">
        <v>25693</v>
      </c>
      <c r="K1307" s="42" t="inlineStr">
        <is>
          <t>US Senate</t>
        </is>
      </c>
      <c r="L1307" s="43" t="n">
        <v>13756</v>
      </c>
      <c r="M1307" s="43" t="n">
        <v>19897</v>
      </c>
      <c r="N1307" s="43" t="n">
        <v>33988</v>
      </c>
      <c r="O1307" s="44">
        <f>IFERROR((F1307-G1307)/(F1307+G1307),"")</f>
        <v/>
      </c>
      <c r="P1307" s="44">
        <f>IFERROR((I1307-J1307)/(I1307+J1307),"")</f>
        <v/>
      </c>
      <c r="Q1307" s="45">
        <f>IFERROR(O1307-P1307,"")</f>
        <v/>
      </c>
      <c r="R1307" s="44">
        <f>IFERROR((L1307-M1307)/(L1307+M1307),"")</f>
        <v/>
      </c>
      <c r="S1307" s="46">
        <f>H1307/SUMIFS(Counties!$H$2:$H$1583,Counties!$A$2:$A$1583,$A1307)</f>
        <v/>
      </c>
      <c r="T1307" s="44">
        <f>O1307+INDEX(Dashboard!$F$6:$F$22,MATCH($A1307,Dashboard!$A$6:$A$22,0))</f>
        <v/>
      </c>
      <c r="U1307" s="43">
        <f>AQ1307*INDEX(Dashboard!$G$6:$G$22,MATCH($A1307,Dashboard!$A$6:$A$22,0))</f>
        <v/>
      </c>
      <c r="V1307" s="47" t="n"/>
      <c r="W1307" s="47" t="n"/>
      <c r="X1307" s="47" t="n"/>
      <c r="Y1307" s="48" t="n"/>
      <c r="Z1307" s="49" t="n"/>
      <c r="AA1307" s="49" t="n"/>
      <c r="AB1307" s="49" t="n"/>
      <c r="AC1307" s="50" t="n"/>
      <c r="AD1307" s="43">
        <f>IF(Z1307&lt;&gt;"",Z1307,N(V1307))</f>
        <v/>
      </c>
      <c r="AE1307" s="43">
        <f>IF(AA1307&lt;&gt;"",AA1307,N(W1307))</f>
        <v/>
      </c>
      <c r="AF1307" s="43">
        <f>AD1307+AE1307</f>
        <v/>
      </c>
      <c r="AG1307" s="42">
        <f>IF(UPPER(AC1307)="Y",1,IF(AF1307=0,0,IF(AND(Z1307="",Y1307&lt;&gt;""),IF(Y1307&gt;=0.999,1,0),IF(AF1307&gt;=U1307,1,0))))</f>
        <v/>
      </c>
      <c r="AH1307" s="44">
        <f>IF(AF1307&gt;0,(AD1307-AE1307)/AF1307,"")</f>
        <v/>
      </c>
      <c r="AI1307" s="45">
        <f>IF(AG1307=1,AH1307-O1307,"")</f>
        <v/>
      </c>
      <c r="AJ1307" s="44">
        <f>IF(AG1307=1,AH1307,MAX(-1,MIN(1,O1307+INDEX(Types!$H:$H,MATCH($A1307&amp;"|"&amp;$D1307,Types!$A:$A,0)))))</f>
        <v/>
      </c>
      <c r="AK1307" s="43">
        <f>IF(AG1307=1,AF1307,MAX(AQ1307*AS1307,AF1307))</f>
        <v/>
      </c>
      <c r="AL1307" s="43">
        <f>IF(AG1307=1,AD1307,AK1307*(1+AJ1307)/2)</f>
        <v/>
      </c>
      <c r="AM1307" s="43">
        <f>IF(AG1307=1,AE1307,AK1307*(1-AJ1307)/2)</f>
        <v/>
      </c>
      <c r="AN1307" s="45">
        <f>IF(AH1307="","",AH1307-T1307)</f>
        <v/>
      </c>
      <c r="AO1307" s="51">
        <f>IF(AG1307=1,1,IF(U1307&gt;0,MIN(AF1307/U1307,0.99),0))</f>
        <v/>
      </c>
      <c r="AP1307" s="43">
        <f>IF(AG1307=1,AI1307*AF1307,0)</f>
        <v/>
      </c>
      <c r="AQ1307" s="43">
        <f>N1307*(F1307+G1307)/H1307</f>
        <v/>
      </c>
      <c r="AR1307" s="43">
        <f>O1307*AQ1307</f>
        <v/>
      </c>
      <c r="AS1307" s="52">
        <f>IF(AG1307=1,IF(AQ1307&gt;0,AF1307/AQ1307,1),IFERROR(INDEX(Types!$K:$K,MATCH($A1307&amp;"|"&amp;$D1307,Types!$A:$A,0)),INDEX(Dashboard!$X$6:$X$22,MATCH($A1307,Dashboard!$A$6:$A$22,0))))</f>
        <v/>
      </c>
      <c r="AT1307" s="43">
        <f>AQ1307*INDEX(Dashboard!$Y$6:$Y$22,MATCH($A1307,Dashboard!$A$6:$A$22,0))</f>
        <v/>
      </c>
      <c r="AU1307" s="53">
        <f>IF(AND(AG1307=1,AT1307&gt;0,AF1307&gt;0),100*AF1307/AT1307,"")</f>
        <v/>
      </c>
      <c r="AV1307" s="44">
        <f>IF(AU1307="","",T1307/(AU1307/100))</f>
        <v/>
      </c>
      <c r="AW1307" s="53">
        <f>IF(AU1307="","",IF(AND(ABS(AH1307)&gt;=0.1,ABS(T1307)&gt;=0.05,SIGN(AH1307)=SIGN(T1307)),100*T1307/AH1307,""))</f>
        <v/>
      </c>
      <c r="AX1307" s="45">
        <f>IF(AU1307="","",T1307-AV1307)</f>
        <v/>
      </c>
      <c r="AY1307" s="45">
        <f>IF(AU1307="","",AH1307-AV1307)</f>
        <v/>
      </c>
      <c r="AZ1307" s="54">
        <f>(AL1307-AM1307)-T1307*AT1307</f>
        <v/>
      </c>
      <c r="BA1307" s="43">
        <f>IF(AU1307="",0,(AH1307-T1307)*AF1307)</f>
        <v/>
      </c>
      <c r="BB1307" s="43">
        <f>IF(AU1307="",0,T1307*(AF1307-AT1307))</f>
        <v/>
      </c>
      <c r="BC1307" s="51" t="n">
        <v>0.06810231473441337</v>
      </c>
      <c r="BD1307" s="51" t="n">
        <v>0.2478849827573374</v>
      </c>
      <c r="BE1307" s="51" t="n">
        <v>0.3780058605559776</v>
      </c>
      <c r="BF1307" s="43" t="n">
        <v>80614</v>
      </c>
    </row>
    <row r="1308">
      <c r="A1308" s="42" t="inlineStr">
        <is>
          <t>FL</t>
        </is>
      </c>
      <c r="B1308" s="42" t="inlineStr">
        <is>
          <t>12089</t>
        </is>
      </c>
      <c r="C1308" s="42" t="inlineStr">
        <is>
          <t>Nassau</t>
        </is>
      </c>
      <c r="D1308" s="42" t="inlineStr">
        <is>
          <t>Mid-size/working metro</t>
        </is>
      </c>
      <c r="E1308" s="42" t="inlineStr"/>
      <c r="F1308" s="43" t="n">
        <v>17143</v>
      </c>
      <c r="G1308" s="43" t="n">
        <v>47945</v>
      </c>
      <c r="H1308" s="43" t="n">
        <v>65621</v>
      </c>
      <c r="I1308" s="43" t="n">
        <v>15564</v>
      </c>
      <c r="J1308" s="43" t="n">
        <v>42566</v>
      </c>
      <c r="K1308" s="42" t="inlineStr">
        <is>
          <t>US Senate</t>
        </is>
      </c>
      <c r="L1308" s="43" t="n">
        <v>11337</v>
      </c>
      <c r="M1308" s="43" t="n">
        <v>35944</v>
      </c>
      <c r="N1308" s="43" t="n">
        <v>47734</v>
      </c>
      <c r="O1308" s="44">
        <f>IFERROR((F1308-G1308)/(F1308+G1308),"")</f>
        <v/>
      </c>
      <c r="P1308" s="44">
        <f>IFERROR((I1308-J1308)/(I1308+J1308),"")</f>
        <v/>
      </c>
      <c r="Q1308" s="45">
        <f>IFERROR(O1308-P1308,"")</f>
        <v/>
      </c>
      <c r="R1308" s="44">
        <f>IFERROR((L1308-M1308)/(L1308+M1308),"")</f>
        <v/>
      </c>
      <c r="S1308" s="46">
        <f>H1308/SUMIFS(Counties!$H$2:$H$1583,Counties!$A$2:$A$1583,$A1308)</f>
        <v/>
      </c>
      <c r="T1308" s="44">
        <f>O1308+INDEX(Dashboard!$F$6:$F$22,MATCH($A1308,Dashboard!$A$6:$A$22,0))</f>
        <v/>
      </c>
      <c r="U1308" s="43">
        <f>AQ1308*INDEX(Dashboard!$G$6:$G$22,MATCH($A1308,Dashboard!$A$6:$A$22,0))</f>
        <v/>
      </c>
      <c r="V1308" s="47" t="n"/>
      <c r="W1308" s="47" t="n"/>
      <c r="X1308" s="47" t="n"/>
      <c r="Y1308" s="48" t="n"/>
      <c r="Z1308" s="49" t="n"/>
      <c r="AA1308" s="49" t="n"/>
      <c r="AB1308" s="49" t="n"/>
      <c r="AC1308" s="50" t="n"/>
      <c r="AD1308" s="43">
        <f>IF(Z1308&lt;&gt;"",Z1308,N(V1308))</f>
        <v/>
      </c>
      <c r="AE1308" s="43">
        <f>IF(AA1308&lt;&gt;"",AA1308,N(W1308))</f>
        <v/>
      </c>
      <c r="AF1308" s="43">
        <f>AD1308+AE1308</f>
        <v/>
      </c>
      <c r="AG1308" s="42">
        <f>IF(UPPER(AC1308)="Y",1,IF(AF1308=0,0,IF(AND(Z1308="",Y1308&lt;&gt;""),IF(Y1308&gt;=0.999,1,0),IF(AF1308&gt;=U1308,1,0))))</f>
        <v/>
      </c>
      <c r="AH1308" s="44">
        <f>IF(AF1308&gt;0,(AD1308-AE1308)/AF1308,"")</f>
        <v/>
      </c>
      <c r="AI1308" s="45">
        <f>IF(AG1308=1,AH1308-O1308,"")</f>
        <v/>
      </c>
      <c r="AJ1308" s="44">
        <f>IF(AG1308=1,AH1308,MAX(-1,MIN(1,O1308+INDEX(Types!$H:$H,MATCH($A1308&amp;"|"&amp;$D1308,Types!$A:$A,0)))))</f>
        <v/>
      </c>
      <c r="AK1308" s="43">
        <f>IF(AG1308=1,AF1308,MAX(AQ1308*AS1308,AF1308))</f>
        <v/>
      </c>
      <c r="AL1308" s="43">
        <f>IF(AG1308=1,AD1308,AK1308*(1+AJ1308)/2)</f>
        <v/>
      </c>
      <c r="AM1308" s="43">
        <f>IF(AG1308=1,AE1308,AK1308*(1-AJ1308)/2)</f>
        <v/>
      </c>
      <c r="AN1308" s="45">
        <f>IF(AH1308="","",AH1308-T1308)</f>
        <v/>
      </c>
      <c r="AO1308" s="51">
        <f>IF(AG1308=1,1,IF(U1308&gt;0,MIN(AF1308/U1308,0.99),0))</f>
        <v/>
      </c>
      <c r="AP1308" s="43">
        <f>IF(AG1308=1,AI1308*AF1308,0)</f>
        <v/>
      </c>
      <c r="AQ1308" s="43">
        <f>N1308*(F1308+G1308)/H1308</f>
        <v/>
      </c>
      <c r="AR1308" s="43">
        <f>O1308*AQ1308</f>
        <v/>
      </c>
      <c r="AS1308" s="52">
        <f>IF(AG1308=1,IF(AQ1308&gt;0,AF1308/AQ1308,1),IFERROR(INDEX(Types!$K:$K,MATCH($A1308&amp;"|"&amp;$D1308,Types!$A:$A,0)),INDEX(Dashboard!$X$6:$X$22,MATCH($A1308,Dashboard!$A$6:$A$22,0))))</f>
        <v/>
      </c>
      <c r="AT1308" s="43">
        <f>AQ1308*INDEX(Dashboard!$Y$6:$Y$22,MATCH($A1308,Dashboard!$A$6:$A$22,0))</f>
        <v/>
      </c>
      <c r="AU1308" s="53">
        <f>IF(AND(AG1308=1,AT1308&gt;0,AF1308&gt;0),100*AF1308/AT1308,"")</f>
        <v/>
      </c>
      <c r="AV1308" s="44">
        <f>IF(AU1308="","",T1308/(AU1308/100))</f>
        <v/>
      </c>
      <c r="AW1308" s="53">
        <f>IF(AU1308="","",IF(AND(ABS(AH1308)&gt;=0.1,ABS(T1308)&gt;=0.05,SIGN(AH1308)=SIGN(T1308)),100*T1308/AH1308,""))</f>
        <v/>
      </c>
      <c r="AX1308" s="45">
        <f>IF(AU1308="","",T1308-AV1308)</f>
        <v/>
      </c>
      <c r="AY1308" s="45">
        <f>IF(AU1308="","",AH1308-AV1308)</f>
        <v/>
      </c>
      <c r="AZ1308" s="54">
        <f>(AL1308-AM1308)-T1308*AT1308</f>
        <v/>
      </c>
      <c r="BA1308" s="43">
        <f>IF(AU1308="",0,(AH1308-T1308)*AF1308)</f>
        <v/>
      </c>
      <c r="BB1308" s="43">
        <f>IF(AU1308="",0,T1308*(AF1308-AT1308))</f>
        <v/>
      </c>
      <c r="BC1308" s="51" t="n">
        <v>0.06290578417946621</v>
      </c>
      <c r="BD1308" s="51" t="n">
        <v>0.06017674702712288</v>
      </c>
      <c r="BE1308" s="51" t="n">
        <v>0.3451724725805535</v>
      </c>
      <c r="BF1308" s="43" t="n">
        <v>101501</v>
      </c>
    </row>
    <row r="1309">
      <c r="A1309" s="42" t="inlineStr">
        <is>
          <t>FL</t>
        </is>
      </c>
      <c r="B1309" s="42" t="inlineStr">
        <is>
          <t>12091</t>
        </is>
      </c>
      <c r="C1309" s="42" t="inlineStr">
        <is>
          <t>Okaloosa</t>
        </is>
      </c>
      <c r="D1309" s="42" t="inlineStr">
        <is>
          <t>Mid-size/working metro</t>
        </is>
      </c>
      <c r="E1309" s="42" t="inlineStr"/>
      <c r="F1309" s="43" t="n">
        <v>32074</v>
      </c>
      <c r="G1309" s="43" t="n">
        <v>80309</v>
      </c>
      <c r="H1309" s="43" t="n">
        <v>113634</v>
      </c>
      <c r="I1309" s="43" t="n">
        <v>34248</v>
      </c>
      <c r="J1309" s="43" t="n">
        <v>79798</v>
      </c>
      <c r="K1309" s="42" t="inlineStr">
        <is>
          <t>US Senate</t>
        </is>
      </c>
      <c r="L1309" s="43" t="n">
        <v>18851</v>
      </c>
      <c r="M1309" s="43" t="n">
        <v>60808</v>
      </c>
      <c r="N1309" s="43" t="n">
        <v>80822</v>
      </c>
      <c r="O1309" s="44">
        <f>IFERROR((F1309-G1309)/(F1309+G1309),"")</f>
        <v/>
      </c>
      <c r="P1309" s="44">
        <f>IFERROR((I1309-J1309)/(I1309+J1309),"")</f>
        <v/>
      </c>
      <c r="Q1309" s="45">
        <f>IFERROR(O1309-P1309,"")</f>
        <v/>
      </c>
      <c r="R1309" s="44">
        <f>IFERROR((L1309-M1309)/(L1309+M1309),"")</f>
        <v/>
      </c>
      <c r="S1309" s="46">
        <f>H1309/SUMIFS(Counties!$H$2:$H$1583,Counties!$A$2:$A$1583,$A1309)</f>
        <v/>
      </c>
      <c r="T1309" s="44">
        <f>O1309+INDEX(Dashboard!$F$6:$F$22,MATCH($A1309,Dashboard!$A$6:$A$22,0))</f>
        <v/>
      </c>
      <c r="U1309" s="43">
        <f>AQ1309*INDEX(Dashboard!$G$6:$G$22,MATCH($A1309,Dashboard!$A$6:$A$22,0))</f>
        <v/>
      </c>
      <c r="V1309" s="47" t="n"/>
      <c r="W1309" s="47" t="n"/>
      <c r="X1309" s="47" t="n"/>
      <c r="Y1309" s="48" t="n"/>
      <c r="Z1309" s="49" t="n"/>
      <c r="AA1309" s="49" t="n"/>
      <c r="AB1309" s="49" t="n"/>
      <c r="AC1309" s="50" t="n"/>
      <c r="AD1309" s="43">
        <f>IF(Z1309&lt;&gt;"",Z1309,N(V1309))</f>
        <v/>
      </c>
      <c r="AE1309" s="43">
        <f>IF(AA1309&lt;&gt;"",AA1309,N(W1309))</f>
        <v/>
      </c>
      <c r="AF1309" s="43">
        <f>AD1309+AE1309</f>
        <v/>
      </c>
      <c r="AG1309" s="42">
        <f>IF(UPPER(AC1309)="Y",1,IF(AF1309=0,0,IF(AND(Z1309="",Y1309&lt;&gt;""),IF(Y1309&gt;=0.999,1,0),IF(AF1309&gt;=U1309,1,0))))</f>
        <v/>
      </c>
      <c r="AH1309" s="44">
        <f>IF(AF1309&gt;0,(AD1309-AE1309)/AF1309,"")</f>
        <v/>
      </c>
      <c r="AI1309" s="45">
        <f>IF(AG1309=1,AH1309-O1309,"")</f>
        <v/>
      </c>
      <c r="AJ1309" s="44">
        <f>IF(AG1309=1,AH1309,MAX(-1,MIN(1,O1309+INDEX(Types!$H:$H,MATCH($A1309&amp;"|"&amp;$D1309,Types!$A:$A,0)))))</f>
        <v/>
      </c>
      <c r="AK1309" s="43">
        <f>IF(AG1309=1,AF1309,MAX(AQ1309*AS1309,AF1309))</f>
        <v/>
      </c>
      <c r="AL1309" s="43">
        <f>IF(AG1309=1,AD1309,AK1309*(1+AJ1309)/2)</f>
        <v/>
      </c>
      <c r="AM1309" s="43">
        <f>IF(AG1309=1,AE1309,AK1309*(1-AJ1309)/2)</f>
        <v/>
      </c>
      <c r="AN1309" s="45">
        <f>IF(AH1309="","",AH1309-T1309)</f>
        <v/>
      </c>
      <c r="AO1309" s="51">
        <f>IF(AG1309=1,1,IF(U1309&gt;0,MIN(AF1309/U1309,0.99),0))</f>
        <v/>
      </c>
      <c r="AP1309" s="43">
        <f>IF(AG1309=1,AI1309*AF1309,0)</f>
        <v/>
      </c>
      <c r="AQ1309" s="43">
        <f>N1309*(F1309+G1309)/H1309</f>
        <v/>
      </c>
      <c r="AR1309" s="43">
        <f>O1309*AQ1309</f>
        <v/>
      </c>
      <c r="AS1309" s="52">
        <f>IF(AG1309=1,IF(AQ1309&gt;0,AF1309/AQ1309,1),IFERROR(INDEX(Types!$K:$K,MATCH($A1309&amp;"|"&amp;$D1309,Types!$A:$A,0)),INDEX(Dashboard!$X$6:$X$22,MATCH($A1309,Dashboard!$A$6:$A$22,0))))</f>
        <v/>
      </c>
      <c r="AT1309" s="43">
        <f>AQ1309*INDEX(Dashboard!$Y$6:$Y$22,MATCH($A1309,Dashboard!$A$6:$A$22,0))</f>
        <v/>
      </c>
      <c r="AU1309" s="53">
        <f>IF(AND(AG1309=1,AT1309&gt;0,AF1309&gt;0),100*AF1309/AT1309,"")</f>
        <v/>
      </c>
      <c r="AV1309" s="44">
        <f>IF(AU1309="","",T1309/(AU1309/100))</f>
        <v/>
      </c>
      <c r="AW1309" s="53">
        <f>IF(AU1309="","",IF(AND(ABS(AH1309)&gt;=0.1,ABS(T1309)&gt;=0.05,SIGN(AH1309)=SIGN(T1309)),100*T1309/AH1309,""))</f>
        <v/>
      </c>
      <c r="AX1309" s="45">
        <f>IF(AU1309="","",T1309-AV1309)</f>
        <v/>
      </c>
      <c r="AY1309" s="45">
        <f>IF(AU1309="","",AH1309-AV1309)</f>
        <v/>
      </c>
      <c r="AZ1309" s="54">
        <f>(AL1309-AM1309)-T1309*AT1309</f>
        <v/>
      </c>
      <c r="BA1309" s="43">
        <f>IF(AU1309="",0,(AH1309-T1309)*AF1309)</f>
        <v/>
      </c>
      <c r="BB1309" s="43">
        <f>IF(AU1309="",0,T1309*(AF1309-AT1309))</f>
        <v/>
      </c>
      <c r="BC1309" s="51" t="n">
        <v>0.09671616376153508</v>
      </c>
      <c r="BD1309" s="51" t="n">
        <v>0.1140645598359455</v>
      </c>
      <c r="BE1309" s="51" t="n">
        <v>0.342213253517884</v>
      </c>
      <c r="BF1309" s="43" t="n">
        <v>218464</v>
      </c>
    </row>
    <row r="1310">
      <c r="A1310" s="42" t="inlineStr">
        <is>
          <t>FL</t>
        </is>
      </c>
      <c r="B1310" s="42" t="inlineStr">
        <is>
          <t>12093</t>
        </is>
      </c>
      <c r="C1310" s="42" t="inlineStr">
        <is>
          <t>Okeechobee</t>
        </is>
      </c>
      <c r="D1310" s="42" t="inlineStr">
        <is>
          <t>Small town &amp; rural</t>
        </is>
      </c>
      <c r="E1310" s="42" t="inlineStr"/>
      <c r="F1310" s="43" t="n">
        <v>3671</v>
      </c>
      <c r="G1310" s="43" t="n">
        <v>12315</v>
      </c>
      <c r="H1310" s="43" t="n">
        <v>16058</v>
      </c>
      <c r="I1310" s="43" t="n">
        <v>4390</v>
      </c>
      <c r="J1310" s="43" t="n">
        <v>11470</v>
      </c>
      <c r="K1310" s="42" t="inlineStr">
        <is>
          <t>US Senate</t>
        </is>
      </c>
      <c r="L1310" s="43" t="n">
        <v>2218</v>
      </c>
      <c r="M1310" s="43" t="n">
        <v>8532</v>
      </c>
      <c r="N1310" s="43" t="n">
        <v>10867</v>
      </c>
      <c r="O1310" s="44">
        <f>IFERROR((F1310-G1310)/(F1310+G1310),"")</f>
        <v/>
      </c>
      <c r="P1310" s="44">
        <f>IFERROR((I1310-J1310)/(I1310+J1310),"")</f>
        <v/>
      </c>
      <c r="Q1310" s="45">
        <f>IFERROR(O1310-P1310,"")</f>
        <v/>
      </c>
      <c r="R1310" s="44">
        <f>IFERROR((L1310-M1310)/(L1310+M1310),"")</f>
        <v/>
      </c>
      <c r="S1310" s="46">
        <f>H1310/SUMIFS(Counties!$H$2:$H$1583,Counties!$A$2:$A$1583,$A1310)</f>
        <v/>
      </c>
      <c r="T1310" s="44">
        <f>O1310+INDEX(Dashboard!$F$6:$F$22,MATCH($A1310,Dashboard!$A$6:$A$22,0))</f>
        <v/>
      </c>
      <c r="U1310" s="43">
        <f>AQ1310*INDEX(Dashboard!$G$6:$G$22,MATCH($A1310,Dashboard!$A$6:$A$22,0))</f>
        <v/>
      </c>
      <c r="V1310" s="47" t="n"/>
      <c r="W1310" s="47" t="n"/>
      <c r="X1310" s="47" t="n"/>
      <c r="Y1310" s="48" t="n"/>
      <c r="Z1310" s="49" t="n"/>
      <c r="AA1310" s="49" t="n"/>
      <c r="AB1310" s="49" t="n"/>
      <c r="AC1310" s="50" t="n"/>
      <c r="AD1310" s="43">
        <f>IF(Z1310&lt;&gt;"",Z1310,N(V1310))</f>
        <v/>
      </c>
      <c r="AE1310" s="43">
        <f>IF(AA1310&lt;&gt;"",AA1310,N(W1310))</f>
        <v/>
      </c>
      <c r="AF1310" s="43">
        <f>AD1310+AE1310</f>
        <v/>
      </c>
      <c r="AG1310" s="42">
        <f>IF(UPPER(AC1310)="Y",1,IF(AF1310=0,0,IF(AND(Z1310="",Y1310&lt;&gt;""),IF(Y1310&gt;=0.999,1,0),IF(AF1310&gt;=U1310,1,0))))</f>
        <v/>
      </c>
      <c r="AH1310" s="44">
        <f>IF(AF1310&gt;0,(AD1310-AE1310)/AF1310,"")</f>
        <v/>
      </c>
      <c r="AI1310" s="45">
        <f>IF(AG1310=1,AH1310-O1310,"")</f>
        <v/>
      </c>
      <c r="AJ1310" s="44">
        <f>IF(AG1310=1,AH1310,MAX(-1,MIN(1,O1310+INDEX(Types!$H:$H,MATCH($A1310&amp;"|"&amp;$D1310,Types!$A:$A,0)))))</f>
        <v/>
      </c>
      <c r="AK1310" s="43">
        <f>IF(AG1310=1,AF1310,MAX(AQ1310*AS1310,AF1310))</f>
        <v/>
      </c>
      <c r="AL1310" s="43">
        <f>IF(AG1310=1,AD1310,AK1310*(1+AJ1310)/2)</f>
        <v/>
      </c>
      <c r="AM1310" s="43">
        <f>IF(AG1310=1,AE1310,AK1310*(1-AJ1310)/2)</f>
        <v/>
      </c>
      <c r="AN1310" s="45">
        <f>IF(AH1310="","",AH1310-T1310)</f>
        <v/>
      </c>
      <c r="AO1310" s="51">
        <f>IF(AG1310=1,1,IF(U1310&gt;0,MIN(AF1310/U1310,0.99),0))</f>
        <v/>
      </c>
      <c r="AP1310" s="43">
        <f>IF(AG1310=1,AI1310*AF1310,0)</f>
        <v/>
      </c>
      <c r="AQ1310" s="43">
        <f>N1310*(F1310+G1310)/H1310</f>
        <v/>
      </c>
      <c r="AR1310" s="43">
        <f>O1310*AQ1310</f>
        <v/>
      </c>
      <c r="AS1310" s="52">
        <f>IF(AG1310=1,IF(AQ1310&gt;0,AF1310/AQ1310,1),IFERROR(INDEX(Types!$K:$K,MATCH($A1310&amp;"|"&amp;$D1310,Types!$A:$A,0)),INDEX(Dashboard!$X$6:$X$22,MATCH($A1310,Dashboard!$A$6:$A$22,0))))</f>
        <v/>
      </c>
      <c r="AT1310" s="43">
        <f>AQ1310*INDEX(Dashboard!$Y$6:$Y$22,MATCH($A1310,Dashboard!$A$6:$A$22,0))</f>
        <v/>
      </c>
      <c r="AU1310" s="53">
        <f>IF(AND(AG1310=1,AT1310&gt;0,AF1310&gt;0),100*AF1310/AT1310,"")</f>
        <v/>
      </c>
      <c r="AV1310" s="44">
        <f>IF(AU1310="","",T1310/(AU1310/100))</f>
        <v/>
      </c>
      <c r="AW1310" s="53">
        <f>IF(AU1310="","",IF(AND(ABS(AH1310)&gt;=0.1,ABS(T1310)&gt;=0.05,SIGN(AH1310)=SIGN(T1310)),100*T1310/AH1310,""))</f>
        <v/>
      </c>
      <c r="AX1310" s="45">
        <f>IF(AU1310="","",T1310-AV1310)</f>
        <v/>
      </c>
      <c r="AY1310" s="45">
        <f>IF(AU1310="","",AH1310-AV1310)</f>
        <v/>
      </c>
      <c r="AZ1310" s="54">
        <f>(AL1310-AM1310)-T1310*AT1310</f>
        <v/>
      </c>
      <c r="BA1310" s="43">
        <f>IF(AU1310="",0,(AH1310-T1310)*AF1310)</f>
        <v/>
      </c>
      <c r="BB1310" s="43">
        <f>IF(AU1310="",0,T1310*(AF1310-AT1310))</f>
        <v/>
      </c>
      <c r="BC1310" s="51" t="n">
        <v>0.07668911579404736</v>
      </c>
      <c r="BD1310" s="51" t="n">
        <v>0.2639824269196418</v>
      </c>
      <c r="BE1310" s="51" t="n">
        <v>0.1610202016677715</v>
      </c>
      <c r="BF1310" s="43" t="n">
        <v>41427</v>
      </c>
    </row>
    <row r="1311">
      <c r="A1311" s="42" t="inlineStr">
        <is>
          <t>FL</t>
        </is>
      </c>
      <c r="B1311" s="42" t="inlineStr">
        <is>
          <t>12095</t>
        </is>
      </c>
      <c r="C1311" s="42" t="inlineStr">
        <is>
          <t>Orange</t>
        </is>
      </c>
      <c r="D1311" s="42" t="inlineStr">
        <is>
          <t>Big metro core</t>
        </is>
      </c>
      <c r="E1311" s="42" t="inlineStr">
        <is>
          <t>★</t>
        </is>
      </c>
      <c r="F1311" s="43" t="n">
        <v>340807</v>
      </c>
      <c r="G1311" s="43" t="n">
        <v>258279</v>
      </c>
      <c r="H1311" s="43" t="n">
        <v>607191</v>
      </c>
      <c r="I1311" s="43" t="n">
        <v>395014</v>
      </c>
      <c r="J1311" s="43" t="n">
        <v>245398</v>
      </c>
      <c r="K1311" s="42" t="inlineStr">
        <is>
          <t>US Senate</t>
        </is>
      </c>
      <c r="L1311" s="43" t="n">
        <v>225569</v>
      </c>
      <c r="M1311" s="43" t="n">
        <v>177105</v>
      </c>
      <c r="N1311" s="43" t="n">
        <v>407225</v>
      </c>
      <c r="O1311" s="44">
        <f>IFERROR((F1311-G1311)/(F1311+G1311),"")</f>
        <v/>
      </c>
      <c r="P1311" s="44">
        <f>IFERROR((I1311-J1311)/(I1311+J1311),"")</f>
        <v/>
      </c>
      <c r="Q1311" s="45">
        <f>IFERROR(O1311-P1311,"")</f>
        <v/>
      </c>
      <c r="R1311" s="44">
        <f>IFERROR((L1311-M1311)/(L1311+M1311),"")</f>
        <v/>
      </c>
      <c r="S1311" s="46">
        <f>H1311/SUMIFS(Counties!$H$2:$H$1583,Counties!$A$2:$A$1583,$A1311)</f>
        <v/>
      </c>
      <c r="T1311" s="44">
        <f>O1311+INDEX(Dashboard!$F$6:$F$22,MATCH($A1311,Dashboard!$A$6:$A$22,0))</f>
        <v/>
      </c>
      <c r="U1311" s="43">
        <f>AQ1311*INDEX(Dashboard!$G$6:$G$22,MATCH($A1311,Dashboard!$A$6:$A$22,0))</f>
        <v/>
      </c>
      <c r="V1311" s="47" t="n"/>
      <c r="W1311" s="47" t="n"/>
      <c r="X1311" s="47" t="n"/>
      <c r="Y1311" s="48" t="n"/>
      <c r="Z1311" s="49" t="n"/>
      <c r="AA1311" s="49" t="n"/>
      <c r="AB1311" s="49" t="n"/>
      <c r="AC1311" s="50" t="n"/>
      <c r="AD1311" s="43">
        <f>IF(Z1311&lt;&gt;"",Z1311,N(V1311))</f>
        <v/>
      </c>
      <c r="AE1311" s="43">
        <f>IF(AA1311&lt;&gt;"",AA1311,N(W1311))</f>
        <v/>
      </c>
      <c r="AF1311" s="43">
        <f>AD1311+AE1311</f>
        <v/>
      </c>
      <c r="AG1311" s="42">
        <f>IF(UPPER(AC1311)="Y",1,IF(AF1311=0,0,IF(AND(Z1311="",Y1311&lt;&gt;""),IF(Y1311&gt;=0.999,1,0),IF(AF1311&gt;=U1311,1,0))))</f>
        <v/>
      </c>
      <c r="AH1311" s="44">
        <f>IF(AF1311&gt;0,(AD1311-AE1311)/AF1311,"")</f>
        <v/>
      </c>
      <c r="AI1311" s="45">
        <f>IF(AG1311=1,AH1311-O1311,"")</f>
        <v/>
      </c>
      <c r="AJ1311" s="44">
        <f>IF(AG1311=1,AH1311,MAX(-1,MIN(1,O1311+INDEX(Types!$H:$H,MATCH($A1311&amp;"|"&amp;$D1311,Types!$A:$A,0)))))</f>
        <v/>
      </c>
      <c r="AK1311" s="43">
        <f>IF(AG1311=1,AF1311,MAX(AQ1311*AS1311,AF1311))</f>
        <v/>
      </c>
      <c r="AL1311" s="43">
        <f>IF(AG1311=1,AD1311,AK1311*(1+AJ1311)/2)</f>
        <v/>
      </c>
      <c r="AM1311" s="43">
        <f>IF(AG1311=1,AE1311,AK1311*(1-AJ1311)/2)</f>
        <v/>
      </c>
      <c r="AN1311" s="45">
        <f>IF(AH1311="","",AH1311-T1311)</f>
        <v/>
      </c>
      <c r="AO1311" s="51">
        <f>IF(AG1311=1,1,IF(U1311&gt;0,MIN(AF1311/U1311,0.99),0))</f>
        <v/>
      </c>
      <c r="AP1311" s="43">
        <f>IF(AG1311=1,AI1311*AF1311,0)</f>
        <v/>
      </c>
      <c r="AQ1311" s="43">
        <f>N1311*(F1311+G1311)/H1311</f>
        <v/>
      </c>
      <c r="AR1311" s="43">
        <f>O1311*AQ1311</f>
        <v/>
      </c>
      <c r="AS1311" s="52">
        <f>IF(AG1311=1,IF(AQ1311&gt;0,AF1311/AQ1311,1),IFERROR(INDEX(Types!$K:$K,MATCH($A1311&amp;"|"&amp;$D1311,Types!$A:$A,0)),INDEX(Dashboard!$X$6:$X$22,MATCH($A1311,Dashboard!$A$6:$A$22,0))))</f>
        <v/>
      </c>
      <c r="AT1311" s="43">
        <f>AQ1311*INDEX(Dashboard!$Y$6:$Y$22,MATCH($A1311,Dashboard!$A$6:$A$22,0))</f>
        <v/>
      </c>
      <c r="AU1311" s="53">
        <f>IF(AND(AG1311=1,AT1311&gt;0,AF1311&gt;0),100*AF1311/AT1311,"")</f>
        <v/>
      </c>
      <c r="AV1311" s="44">
        <f>IF(AU1311="","",T1311/(AU1311/100))</f>
        <v/>
      </c>
      <c r="AW1311" s="53">
        <f>IF(AU1311="","",IF(AND(ABS(AH1311)&gt;=0.1,ABS(T1311)&gt;=0.05,SIGN(AH1311)=SIGN(T1311)),100*T1311/AH1311,""))</f>
        <v/>
      </c>
      <c r="AX1311" s="45">
        <f>IF(AU1311="","",T1311-AV1311)</f>
        <v/>
      </c>
      <c r="AY1311" s="45">
        <f>IF(AU1311="","",AH1311-AV1311)</f>
        <v/>
      </c>
      <c r="AZ1311" s="54">
        <f>(AL1311-AM1311)-T1311*AT1311</f>
        <v/>
      </c>
      <c r="BA1311" s="43">
        <f>IF(AU1311="",0,(AH1311-T1311)*AF1311)</f>
        <v/>
      </c>
      <c r="BB1311" s="43">
        <f>IF(AU1311="",0,T1311*(AF1311-AT1311))</f>
        <v/>
      </c>
      <c r="BC1311" s="51" t="n">
        <v>0.1992183040010439</v>
      </c>
      <c r="BD1311" s="51" t="n">
        <v>0.3378072550522762</v>
      </c>
      <c r="BE1311" s="51" t="n">
        <v>0.3840842508572331</v>
      </c>
      <c r="BF1311" s="43" t="n">
        <v>1471416</v>
      </c>
    </row>
    <row r="1312">
      <c r="A1312" s="42" t="inlineStr">
        <is>
          <t>FL</t>
        </is>
      </c>
      <c r="B1312" s="42" t="inlineStr">
        <is>
          <t>12097</t>
        </is>
      </c>
      <c r="C1312" s="42" t="inlineStr">
        <is>
          <t>Osceola</t>
        </is>
      </c>
      <c r="D1312" s="42" t="inlineStr">
        <is>
          <t>Hispanic</t>
        </is>
      </c>
      <c r="E1312" s="42" t="inlineStr">
        <is>
          <t>★</t>
        </is>
      </c>
      <c r="F1312" s="43" t="n">
        <v>84205</v>
      </c>
      <c r="G1312" s="43" t="n">
        <v>86713</v>
      </c>
      <c r="H1312" s="43" t="n">
        <v>172776</v>
      </c>
      <c r="I1312" s="43" t="n">
        <v>97297</v>
      </c>
      <c r="J1312" s="43" t="n">
        <v>73480</v>
      </c>
      <c r="K1312" s="42" t="inlineStr">
        <is>
          <t>US Senate</t>
        </is>
      </c>
      <c r="L1312" s="43" t="n">
        <v>49907</v>
      </c>
      <c r="M1312" s="43" t="n">
        <v>51422</v>
      </c>
      <c r="N1312" s="43" t="n">
        <v>102746</v>
      </c>
      <c r="O1312" s="44">
        <f>IFERROR((F1312-G1312)/(F1312+G1312),"")</f>
        <v/>
      </c>
      <c r="P1312" s="44">
        <f>IFERROR((I1312-J1312)/(I1312+J1312),"")</f>
        <v/>
      </c>
      <c r="Q1312" s="45">
        <f>IFERROR(O1312-P1312,"")</f>
        <v/>
      </c>
      <c r="R1312" s="44">
        <f>IFERROR((L1312-M1312)/(L1312+M1312),"")</f>
        <v/>
      </c>
      <c r="S1312" s="46">
        <f>H1312/SUMIFS(Counties!$H$2:$H$1583,Counties!$A$2:$A$1583,$A1312)</f>
        <v/>
      </c>
      <c r="T1312" s="44">
        <f>O1312+INDEX(Dashboard!$F$6:$F$22,MATCH($A1312,Dashboard!$A$6:$A$22,0))</f>
        <v/>
      </c>
      <c r="U1312" s="43">
        <f>AQ1312*INDEX(Dashboard!$G$6:$G$22,MATCH($A1312,Dashboard!$A$6:$A$22,0))</f>
        <v/>
      </c>
      <c r="V1312" s="47" t="n"/>
      <c r="W1312" s="47" t="n"/>
      <c r="X1312" s="47" t="n"/>
      <c r="Y1312" s="48" t="n"/>
      <c r="Z1312" s="49" t="n"/>
      <c r="AA1312" s="49" t="n"/>
      <c r="AB1312" s="49" t="n"/>
      <c r="AC1312" s="50" t="n"/>
      <c r="AD1312" s="43">
        <f>IF(Z1312&lt;&gt;"",Z1312,N(V1312))</f>
        <v/>
      </c>
      <c r="AE1312" s="43">
        <f>IF(AA1312&lt;&gt;"",AA1312,N(W1312))</f>
        <v/>
      </c>
      <c r="AF1312" s="43">
        <f>AD1312+AE1312</f>
        <v/>
      </c>
      <c r="AG1312" s="42">
        <f>IF(UPPER(AC1312)="Y",1,IF(AF1312=0,0,IF(AND(Z1312="",Y1312&lt;&gt;""),IF(Y1312&gt;=0.999,1,0),IF(AF1312&gt;=U1312,1,0))))</f>
        <v/>
      </c>
      <c r="AH1312" s="44">
        <f>IF(AF1312&gt;0,(AD1312-AE1312)/AF1312,"")</f>
        <v/>
      </c>
      <c r="AI1312" s="45">
        <f>IF(AG1312=1,AH1312-O1312,"")</f>
        <v/>
      </c>
      <c r="AJ1312" s="44">
        <f>IF(AG1312=1,AH1312,MAX(-1,MIN(1,O1312+INDEX(Types!$H:$H,MATCH($A1312&amp;"|"&amp;$D1312,Types!$A:$A,0)))))</f>
        <v/>
      </c>
      <c r="AK1312" s="43">
        <f>IF(AG1312=1,AF1312,MAX(AQ1312*AS1312,AF1312))</f>
        <v/>
      </c>
      <c r="AL1312" s="43">
        <f>IF(AG1312=1,AD1312,AK1312*(1+AJ1312)/2)</f>
        <v/>
      </c>
      <c r="AM1312" s="43">
        <f>IF(AG1312=1,AE1312,AK1312*(1-AJ1312)/2)</f>
        <v/>
      </c>
      <c r="AN1312" s="45">
        <f>IF(AH1312="","",AH1312-T1312)</f>
        <v/>
      </c>
      <c r="AO1312" s="51">
        <f>IF(AG1312=1,1,IF(U1312&gt;0,MIN(AF1312/U1312,0.99),0))</f>
        <v/>
      </c>
      <c r="AP1312" s="43">
        <f>IF(AG1312=1,AI1312*AF1312,0)</f>
        <v/>
      </c>
      <c r="AQ1312" s="43">
        <f>N1312*(F1312+G1312)/H1312</f>
        <v/>
      </c>
      <c r="AR1312" s="43">
        <f>O1312*AQ1312</f>
        <v/>
      </c>
      <c r="AS1312" s="52">
        <f>IF(AG1312=1,IF(AQ1312&gt;0,AF1312/AQ1312,1),IFERROR(INDEX(Types!$K:$K,MATCH($A1312&amp;"|"&amp;$D1312,Types!$A:$A,0)),INDEX(Dashboard!$X$6:$X$22,MATCH($A1312,Dashboard!$A$6:$A$22,0))))</f>
        <v/>
      </c>
      <c r="AT1312" s="43">
        <f>AQ1312*INDEX(Dashboard!$Y$6:$Y$22,MATCH($A1312,Dashboard!$A$6:$A$22,0))</f>
        <v/>
      </c>
      <c r="AU1312" s="53">
        <f>IF(AND(AG1312=1,AT1312&gt;0,AF1312&gt;0),100*AF1312/AT1312,"")</f>
        <v/>
      </c>
      <c r="AV1312" s="44">
        <f>IF(AU1312="","",T1312/(AU1312/100))</f>
        <v/>
      </c>
      <c r="AW1312" s="53">
        <f>IF(AU1312="","",IF(AND(ABS(AH1312)&gt;=0.1,ABS(T1312)&gt;=0.05,SIGN(AH1312)=SIGN(T1312)),100*T1312/AH1312,""))</f>
        <v/>
      </c>
      <c r="AX1312" s="45">
        <f>IF(AU1312="","",T1312-AV1312)</f>
        <v/>
      </c>
      <c r="AY1312" s="45">
        <f>IF(AU1312="","",AH1312-AV1312)</f>
        <v/>
      </c>
      <c r="AZ1312" s="54">
        <f>(AL1312-AM1312)-T1312*AT1312</f>
        <v/>
      </c>
      <c r="BA1312" s="43">
        <f>IF(AU1312="",0,(AH1312-T1312)*AF1312)</f>
        <v/>
      </c>
      <c r="BB1312" s="43">
        <f>IF(AU1312="",0,T1312*(AF1312-AT1312))</f>
        <v/>
      </c>
      <c r="BC1312" s="51" t="n">
        <v>0.1073817224932844</v>
      </c>
      <c r="BD1312" s="51" t="n">
        <v>0.5606029457449335</v>
      </c>
      <c r="BE1312" s="51" t="n">
        <v>0.282554283096656</v>
      </c>
      <c r="BF1312" s="43" t="n">
        <v>437784</v>
      </c>
    </row>
    <row r="1313">
      <c r="A1313" s="42" t="inlineStr">
        <is>
          <t>FL</t>
        </is>
      </c>
      <c r="B1313" s="42" t="inlineStr">
        <is>
          <t>12099</t>
        </is>
      </c>
      <c r="C1313" s="42" t="inlineStr">
        <is>
          <t>Palm Beach</t>
        </is>
      </c>
      <c r="D1313" s="42" t="inlineStr">
        <is>
          <t>Big metro core</t>
        </is>
      </c>
      <c r="E1313" s="42" t="inlineStr">
        <is>
          <t>★</t>
        </is>
      </c>
      <c r="F1313" s="43" t="n">
        <v>372512</v>
      </c>
      <c r="G1313" s="43" t="n">
        <v>366836</v>
      </c>
      <c r="H1313" s="43" t="n">
        <v>745697</v>
      </c>
      <c r="I1313" s="43" t="n">
        <v>433572</v>
      </c>
      <c r="J1313" s="43" t="n">
        <v>334711</v>
      </c>
      <c r="K1313" s="42" t="inlineStr">
        <is>
          <t>US Senate</t>
        </is>
      </c>
      <c r="L1313" s="43" t="n">
        <v>269839</v>
      </c>
      <c r="M1313" s="43" t="n">
        <v>267715</v>
      </c>
      <c r="N1313" s="43" t="n">
        <v>542852</v>
      </c>
      <c r="O1313" s="44">
        <f>IFERROR((F1313-G1313)/(F1313+G1313),"")</f>
        <v/>
      </c>
      <c r="P1313" s="44">
        <f>IFERROR((I1313-J1313)/(I1313+J1313),"")</f>
        <v/>
      </c>
      <c r="Q1313" s="45">
        <f>IFERROR(O1313-P1313,"")</f>
        <v/>
      </c>
      <c r="R1313" s="44">
        <f>IFERROR((L1313-M1313)/(L1313+M1313),"")</f>
        <v/>
      </c>
      <c r="S1313" s="46">
        <f>H1313/SUMIFS(Counties!$H$2:$H$1583,Counties!$A$2:$A$1583,$A1313)</f>
        <v/>
      </c>
      <c r="T1313" s="44">
        <f>O1313+INDEX(Dashboard!$F$6:$F$22,MATCH($A1313,Dashboard!$A$6:$A$22,0))</f>
        <v/>
      </c>
      <c r="U1313" s="43">
        <f>AQ1313*INDEX(Dashboard!$G$6:$G$22,MATCH($A1313,Dashboard!$A$6:$A$22,0))</f>
        <v/>
      </c>
      <c r="V1313" s="47" t="n"/>
      <c r="W1313" s="47" t="n"/>
      <c r="X1313" s="47" t="n"/>
      <c r="Y1313" s="48" t="n"/>
      <c r="Z1313" s="49" t="n"/>
      <c r="AA1313" s="49" t="n"/>
      <c r="AB1313" s="49" t="n"/>
      <c r="AC1313" s="50" t="n"/>
      <c r="AD1313" s="43">
        <f>IF(Z1313&lt;&gt;"",Z1313,N(V1313))</f>
        <v/>
      </c>
      <c r="AE1313" s="43">
        <f>IF(AA1313&lt;&gt;"",AA1313,N(W1313))</f>
        <v/>
      </c>
      <c r="AF1313" s="43">
        <f>AD1313+AE1313</f>
        <v/>
      </c>
      <c r="AG1313" s="42">
        <f>IF(UPPER(AC1313)="Y",1,IF(AF1313=0,0,IF(AND(Z1313="",Y1313&lt;&gt;""),IF(Y1313&gt;=0.999,1,0),IF(AF1313&gt;=U1313,1,0))))</f>
        <v/>
      </c>
      <c r="AH1313" s="44">
        <f>IF(AF1313&gt;0,(AD1313-AE1313)/AF1313,"")</f>
        <v/>
      </c>
      <c r="AI1313" s="45">
        <f>IF(AG1313=1,AH1313-O1313,"")</f>
        <v/>
      </c>
      <c r="AJ1313" s="44">
        <f>IF(AG1313=1,AH1313,MAX(-1,MIN(1,O1313+INDEX(Types!$H:$H,MATCH($A1313&amp;"|"&amp;$D1313,Types!$A:$A,0)))))</f>
        <v/>
      </c>
      <c r="AK1313" s="43">
        <f>IF(AG1313=1,AF1313,MAX(AQ1313*AS1313,AF1313))</f>
        <v/>
      </c>
      <c r="AL1313" s="43">
        <f>IF(AG1313=1,AD1313,AK1313*(1+AJ1313)/2)</f>
        <v/>
      </c>
      <c r="AM1313" s="43">
        <f>IF(AG1313=1,AE1313,AK1313*(1-AJ1313)/2)</f>
        <v/>
      </c>
      <c r="AN1313" s="45">
        <f>IF(AH1313="","",AH1313-T1313)</f>
        <v/>
      </c>
      <c r="AO1313" s="51">
        <f>IF(AG1313=1,1,IF(U1313&gt;0,MIN(AF1313/U1313,0.99),0))</f>
        <v/>
      </c>
      <c r="AP1313" s="43">
        <f>IF(AG1313=1,AI1313*AF1313,0)</f>
        <v/>
      </c>
      <c r="AQ1313" s="43">
        <f>N1313*(F1313+G1313)/H1313</f>
        <v/>
      </c>
      <c r="AR1313" s="43">
        <f>O1313*AQ1313</f>
        <v/>
      </c>
      <c r="AS1313" s="52">
        <f>IF(AG1313=1,IF(AQ1313&gt;0,AF1313/AQ1313,1),IFERROR(INDEX(Types!$K:$K,MATCH($A1313&amp;"|"&amp;$D1313,Types!$A:$A,0)),INDEX(Dashboard!$X$6:$X$22,MATCH($A1313,Dashboard!$A$6:$A$22,0))))</f>
        <v/>
      </c>
      <c r="AT1313" s="43">
        <f>AQ1313*INDEX(Dashboard!$Y$6:$Y$22,MATCH($A1313,Dashboard!$A$6:$A$22,0))</f>
        <v/>
      </c>
      <c r="AU1313" s="53">
        <f>IF(AND(AG1313=1,AT1313&gt;0,AF1313&gt;0),100*AF1313/AT1313,"")</f>
        <v/>
      </c>
      <c r="AV1313" s="44">
        <f>IF(AU1313="","",T1313/(AU1313/100))</f>
        <v/>
      </c>
      <c r="AW1313" s="53">
        <f>IF(AU1313="","",IF(AND(ABS(AH1313)&gt;=0.1,ABS(T1313)&gt;=0.05,SIGN(AH1313)=SIGN(T1313)),100*T1313/AH1313,""))</f>
        <v/>
      </c>
      <c r="AX1313" s="45">
        <f>IF(AU1313="","",T1313-AV1313)</f>
        <v/>
      </c>
      <c r="AY1313" s="45">
        <f>IF(AU1313="","",AH1313-AV1313)</f>
        <v/>
      </c>
      <c r="AZ1313" s="54">
        <f>(AL1313-AM1313)-T1313*AT1313</f>
        <v/>
      </c>
      <c r="BA1313" s="43">
        <f>IF(AU1313="",0,(AH1313-T1313)*AF1313)</f>
        <v/>
      </c>
      <c r="BB1313" s="43">
        <f>IF(AU1313="",0,T1313*(AF1313-AT1313))</f>
        <v/>
      </c>
      <c r="BC1313" s="51" t="n">
        <v>0.1891053663415267</v>
      </c>
      <c r="BD1313" s="51" t="n">
        <v>0.245121107627391</v>
      </c>
      <c r="BE1313" s="51" t="n">
        <v>0.3955163727959698</v>
      </c>
      <c r="BF1313" s="43" t="n">
        <v>1533801</v>
      </c>
    </row>
    <row r="1314">
      <c r="A1314" s="42" t="inlineStr">
        <is>
          <t>FL</t>
        </is>
      </c>
      <c r="B1314" s="42" t="inlineStr">
        <is>
          <t>12101</t>
        </is>
      </c>
      <c r="C1314" s="42" t="inlineStr">
        <is>
          <t>Pasco</t>
        </is>
      </c>
      <c r="D1314" s="42" t="inlineStr">
        <is>
          <t>Mid-size/working metro</t>
        </is>
      </c>
      <c r="E1314" s="42" t="inlineStr">
        <is>
          <t>★</t>
        </is>
      </c>
      <c r="F1314" s="43" t="n">
        <v>117450</v>
      </c>
      <c r="G1314" s="43" t="n">
        <v>197779</v>
      </c>
      <c r="H1314" s="43" t="n">
        <v>318463</v>
      </c>
      <c r="I1314" s="43" t="n">
        <v>119073</v>
      </c>
      <c r="J1314" s="43" t="n">
        <v>179621</v>
      </c>
      <c r="K1314" s="42" t="inlineStr">
        <is>
          <t>US Senate</t>
        </is>
      </c>
      <c r="L1314" s="43" t="n">
        <v>77664</v>
      </c>
      <c r="M1314" s="43" t="n">
        <v>143760</v>
      </c>
      <c r="N1314" s="43" t="n">
        <v>224552</v>
      </c>
      <c r="O1314" s="44">
        <f>IFERROR((F1314-G1314)/(F1314+G1314),"")</f>
        <v/>
      </c>
      <c r="P1314" s="44">
        <f>IFERROR((I1314-J1314)/(I1314+J1314),"")</f>
        <v/>
      </c>
      <c r="Q1314" s="45">
        <f>IFERROR(O1314-P1314,"")</f>
        <v/>
      </c>
      <c r="R1314" s="44">
        <f>IFERROR((L1314-M1314)/(L1314+M1314),"")</f>
        <v/>
      </c>
      <c r="S1314" s="46">
        <f>H1314/SUMIFS(Counties!$H$2:$H$1583,Counties!$A$2:$A$1583,$A1314)</f>
        <v/>
      </c>
      <c r="T1314" s="44">
        <f>O1314+INDEX(Dashboard!$F$6:$F$22,MATCH($A1314,Dashboard!$A$6:$A$22,0))</f>
        <v/>
      </c>
      <c r="U1314" s="43">
        <f>AQ1314*INDEX(Dashboard!$G$6:$G$22,MATCH($A1314,Dashboard!$A$6:$A$22,0))</f>
        <v/>
      </c>
      <c r="V1314" s="47" t="n"/>
      <c r="W1314" s="47" t="n"/>
      <c r="X1314" s="47" t="n"/>
      <c r="Y1314" s="48" t="n"/>
      <c r="Z1314" s="49" t="n"/>
      <c r="AA1314" s="49" t="n"/>
      <c r="AB1314" s="49" t="n"/>
      <c r="AC1314" s="50" t="n"/>
      <c r="AD1314" s="43">
        <f>IF(Z1314&lt;&gt;"",Z1314,N(V1314))</f>
        <v/>
      </c>
      <c r="AE1314" s="43">
        <f>IF(AA1314&lt;&gt;"",AA1314,N(W1314))</f>
        <v/>
      </c>
      <c r="AF1314" s="43">
        <f>AD1314+AE1314</f>
        <v/>
      </c>
      <c r="AG1314" s="42">
        <f>IF(UPPER(AC1314)="Y",1,IF(AF1314=0,0,IF(AND(Z1314="",Y1314&lt;&gt;""),IF(Y1314&gt;=0.999,1,0),IF(AF1314&gt;=U1314,1,0))))</f>
        <v/>
      </c>
      <c r="AH1314" s="44">
        <f>IF(AF1314&gt;0,(AD1314-AE1314)/AF1314,"")</f>
        <v/>
      </c>
      <c r="AI1314" s="45">
        <f>IF(AG1314=1,AH1314-O1314,"")</f>
        <v/>
      </c>
      <c r="AJ1314" s="44">
        <f>IF(AG1314=1,AH1314,MAX(-1,MIN(1,O1314+INDEX(Types!$H:$H,MATCH($A1314&amp;"|"&amp;$D1314,Types!$A:$A,0)))))</f>
        <v/>
      </c>
      <c r="AK1314" s="43">
        <f>IF(AG1314=1,AF1314,MAX(AQ1314*AS1314,AF1314))</f>
        <v/>
      </c>
      <c r="AL1314" s="43">
        <f>IF(AG1314=1,AD1314,AK1314*(1+AJ1314)/2)</f>
        <v/>
      </c>
      <c r="AM1314" s="43">
        <f>IF(AG1314=1,AE1314,AK1314*(1-AJ1314)/2)</f>
        <v/>
      </c>
      <c r="AN1314" s="45">
        <f>IF(AH1314="","",AH1314-T1314)</f>
        <v/>
      </c>
      <c r="AO1314" s="51">
        <f>IF(AG1314=1,1,IF(U1314&gt;0,MIN(AF1314/U1314,0.99),0))</f>
        <v/>
      </c>
      <c r="AP1314" s="43">
        <f>IF(AG1314=1,AI1314*AF1314,0)</f>
        <v/>
      </c>
      <c r="AQ1314" s="43">
        <f>N1314*(F1314+G1314)/H1314</f>
        <v/>
      </c>
      <c r="AR1314" s="43">
        <f>O1314*AQ1314</f>
        <v/>
      </c>
      <c r="AS1314" s="52">
        <f>IF(AG1314=1,IF(AQ1314&gt;0,AF1314/AQ1314,1),IFERROR(INDEX(Types!$K:$K,MATCH($A1314&amp;"|"&amp;$D1314,Types!$A:$A,0)),INDEX(Dashboard!$X$6:$X$22,MATCH($A1314,Dashboard!$A$6:$A$22,0))))</f>
        <v/>
      </c>
      <c r="AT1314" s="43">
        <f>AQ1314*INDEX(Dashboard!$Y$6:$Y$22,MATCH($A1314,Dashboard!$A$6:$A$22,0))</f>
        <v/>
      </c>
      <c r="AU1314" s="53">
        <f>IF(AND(AG1314=1,AT1314&gt;0,AF1314&gt;0),100*AF1314/AT1314,"")</f>
        <v/>
      </c>
      <c r="AV1314" s="44">
        <f>IF(AU1314="","",T1314/(AU1314/100))</f>
        <v/>
      </c>
      <c r="AW1314" s="53">
        <f>IF(AU1314="","",IF(AND(ABS(AH1314)&gt;=0.1,ABS(T1314)&gt;=0.05,SIGN(AH1314)=SIGN(T1314)),100*T1314/AH1314,""))</f>
        <v/>
      </c>
      <c r="AX1314" s="45">
        <f>IF(AU1314="","",T1314-AV1314)</f>
        <v/>
      </c>
      <c r="AY1314" s="45">
        <f>IF(AU1314="","",AH1314-AV1314)</f>
        <v/>
      </c>
      <c r="AZ1314" s="54">
        <f>(AL1314-AM1314)-T1314*AT1314</f>
        <v/>
      </c>
      <c r="BA1314" s="43">
        <f>IF(AU1314="",0,(AH1314-T1314)*AF1314)</f>
        <v/>
      </c>
      <c r="BB1314" s="43">
        <f>IF(AU1314="",0,T1314*(AF1314-AT1314))</f>
        <v/>
      </c>
      <c r="BC1314" s="51" t="n">
        <v>0.06857389304197815</v>
      </c>
      <c r="BD1314" s="51" t="n">
        <v>0.1918764099615163</v>
      </c>
      <c r="BE1314" s="51" t="n">
        <v>0.2803698255345464</v>
      </c>
      <c r="BF1314" s="43" t="n">
        <v>632996</v>
      </c>
    </row>
    <row r="1315">
      <c r="A1315" s="42" t="inlineStr">
        <is>
          <t>FL</t>
        </is>
      </c>
      <c r="B1315" s="42" t="inlineStr">
        <is>
          <t>12103</t>
        </is>
      </c>
      <c r="C1315" s="42" t="inlineStr">
        <is>
          <t>Pinellas</t>
        </is>
      </c>
      <c r="D1315" s="42" t="inlineStr">
        <is>
          <t>Big metro core</t>
        </is>
      </c>
      <c r="E1315" s="42" t="inlineStr">
        <is>
          <t>★</t>
        </is>
      </c>
      <c r="F1315" s="43" t="n">
        <v>242452</v>
      </c>
      <c r="G1315" s="43" t="n">
        <v>269472</v>
      </c>
      <c r="H1315" s="43" t="n">
        <v>517058</v>
      </c>
      <c r="I1315" s="43" t="n">
        <v>277450</v>
      </c>
      <c r="J1315" s="43" t="n">
        <v>276209</v>
      </c>
      <c r="K1315" s="42" t="inlineStr">
        <is>
          <t>US Senate</t>
        </is>
      </c>
      <c r="L1315" s="43" t="n">
        <v>192058</v>
      </c>
      <c r="M1315" s="43" t="n">
        <v>223747</v>
      </c>
      <c r="N1315" s="43" t="n">
        <v>422260</v>
      </c>
      <c r="O1315" s="44">
        <f>IFERROR((F1315-G1315)/(F1315+G1315),"")</f>
        <v/>
      </c>
      <c r="P1315" s="44">
        <f>IFERROR((I1315-J1315)/(I1315+J1315),"")</f>
        <v/>
      </c>
      <c r="Q1315" s="45">
        <f>IFERROR(O1315-P1315,"")</f>
        <v/>
      </c>
      <c r="R1315" s="44">
        <f>IFERROR((L1315-M1315)/(L1315+M1315),"")</f>
        <v/>
      </c>
      <c r="S1315" s="46">
        <f>H1315/SUMIFS(Counties!$H$2:$H$1583,Counties!$A$2:$A$1583,$A1315)</f>
        <v/>
      </c>
      <c r="T1315" s="44">
        <f>O1315+INDEX(Dashboard!$F$6:$F$22,MATCH($A1315,Dashboard!$A$6:$A$22,0))</f>
        <v/>
      </c>
      <c r="U1315" s="43">
        <f>AQ1315*INDEX(Dashboard!$G$6:$G$22,MATCH($A1315,Dashboard!$A$6:$A$22,0))</f>
        <v/>
      </c>
      <c r="V1315" s="47" t="n"/>
      <c r="W1315" s="47" t="n"/>
      <c r="X1315" s="47" t="n"/>
      <c r="Y1315" s="48" t="n"/>
      <c r="Z1315" s="49" t="n"/>
      <c r="AA1315" s="49" t="n"/>
      <c r="AB1315" s="49" t="n"/>
      <c r="AC1315" s="50" t="n"/>
      <c r="AD1315" s="43">
        <f>IF(Z1315&lt;&gt;"",Z1315,N(V1315))</f>
        <v/>
      </c>
      <c r="AE1315" s="43">
        <f>IF(AA1315&lt;&gt;"",AA1315,N(W1315))</f>
        <v/>
      </c>
      <c r="AF1315" s="43">
        <f>AD1315+AE1315</f>
        <v/>
      </c>
      <c r="AG1315" s="42">
        <f>IF(UPPER(AC1315)="Y",1,IF(AF1315=0,0,IF(AND(Z1315="",Y1315&lt;&gt;""),IF(Y1315&gt;=0.999,1,0),IF(AF1315&gt;=U1315,1,0))))</f>
        <v/>
      </c>
      <c r="AH1315" s="44">
        <f>IF(AF1315&gt;0,(AD1315-AE1315)/AF1315,"")</f>
        <v/>
      </c>
      <c r="AI1315" s="45">
        <f>IF(AG1315=1,AH1315-O1315,"")</f>
        <v/>
      </c>
      <c r="AJ1315" s="44">
        <f>IF(AG1315=1,AH1315,MAX(-1,MIN(1,O1315+INDEX(Types!$H:$H,MATCH($A1315&amp;"|"&amp;$D1315,Types!$A:$A,0)))))</f>
        <v/>
      </c>
      <c r="AK1315" s="43">
        <f>IF(AG1315=1,AF1315,MAX(AQ1315*AS1315,AF1315))</f>
        <v/>
      </c>
      <c r="AL1315" s="43">
        <f>IF(AG1315=1,AD1315,AK1315*(1+AJ1315)/2)</f>
        <v/>
      </c>
      <c r="AM1315" s="43">
        <f>IF(AG1315=1,AE1315,AK1315*(1-AJ1315)/2)</f>
        <v/>
      </c>
      <c r="AN1315" s="45">
        <f>IF(AH1315="","",AH1315-T1315)</f>
        <v/>
      </c>
      <c r="AO1315" s="51">
        <f>IF(AG1315=1,1,IF(U1315&gt;0,MIN(AF1315/U1315,0.99),0))</f>
        <v/>
      </c>
      <c r="AP1315" s="43">
        <f>IF(AG1315=1,AI1315*AF1315,0)</f>
        <v/>
      </c>
      <c r="AQ1315" s="43">
        <f>N1315*(F1315+G1315)/H1315</f>
        <v/>
      </c>
      <c r="AR1315" s="43">
        <f>O1315*AQ1315</f>
        <v/>
      </c>
      <c r="AS1315" s="52">
        <f>IF(AG1315=1,IF(AQ1315&gt;0,AF1315/AQ1315,1),IFERROR(INDEX(Types!$K:$K,MATCH($A1315&amp;"|"&amp;$D1315,Types!$A:$A,0)),INDEX(Dashboard!$X$6:$X$22,MATCH($A1315,Dashboard!$A$6:$A$22,0))))</f>
        <v/>
      </c>
      <c r="AT1315" s="43">
        <f>AQ1315*INDEX(Dashboard!$Y$6:$Y$22,MATCH($A1315,Dashboard!$A$6:$A$22,0))</f>
        <v/>
      </c>
      <c r="AU1315" s="53">
        <f>IF(AND(AG1315=1,AT1315&gt;0,AF1315&gt;0),100*AF1315/AT1315,"")</f>
        <v/>
      </c>
      <c r="AV1315" s="44">
        <f>IF(AU1315="","",T1315/(AU1315/100))</f>
        <v/>
      </c>
      <c r="AW1315" s="53">
        <f>IF(AU1315="","",IF(AND(ABS(AH1315)&gt;=0.1,ABS(T1315)&gt;=0.05,SIGN(AH1315)=SIGN(T1315)),100*T1315/AH1315,""))</f>
        <v/>
      </c>
      <c r="AX1315" s="45">
        <f>IF(AU1315="","",T1315-AV1315)</f>
        <v/>
      </c>
      <c r="AY1315" s="45">
        <f>IF(AU1315="","",AH1315-AV1315)</f>
        <v/>
      </c>
      <c r="AZ1315" s="54">
        <f>(AL1315-AM1315)-T1315*AT1315</f>
        <v/>
      </c>
      <c r="BA1315" s="43">
        <f>IF(AU1315="",0,(AH1315-T1315)*AF1315)</f>
        <v/>
      </c>
      <c r="BB1315" s="43">
        <f>IF(AU1315="",0,T1315*(AF1315-AT1315))</f>
        <v/>
      </c>
      <c r="BC1315" s="51" t="n">
        <v>0.101797428441882</v>
      </c>
      <c r="BD1315" s="51" t="n">
        <v>0.1135071277334764</v>
      </c>
      <c r="BE1315" s="51" t="n">
        <v>0.3584493697509852</v>
      </c>
      <c r="BF1315" s="43" t="n">
        <v>961596</v>
      </c>
    </row>
    <row r="1316">
      <c r="A1316" s="42" t="inlineStr">
        <is>
          <t>FL</t>
        </is>
      </c>
      <c r="B1316" s="42" t="inlineStr">
        <is>
          <t>12105</t>
        </is>
      </c>
      <c r="C1316" s="42" t="inlineStr">
        <is>
          <t>Polk</t>
        </is>
      </c>
      <c r="D1316" s="42" t="inlineStr">
        <is>
          <t>Big metro core</t>
        </is>
      </c>
      <c r="E1316" s="42" t="inlineStr">
        <is>
          <t>★</t>
        </is>
      </c>
      <c r="F1316" s="43" t="n">
        <v>136879</v>
      </c>
      <c r="G1316" s="43" t="n">
        <v>209044</v>
      </c>
      <c r="H1316" s="43" t="n">
        <v>348922</v>
      </c>
      <c r="I1316" s="43" t="n">
        <v>145049</v>
      </c>
      <c r="J1316" s="43" t="n">
        <v>194586</v>
      </c>
      <c r="K1316" s="42" t="inlineStr">
        <is>
          <t>US Senate</t>
        </is>
      </c>
      <c r="L1316" s="43" t="n">
        <v>82261</v>
      </c>
      <c r="M1316" s="43" t="n">
        <v>144548</v>
      </c>
      <c r="N1316" s="43" t="n">
        <v>229594</v>
      </c>
      <c r="O1316" s="44">
        <f>IFERROR((F1316-G1316)/(F1316+G1316),"")</f>
        <v/>
      </c>
      <c r="P1316" s="44">
        <f>IFERROR((I1316-J1316)/(I1316+J1316),"")</f>
        <v/>
      </c>
      <c r="Q1316" s="45">
        <f>IFERROR(O1316-P1316,"")</f>
        <v/>
      </c>
      <c r="R1316" s="44">
        <f>IFERROR((L1316-M1316)/(L1316+M1316),"")</f>
        <v/>
      </c>
      <c r="S1316" s="46">
        <f>H1316/SUMIFS(Counties!$H$2:$H$1583,Counties!$A$2:$A$1583,$A1316)</f>
        <v/>
      </c>
      <c r="T1316" s="44">
        <f>O1316+INDEX(Dashboard!$F$6:$F$22,MATCH($A1316,Dashboard!$A$6:$A$22,0))</f>
        <v/>
      </c>
      <c r="U1316" s="43">
        <f>AQ1316*INDEX(Dashboard!$G$6:$G$22,MATCH($A1316,Dashboard!$A$6:$A$22,0))</f>
        <v/>
      </c>
      <c r="V1316" s="47" t="n"/>
      <c r="W1316" s="47" t="n"/>
      <c r="X1316" s="47" t="n"/>
      <c r="Y1316" s="48" t="n"/>
      <c r="Z1316" s="49" t="n"/>
      <c r="AA1316" s="49" t="n"/>
      <c r="AB1316" s="49" t="n"/>
      <c r="AC1316" s="50" t="n"/>
      <c r="AD1316" s="43">
        <f>IF(Z1316&lt;&gt;"",Z1316,N(V1316))</f>
        <v/>
      </c>
      <c r="AE1316" s="43">
        <f>IF(AA1316&lt;&gt;"",AA1316,N(W1316))</f>
        <v/>
      </c>
      <c r="AF1316" s="43">
        <f>AD1316+AE1316</f>
        <v/>
      </c>
      <c r="AG1316" s="42">
        <f>IF(UPPER(AC1316)="Y",1,IF(AF1316=0,0,IF(AND(Z1316="",Y1316&lt;&gt;""),IF(Y1316&gt;=0.999,1,0),IF(AF1316&gt;=U1316,1,0))))</f>
        <v/>
      </c>
      <c r="AH1316" s="44">
        <f>IF(AF1316&gt;0,(AD1316-AE1316)/AF1316,"")</f>
        <v/>
      </c>
      <c r="AI1316" s="45">
        <f>IF(AG1316=1,AH1316-O1316,"")</f>
        <v/>
      </c>
      <c r="AJ1316" s="44">
        <f>IF(AG1316=1,AH1316,MAX(-1,MIN(1,O1316+INDEX(Types!$H:$H,MATCH($A1316&amp;"|"&amp;$D1316,Types!$A:$A,0)))))</f>
        <v/>
      </c>
      <c r="AK1316" s="43">
        <f>IF(AG1316=1,AF1316,MAX(AQ1316*AS1316,AF1316))</f>
        <v/>
      </c>
      <c r="AL1316" s="43">
        <f>IF(AG1316=1,AD1316,AK1316*(1+AJ1316)/2)</f>
        <v/>
      </c>
      <c r="AM1316" s="43">
        <f>IF(AG1316=1,AE1316,AK1316*(1-AJ1316)/2)</f>
        <v/>
      </c>
      <c r="AN1316" s="45">
        <f>IF(AH1316="","",AH1316-T1316)</f>
        <v/>
      </c>
      <c r="AO1316" s="51">
        <f>IF(AG1316=1,1,IF(U1316&gt;0,MIN(AF1316/U1316,0.99),0))</f>
        <v/>
      </c>
      <c r="AP1316" s="43">
        <f>IF(AG1316=1,AI1316*AF1316,0)</f>
        <v/>
      </c>
      <c r="AQ1316" s="43">
        <f>N1316*(F1316+G1316)/H1316</f>
        <v/>
      </c>
      <c r="AR1316" s="43">
        <f>O1316*AQ1316</f>
        <v/>
      </c>
      <c r="AS1316" s="52">
        <f>IF(AG1316=1,IF(AQ1316&gt;0,AF1316/AQ1316,1),IFERROR(INDEX(Types!$K:$K,MATCH($A1316&amp;"|"&amp;$D1316,Types!$A:$A,0)),INDEX(Dashboard!$X$6:$X$22,MATCH($A1316,Dashboard!$A$6:$A$22,0))))</f>
        <v/>
      </c>
      <c r="AT1316" s="43">
        <f>AQ1316*INDEX(Dashboard!$Y$6:$Y$22,MATCH($A1316,Dashboard!$A$6:$A$22,0))</f>
        <v/>
      </c>
      <c r="AU1316" s="53">
        <f>IF(AND(AG1316=1,AT1316&gt;0,AF1316&gt;0),100*AF1316/AT1316,"")</f>
        <v/>
      </c>
      <c r="AV1316" s="44">
        <f>IF(AU1316="","",T1316/(AU1316/100))</f>
        <v/>
      </c>
      <c r="AW1316" s="53">
        <f>IF(AU1316="","",IF(AND(ABS(AH1316)&gt;=0.1,ABS(T1316)&gt;=0.05,SIGN(AH1316)=SIGN(T1316)),100*T1316/AH1316,""))</f>
        <v/>
      </c>
      <c r="AX1316" s="45">
        <f>IF(AU1316="","",T1316-AV1316)</f>
        <v/>
      </c>
      <c r="AY1316" s="45">
        <f>IF(AU1316="","",AH1316-AV1316)</f>
        <v/>
      </c>
      <c r="AZ1316" s="54">
        <f>(AL1316-AM1316)-T1316*AT1316</f>
        <v/>
      </c>
      <c r="BA1316" s="43">
        <f>IF(AU1316="",0,(AH1316-T1316)*AF1316)</f>
        <v/>
      </c>
      <c r="BB1316" s="43">
        <f>IF(AU1316="",0,T1316*(AF1316-AT1316))</f>
        <v/>
      </c>
      <c r="BC1316" s="51" t="n">
        <v>0.1500531570393362</v>
      </c>
      <c r="BD1316" s="51" t="n">
        <v>0.3027947160680899</v>
      </c>
      <c r="BE1316" s="51" t="n">
        <v>0.226409084876865</v>
      </c>
      <c r="BF1316" s="43" t="n">
        <v>818330</v>
      </c>
    </row>
    <row r="1317">
      <c r="A1317" s="42" t="inlineStr">
        <is>
          <t>FL</t>
        </is>
      </c>
      <c r="B1317" s="42" t="inlineStr">
        <is>
          <t>12107</t>
        </is>
      </c>
      <c r="C1317" s="42" t="inlineStr">
        <is>
          <t>Putnam</t>
        </is>
      </c>
      <c r="D1317" s="42" t="inlineStr">
        <is>
          <t>Small town &amp; rural</t>
        </is>
      </c>
      <c r="E1317" s="42" t="inlineStr"/>
      <c r="F1317" s="43" t="n">
        <v>9354</v>
      </c>
      <c r="G1317" s="43" t="n">
        <v>26700</v>
      </c>
      <c r="H1317" s="43" t="n">
        <v>36272</v>
      </c>
      <c r="I1317" s="43" t="n">
        <v>10527</v>
      </c>
      <c r="J1317" s="43" t="n">
        <v>25514</v>
      </c>
      <c r="K1317" s="42" t="inlineStr">
        <is>
          <t>US Senate</t>
        </is>
      </c>
      <c r="L1317" s="43" t="n">
        <v>6450</v>
      </c>
      <c r="M1317" s="43" t="n">
        <v>19812</v>
      </c>
      <c r="N1317" s="43" t="n">
        <v>26554</v>
      </c>
      <c r="O1317" s="44">
        <f>IFERROR((F1317-G1317)/(F1317+G1317),"")</f>
        <v/>
      </c>
      <c r="P1317" s="44">
        <f>IFERROR((I1317-J1317)/(I1317+J1317),"")</f>
        <v/>
      </c>
      <c r="Q1317" s="45">
        <f>IFERROR(O1317-P1317,"")</f>
        <v/>
      </c>
      <c r="R1317" s="44">
        <f>IFERROR((L1317-M1317)/(L1317+M1317),"")</f>
        <v/>
      </c>
      <c r="S1317" s="46">
        <f>H1317/SUMIFS(Counties!$H$2:$H$1583,Counties!$A$2:$A$1583,$A1317)</f>
        <v/>
      </c>
      <c r="T1317" s="44">
        <f>O1317+INDEX(Dashboard!$F$6:$F$22,MATCH($A1317,Dashboard!$A$6:$A$22,0))</f>
        <v/>
      </c>
      <c r="U1317" s="43">
        <f>AQ1317*INDEX(Dashboard!$G$6:$G$22,MATCH($A1317,Dashboard!$A$6:$A$22,0))</f>
        <v/>
      </c>
      <c r="V1317" s="47" t="n"/>
      <c r="W1317" s="47" t="n"/>
      <c r="X1317" s="47" t="n"/>
      <c r="Y1317" s="48" t="n"/>
      <c r="Z1317" s="49" t="n"/>
      <c r="AA1317" s="49" t="n"/>
      <c r="AB1317" s="49" t="n"/>
      <c r="AC1317" s="50" t="n"/>
      <c r="AD1317" s="43">
        <f>IF(Z1317&lt;&gt;"",Z1317,N(V1317))</f>
        <v/>
      </c>
      <c r="AE1317" s="43">
        <f>IF(AA1317&lt;&gt;"",AA1317,N(W1317))</f>
        <v/>
      </c>
      <c r="AF1317" s="43">
        <f>AD1317+AE1317</f>
        <v/>
      </c>
      <c r="AG1317" s="42">
        <f>IF(UPPER(AC1317)="Y",1,IF(AF1317=0,0,IF(AND(Z1317="",Y1317&lt;&gt;""),IF(Y1317&gt;=0.999,1,0),IF(AF1317&gt;=U1317,1,0))))</f>
        <v/>
      </c>
      <c r="AH1317" s="44">
        <f>IF(AF1317&gt;0,(AD1317-AE1317)/AF1317,"")</f>
        <v/>
      </c>
      <c r="AI1317" s="45">
        <f>IF(AG1317=1,AH1317-O1317,"")</f>
        <v/>
      </c>
      <c r="AJ1317" s="44">
        <f>IF(AG1317=1,AH1317,MAX(-1,MIN(1,O1317+INDEX(Types!$H:$H,MATCH($A1317&amp;"|"&amp;$D1317,Types!$A:$A,0)))))</f>
        <v/>
      </c>
      <c r="AK1317" s="43">
        <f>IF(AG1317=1,AF1317,MAX(AQ1317*AS1317,AF1317))</f>
        <v/>
      </c>
      <c r="AL1317" s="43">
        <f>IF(AG1317=1,AD1317,AK1317*(1+AJ1317)/2)</f>
        <v/>
      </c>
      <c r="AM1317" s="43">
        <f>IF(AG1317=1,AE1317,AK1317*(1-AJ1317)/2)</f>
        <v/>
      </c>
      <c r="AN1317" s="45">
        <f>IF(AH1317="","",AH1317-T1317)</f>
        <v/>
      </c>
      <c r="AO1317" s="51">
        <f>IF(AG1317=1,1,IF(U1317&gt;0,MIN(AF1317/U1317,0.99),0))</f>
        <v/>
      </c>
      <c r="AP1317" s="43">
        <f>IF(AG1317=1,AI1317*AF1317,0)</f>
        <v/>
      </c>
      <c r="AQ1317" s="43">
        <f>N1317*(F1317+G1317)/H1317</f>
        <v/>
      </c>
      <c r="AR1317" s="43">
        <f>O1317*AQ1317</f>
        <v/>
      </c>
      <c r="AS1317" s="52">
        <f>IF(AG1317=1,IF(AQ1317&gt;0,AF1317/AQ1317,1),IFERROR(INDEX(Types!$K:$K,MATCH($A1317&amp;"|"&amp;$D1317,Types!$A:$A,0)),INDEX(Dashboard!$X$6:$X$22,MATCH($A1317,Dashboard!$A$6:$A$22,0))))</f>
        <v/>
      </c>
      <c r="AT1317" s="43">
        <f>AQ1317*INDEX(Dashboard!$Y$6:$Y$22,MATCH($A1317,Dashboard!$A$6:$A$22,0))</f>
        <v/>
      </c>
      <c r="AU1317" s="53">
        <f>IF(AND(AG1317=1,AT1317&gt;0,AF1317&gt;0),100*AF1317/AT1317,"")</f>
        <v/>
      </c>
      <c r="AV1317" s="44">
        <f>IF(AU1317="","",T1317/(AU1317/100))</f>
        <v/>
      </c>
      <c r="AW1317" s="53">
        <f>IF(AU1317="","",IF(AND(ABS(AH1317)&gt;=0.1,ABS(T1317)&gt;=0.05,SIGN(AH1317)=SIGN(T1317)),100*T1317/AH1317,""))</f>
        <v/>
      </c>
      <c r="AX1317" s="45">
        <f>IF(AU1317="","",T1317-AV1317)</f>
        <v/>
      </c>
      <c r="AY1317" s="45">
        <f>IF(AU1317="","",AH1317-AV1317)</f>
        <v/>
      </c>
      <c r="AZ1317" s="54">
        <f>(AL1317-AM1317)-T1317*AT1317</f>
        <v/>
      </c>
      <c r="BA1317" s="43">
        <f>IF(AU1317="",0,(AH1317-T1317)*AF1317)</f>
        <v/>
      </c>
      <c r="BB1317" s="43">
        <f>IF(AU1317="",0,T1317*(AF1317-AT1317))</f>
        <v/>
      </c>
      <c r="BC1317" s="51" t="n">
        <v>0.1510894608649858</v>
      </c>
      <c r="BD1317" s="51" t="n">
        <v>0.1140017115397275</v>
      </c>
      <c r="BE1317" s="51" t="n">
        <v>0.1409466764611705</v>
      </c>
      <c r="BF1317" s="43" t="n">
        <v>75955</v>
      </c>
    </row>
    <row r="1318">
      <c r="A1318" s="42" t="inlineStr">
        <is>
          <t>FL</t>
        </is>
      </c>
      <c r="B1318" s="42" t="inlineStr">
        <is>
          <t>12113</t>
        </is>
      </c>
      <c r="C1318" s="42" t="inlineStr">
        <is>
          <t>Santa Rosa</t>
        </is>
      </c>
      <c r="D1318" s="42" t="inlineStr">
        <is>
          <t>Mid-size/working metro</t>
        </is>
      </c>
      <c r="E1318" s="42" t="inlineStr"/>
      <c r="F1318" s="43" t="n">
        <v>27035</v>
      </c>
      <c r="G1318" s="43" t="n">
        <v>84314</v>
      </c>
      <c r="H1318" s="43" t="n">
        <v>112424</v>
      </c>
      <c r="I1318" s="43" t="n">
        <v>27612</v>
      </c>
      <c r="J1318" s="43" t="n">
        <v>77385</v>
      </c>
      <c r="K1318" s="42" t="inlineStr">
        <is>
          <t>US Senate</t>
        </is>
      </c>
      <c r="L1318" s="43" t="n">
        <v>15554</v>
      </c>
      <c r="M1318" s="43" t="n">
        <v>59111</v>
      </c>
      <c r="N1318" s="43" t="n">
        <v>75597</v>
      </c>
      <c r="O1318" s="44">
        <f>IFERROR((F1318-G1318)/(F1318+G1318),"")</f>
        <v/>
      </c>
      <c r="P1318" s="44">
        <f>IFERROR((I1318-J1318)/(I1318+J1318),"")</f>
        <v/>
      </c>
      <c r="Q1318" s="45">
        <f>IFERROR(O1318-P1318,"")</f>
        <v/>
      </c>
      <c r="R1318" s="44">
        <f>IFERROR((L1318-M1318)/(L1318+M1318),"")</f>
        <v/>
      </c>
      <c r="S1318" s="46">
        <f>H1318/SUMIFS(Counties!$H$2:$H$1583,Counties!$A$2:$A$1583,$A1318)</f>
        <v/>
      </c>
      <c r="T1318" s="44">
        <f>O1318+INDEX(Dashboard!$F$6:$F$22,MATCH($A1318,Dashboard!$A$6:$A$22,0))</f>
        <v/>
      </c>
      <c r="U1318" s="43">
        <f>AQ1318*INDEX(Dashboard!$G$6:$G$22,MATCH($A1318,Dashboard!$A$6:$A$22,0))</f>
        <v/>
      </c>
      <c r="V1318" s="47" t="n"/>
      <c r="W1318" s="47" t="n"/>
      <c r="X1318" s="47" t="n"/>
      <c r="Y1318" s="48" t="n"/>
      <c r="Z1318" s="49" t="n"/>
      <c r="AA1318" s="49" t="n"/>
      <c r="AB1318" s="49" t="n"/>
      <c r="AC1318" s="50" t="n"/>
      <c r="AD1318" s="43">
        <f>IF(Z1318&lt;&gt;"",Z1318,N(V1318))</f>
        <v/>
      </c>
      <c r="AE1318" s="43">
        <f>IF(AA1318&lt;&gt;"",AA1318,N(W1318))</f>
        <v/>
      </c>
      <c r="AF1318" s="43">
        <f>AD1318+AE1318</f>
        <v/>
      </c>
      <c r="AG1318" s="42">
        <f>IF(UPPER(AC1318)="Y",1,IF(AF1318=0,0,IF(AND(Z1318="",Y1318&lt;&gt;""),IF(Y1318&gt;=0.999,1,0),IF(AF1318&gt;=U1318,1,0))))</f>
        <v/>
      </c>
      <c r="AH1318" s="44">
        <f>IF(AF1318&gt;0,(AD1318-AE1318)/AF1318,"")</f>
        <v/>
      </c>
      <c r="AI1318" s="45">
        <f>IF(AG1318=1,AH1318-O1318,"")</f>
        <v/>
      </c>
      <c r="AJ1318" s="44">
        <f>IF(AG1318=1,AH1318,MAX(-1,MIN(1,O1318+INDEX(Types!$H:$H,MATCH($A1318&amp;"|"&amp;$D1318,Types!$A:$A,0)))))</f>
        <v/>
      </c>
      <c r="AK1318" s="43">
        <f>IF(AG1318=1,AF1318,MAX(AQ1318*AS1318,AF1318))</f>
        <v/>
      </c>
      <c r="AL1318" s="43">
        <f>IF(AG1318=1,AD1318,AK1318*(1+AJ1318)/2)</f>
        <v/>
      </c>
      <c r="AM1318" s="43">
        <f>IF(AG1318=1,AE1318,AK1318*(1-AJ1318)/2)</f>
        <v/>
      </c>
      <c r="AN1318" s="45">
        <f>IF(AH1318="","",AH1318-T1318)</f>
        <v/>
      </c>
      <c r="AO1318" s="51">
        <f>IF(AG1318=1,1,IF(U1318&gt;0,MIN(AF1318/U1318,0.99),0))</f>
        <v/>
      </c>
      <c r="AP1318" s="43">
        <f>IF(AG1318=1,AI1318*AF1318,0)</f>
        <v/>
      </c>
      <c r="AQ1318" s="43">
        <f>N1318*(F1318+G1318)/H1318</f>
        <v/>
      </c>
      <c r="AR1318" s="43">
        <f>O1318*AQ1318</f>
        <v/>
      </c>
      <c r="AS1318" s="52">
        <f>IF(AG1318=1,IF(AQ1318&gt;0,AF1318/AQ1318,1),IFERROR(INDEX(Types!$K:$K,MATCH($A1318&amp;"|"&amp;$D1318,Types!$A:$A,0)),INDEX(Dashboard!$X$6:$X$22,MATCH($A1318,Dashboard!$A$6:$A$22,0))))</f>
        <v/>
      </c>
      <c r="AT1318" s="43">
        <f>AQ1318*INDEX(Dashboard!$Y$6:$Y$22,MATCH($A1318,Dashboard!$A$6:$A$22,0))</f>
        <v/>
      </c>
      <c r="AU1318" s="53">
        <f>IF(AND(AG1318=1,AT1318&gt;0,AF1318&gt;0),100*AF1318/AT1318,"")</f>
        <v/>
      </c>
      <c r="AV1318" s="44">
        <f>IF(AU1318="","",T1318/(AU1318/100))</f>
        <v/>
      </c>
      <c r="AW1318" s="53">
        <f>IF(AU1318="","",IF(AND(ABS(AH1318)&gt;=0.1,ABS(T1318)&gt;=0.05,SIGN(AH1318)=SIGN(T1318)),100*T1318/AH1318,""))</f>
        <v/>
      </c>
      <c r="AX1318" s="45">
        <f>IF(AU1318="","",T1318-AV1318)</f>
        <v/>
      </c>
      <c r="AY1318" s="45">
        <f>IF(AU1318="","",AH1318-AV1318)</f>
        <v/>
      </c>
      <c r="AZ1318" s="54">
        <f>(AL1318-AM1318)-T1318*AT1318</f>
        <v/>
      </c>
      <c r="BA1318" s="43">
        <f>IF(AU1318="",0,(AH1318-T1318)*AF1318)</f>
        <v/>
      </c>
      <c r="BB1318" s="43">
        <f>IF(AU1318="",0,T1318*(AF1318-AT1318))</f>
        <v/>
      </c>
      <c r="BC1318" s="51" t="n">
        <v>0.06101534735826582</v>
      </c>
      <c r="BD1318" s="51" t="n">
        <v>0.07061852118014196</v>
      </c>
      <c r="BE1318" s="51" t="n">
        <v>0.309798755945847</v>
      </c>
      <c r="BF1318" s="43" t="n">
        <v>203162</v>
      </c>
    </row>
    <row r="1319">
      <c r="A1319" s="42" t="inlineStr">
        <is>
          <t>FL</t>
        </is>
      </c>
      <c r="B1319" s="42" t="inlineStr">
        <is>
          <t>12115</t>
        </is>
      </c>
      <c r="C1319" s="42" t="inlineStr">
        <is>
          <t>Sarasota</t>
        </is>
      </c>
      <c r="D1319" s="42" t="inlineStr">
        <is>
          <t>Mid-size/working metro</t>
        </is>
      </c>
      <c r="E1319" s="42" t="inlineStr"/>
      <c r="F1319" s="43" t="n">
        <v>112668</v>
      </c>
      <c r="G1319" s="43" t="n">
        <v>163219</v>
      </c>
      <c r="H1319" s="43" t="n">
        <v>277857</v>
      </c>
      <c r="I1319" s="43" t="n">
        <v>120110</v>
      </c>
      <c r="J1319" s="43" t="n">
        <v>148370</v>
      </c>
      <c r="K1319" s="42" t="inlineStr">
        <is>
          <t>US Senate</t>
        </is>
      </c>
      <c r="L1319" s="43" t="n">
        <v>86618</v>
      </c>
      <c r="M1319" s="43" t="n">
        <v>129865</v>
      </c>
      <c r="N1319" s="43" t="n">
        <v>218481</v>
      </c>
      <c r="O1319" s="44">
        <f>IFERROR((F1319-G1319)/(F1319+G1319),"")</f>
        <v/>
      </c>
      <c r="P1319" s="44">
        <f>IFERROR((I1319-J1319)/(I1319+J1319),"")</f>
        <v/>
      </c>
      <c r="Q1319" s="45">
        <f>IFERROR(O1319-P1319,"")</f>
        <v/>
      </c>
      <c r="R1319" s="44">
        <f>IFERROR((L1319-M1319)/(L1319+M1319),"")</f>
        <v/>
      </c>
      <c r="S1319" s="46">
        <f>H1319/SUMIFS(Counties!$H$2:$H$1583,Counties!$A$2:$A$1583,$A1319)</f>
        <v/>
      </c>
      <c r="T1319" s="44">
        <f>O1319+INDEX(Dashboard!$F$6:$F$22,MATCH($A1319,Dashboard!$A$6:$A$22,0))</f>
        <v/>
      </c>
      <c r="U1319" s="43">
        <f>AQ1319*INDEX(Dashboard!$G$6:$G$22,MATCH($A1319,Dashboard!$A$6:$A$22,0))</f>
        <v/>
      </c>
      <c r="V1319" s="47" t="n"/>
      <c r="W1319" s="47" t="n"/>
      <c r="X1319" s="47" t="n"/>
      <c r="Y1319" s="48" t="n"/>
      <c r="Z1319" s="49" t="n"/>
      <c r="AA1319" s="49" t="n"/>
      <c r="AB1319" s="49" t="n"/>
      <c r="AC1319" s="50" t="n"/>
      <c r="AD1319" s="43">
        <f>IF(Z1319&lt;&gt;"",Z1319,N(V1319))</f>
        <v/>
      </c>
      <c r="AE1319" s="43">
        <f>IF(AA1319&lt;&gt;"",AA1319,N(W1319))</f>
        <v/>
      </c>
      <c r="AF1319" s="43">
        <f>AD1319+AE1319</f>
        <v/>
      </c>
      <c r="AG1319" s="42">
        <f>IF(UPPER(AC1319)="Y",1,IF(AF1319=0,0,IF(AND(Z1319="",Y1319&lt;&gt;""),IF(Y1319&gt;=0.999,1,0),IF(AF1319&gt;=U1319,1,0))))</f>
        <v/>
      </c>
      <c r="AH1319" s="44">
        <f>IF(AF1319&gt;0,(AD1319-AE1319)/AF1319,"")</f>
        <v/>
      </c>
      <c r="AI1319" s="45">
        <f>IF(AG1319=1,AH1319-O1319,"")</f>
        <v/>
      </c>
      <c r="AJ1319" s="44">
        <f>IF(AG1319=1,AH1319,MAX(-1,MIN(1,O1319+INDEX(Types!$H:$H,MATCH($A1319&amp;"|"&amp;$D1319,Types!$A:$A,0)))))</f>
        <v/>
      </c>
      <c r="AK1319" s="43">
        <f>IF(AG1319=1,AF1319,MAX(AQ1319*AS1319,AF1319))</f>
        <v/>
      </c>
      <c r="AL1319" s="43">
        <f>IF(AG1319=1,AD1319,AK1319*(1+AJ1319)/2)</f>
        <v/>
      </c>
      <c r="AM1319" s="43">
        <f>IF(AG1319=1,AE1319,AK1319*(1-AJ1319)/2)</f>
        <v/>
      </c>
      <c r="AN1319" s="45">
        <f>IF(AH1319="","",AH1319-T1319)</f>
        <v/>
      </c>
      <c r="AO1319" s="51">
        <f>IF(AG1319=1,1,IF(U1319&gt;0,MIN(AF1319/U1319,0.99),0))</f>
        <v/>
      </c>
      <c r="AP1319" s="43">
        <f>IF(AG1319=1,AI1319*AF1319,0)</f>
        <v/>
      </c>
      <c r="AQ1319" s="43">
        <f>N1319*(F1319+G1319)/H1319</f>
        <v/>
      </c>
      <c r="AR1319" s="43">
        <f>O1319*AQ1319</f>
        <v/>
      </c>
      <c r="AS1319" s="52">
        <f>IF(AG1319=1,IF(AQ1319&gt;0,AF1319/AQ1319,1),IFERROR(INDEX(Types!$K:$K,MATCH($A1319&amp;"|"&amp;$D1319,Types!$A:$A,0)),INDEX(Dashboard!$X$6:$X$22,MATCH($A1319,Dashboard!$A$6:$A$22,0))))</f>
        <v/>
      </c>
      <c r="AT1319" s="43">
        <f>AQ1319*INDEX(Dashboard!$Y$6:$Y$22,MATCH($A1319,Dashboard!$A$6:$A$22,0))</f>
        <v/>
      </c>
      <c r="AU1319" s="53">
        <f>IF(AND(AG1319=1,AT1319&gt;0,AF1319&gt;0),100*AF1319/AT1319,"")</f>
        <v/>
      </c>
      <c r="AV1319" s="44">
        <f>IF(AU1319="","",T1319/(AU1319/100))</f>
        <v/>
      </c>
      <c r="AW1319" s="53">
        <f>IF(AU1319="","",IF(AND(ABS(AH1319)&gt;=0.1,ABS(T1319)&gt;=0.05,SIGN(AH1319)=SIGN(T1319)),100*T1319/AH1319,""))</f>
        <v/>
      </c>
      <c r="AX1319" s="45">
        <f>IF(AU1319="","",T1319-AV1319)</f>
        <v/>
      </c>
      <c r="AY1319" s="45">
        <f>IF(AU1319="","",AH1319-AV1319)</f>
        <v/>
      </c>
      <c r="AZ1319" s="54">
        <f>(AL1319-AM1319)-T1319*AT1319</f>
        <v/>
      </c>
      <c r="BA1319" s="43">
        <f>IF(AU1319="",0,(AH1319-T1319)*AF1319)</f>
        <v/>
      </c>
      <c r="BB1319" s="43">
        <f>IF(AU1319="",0,T1319*(AF1319-AT1319))</f>
        <v/>
      </c>
      <c r="BC1319" s="51" t="n">
        <v>0.04238048838731549</v>
      </c>
      <c r="BD1319" s="51" t="n">
        <v>0.1066729493638769</v>
      </c>
      <c r="BE1319" s="51" t="n">
        <v>0.3965769601809654</v>
      </c>
      <c r="BF1319" s="43" t="n">
        <v>469013</v>
      </c>
    </row>
    <row r="1320">
      <c r="A1320" s="42" t="inlineStr">
        <is>
          <t>FL</t>
        </is>
      </c>
      <c r="B1320" s="42" t="inlineStr">
        <is>
          <t>12117</t>
        </is>
      </c>
      <c r="C1320" s="42" t="inlineStr">
        <is>
          <t>Seminole</t>
        </is>
      </c>
      <c r="D1320" s="42" t="inlineStr">
        <is>
          <t>College suburb/metro</t>
        </is>
      </c>
      <c r="E1320" s="42" t="inlineStr"/>
      <c r="F1320" s="43" t="n">
        <v>120717</v>
      </c>
      <c r="G1320" s="43" t="n">
        <v>129735</v>
      </c>
      <c r="H1320" s="43" t="n">
        <v>253720</v>
      </c>
      <c r="I1320" s="43" t="n">
        <v>132528</v>
      </c>
      <c r="J1320" s="43" t="n">
        <v>125241</v>
      </c>
      <c r="K1320" s="42" t="inlineStr">
        <is>
          <t>US Senate</t>
        </is>
      </c>
      <c r="L1320" s="43" t="n">
        <v>83285</v>
      </c>
      <c r="M1320" s="43" t="n">
        <v>97760</v>
      </c>
      <c r="N1320" s="43" t="n">
        <v>183091</v>
      </c>
      <c r="O1320" s="44">
        <f>IFERROR((F1320-G1320)/(F1320+G1320),"")</f>
        <v/>
      </c>
      <c r="P1320" s="44">
        <f>IFERROR((I1320-J1320)/(I1320+J1320),"")</f>
        <v/>
      </c>
      <c r="Q1320" s="45">
        <f>IFERROR(O1320-P1320,"")</f>
        <v/>
      </c>
      <c r="R1320" s="44">
        <f>IFERROR((L1320-M1320)/(L1320+M1320),"")</f>
        <v/>
      </c>
      <c r="S1320" s="46">
        <f>H1320/SUMIFS(Counties!$H$2:$H$1583,Counties!$A$2:$A$1583,$A1320)</f>
        <v/>
      </c>
      <c r="T1320" s="44">
        <f>O1320+INDEX(Dashboard!$F$6:$F$22,MATCH($A1320,Dashboard!$A$6:$A$22,0))</f>
        <v/>
      </c>
      <c r="U1320" s="43">
        <f>AQ1320*INDEX(Dashboard!$G$6:$G$22,MATCH($A1320,Dashboard!$A$6:$A$22,0))</f>
        <v/>
      </c>
      <c r="V1320" s="47" t="n"/>
      <c r="W1320" s="47" t="n"/>
      <c r="X1320" s="47" t="n"/>
      <c r="Y1320" s="48" t="n"/>
      <c r="Z1320" s="49" t="n"/>
      <c r="AA1320" s="49" t="n"/>
      <c r="AB1320" s="49" t="n"/>
      <c r="AC1320" s="50" t="n"/>
      <c r="AD1320" s="43">
        <f>IF(Z1320&lt;&gt;"",Z1320,N(V1320))</f>
        <v/>
      </c>
      <c r="AE1320" s="43">
        <f>IF(AA1320&lt;&gt;"",AA1320,N(W1320))</f>
        <v/>
      </c>
      <c r="AF1320" s="43">
        <f>AD1320+AE1320</f>
        <v/>
      </c>
      <c r="AG1320" s="42">
        <f>IF(UPPER(AC1320)="Y",1,IF(AF1320=0,0,IF(AND(Z1320="",Y1320&lt;&gt;""),IF(Y1320&gt;=0.999,1,0),IF(AF1320&gt;=U1320,1,0))))</f>
        <v/>
      </c>
      <c r="AH1320" s="44">
        <f>IF(AF1320&gt;0,(AD1320-AE1320)/AF1320,"")</f>
        <v/>
      </c>
      <c r="AI1320" s="45">
        <f>IF(AG1320=1,AH1320-O1320,"")</f>
        <v/>
      </c>
      <c r="AJ1320" s="44">
        <f>IF(AG1320=1,AH1320,MAX(-1,MIN(1,O1320+INDEX(Types!$H:$H,MATCH($A1320&amp;"|"&amp;$D1320,Types!$A:$A,0)))))</f>
        <v/>
      </c>
      <c r="AK1320" s="43">
        <f>IF(AG1320=1,AF1320,MAX(AQ1320*AS1320,AF1320))</f>
        <v/>
      </c>
      <c r="AL1320" s="43">
        <f>IF(AG1320=1,AD1320,AK1320*(1+AJ1320)/2)</f>
        <v/>
      </c>
      <c r="AM1320" s="43">
        <f>IF(AG1320=1,AE1320,AK1320*(1-AJ1320)/2)</f>
        <v/>
      </c>
      <c r="AN1320" s="45">
        <f>IF(AH1320="","",AH1320-T1320)</f>
        <v/>
      </c>
      <c r="AO1320" s="51">
        <f>IF(AG1320=1,1,IF(U1320&gt;0,MIN(AF1320/U1320,0.99),0))</f>
        <v/>
      </c>
      <c r="AP1320" s="43">
        <f>IF(AG1320=1,AI1320*AF1320,0)</f>
        <v/>
      </c>
      <c r="AQ1320" s="43">
        <f>N1320*(F1320+G1320)/H1320</f>
        <v/>
      </c>
      <c r="AR1320" s="43">
        <f>O1320*AQ1320</f>
        <v/>
      </c>
      <c r="AS1320" s="52">
        <f>IF(AG1320=1,IF(AQ1320&gt;0,AF1320/AQ1320,1),IFERROR(INDEX(Types!$K:$K,MATCH($A1320&amp;"|"&amp;$D1320,Types!$A:$A,0)),INDEX(Dashboard!$X$6:$X$22,MATCH($A1320,Dashboard!$A$6:$A$22,0))))</f>
        <v/>
      </c>
      <c r="AT1320" s="43">
        <f>AQ1320*INDEX(Dashboard!$Y$6:$Y$22,MATCH($A1320,Dashboard!$A$6:$A$22,0))</f>
        <v/>
      </c>
      <c r="AU1320" s="53">
        <f>IF(AND(AG1320=1,AT1320&gt;0,AF1320&gt;0),100*AF1320/AT1320,"")</f>
        <v/>
      </c>
      <c r="AV1320" s="44">
        <f>IF(AU1320="","",T1320/(AU1320/100))</f>
        <v/>
      </c>
      <c r="AW1320" s="53">
        <f>IF(AU1320="","",IF(AND(ABS(AH1320)&gt;=0.1,ABS(T1320)&gt;=0.05,SIGN(AH1320)=SIGN(T1320)),100*T1320/AH1320,""))</f>
        <v/>
      </c>
      <c r="AX1320" s="45">
        <f>IF(AU1320="","",T1320-AV1320)</f>
        <v/>
      </c>
      <c r="AY1320" s="45">
        <f>IF(AU1320="","",AH1320-AV1320)</f>
        <v/>
      </c>
      <c r="AZ1320" s="54">
        <f>(AL1320-AM1320)-T1320*AT1320</f>
        <v/>
      </c>
      <c r="BA1320" s="43">
        <f>IF(AU1320="",0,(AH1320-T1320)*AF1320)</f>
        <v/>
      </c>
      <c r="BB1320" s="43">
        <f>IF(AU1320="",0,T1320*(AF1320-AT1320))</f>
        <v/>
      </c>
      <c r="BC1320" s="51" t="n">
        <v>0.1209364178321642</v>
      </c>
      <c r="BD1320" s="51" t="n">
        <v>0.2426058962853444</v>
      </c>
      <c r="BE1320" s="51" t="n">
        <v>0.4238489098046635</v>
      </c>
      <c r="BF1320" s="43" t="n">
        <v>484271</v>
      </c>
    </row>
    <row r="1321">
      <c r="A1321" s="42" t="inlineStr">
        <is>
          <t>FL</t>
        </is>
      </c>
      <c r="B1321" s="42" t="inlineStr">
        <is>
          <t>12109</t>
        </is>
      </c>
      <c r="C1321" s="42" t="inlineStr">
        <is>
          <t>St. Johns</t>
        </is>
      </c>
      <c r="D1321" s="42" t="inlineStr">
        <is>
          <t>College suburb/metro</t>
        </is>
      </c>
      <c r="E1321" s="42" t="inlineStr"/>
      <c r="F1321" s="43" t="n">
        <v>66862</v>
      </c>
      <c r="G1321" s="43" t="n">
        <v>128759</v>
      </c>
      <c r="H1321" s="43" t="n">
        <v>197452</v>
      </c>
      <c r="I1321" s="43" t="n">
        <v>63850</v>
      </c>
      <c r="J1321" s="43" t="n">
        <v>110946</v>
      </c>
      <c r="K1321" s="42" t="inlineStr">
        <is>
          <t>US Senate</t>
        </is>
      </c>
      <c r="L1321" s="43" t="n">
        <v>44371</v>
      </c>
      <c r="M1321" s="43" t="n">
        <v>98564</v>
      </c>
      <c r="N1321" s="43" t="n">
        <v>144406</v>
      </c>
      <c r="O1321" s="44">
        <f>IFERROR((F1321-G1321)/(F1321+G1321),"")</f>
        <v/>
      </c>
      <c r="P1321" s="44">
        <f>IFERROR((I1321-J1321)/(I1321+J1321),"")</f>
        <v/>
      </c>
      <c r="Q1321" s="45">
        <f>IFERROR(O1321-P1321,"")</f>
        <v/>
      </c>
      <c r="R1321" s="44">
        <f>IFERROR((L1321-M1321)/(L1321+M1321),"")</f>
        <v/>
      </c>
      <c r="S1321" s="46">
        <f>H1321/SUMIFS(Counties!$H$2:$H$1583,Counties!$A$2:$A$1583,$A1321)</f>
        <v/>
      </c>
      <c r="T1321" s="44">
        <f>O1321+INDEX(Dashboard!$F$6:$F$22,MATCH($A1321,Dashboard!$A$6:$A$22,0))</f>
        <v/>
      </c>
      <c r="U1321" s="43">
        <f>AQ1321*INDEX(Dashboard!$G$6:$G$22,MATCH($A1321,Dashboard!$A$6:$A$22,0))</f>
        <v/>
      </c>
      <c r="V1321" s="47" t="n"/>
      <c r="W1321" s="47" t="n"/>
      <c r="X1321" s="47" t="n"/>
      <c r="Y1321" s="48" t="n"/>
      <c r="Z1321" s="49" t="n"/>
      <c r="AA1321" s="49" t="n"/>
      <c r="AB1321" s="49" t="n"/>
      <c r="AC1321" s="50" t="n"/>
      <c r="AD1321" s="43">
        <f>IF(Z1321&lt;&gt;"",Z1321,N(V1321))</f>
        <v/>
      </c>
      <c r="AE1321" s="43">
        <f>IF(AA1321&lt;&gt;"",AA1321,N(W1321))</f>
        <v/>
      </c>
      <c r="AF1321" s="43">
        <f>AD1321+AE1321</f>
        <v/>
      </c>
      <c r="AG1321" s="42">
        <f>IF(UPPER(AC1321)="Y",1,IF(AF1321=0,0,IF(AND(Z1321="",Y1321&lt;&gt;""),IF(Y1321&gt;=0.999,1,0),IF(AF1321&gt;=U1321,1,0))))</f>
        <v/>
      </c>
      <c r="AH1321" s="44">
        <f>IF(AF1321&gt;0,(AD1321-AE1321)/AF1321,"")</f>
        <v/>
      </c>
      <c r="AI1321" s="45">
        <f>IF(AG1321=1,AH1321-O1321,"")</f>
        <v/>
      </c>
      <c r="AJ1321" s="44">
        <f>IF(AG1321=1,AH1321,MAX(-1,MIN(1,O1321+INDEX(Types!$H:$H,MATCH($A1321&amp;"|"&amp;$D1321,Types!$A:$A,0)))))</f>
        <v/>
      </c>
      <c r="AK1321" s="43">
        <f>IF(AG1321=1,AF1321,MAX(AQ1321*AS1321,AF1321))</f>
        <v/>
      </c>
      <c r="AL1321" s="43">
        <f>IF(AG1321=1,AD1321,AK1321*(1+AJ1321)/2)</f>
        <v/>
      </c>
      <c r="AM1321" s="43">
        <f>IF(AG1321=1,AE1321,AK1321*(1-AJ1321)/2)</f>
        <v/>
      </c>
      <c r="AN1321" s="45">
        <f>IF(AH1321="","",AH1321-T1321)</f>
        <v/>
      </c>
      <c r="AO1321" s="51">
        <f>IF(AG1321=1,1,IF(U1321&gt;0,MIN(AF1321/U1321,0.99),0))</f>
        <v/>
      </c>
      <c r="AP1321" s="43">
        <f>IF(AG1321=1,AI1321*AF1321,0)</f>
        <v/>
      </c>
      <c r="AQ1321" s="43">
        <f>N1321*(F1321+G1321)/H1321</f>
        <v/>
      </c>
      <c r="AR1321" s="43">
        <f>O1321*AQ1321</f>
        <v/>
      </c>
      <c r="AS1321" s="52">
        <f>IF(AG1321=1,IF(AQ1321&gt;0,AF1321/AQ1321,1),IFERROR(INDEX(Types!$K:$K,MATCH($A1321&amp;"|"&amp;$D1321,Types!$A:$A,0)),INDEX(Dashboard!$X$6:$X$22,MATCH($A1321,Dashboard!$A$6:$A$22,0))))</f>
        <v/>
      </c>
      <c r="AT1321" s="43">
        <f>AQ1321*INDEX(Dashboard!$Y$6:$Y$22,MATCH($A1321,Dashboard!$A$6:$A$22,0))</f>
        <v/>
      </c>
      <c r="AU1321" s="53">
        <f>IF(AND(AG1321=1,AT1321&gt;0,AF1321&gt;0),100*AF1321/AT1321,"")</f>
        <v/>
      </c>
      <c r="AV1321" s="44">
        <f>IF(AU1321="","",T1321/(AU1321/100))</f>
        <v/>
      </c>
      <c r="AW1321" s="53">
        <f>IF(AU1321="","",IF(AND(ABS(AH1321)&gt;=0.1,ABS(T1321)&gt;=0.05,SIGN(AH1321)=SIGN(T1321)),100*T1321/AH1321,""))</f>
        <v/>
      </c>
      <c r="AX1321" s="45">
        <f>IF(AU1321="","",T1321-AV1321)</f>
        <v/>
      </c>
      <c r="AY1321" s="45">
        <f>IF(AU1321="","",AH1321-AV1321)</f>
        <v/>
      </c>
      <c r="AZ1321" s="54">
        <f>(AL1321-AM1321)-T1321*AT1321</f>
        <v/>
      </c>
      <c r="BA1321" s="43">
        <f>IF(AU1321="",0,(AH1321-T1321)*AF1321)</f>
        <v/>
      </c>
      <c r="BB1321" s="43">
        <f>IF(AU1321="",0,T1321*(AF1321-AT1321))</f>
        <v/>
      </c>
      <c r="BC1321" s="51" t="n">
        <v>0.05170722564118584</v>
      </c>
      <c r="BD1321" s="51" t="n">
        <v>0.09302739683233888</v>
      </c>
      <c r="BE1321" s="51" t="n">
        <v>0.4861000224694392</v>
      </c>
      <c r="BF1321" s="43" t="n">
        <v>320110</v>
      </c>
    </row>
    <row r="1322">
      <c r="A1322" s="42" t="inlineStr">
        <is>
          <t>FL</t>
        </is>
      </c>
      <c r="B1322" s="42" t="inlineStr">
        <is>
          <t>12111</t>
        </is>
      </c>
      <c r="C1322" s="42" t="inlineStr">
        <is>
          <t>St. Lucie</t>
        </is>
      </c>
      <c r="D1322" s="42" t="inlineStr">
        <is>
          <t>Mid-size/working metro</t>
        </is>
      </c>
      <c r="E1322" s="42" t="inlineStr"/>
      <c r="F1322" s="43" t="n">
        <v>83517</v>
      </c>
      <c r="G1322" s="43" t="n">
        <v>100293</v>
      </c>
      <c r="H1322" s="43" t="n">
        <v>185131</v>
      </c>
      <c r="I1322" s="43" t="n">
        <v>84137</v>
      </c>
      <c r="J1322" s="43" t="n">
        <v>86831</v>
      </c>
      <c r="K1322" s="42" t="inlineStr">
        <is>
          <t>US Senate</t>
        </is>
      </c>
      <c r="L1322" s="43" t="n">
        <v>50851</v>
      </c>
      <c r="M1322" s="43" t="n">
        <v>69924</v>
      </c>
      <c r="N1322" s="43" t="n">
        <v>121888</v>
      </c>
      <c r="O1322" s="44">
        <f>IFERROR((F1322-G1322)/(F1322+G1322),"")</f>
        <v/>
      </c>
      <c r="P1322" s="44">
        <f>IFERROR((I1322-J1322)/(I1322+J1322),"")</f>
        <v/>
      </c>
      <c r="Q1322" s="45">
        <f>IFERROR(O1322-P1322,"")</f>
        <v/>
      </c>
      <c r="R1322" s="44">
        <f>IFERROR((L1322-M1322)/(L1322+M1322),"")</f>
        <v/>
      </c>
      <c r="S1322" s="46">
        <f>H1322/SUMIFS(Counties!$H$2:$H$1583,Counties!$A$2:$A$1583,$A1322)</f>
        <v/>
      </c>
      <c r="T1322" s="44">
        <f>O1322+INDEX(Dashboard!$F$6:$F$22,MATCH($A1322,Dashboard!$A$6:$A$22,0))</f>
        <v/>
      </c>
      <c r="U1322" s="43">
        <f>AQ1322*INDEX(Dashboard!$G$6:$G$22,MATCH($A1322,Dashboard!$A$6:$A$22,0))</f>
        <v/>
      </c>
      <c r="V1322" s="47" t="n"/>
      <c r="W1322" s="47" t="n"/>
      <c r="X1322" s="47" t="n"/>
      <c r="Y1322" s="48" t="n"/>
      <c r="Z1322" s="49" t="n"/>
      <c r="AA1322" s="49" t="n"/>
      <c r="AB1322" s="49" t="n"/>
      <c r="AC1322" s="50" t="n"/>
      <c r="AD1322" s="43">
        <f>IF(Z1322&lt;&gt;"",Z1322,N(V1322))</f>
        <v/>
      </c>
      <c r="AE1322" s="43">
        <f>IF(AA1322&lt;&gt;"",AA1322,N(W1322))</f>
        <v/>
      </c>
      <c r="AF1322" s="43">
        <f>AD1322+AE1322</f>
        <v/>
      </c>
      <c r="AG1322" s="42">
        <f>IF(UPPER(AC1322)="Y",1,IF(AF1322=0,0,IF(AND(Z1322="",Y1322&lt;&gt;""),IF(Y1322&gt;=0.999,1,0),IF(AF1322&gt;=U1322,1,0))))</f>
        <v/>
      </c>
      <c r="AH1322" s="44">
        <f>IF(AF1322&gt;0,(AD1322-AE1322)/AF1322,"")</f>
        <v/>
      </c>
      <c r="AI1322" s="45">
        <f>IF(AG1322=1,AH1322-O1322,"")</f>
        <v/>
      </c>
      <c r="AJ1322" s="44">
        <f>IF(AG1322=1,AH1322,MAX(-1,MIN(1,O1322+INDEX(Types!$H:$H,MATCH($A1322&amp;"|"&amp;$D1322,Types!$A:$A,0)))))</f>
        <v/>
      </c>
      <c r="AK1322" s="43">
        <f>IF(AG1322=1,AF1322,MAX(AQ1322*AS1322,AF1322))</f>
        <v/>
      </c>
      <c r="AL1322" s="43">
        <f>IF(AG1322=1,AD1322,AK1322*(1+AJ1322)/2)</f>
        <v/>
      </c>
      <c r="AM1322" s="43">
        <f>IF(AG1322=1,AE1322,AK1322*(1-AJ1322)/2)</f>
        <v/>
      </c>
      <c r="AN1322" s="45">
        <f>IF(AH1322="","",AH1322-T1322)</f>
        <v/>
      </c>
      <c r="AO1322" s="51">
        <f>IF(AG1322=1,1,IF(U1322&gt;0,MIN(AF1322/U1322,0.99),0))</f>
        <v/>
      </c>
      <c r="AP1322" s="43">
        <f>IF(AG1322=1,AI1322*AF1322,0)</f>
        <v/>
      </c>
      <c r="AQ1322" s="43">
        <f>N1322*(F1322+G1322)/H1322</f>
        <v/>
      </c>
      <c r="AR1322" s="43">
        <f>O1322*AQ1322</f>
        <v/>
      </c>
      <c r="AS1322" s="52">
        <f>IF(AG1322=1,IF(AQ1322&gt;0,AF1322/AQ1322,1),IFERROR(INDEX(Types!$K:$K,MATCH($A1322&amp;"|"&amp;$D1322,Types!$A:$A,0)),INDEX(Dashboard!$X$6:$X$22,MATCH($A1322,Dashboard!$A$6:$A$22,0))))</f>
        <v/>
      </c>
      <c r="AT1322" s="43">
        <f>AQ1322*INDEX(Dashboard!$Y$6:$Y$22,MATCH($A1322,Dashboard!$A$6:$A$22,0))</f>
        <v/>
      </c>
      <c r="AU1322" s="53">
        <f>IF(AND(AG1322=1,AT1322&gt;0,AF1322&gt;0),100*AF1322/AT1322,"")</f>
        <v/>
      </c>
      <c r="AV1322" s="44">
        <f>IF(AU1322="","",T1322/(AU1322/100))</f>
        <v/>
      </c>
      <c r="AW1322" s="53">
        <f>IF(AU1322="","",IF(AND(ABS(AH1322)&gt;=0.1,ABS(T1322)&gt;=0.05,SIGN(AH1322)=SIGN(T1322)),100*T1322/AH1322,""))</f>
        <v/>
      </c>
      <c r="AX1322" s="45">
        <f>IF(AU1322="","",T1322-AV1322)</f>
        <v/>
      </c>
      <c r="AY1322" s="45">
        <f>IF(AU1322="","",AH1322-AV1322)</f>
        <v/>
      </c>
      <c r="AZ1322" s="54">
        <f>(AL1322-AM1322)-T1322*AT1322</f>
        <v/>
      </c>
      <c r="BA1322" s="43">
        <f>IF(AU1322="",0,(AH1322-T1322)*AF1322)</f>
        <v/>
      </c>
      <c r="BB1322" s="43">
        <f>IF(AU1322="",0,T1322*(AF1322-AT1322))</f>
        <v/>
      </c>
      <c r="BC1322" s="51" t="n">
        <v>0.2196682959211534</v>
      </c>
      <c r="BD1322" s="51" t="n">
        <v>0.2231159625896045</v>
      </c>
      <c r="BE1322" s="51" t="n">
        <v>0.2536970470920242</v>
      </c>
      <c r="BF1322" s="43" t="n">
        <v>373586</v>
      </c>
    </row>
    <row r="1323">
      <c r="A1323" s="42" t="inlineStr">
        <is>
          <t>FL</t>
        </is>
      </c>
      <c r="B1323" s="42" t="inlineStr">
        <is>
          <t>12119</t>
        </is>
      </c>
      <c r="C1323" s="42" t="inlineStr">
        <is>
          <t>Sumter</t>
        </is>
      </c>
      <c r="D1323" s="42" t="inlineStr">
        <is>
          <t>Mid-size/working metro</t>
        </is>
      </c>
      <c r="E1323" s="42" t="inlineStr"/>
      <c r="F1323" s="43" t="n">
        <v>32551</v>
      </c>
      <c r="G1323" s="43" t="n">
        <v>72134</v>
      </c>
      <c r="H1323" s="43" t="n">
        <v>105217</v>
      </c>
      <c r="I1323" s="43" t="n">
        <v>29341</v>
      </c>
      <c r="J1323" s="43" t="n">
        <v>62761</v>
      </c>
      <c r="K1323" s="42" t="inlineStr">
        <is>
          <t>US Senate</t>
        </is>
      </c>
      <c r="L1323" s="43" t="n">
        <v>25010</v>
      </c>
      <c r="M1323" s="43" t="n">
        <v>63806</v>
      </c>
      <c r="N1323" s="43" t="n">
        <v>89328</v>
      </c>
      <c r="O1323" s="44">
        <f>IFERROR((F1323-G1323)/(F1323+G1323),"")</f>
        <v/>
      </c>
      <c r="P1323" s="44">
        <f>IFERROR((I1323-J1323)/(I1323+J1323),"")</f>
        <v/>
      </c>
      <c r="Q1323" s="45">
        <f>IFERROR(O1323-P1323,"")</f>
        <v/>
      </c>
      <c r="R1323" s="44">
        <f>IFERROR((L1323-M1323)/(L1323+M1323),"")</f>
        <v/>
      </c>
      <c r="S1323" s="46">
        <f>H1323/SUMIFS(Counties!$H$2:$H$1583,Counties!$A$2:$A$1583,$A1323)</f>
        <v/>
      </c>
      <c r="T1323" s="44">
        <f>O1323+INDEX(Dashboard!$F$6:$F$22,MATCH($A1323,Dashboard!$A$6:$A$22,0))</f>
        <v/>
      </c>
      <c r="U1323" s="43">
        <f>AQ1323*INDEX(Dashboard!$G$6:$G$22,MATCH($A1323,Dashboard!$A$6:$A$22,0))</f>
        <v/>
      </c>
      <c r="V1323" s="47" t="n"/>
      <c r="W1323" s="47" t="n"/>
      <c r="X1323" s="47" t="n"/>
      <c r="Y1323" s="48" t="n"/>
      <c r="Z1323" s="49" t="n"/>
      <c r="AA1323" s="49" t="n"/>
      <c r="AB1323" s="49" t="n"/>
      <c r="AC1323" s="50" t="n"/>
      <c r="AD1323" s="43">
        <f>IF(Z1323&lt;&gt;"",Z1323,N(V1323))</f>
        <v/>
      </c>
      <c r="AE1323" s="43">
        <f>IF(AA1323&lt;&gt;"",AA1323,N(W1323))</f>
        <v/>
      </c>
      <c r="AF1323" s="43">
        <f>AD1323+AE1323</f>
        <v/>
      </c>
      <c r="AG1323" s="42">
        <f>IF(UPPER(AC1323)="Y",1,IF(AF1323=0,0,IF(AND(Z1323="",Y1323&lt;&gt;""),IF(Y1323&gt;=0.999,1,0),IF(AF1323&gt;=U1323,1,0))))</f>
        <v/>
      </c>
      <c r="AH1323" s="44">
        <f>IF(AF1323&gt;0,(AD1323-AE1323)/AF1323,"")</f>
        <v/>
      </c>
      <c r="AI1323" s="45">
        <f>IF(AG1323=1,AH1323-O1323,"")</f>
        <v/>
      </c>
      <c r="AJ1323" s="44">
        <f>IF(AG1323=1,AH1323,MAX(-1,MIN(1,O1323+INDEX(Types!$H:$H,MATCH($A1323&amp;"|"&amp;$D1323,Types!$A:$A,0)))))</f>
        <v/>
      </c>
      <c r="AK1323" s="43">
        <f>IF(AG1323=1,AF1323,MAX(AQ1323*AS1323,AF1323))</f>
        <v/>
      </c>
      <c r="AL1323" s="43">
        <f>IF(AG1323=1,AD1323,AK1323*(1+AJ1323)/2)</f>
        <v/>
      </c>
      <c r="AM1323" s="43">
        <f>IF(AG1323=1,AE1323,AK1323*(1-AJ1323)/2)</f>
        <v/>
      </c>
      <c r="AN1323" s="45">
        <f>IF(AH1323="","",AH1323-T1323)</f>
        <v/>
      </c>
      <c r="AO1323" s="51">
        <f>IF(AG1323=1,1,IF(U1323&gt;0,MIN(AF1323/U1323,0.99),0))</f>
        <v/>
      </c>
      <c r="AP1323" s="43">
        <f>IF(AG1323=1,AI1323*AF1323,0)</f>
        <v/>
      </c>
      <c r="AQ1323" s="43">
        <f>N1323*(F1323+G1323)/H1323</f>
        <v/>
      </c>
      <c r="AR1323" s="43">
        <f>O1323*AQ1323</f>
        <v/>
      </c>
      <c r="AS1323" s="52">
        <f>IF(AG1323=1,IF(AQ1323&gt;0,AF1323/AQ1323,1),IFERROR(INDEX(Types!$K:$K,MATCH($A1323&amp;"|"&amp;$D1323,Types!$A:$A,0)),INDEX(Dashboard!$X$6:$X$22,MATCH($A1323,Dashboard!$A$6:$A$22,0))))</f>
        <v/>
      </c>
      <c r="AT1323" s="43">
        <f>AQ1323*INDEX(Dashboard!$Y$6:$Y$22,MATCH($A1323,Dashboard!$A$6:$A$22,0))</f>
        <v/>
      </c>
      <c r="AU1323" s="53">
        <f>IF(AND(AG1323=1,AT1323&gt;0,AF1323&gt;0),100*AF1323/AT1323,"")</f>
        <v/>
      </c>
      <c r="AV1323" s="44">
        <f>IF(AU1323="","",T1323/(AU1323/100))</f>
        <v/>
      </c>
      <c r="AW1323" s="53">
        <f>IF(AU1323="","",IF(AND(ABS(AH1323)&gt;=0.1,ABS(T1323)&gt;=0.05,SIGN(AH1323)=SIGN(T1323)),100*T1323/AH1323,""))</f>
        <v/>
      </c>
      <c r="AX1323" s="45">
        <f>IF(AU1323="","",T1323-AV1323)</f>
        <v/>
      </c>
      <c r="AY1323" s="45">
        <f>IF(AU1323="","",AH1323-AV1323)</f>
        <v/>
      </c>
      <c r="AZ1323" s="54">
        <f>(AL1323-AM1323)-T1323*AT1323</f>
        <v/>
      </c>
      <c r="BA1323" s="43">
        <f>IF(AU1323="",0,(AH1323-T1323)*AF1323)</f>
        <v/>
      </c>
      <c r="BB1323" s="43">
        <f>IF(AU1323="",0,T1323*(AF1323-AT1323))</f>
        <v/>
      </c>
      <c r="BC1323" s="51" t="n">
        <v>0.06521954277042853</v>
      </c>
      <c r="BD1323" s="51" t="n">
        <v>0.06580015175007423</v>
      </c>
      <c r="BE1323" s="51" t="n">
        <v>0.3506630914113105</v>
      </c>
      <c r="BF1323" s="43" t="n">
        <v>151565</v>
      </c>
    </row>
    <row r="1324">
      <c r="A1324" s="42" t="inlineStr">
        <is>
          <t>FL</t>
        </is>
      </c>
      <c r="B1324" s="42" t="inlineStr">
        <is>
          <t>12121</t>
        </is>
      </c>
      <c r="C1324" s="42" t="inlineStr">
        <is>
          <t>Suwannee</t>
        </is>
      </c>
      <c r="D1324" s="42" t="inlineStr">
        <is>
          <t>Small town &amp; rural</t>
        </is>
      </c>
      <c r="E1324" s="42" t="inlineStr"/>
      <c r="F1324" s="43" t="n">
        <v>4217</v>
      </c>
      <c r="G1324" s="43" t="n">
        <v>17561</v>
      </c>
      <c r="H1324" s="43" t="n">
        <v>21891</v>
      </c>
      <c r="I1324" s="43" t="n">
        <v>4485</v>
      </c>
      <c r="J1324" s="43" t="n">
        <v>16410</v>
      </c>
      <c r="K1324" s="42" t="inlineStr">
        <is>
          <t>US Senate</t>
        </is>
      </c>
      <c r="L1324" s="43" t="n">
        <v>3018</v>
      </c>
      <c r="M1324" s="43" t="n">
        <v>13125</v>
      </c>
      <c r="N1324" s="43" t="n">
        <v>16315</v>
      </c>
      <c r="O1324" s="44">
        <f>IFERROR((F1324-G1324)/(F1324+G1324),"")</f>
        <v/>
      </c>
      <c r="P1324" s="44">
        <f>IFERROR((I1324-J1324)/(I1324+J1324),"")</f>
        <v/>
      </c>
      <c r="Q1324" s="45">
        <f>IFERROR(O1324-P1324,"")</f>
        <v/>
      </c>
      <c r="R1324" s="44">
        <f>IFERROR((L1324-M1324)/(L1324+M1324),"")</f>
        <v/>
      </c>
      <c r="S1324" s="46">
        <f>H1324/SUMIFS(Counties!$H$2:$H$1583,Counties!$A$2:$A$1583,$A1324)</f>
        <v/>
      </c>
      <c r="T1324" s="44">
        <f>O1324+INDEX(Dashboard!$F$6:$F$22,MATCH($A1324,Dashboard!$A$6:$A$22,0))</f>
        <v/>
      </c>
      <c r="U1324" s="43">
        <f>AQ1324*INDEX(Dashboard!$G$6:$G$22,MATCH($A1324,Dashboard!$A$6:$A$22,0))</f>
        <v/>
      </c>
      <c r="V1324" s="47" t="n"/>
      <c r="W1324" s="47" t="n"/>
      <c r="X1324" s="47" t="n"/>
      <c r="Y1324" s="48" t="n"/>
      <c r="Z1324" s="49" t="n"/>
      <c r="AA1324" s="49" t="n"/>
      <c r="AB1324" s="49" t="n"/>
      <c r="AC1324" s="50" t="n"/>
      <c r="AD1324" s="43">
        <f>IF(Z1324&lt;&gt;"",Z1324,N(V1324))</f>
        <v/>
      </c>
      <c r="AE1324" s="43">
        <f>IF(AA1324&lt;&gt;"",AA1324,N(W1324))</f>
        <v/>
      </c>
      <c r="AF1324" s="43">
        <f>AD1324+AE1324</f>
        <v/>
      </c>
      <c r="AG1324" s="42">
        <f>IF(UPPER(AC1324)="Y",1,IF(AF1324=0,0,IF(AND(Z1324="",Y1324&lt;&gt;""),IF(Y1324&gt;=0.999,1,0),IF(AF1324&gt;=U1324,1,0))))</f>
        <v/>
      </c>
      <c r="AH1324" s="44">
        <f>IF(AF1324&gt;0,(AD1324-AE1324)/AF1324,"")</f>
        <v/>
      </c>
      <c r="AI1324" s="45">
        <f>IF(AG1324=1,AH1324-O1324,"")</f>
        <v/>
      </c>
      <c r="AJ1324" s="44">
        <f>IF(AG1324=1,AH1324,MAX(-1,MIN(1,O1324+INDEX(Types!$H:$H,MATCH($A1324&amp;"|"&amp;$D1324,Types!$A:$A,0)))))</f>
        <v/>
      </c>
      <c r="AK1324" s="43">
        <f>IF(AG1324=1,AF1324,MAX(AQ1324*AS1324,AF1324))</f>
        <v/>
      </c>
      <c r="AL1324" s="43">
        <f>IF(AG1324=1,AD1324,AK1324*(1+AJ1324)/2)</f>
        <v/>
      </c>
      <c r="AM1324" s="43">
        <f>IF(AG1324=1,AE1324,AK1324*(1-AJ1324)/2)</f>
        <v/>
      </c>
      <c r="AN1324" s="45">
        <f>IF(AH1324="","",AH1324-T1324)</f>
        <v/>
      </c>
      <c r="AO1324" s="51">
        <f>IF(AG1324=1,1,IF(U1324&gt;0,MIN(AF1324/U1324,0.99),0))</f>
        <v/>
      </c>
      <c r="AP1324" s="43">
        <f>IF(AG1324=1,AI1324*AF1324,0)</f>
        <v/>
      </c>
      <c r="AQ1324" s="43">
        <f>N1324*(F1324+G1324)/H1324</f>
        <v/>
      </c>
      <c r="AR1324" s="43">
        <f>O1324*AQ1324</f>
        <v/>
      </c>
      <c r="AS1324" s="52">
        <f>IF(AG1324=1,IF(AQ1324&gt;0,AF1324/AQ1324,1),IFERROR(INDEX(Types!$K:$K,MATCH($A1324&amp;"|"&amp;$D1324,Types!$A:$A,0)),INDEX(Dashboard!$X$6:$X$22,MATCH($A1324,Dashboard!$A$6:$A$22,0))))</f>
        <v/>
      </c>
      <c r="AT1324" s="43">
        <f>AQ1324*INDEX(Dashboard!$Y$6:$Y$22,MATCH($A1324,Dashboard!$A$6:$A$22,0))</f>
        <v/>
      </c>
      <c r="AU1324" s="53">
        <f>IF(AND(AG1324=1,AT1324&gt;0,AF1324&gt;0),100*AF1324/AT1324,"")</f>
        <v/>
      </c>
      <c r="AV1324" s="44">
        <f>IF(AU1324="","",T1324/(AU1324/100))</f>
        <v/>
      </c>
      <c r="AW1324" s="53">
        <f>IF(AU1324="","",IF(AND(ABS(AH1324)&gt;=0.1,ABS(T1324)&gt;=0.05,SIGN(AH1324)=SIGN(T1324)),100*T1324/AH1324,""))</f>
        <v/>
      </c>
      <c r="AX1324" s="45">
        <f>IF(AU1324="","",T1324-AV1324)</f>
        <v/>
      </c>
      <c r="AY1324" s="45">
        <f>IF(AU1324="","",AH1324-AV1324)</f>
        <v/>
      </c>
      <c r="AZ1324" s="54">
        <f>(AL1324-AM1324)-T1324*AT1324</f>
        <v/>
      </c>
      <c r="BA1324" s="43">
        <f>IF(AU1324="",0,(AH1324-T1324)*AF1324)</f>
        <v/>
      </c>
      <c r="BB1324" s="43">
        <f>IF(AU1324="",0,T1324*(AF1324-AT1324))</f>
        <v/>
      </c>
      <c r="BC1324" s="51" t="n">
        <v>0.1161283329720356</v>
      </c>
      <c r="BD1324" s="51" t="n">
        <v>0.1209624972902666</v>
      </c>
      <c r="BE1324" s="51" t="n">
        <v>0.1643273178649862</v>
      </c>
      <c r="BF1324" s="43" t="n">
        <v>46130</v>
      </c>
    </row>
    <row r="1325">
      <c r="A1325" s="42" t="inlineStr">
        <is>
          <t>FL</t>
        </is>
      </c>
      <c r="B1325" s="42" t="inlineStr">
        <is>
          <t>12123</t>
        </is>
      </c>
      <c r="C1325" s="42" t="inlineStr">
        <is>
          <t>Taylor</t>
        </is>
      </c>
      <c r="D1325" s="42" t="inlineStr">
        <is>
          <t>Small town &amp; rural</t>
        </is>
      </c>
      <c r="E1325" s="42" t="inlineStr"/>
      <c r="F1325" s="43" t="n">
        <v>1991</v>
      </c>
      <c r="G1325" s="43" t="n">
        <v>7954</v>
      </c>
      <c r="H1325" s="43" t="n">
        <v>9997</v>
      </c>
      <c r="I1325" s="43" t="n">
        <v>2299</v>
      </c>
      <c r="J1325" s="43" t="n">
        <v>7751</v>
      </c>
      <c r="K1325" s="42" t="inlineStr">
        <is>
          <t>US Senate</t>
        </is>
      </c>
      <c r="L1325" s="43" t="n">
        <v>1495</v>
      </c>
      <c r="M1325" s="43" t="n">
        <v>6063</v>
      </c>
      <c r="N1325" s="43" t="n">
        <v>7617</v>
      </c>
      <c r="O1325" s="44">
        <f>IFERROR((F1325-G1325)/(F1325+G1325),"")</f>
        <v/>
      </c>
      <c r="P1325" s="44">
        <f>IFERROR((I1325-J1325)/(I1325+J1325),"")</f>
        <v/>
      </c>
      <c r="Q1325" s="45">
        <f>IFERROR(O1325-P1325,"")</f>
        <v/>
      </c>
      <c r="R1325" s="44">
        <f>IFERROR((L1325-M1325)/(L1325+M1325),"")</f>
        <v/>
      </c>
      <c r="S1325" s="46">
        <f>H1325/SUMIFS(Counties!$H$2:$H$1583,Counties!$A$2:$A$1583,$A1325)</f>
        <v/>
      </c>
      <c r="T1325" s="44">
        <f>O1325+INDEX(Dashboard!$F$6:$F$22,MATCH($A1325,Dashboard!$A$6:$A$22,0))</f>
        <v/>
      </c>
      <c r="U1325" s="43">
        <f>AQ1325*INDEX(Dashboard!$G$6:$G$22,MATCH($A1325,Dashboard!$A$6:$A$22,0))</f>
        <v/>
      </c>
      <c r="V1325" s="47" t="n"/>
      <c r="W1325" s="47" t="n"/>
      <c r="X1325" s="47" t="n"/>
      <c r="Y1325" s="48" t="n"/>
      <c r="Z1325" s="49" t="n"/>
      <c r="AA1325" s="49" t="n"/>
      <c r="AB1325" s="49" t="n"/>
      <c r="AC1325" s="50" t="n"/>
      <c r="AD1325" s="43">
        <f>IF(Z1325&lt;&gt;"",Z1325,N(V1325))</f>
        <v/>
      </c>
      <c r="AE1325" s="43">
        <f>IF(AA1325&lt;&gt;"",AA1325,N(W1325))</f>
        <v/>
      </c>
      <c r="AF1325" s="43">
        <f>AD1325+AE1325</f>
        <v/>
      </c>
      <c r="AG1325" s="42">
        <f>IF(UPPER(AC1325)="Y",1,IF(AF1325=0,0,IF(AND(Z1325="",Y1325&lt;&gt;""),IF(Y1325&gt;=0.999,1,0),IF(AF1325&gt;=U1325,1,0))))</f>
        <v/>
      </c>
      <c r="AH1325" s="44">
        <f>IF(AF1325&gt;0,(AD1325-AE1325)/AF1325,"")</f>
        <v/>
      </c>
      <c r="AI1325" s="45">
        <f>IF(AG1325=1,AH1325-O1325,"")</f>
        <v/>
      </c>
      <c r="AJ1325" s="44">
        <f>IF(AG1325=1,AH1325,MAX(-1,MIN(1,O1325+INDEX(Types!$H:$H,MATCH($A1325&amp;"|"&amp;$D1325,Types!$A:$A,0)))))</f>
        <v/>
      </c>
      <c r="AK1325" s="43">
        <f>IF(AG1325=1,AF1325,MAX(AQ1325*AS1325,AF1325))</f>
        <v/>
      </c>
      <c r="AL1325" s="43">
        <f>IF(AG1325=1,AD1325,AK1325*(1+AJ1325)/2)</f>
        <v/>
      </c>
      <c r="AM1325" s="43">
        <f>IF(AG1325=1,AE1325,AK1325*(1-AJ1325)/2)</f>
        <v/>
      </c>
      <c r="AN1325" s="45">
        <f>IF(AH1325="","",AH1325-T1325)</f>
        <v/>
      </c>
      <c r="AO1325" s="51">
        <f>IF(AG1325=1,1,IF(U1325&gt;0,MIN(AF1325/U1325,0.99),0))</f>
        <v/>
      </c>
      <c r="AP1325" s="43">
        <f>IF(AG1325=1,AI1325*AF1325,0)</f>
        <v/>
      </c>
      <c r="AQ1325" s="43">
        <f>N1325*(F1325+G1325)/H1325</f>
        <v/>
      </c>
      <c r="AR1325" s="43">
        <f>O1325*AQ1325</f>
        <v/>
      </c>
      <c r="AS1325" s="52">
        <f>IF(AG1325=1,IF(AQ1325&gt;0,AF1325/AQ1325,1),IFERROR(INDEX(Types!$K:$K,MATCH($A1325&amp;"|"&amp;$D1325,Types!$A:$A,0)),INDEX(Dashboard!$X$6:$X$22,MATCH($A1325,Dashboard!$A$6:$A$22,0))))</f>
        <v/>
      </c>
      <c r="AT1325" s="43">
        <f>AQ1325*INDEX(Dashboard!$Y$6:$Y$22,MATCH($A1325,Dashboard!$A$6:$A$22,0))</f>
        <v/>
      </c>
      <c r="AU1325" s="53">
        <f>IF(AND(AG1325=1,AT1325&gt;0,AF1325&gt;0),100*AF1325/AT1325,"")</f>
        <v/>
      </c>
      <c r="AV1325" s="44">
        <f>IF(AU1325="","",T1325/(AU1325/100))</f>
        <v/>
      </c>
      <c r="AW1325" s="53">
        <f>IF(AU1325="","",IF(AND(ABS(AH1325)&gt;=0.1,ABS(T1325)&gt;=0.05,SIGN(AH1325)=SIGN(T1325)),100*T1325/AH1325,""))</f>
        <v/>
      </c>
      <c r="AX1325" s="45">
        <f>IF(AU1325="","",T1325-AV1325)</f>
        <v/>
      </c>
      <c r="AY1325" s="45">
        <f>IF(AU1325="","",AH1325-AV1325)</f>
        <v/>
      </c>
      <c r="AZ1325" s="54">
        <f>(AL1325-AM1325)-T1325*AT1325</f>
        <v/>
      </c>
      <c r="BA1325" s="43">
        <f>IF(AU1325="",0,(AH1325-T1325)*AF1325)</f>
        <v/>
      </c>
      <c r="BB1325" s="43">
        <f>IF(AU1325="",0,T1325*(AF1325-AT1325))</f>
        <v/>
      </c>
      <c r="BC1325" s="51" t="n">
        <v>0.1812621629135391</v>
      </c>
      <c r="BD1325" s="51" t="n">
        <v>0.04309146510981374</v>
      </c>
      <c r="BE1325" s="51" t="n">
        <v>0.1505974059165548</v>
      </c>
      <c r="BF1325" s="43" t="n">
        <v>21582</v>
      </c>
    </row>
    <row r="1326">
      <c r="A1326" s="42" t="inlineStr">
        <is>
          <t>FL</t>
        </is>
      </c>
      <c r="B1326" s="42" t="inlineStr">
        <is>
          <t>12125</t>
        </is>
      </c>
      <c r="C1326" s="42" t="inlineStr">
        <is>
          <t>Union</t>
        </is>
      </c>
      <c r="D1326" s="42" t="inlineStr">
        <is>
          <t>Small town &amp; rural</t>
        </is>
      </c>
      <c r="E1326" s="42" t="inlineStr"/>
      <c r="F1326" s="43" t="n">
        <v>971</v>
      </c>
      <c r="G1326" s="43" t="n">
        <v>5224</v>
      </c>
      <c r="H1326" s="43" t="n">
        <v>6231</v>
      </c>
      <c r="I1326" s="43" t="n">
        <v>1053</v>
      </c>
      <c r="J1326" s="43" t="n">
        <v>5133</v>
      </c>
      <c r="K1326" s="42" t="inlineStr">
        <is>
          <t>US Senate</t>
        </is>
      </c>
      <c r="L1326" s="43" t="n">
        <v>580</v>
      </c>
      <c r="M1326" s="43" t="n">
        <v>3917</v>
      </c>
      <c r="N1326" s="43" t="n">
        <v>4541</v>
      </c>
      <c r="O1326" s="44">
        <f>IFERROR((F1326-G1326)/(F1326+G1326),"")</f>
        <v/>
      </c>
      <c r="P1326" s="44">
        <f>IFERROR((I1326-J1326)/(I1326+J1326),"")</f>
        <v/>
      </c>
      <c r="Q1326" s="45">
        <f>IFERROR(O1326-P1326,"")</f>
        <v/>
      </c>
      <c r="R1326" s="44">
        <f>IFERROR((L1326-M1326)/(L1326+M1326),"")</f>
        <v/>
      </c>
      <c r="S1326" s="46">
        <f>H1326/SUMIFS(Counties!$H$2:$H$1583,Counties!$A$2:$A$1583,$A1326)</f>
        <v/>
      </c>
      <c r="T1326" s="44">
        <f>O1326+INDEX(Dashboard!$F$6:$F$22,MATCH($A1326,Dashboard!$A$6:$A$22,0))</f>
        <v/>
      </c>
      <c r="U1326" s="43">
        <f>AQ1326*INDEX(Dashboard!$G$6:$G$22,MATCH($A1326,Dashboard!$A$6:$A$22,0))</f>
        <v/>
      </c>
      <c r="V1326" s="47" t="n"/>
      <c r="W1326" s="47" t="n"/>
      <c r="X1326" s="47" t="n"/>
      <c r="Y1326" s="48" t="n"/>
      <c r="Z1326" s="49" t="n"/>
      <c r="AA1326" s="49" t="n"/>
      <c r="AB1326" s="49" t="n"/>
      <c r="AC1326" s="50" t="n"/>
      <c r="AD1326" s="43">
        <f>IF(Z1326&lt;&gt;"",Z1326,N(V1326))</f>
        <v/>
      </c>
      <c r="AE1326" s="43">
        <f>IF(AA1326&lt;&gt;"",AA1326,N(W1326))</f>
        <v/>
      </c>
      <c r="AF1326" s="43">
        <f>AD1326+AE1326</f>
        <v/>
      </c>
      <c r="AG1326" s="42">
        <f>IF(UPPER(AC1326)="Y",1,IF(AF1326=0,0,IF(AND(Z1326="",Y1326&lt;&gt;""),IF(Y1326&gt;=0.999,1,0),IF(AF1326&gt;=U1326,1,0))))</f>
        <v/>
      </c>
      <c r="AH1326" s="44">
        <f>IF(AF1326&gt;0,(AD1326-AE1326)/AF1326,"")</f>
        <v/>
      </c>
      <c r="AI1326" s="45">
        <f>IF(AG1326=1,AH1326-O1326,"")</f>
        <v/>
      </c>
      <c r="AJ1326" s="44">
        <f>IF(AG1326=1,AH1326,MAX(-1,MIN(1,O1326+INDEX(Types!$H:$H,MATCH($A1326&amp;"|"&amp;$D1326,Types!$A:$A,0)))))</f>
        <v/>
      </c>
      <c r="AK1326" s="43">
        <f>IF(AG1326=1,AF1326,MAX(AQ1326*AS1326,AF1326))</f>
        <v/>
      </c>
      <c r="AL1326" s="43">
        <f>IF(AG1326=1,AD1326,AK1326*(1+AJ1326)/2)</f>
        <v/>
      </c>
      <c r="AM1326" s="43">
        <f>IF(AG1326=1,AE1326,AK1326*(1-AJ1326)/2)</f>
        <v/>
      </c>
      <c r="AN1326" s="45">
        <f>IF(AH1326="","",AH1326-T1326)</f>
        <v/>
      </c>
      <c r="AO1326" s="51">
        <f>IF(AG1326=1,1,IF(U1326&gt;0,MIN(AF1326/U1326,0.99),0))</f>
        <v/>
      </c>
      <c r="AP1326" s="43">
        <f>IF(AG1326=1,AI1326*AF1326,0)</f>
        <v/>
      </c>
      <c r="AQ1326" s="43">
        <f>N1326*(F1326+G1326)/H1326</f>
        <v/>
      </c>
      <c r="AR1326" s="43">
        <f>O1326*AQ1326</f>
        <v/>
      </c>
      <c r="AS1326" s="52">
        <f>IF(AG1326=1,IF(AQ1326&gt;0,AF1326/AQ1326,1),IFERROR(INDEX(Types!$K:$K,MATCH($A1326&amp;"|"&amp;$D1326,Types!$A:$A,0)),INDEX(Dashboard!$X$6:$X$22,MATCH($A1326,Dashboard!$A$6:$A$22,0))))</f>
        <v/>
      </c>
      <c r="AT1326" s="43">
        <f>AQ1326*INDEX(Dashboard!$Y$6:$Y$22,MATCH($A1326,Dashboard!$A$6:$A$22,0))</f>
        <v/>
      </c>
      <c r="AU1326" s="53">
        <f>IF(AND(AG1326=1,AT1326&gt;0,AF1326&gt;0),100*AF1326/AT1326,"")</f>
        <v/>
      </c>
      <c r="AV1326" s="44">
        <f>IF(AU1326="","",T1326/(AU1326/100))</f>
        <v/>
      </c>
      <c r="AW1326" s="53">
        <f>IF(AU1326="","",IF(AND(ABS(AH1326)&gt;=0.1,ABS(T1326)&gt;=0.05,SIGN(AH1326)=SIGN(T1326)),100*T1326/AH1326,""))</f>
        <v/>
      </c>
      <c r="AX1326" s="45">
        <f>IF(AU1326="","",T1326-AV1326)</f>
        <v/>
      </c>
      <c r="AY1326" s="45">
        <f>IF(AU1326="","",AH1326-AV1326)</f>
        <v/>
      </c>
      <c r="AZ1326" s="54">
        <f>(AL1326-AM1326)-T1326*AT1326</f>
        <v/>
      </c>
      <c r="BA1326" s="43">
        <f>IF(AU1326="",0,(AH1326-T1326)*AF1326)</f>
        <v/>
      </c>
      <c r="BB1326" s="43">
        <f>IF(AU1326="",0,T1326*(AF1326-AT1326))</f>
        <v/>
      </c>
      <c r="BC1326" s="51" t="n">
        <v>0.196304403811486</v>
      </c>
      <c r="BD1326" s="51" t="n">
        <v>0.05285861447334535</v>
      </c>
      <c r="BE1326" s="51" t="n">
        <v>0.1000089373491822</v>
      </c>
      <c r="BF1326" s="43" t="n">
        <v>15532</v>
      </c>
    </row>
    <row r="1327">
      <c r="A1327" s="42" t="inlineStr">
        <is>
          <t>FL</t>
        </is>
      </c>
      <c r="B1327" s="42" t="inlineStr">
        <is>
          <t>12127</t>
        </is>
      </c>
      <c r="C1327" s="42" t="inlineStr">
        <is>
          <t>Volusia</t>
        </is>
      </c>
      <c r="D1327" s="42" t="inlineStr">
        <is>
          <t>Mid-size/working metro</t>
        </is>
      </c>
      <c r="E1327" s="42" t="inlineStr"/>
      <c r="F1327" s="43" t="n">
        <v>120132</v>
      </c>
      <c r="G1327" s="43" t="n">
        <v>187691</v>
      </c>
      <c r="H1327" s="43" t="n">
        <v>310495</v>
      </c>
      <c r="I1327" s="43" t="n">
        <v>130575</v>
      </c>
      <c r="J1327" s="43" t="n">
        <v>173821</v>
      </c>
      <c r="K1327" s="42" t="inlineStr">
        <is>
          <t>US Senate</t>
        </is>
      </c>
      <c r="L1327" s="43" t="n">
        <v>84543</v>
      </c>
      <c r="M1327" s="43" t="n">
        <v>139085</v>
      </c>
      <c r="N1327" s="43" t="n">
        <v>225932</v>
      </c>
      <c r="O1327" s="44">
        <f>IFERROR((F1327-G1327)/(F1327+G1327),"")</f>
        <v/>
      </c>
      <c r="P1327" s="44">
        <f>IFERROR((I1327-J1327)/(I1327+J1327),"")</f>
        <v/>
      </c>
      <c r="Q1327" s="45">
        <f>IFERROR(O1327-P1327,"")</f>
        <v/>
      </c>
      <c r="R1327" s="44">
        <f>IFERROR((L1327-M1327)/(L1327+M1327),"")</f>
        <v/>
      </c>
      <c r="S1327" s="46">
        <f>H1327/SUMIFS(Counties!$H$2:$H$1583,Counties!$A$2:$A$1583,$A1327)</f>
        <v/>
      </c>
      <c r="T1327" s="44">
        <f>O1327+INDEX(Dashboard!$F$6:$F$22,MATCH($A1327,Dashboard!$A$6:$A$22,0))</f>
        <v/>
      </c>
      <c r="U1327" s="43">
        <f>AQ1327*INDEX(Dashboard!$G$6:$G$22,MATCH($A1327,Dashboard!$A$6:$A$22,0))</f>
        <v/>
      </c>
      <c r="V1327" s="47" t="n"/>
      <c r="W1327" s="47" t="n"/>
      <c r="X1327" s="47" t="n"/>
      <c r="Y1327" s="48" t="n"/>
      <c r="Z1327" s="49" t="n"/>
      <c r="AA1327" s="49" t="n"/>
      <c r="AB1327" s="49" t="n"/>
      <c r="AC1327" s="50" t="n"/>
      <c r="AD1327" s="43">
        <f>IF(Z1327&lt;&gt;"",Z1327,N(V1327))</f>
        <v/>
      </c>
      <c r="AE1327" s="43">
        <f>IF(AA1327&lt;&gt;"",AA1327,N(W1327))</f>
        <v/>
      </c>
      <c r="AF1327" s="43">
        <f>AD1327+AE1327</f>
        <v/>
      </c>
      <c r="AG1327" s="42">
        <f>IF(UPPER(AC1327)="Y",1,IF(AF1327=0,0,IF(AND(Z1327="",Y1327&lt;&gt;""),IF(Y1327&gt;=0.999,1,0),IF(AF1327&gt;=U1327,1,0))))</f>
        <v/>
      </c>
      <c r="AH1327" s="44">
        <f>IF(AF1327&gt;0,(AD1327-AE1327)/AF1327,"")</f>
        <v/>
      </c>
      <c r="AI1327" s="45">
        <f>IF(AG1327=1,AH1327-O1327,"")</f>
        <v/>
      </c>
      <c r="AJ1327" s="44">
        <f>IF(AG1327=1,AH1327,MAX(-1,MIN(1,O1327+INDEX(Types!$H:$H,MATCH($A1327&amp;"|"&amp;$D1327,Types!$A:$A,0)))))</f>
        <v/>
      </c>
      <c r="AK1327" s="43">
        <f>IF(AG1327=1,AF1327,MAX(AQ1327*AS1327,AF1327))</f>
        <v/>
      </c>
      <c r="AL1327" s="43">
        <f>IF(AG1327=1,AD1327,AK1327*(1+AJ1327)/2)</f>
        <v/>
      </c>
      <c r="AM1327" s="43">
        <f>IF(AG1327=1,AE1327,AK1327*(1-AJ1327)/2)</f>
        <v/>
      </c>
      <c r="AN1327" s="45">
        <f>IF(AH1327="","",AH1327-T1327)</f>
        <v/>
      </c>
      <c r="AO1327" s="51">
        <f>IF(AG1327=1,1,IF(U1327&gt;0,MIN(AF1327/U1327,0.99),0))</f>
        <v/>
      </c>
      <c r="AP1327" s="43">
        <f>IF(AG1327=1,AI1327*AF1327,0)</f>
        <v/>
      </c>
      <c r="AQ1327" s="43">
        <f>N1327*(F1327+G1327)/H1327</f>
        <v/>
      </c>
      <c r="AR1327" s="43">
        <f>O1327*AQ1327</f>
        <v/>
      </c>
      <c r="AS1327" s="52">
        <f>IF(AG1327=1,IF(AQ1327&gt;0,AF1327/AQ1327,1),IFERROR(INDEX(Types!$K:$K,MATCH($A1327&amp;"|"&amp;$D1327,Types!$A:$A,0)),INDEX(Dashboard!$X$6:$X$22,MATCH($A1327,Dashboard!$A$6:$A$22,0))))</f>
        <v/>
      </c>
      <c r="AT1327" s="43">
        <f>AQ1327*INDEX(Dashboard!$Y$6:$Y$22,MATCH($A1327,Dashboard!$A$6:$A$22,0))</f>
        <v/>
      </c>
      <c r="AU1327" s="53">
        <f>IF(AND(AG1327=1,AT1327&gt;0,AF1327&gt;0),100*AF1327/AT1327,"")</f>
        <v/>
      </c>
      <c r="AV1327" s="44">
        <f>IF(AU1327="","",T1327/(AU1327/100))</f>
        <v/>
      </c>
      <c r="AW1327" s="53">
        <f>IF(AU1327="","",IF(AND(ABS(AH1327)&gt;=0.1,ABS(T1327)&gt;=0.05,SIGN(AH1327)=SIGN(T1327)),100*T1327/AH1327,""))</f>
        <v/>
      </c>
      <c r="AX1327" s="45">
        <f>IF(AU1327="","",T1327-AV1327)</f>
        <v/>
      </c>
      <c r="AY1327" s="45">
        <f>IF(AU1327="","",AH1327-AV1327)</f>
        <v/>
      </c>
      <c r="AZ1327" s="54">
        <f>(AL1327-AM1327)-T1327*AT1327</f>
        <v/>
      </c>
      <c r="BA1327" s="43">
        <f>IF(AU1327="",0,(AH1327-T1327)*AF1327)</f>
        <v/>
      </c>
      <c r="BB1327" s="43">
        <f>IF(AU1327="",0,T1327*(AF1327-AT1327))</f>
        <v/>
      </c>
      <c r="BC1327" s="51" t="n">
        <v>0.1069827240127584</v>
      </c>
      <c r="BD1327" s="51" t="n">
        <v>0.1677645899006872</v>
      </c>
      <c r="BE1327" s="51" t="n">
        <v>0.2718496114916313</v>
      </c>
      <c r="BF1327" s="43" t="n">
        <v>590357</v>
      </c>
    </row>
    <row r="1328">
      <c r="A1328" s="42" t="inlineStr">
        <is>
          <t>FL</t>
        </is>
      </c>
      <c r="B1328" s="42" t="inlineStr">
        <is>
          <t>12129</t>
        </is>
      </c>
      <c r="C1328" s="42" t="inlineStr">
        <is>
          <t>Wakulla</t>
        </is>
      </c>
      <c r="D1328" s="42" t="inlineStr">
        <is>
          <t>Small town &amp; rural</t>
        </is>
      </c>
      <c r="E1328" s="42" t="inlineStr"/>
      <c r="F1328" s="43" t="n">
        <v>5441</v>
      </c>
      <c r="G1328" s="43" t="n">
        <v>14246</v>
      </c>
      <c r="H1328" s="43" t="n">
        <v>19856</v>
      </c>
      <c r="I1328" s="43" t="n">
        <v>5351</v>
      </c>
      <c r="J1328" s="43" t="n">
        <v>12874</v>
      </c>
      <c r="K1328" s="42" t="inlineStr">
        <is>
          <t>US Senate</t>
        </is>
      </c>
      <c r="L1328" s="43" t="n">
        <v>4343</v>
      </c>
      <c r="M1328" s="43" t="n">
        <v>10485</v>
      </c>
      <c r="N1328" s="43" t="n">
        <v>15003</v>
      </c>
      <c r="O1328" s="44">
        <f>IFERROR((F1328-G1328)/(F1328+G1328),"")</f>
        <v/>
      </c>
      <c r="P1328" s="44">
        <f>IFERROR((I1328-J1328)/(I1328+J1328),"")</f>
        <v/>
      </c>
      <c r="Q1328" s="45">
        <f>IFERROR(O1328-P1328,"")</f>
        <v/>
      </c>
      <c r="R1328" s="44">
        <f>IFERROR((L1328-M1328)/(L1328+M1328),"")</f>
        <v/>
      </c>
      <c r="S1328" s="46">
        <f>H1328/SUMIFS(Counties!$H$2:$H$1583,Counties!$A$2:$A$1583,$A1328)</f>
        <v/>
      </c>
      <c r="T1328" s="44">
        <f>O1328+INDEX(Dashboard!$F$6:$F$22,MATCH($A1328,Dashboard!$A$6:$A$22,0))</f>
        <v/>
      </c>
      <c r="U1328" s="43">
        <f>AQ1328*INDEX(Dashboard!$G$6:$G$22,MATCH($A1328,Dashboard!$A$6:$A$22,0))</f>
        <v/>
      </c>
      <c r="V1328" s="47" t="n"/>
      <c r="W1328" s="47" t="n"/>
      <c r="X1328" s="47" t="n"/>
      <c r="Y1328" s="48" t="n"/>
      <c r="Z1328" s="49" t="n"/>
      <c r="AA1328" s="49" t="n"/>
      <c r="AB1328" s="49" t="n"/>
      <c r="AC1328" s="50" t="n"/>
      <c r="AD1328" s="43">
        <f>IF(Z1328&lt;&gt;"",Z1328,N(V1328))</f>
        <v/>
      </c>
      <c r="AE1328" s="43">
        <f>IF(AA1328&lt;&gt;"",AA1328,N(W1328))</f>
        <v/>
      </c>
      <c r="AF1328" s="43">
        <f>AD1328+AE1328</f>
        <v/>
      </c>
      <c r="AG1328" s="42">
        <f>IF(UPPER(AC1328)="Y",1,IF(AF1328=0,0,IF(AND(Z1328="",Y1328&lt;&gt;""),IF(Y1328&gt;=0.999,1,0),IF(AF1328&gt;=U1328,1,0))))</f>
        <v/>
      </c>
      <c r="AH1328" s="44">
        <f>IF(AF1328&gt;0,(AD1328-AE1328)/AF1328,"")</f>
        <v/>
      </c>
      <c r="AI1328" s="45">
        <f>IF(AG1328=1,AH1328-O1328,"")</f>
        <v/>
      </c>
      <c r="AJ1328" s="44">
        <f>IF(AG1328=1,AH1328,MAX(-1,MIN(1,O1328+INDEX(Types!$H:$H,MATCH($A1328&amp;"|"&amp;$D1328,Types!$A:$A,0)))))</f>
        <v/>
      </c>
      <c r="AK1328" s="43">
        <f>IF(AG1328=1,AF1328,MAX(AQ1328*AS1328,AF1328))</f>
        <v/>
      </c>
      <c r="AL1328" s="43">
        <f>IF(AG1328=1,AD1328,AK1328*(1+AJ1328)/2)</f>
        <v/>
      </c>
      <c r="AM1328" s="43">
        <f>IF(AG1328=1,AE1328,AK1328*(1-AJ1328)/2)</f>
        <v/>
      </c>
      <c r="AN1328" s="45">
        <f>IF(AH1328="","",AH1328-T1328)</f>
        <v/>
      </c>
      <c r="AO1328" s="51">
        <f>IF(AG1328=1,1,IF(U1328&gt;0,MIN(AF1328/U1328,0.99),0))</f>
        <v/>
      </c>
      <c r="AP1328" s="43">
        <f>IF(AG1328=1,AI1328*AF1328,0)</f>
        <v/>
      </c>
      <c r="AQ1328" s="43">
        <f>N1328*(F1328+G1328)/H1328</f>
        <v/>
      </c>
      <c r="AR1328" s="43">
        <f>O1328*AQ1328</f>
        <v/>
      </c>
      <c r="AS1328" s="52">
        <f>IF(AG1328=1,IF(AQ1328&gt;0,AF1328/AQ1328,1),IFERROR(INDEX(Types!$K:$K,MATCH($A1328&amp;"|"&amp;$D1328,Types!$A:$A,0)),INDEX(Dashboard!$X$6:$X$22,MATCH($A1328,Dashboard!$A$6:$A$22,0))))</f>
        <v/>
      </c>
      <c r="AT1328" s="43">
        <f>AQ1328*INDEX(Dashboard!$Y$6:$Y$22,MATCH($A1328,Dashboard!$A$6:$A$22,0))</f>
        <v/>
      </c>
      <c r="AU1328" s="53">
        <f>IF(AND(AG1328=1,AT1328&gt;0,AF1328&gt;0),100*AF1328/AT1328,"")</f>
        <v/>
      </c>
      <c r="AV1328" s="44">
        <f>IF(AU1328="","",T1328/(AU1328/100))</f>
        <v/>
      </c>
      <c r="AW1328" s="53">
        <f>IF(AU1328="","",IF(AND(ABS(AH1328)&gt;=0.1,ABS(T1328)&gt;=0.05,SIGN(AH1328)=SIGN(T1328)),100*T1328/AH1328,""))</f>
        <v/>
      </c>
      <c r="AX1328" s="45">
        <f>IF(AU1328="","",T1328-AV1328)</f>
        <v/>
      </c>
      <c r="AY1328" s="45">
        <f>IF(AU1328="","",AH1328-AV1328)</f>
        <v/>
      </c>
      <c r="AZ1328" s="54">
        <f>(AL1328-AM1328)-T1328*AT1328</f>
        <v/>
      </c>
      <c r="BA1328" s="43">
        <f>IF(AU1328="",0,(AH1328-T1328)*AF1328)</f>
        <v/>
      </c>
      <c r="BB1328" s="43">
        <f>IF(AU1328="",0,T1328*(AF1328-AT1328))</f>
        <v/>
      </c>
      <c r="BC1328" s="51" t="n">
        <v>0.1350379982989931</v>
      </c>
      <c r="BD1328" s="51" t="n">
        <v>0.04943894208345908</v>
      </c>
      <c r="BE1328" s="51" t="n">
        <v>0.2127617227927713</v>
      </c>
      <c r="BF1328" s="43" t="n">
        <v>36449</v>
      </c>
    </row>
    <row r="1329">
      <c r="A1329" s="42" t="inlineStr">
        <is>
          <t>FL</t>
        </is>
      </c>
      <c r="B1329" s="42" t="inlineStr">
        <is>
          <t>12131</t>
        </is>
      </c>
      <c r="C1329" s="42" t="inlineStr">
        <is>
          <t>Walton</t>
        </is>
      </c>
      <c r="D1329" s="42" t="inlineStr">
        <is>
          <t>Small town &amp; rural</t>
        </is>
      </c>
      <c r="E1329" s="42" t="inlineStr"/>
      <c r="F1329" s="43" t="n">
        <v>10287</v>
      </c>
      <c r="G1329" s="43" t="n">
        <v>38970</v>
      </c>
      <c r="H1329" s="43" t="n">
        <v>49601</v>
      </c>
      <c r="I1329" s="43" t="n">
        <v>10338</v>
      </c>
      <c r="J1329" s="43" t="n">
        <v>32947</v>
      </c>
      <c r="K1329" s="42" t="inlineStr">
        <is>
          <t>US Senate</t>
        </is>
      </c>
      <c r="L1329" s="43" t="n">
        <v>6326</v>
      </c>
      <c r="M1329" s="43" t="n">
        <v>28203</v>
      </c>
      <c r="N1329" s="43" t="n">
        <v>34832</v>
      </c>
      <c r="O1329" s="44">
        <f>IFERROR((F1329-G1329)/(F1329+G1329),"")</f>
        <v/>
      </c>
      <c r="P1329" s="44">
        <f>IFERROR((I1329-J1329)/(I1329+J1329),"")</f>
        <v/>
      </c>
      <c r="Q1329" s="45">
        <f>IFERROR(O1329-P1329,"")</f>
        <v/>
      </c>
      <c r="R1329" s="44">
        <f>IFERROR((L1329-M1329)/(L1329+M1329),"")</f>
        <v/>
      </c>
      <c r="S1329" s="46">
        <f>H1329/SUMIFS(Counties!$H$2:$H$1583,Counties!$A$2:$A$1583,$A1329)</f>
        <v/>
      </c>
      <c r="T1329" s="44">
        <f>O1329+INDEX(Dashboard!$F$6:$F$22,MATCH($A1329,Dashboard!$A$6:$A$22,0))</f>
        <v/>
      </c>
      <c r="U1329" s="43">
        <f>AQ1329*INDEX(Dashboard!$G$6:$G$22,MATCH($A1329,Dashboard!$A$6:$A$22,0))</f>
        <v/>
      </c>
      <c r="V1329" s="47" t="n"/>
      <c r="W1329" s="47" t="n"/>
      <c r="X1329" s="47" t="n"/>
      <c r="Y1329" s="48" t="n"/>
      <c r="Z1329" s="49" t="n"/>
      <c r="AA1329" s="49" t="n"/>
      <c r="AB1329" s="49" t="n"/>
      <c r="AC1329" s="50" t="n"/>
      <c r="AD1329" s="43">
        <f>IF(Z1329&lt;&gt;"",Z1329,N(V1329))</f>
        <v/>
      </c>
      <c r="AE1329" s="43">
        <f>IF(AA1329&lt;&gt;"",AA1329,N(W1329))</f>
        <v/>
      </c>
      <c r="AF1329" s="43">
        <f>AD1329+AE1329</f>
        <v/>
      </c>
      <c r="AG1329" s="42">
        <f>IF(UPPER(AC1329)="Y",1,IF(AF1329=0,0,IF(AND(Z1329="",Y1329&lt;&gt;""),IF(Y1329&gt;=0.999,1,0),IF(AF1329&gt;=U1329,1,0))))</f>
        <v/>
      </c>
      <c r="AH1329" s="44">
        <f>IF(AF1329&gt;0,(AD1329-AE1329)/AF1329,"")</f>
        <v/>
      </c>
      <c r="AI1329" s="45">
        <f>IF(AG1329=1,AH1329-O1329,"")</f>
        <v/>
      </c>
      <c r="AJ1329" s="44">
        <f>IF(AG1329=1,AH1329,MAX(-1,MIN(1,O1329+INDEX(Types!$H:$H,MATCH($A1329&amp;"|"&amp;$D1329,Types!$A:$A,0)))))</f>
        <v/>
      </c>
      <c r="AK1329" s="43">
        <f>IF(AG1329=1,AF1329,MAX(AQ1329*AS1329,AF1329))</f>
        <v/>
      </c>
      <c r="AL1329" s="43">
        <f>IF(AG1329=1,AD1329,AK1329*(1+AJ1329)/2)</f>
        <v/>
      </c>
      <c r="AM1329" s="43">
        <f>IF(AG1329=1,AE1329,AK1329*(1-AJ1329)/2)</f>
        <v/>
      </c>
      <c r="AN1329" s="45">
        <f>IF(AH1329="","",AH1329-T1329)</f>
        <v/>
      </c>
      <c r="AO1329" s="51">
        <f>IF(AG1329=1,1,IF(U1329&gt;0,MIN(AF1329/U1329,0.99),0))</f>
        <v/>
      </c>
      <c r="AP1329" s="43">
        <f>IF(AG1329=1,AI1329*AF1329,0)</f>
        <v/>
      </c>
      <c r="AQ1329" s="43">
        <f>N1329*(F1329+G1329)/H1329</f>
        <v/>
      </c>
      <c r="AR1329" s="43">
        <f>O1329*AQ1329</f>
        <v/>
      </c>
      <c r="AS1329" s="52">
        <f>IF(AG1329=1,IF(AQ1329&gt;0,AF1329/AQ1329,1),IFERROR(INDEX(Types!$K:$K,MATCH($A1329&amp;"|"&amp;$D1329,Types!$A:$A,0)),INDEX(Dashboard!$X$6:$X$22,MATCH($A1329,Dashboard!$A$6:$A$22,0))))</f>
        <v/>
      </c>
      <c r="AT1329" s="43">
        <f>AQ1329*INDEX(Dashboard!$Y$6:$Y$22,MATCH($A1329,Dashboard!$A$6:$A$22,0))</f>
        <v/>
      </c>
      <c r="AU1329" s="53">
        <f>IF(AND(AG1329=1,AT1329&gt;0,AF1329&gt;0),100*AF1329/AT1329,"")</f>
        <v/>
      </c>
      <c r="AV1329" s="44">
        <f>IF(AU1329="","",T1329/(AU1329/100))</f>
        <v/>
      </c>
      <c r="AW1329" s="53">
        <f>IF(AU1329="","",IF(AND(ABS(AH1329)&gt;=0.1,ABS(T1329)&gt;=0.05,SIGN(AH1329)=SIGN(T1329)),100*T1329/AH1329,""))</f>
        <v/>
      </c>
      <c r="AX1329" s="45">
        <f>IF(AU1329="","",T1329-AV1329)</f>
        <v/>
      </c>
      <c r="AY1329" s="45">
        <f>IF(AU1329="","",AH1329-AV1329)</f>
        <v/>
      </c>
      <c r="AZ1329" s="54">
        <f>(AL1329-AM1329)-T1329*AT1329</f>
        <v/>
      </c>
      <c r="BA1329" s="43">
        <f>IF(AU1329="",0,(AH1329-T1329)*AF1329)</f>
        <v/>
      </c>
      <c r="BB1329" s="43">
        <f>IF(AU1329="",0,T1329*(AF1329-AT1329))</f>
        <v/>
      </c>
      <c r="BC1329" s="51" t="n">
        <v>0.04778006809180814</v>
      </c>
      <c r="BD1329" s="51" t="n">
        <v>0.0854737475971003</v>
      </c>
      <c r="BE1329" s="51" t="n">
        <v>0.3422987483756241</v>
      </c>
      <c r="BF1329" s="43" t="n">
        <v>86354</v>
      </c>
    </row>
    <row r="1330">
      <c r="A1330" s="42" t="inlineStr">
        <is>
          <t>FL</t>
        </is>
      </c>
      <c r="B1330" s="42" t="inlineStr">
        <is>
          <t>12133</t>
        </is>
      </c>
      <c r="C1330" s="42" t="inlineStr">
        <is>
          <t>Washington</t>
        </is>
      </c>
      <c r="D1330" s="42" t="inlineStr">
        <is>
          <t>Small town &amp; rural</t>
        </is>
      </c>
      <c r="E1330" s="42" t="inlineStr"/>
      <c r="F1330" s="43" t="n">
        <v>2140</v>
      </c>
      <c r="G1330" s="43" t="n">
        <v>10370</v>
      </c>
      <c r="H1330" s="43" t="n">
        <v>12584</v>
      </c>
      <c r="I1330" s="43" t="n">
        <v>2347</v>
      </c>
      <c r="J1330" s="43" t="n">
        <v>9876</v>
      </c>
      <c r="K1330" s="42" t="inlineStr">
        <is>
          <t>US Senate</t>
        </is>
      </c>
      <c r="L1330" s="43" t="n">
        <v>1345</v>
      </c>
      <c r="M1330" s="43" t="n">
        <v>7641</v>
      </c>
      <c r="N1330" s="43" t="n">
        <v>9099</v>
      </c>
      <c r="O1330" s="44">
        <f>IFERROR((F1330-G1330)/(F1330+G1330),"")</f>
        <v/>
      </c>
      <c r="P1330" s="44">
        <f>IFERROR((I1330-J1330)/(I1330+J1330),"")</f>
        <v/>
      </c>
      <c r="Q1330" s="45">
        <f>IFERROR(O1330-P1330,"")</f>
        <v/>
      </c>
      <c r="R1330" s="44">
        <f>IFERROR((L1330-M1330)/(L1330+M1330),"")</f>
        <v/>
      </c>
      <c r="S1330" s="46">
        <f>H1330/SUMIFS(Counties!$H$2:$H$1583,Counties!$A$2:$A$1583,$A1330)</f>
        <v/>
      </c>
      <c r="T1330" s="44">
        <f>O1330+INDEX(Dashboard!$F$6:$F$22,MATCH($A1330,Dashboard!$A$6:$A$22,0))</f>
        <v/>
      </c>
      <c r="U1330" s="43">
        <f>AQ1330*INDEX(Dashboard!$G$6:$G$22,MATCH($A1330,Dashboard!$A$6:$A$22,0))</f>
        <v/>
      </c>
      <c r="V1330" s="47" t="n"/>
      <c r="W1330" s="47" t="n"/>
      <c r="X1330" s="47" t="n"/>
      <c r="Y1330" s="48" t="n"/>
      <c r="Z1330" s="49" t="n"/>
      <c r="AA1330" s="49" t="n"/>
      <c r="AB1330" s="49" t="n"/>
      <c r="AC1330" s="50" t="n"/>
      <c r="AD1330" s="43">
        <f>IF(Z1330&lt;&gt;"",Z1330,N(V1330))</f>
        <v/>
      </c>
      <c r="AE1330" s="43">
        <f>IF(AA1330&lt;&gt;"",AA1330,N(W1330))</f>
        <v/>
      </c>
      <c r="AF1330" s="43">
        <f>AD1330+AE1330</f>
        <v/>
      </c>
      <c r="AG1330" s="42">
        <f>IF(UPPER(AC1330)="Y",1,IF(AF1330=0,0,IF(AND(Z1330="",Y1330&lt;&gt;""),IF(Y1330&gt;=0.999,1,0),IF(AF1330&gt;=U1330,1,0))))</f>
        <v/>
      </c>
      <c r="AH1330" s="44">
        <f>IF(AF1330&gt;0,(AD1330-AE1330)/AF1330,"")</f>
        <v/>
      </c>
      <c r="AI1330" s="45">
        <f>IF(AG1330=1,AH1330-O1330,"")</f>
        <v/>
      </c>
      <c r="AJ1330" s="44">
        <f>IF(AG1330=1,AH1330,MAX(-1,MIN(1,O1330+INDEX(Types!$H:$H,MATCH($A1330&amp;"|"&amp;$D1330,Types!$A:$A,0)))))</f>
        <v/>
      </c>
      <c r="AK1330" s="43">
        <f>IF(AG1330=1,AF1330,MAX(AQ1330*AS1330,AF1330))</f>
        <v/>
      </c>
      <c r="AL1330" s="43">
        <f>IF(AG1330=1,AD1330,AK1330*(1+AJ1330)/2)</f>
        <v/>
      </c>
      <c r="AM1330" s="43">
        <f>IF(AG1330=1,AE1330,AK1330*(1-AJ1330)/2)</f>
        <v/>
      </c>
      <c r="AN1330" s="45">
        <f>IF(AH1330="","",AH1330-T1330)</f>
        <v/>
      </c>
      <c r="AO1330" s="51">
        <f>IF(AG1330=1,1,IF(U1330&gt;0,MIN(AF1330/U1330,0.99),0))</f>
        <v/>
      </c>
      <c r="AP1330" s="43">
        <f>IF(AG1330=1,AI1330*AF1330,0)</f>
        <v/>
      </c>
      <c r="AQ1330" s="43">
        <f>N1330*(F1330+G1330)/H1330</f>
        <v/>
      </c>
      <c r="AR1330" s="43">
        <f>O1330*AQ1330</f>
        <v/>
      </c>
      <c r="AS1330" s="52">
        <f>IF(AG1330=1,IF(AQ1330&gt;0,AF1330/AQ1330,1),IFERROR(INDEX(Types!$K:$K,MATCH($A1330&amp;"|"&amp;$D1330,Types!$A:$A,0)),INDEX(Dashboard!$X$6:$X$22,MATCH($A1330,Dashboard!$A$6:$A$22,0))))</f>
        <v/>
      </c>
      <c r="AT1330" s="43">
        <f>AQ1330*INDEX(Dashboard!$Y$6:$Y$22,MATCH($A1330,Dashboard!$A$6:$A$22,0))</f>
        <v/>
      </c>
      <c r="AU1330" s="53">
        <f>IF(AND(AG1330=1,AT1330&gt;0,AF1330&gt;0),100*AF1330/AT1330,"")</f>
        <v/>
      </c>
      <c r="AV1330" s="44">
        <f>IF(AU1330="","",T1330/(AU1330/100))</f>
        <v/>
      </c>
      <c r="AW1330" s="53">
        <f>IF(AU1330="","",IF(AND(ABS(AH1330)&gt;=0.1,ABS(T1330)&gt;=0.05,SIGN(AH1330)=SIGN(T1330)),100*T1330/AH1330,""))</f>
        <v/>
      </c>
      <c r="AX1330" s="45">
        <f>IF(AU1330="","",T1330-AV1330)</f>
        <v/>
      </c>
      <c r="AY1330" s="45">
        <f>IF(AU1330="","",AH1330-AV1330)</f>
        <v/>
      </c>
      <c r="AZ1330" s="54">
        <f>(AL1330-AM1330)-T1330*AT1330</f>
        <v/>
      </c>
      <c r="BA1330" s="43">
        <f>IF(AU1330="",0,(AH1330-T1330)*AF1330)</f>
        <v/>
      </c>
      <c r="BB1330" s="43">
        <f>IF(AU1330="",0,T1330*(AF1330-AT1330))</f>
        <v/>
      </c>
      <c r="BC1330" s="51" t="n">
        <v>0.1295601906101086</v>
      </c>
      <c r="BD1330" s="51" t="n">
        <v>0.04112959925005859</v>
      </c>
      <c r="BE1330" s="51" t="n">
        <v>0.1248585439456809</v>
      </c>
      <c r="BF1330" s="43" t="n">
        <v>25602</v>
      </c>
    </row>
    <row r="1331">
      <c r="A1331" s="42" t="inlineStr">
        <is>
          <t>VA</t>
        </is>
      </c>
      <c r="B1331" s="42" t="inlineStr">
        <is>
          <t>51001</t>
        </is>
      </c>
      <c r="C1331" s="42" t="inlineStr">
        <is>
          <t>Accomack</t>
        </is>
      </c>
      <c r="D1331" s="42" t="inlineStr">
        <is>
          <t>Small town &amp; rural</t>
        </is>
      </c>
      <c r="E1331" s="42" t="inlineStr"/>
      <c r="F1331" s="43" t="n">
        <v>7374</v>
      </c>
      <c r="G1331" s="43" t="n">
        <v>9659</v>
      </c>
      <c r="H1331" s="43" t="n">
        <v>17144</v>
      </c>
      <c r="I1331" s="43" t="n">
        <v>7578</v>
      </c>
      <c r="J1331" s="43" t="n">
        <v>9172</v>
      </c>
      <c r="K1331" s="42" t="inlineStr">
        <is>
          <t>US House</t>
        </is>
      </c>
      <c r="L1331" s="43" t="n">
        <v>5569</v>
      </c>
      <c r="M1331" s="43" t="n">
        <v>7604</v>
      </c>
      <c r="N1331" s="43" t="n">
        <v>13188</v>
      </c>
      <c r="O1331" s="44">
        <f>IFERROR((F1331-G1331)/(F1331+G1331),"")</f>
        <v/>
      </c>
      <c r="P1331" s="44">
        <f>IFERROR((I1331-J1331)/(I1331+J1331),"")</f>
        <v/>
      </c>
      <c r="Q1331" s="45">
        <f>IFERROR(O1331-P1331,"")</f>
        <v/>
      </c>
      <c r="R1331" s="44">
        <f>IFERROR((L1331-M1331)/(L1331+M1331),"")</f>
        <v/>
      </c>
      <c r="S1331" s="46">
        <f>H1331/SUMIFS(Counties!$H$2:$H$1583,Counties!$A$2:$A$1583,$A1331)</f>
        <v/>
      </c>
      <c r="T1331" s="44">
        <f>O1331+INDEX(Dashboard!$F$6:$F$22,MATCH($A1331,Dashboard!$A$6:$A$22,0))</f>
        <v/>
      </c>
      <c r="U1331" s="43">
        <f>AQ1331*INDEX(Dashboard!$G$6:$G$22,MATCH($A1331,Dashboard!$A$6:$A$22,0))</f>
        <v/>
      </c>
      <c r="V1331" s="47" t="n"/>
      <c r="W1331" s="47" t="n"/>
      <c r="X1331" s="47" t="n"/>
      <c r="Y1331" s="48" t="n"/>
      <c r="Z1331" s="49" t="n"/>
      <c r="AA1331" s="49" t="n"/>
      <c r="AB1331" s="49" t="n"/>
      <c r="AC1331" s="50" t="n"/>
      <c r="AD1331" s="43">
        <f>IF(Z1331&lt;&gt;"",Z1331,N(V1331))</f>
        <v/>
      </c>
      <c r="AE1331" s="43">
        <f>IF(AA1331&lt;&gt;"",AA1331,N(W1331))</f>
        <v/>
      </c>
      <c r="AF1331" s="43">
        <f>AD1331+AE1331</f>
        <v/>
      </c>
      <c r="AG1331" s="42">
        <f>IF(UPPER(AC1331)="Y",1,IF(AF1331=0,0,IF(AND(Z1331="",Y1331&lt;&gt;""),IF(Y1331&gt;=0.999,1,0),IF(AF1331&gt;=U1331,1,0))))</f>
        <v/>
      </c>
      <c r="AH1331" s="44">
        <f>IF(AF1331&gt;0,(AD1331-AE1331)/AF1331,"")</f>
        <v/>
      </c>
      <c r="AI1331" s="45">
        <f>IF(AG1331=1,AH1331-O1331,"")</f>
        <v/>
      </c>
      <c r="AJ1331" s="44">
        <f>IF(AG1331=1,AH1331,MAX(-1,MIN(1,O1331+INDEX(Types!$H:$H,MATCH($A1331&amp;"|"&amp;$D1331,Types!$A:$A,0)))))</f>
        <v/>
      </c>
      <c r="AK1331" s="43">
        <f>IF(AG1331=1,AF1331,MAX(AQ1331*AS1331,AF1331))</f>
        <v/>
      </c>
      <c r="AL1331" s="43">
        <f>IF(AG1331=1,AD1331,AK1331*(1+AJ1331)/2)</f>
        <v/>
      </c>
      <c r="AM1331" s="43">
        <f>IF(AG1331=1,AE1331,AK1331*(1-AJ1331)/2)</f>
        <v/>
      </c>
      <c r="AN1331" s="45">
        <f>IF(AH1331="","",AH1331-T1331)</f>
        <v/>
      </c>
      <c r="AO1331" s="51">
        <f>IF(AG1331=1,1,IF(U1331&gt;0,MIN(AF1331/U1331,0.99),0))</f>
        <v/>
      </c>
      <c r="AP1331" s="43">
        <f>IF(AG1331=1,AI1331*AF1331,0)</f>
        <v/>
      </c>
      <c r="AQ1331" s="43">
        <f>N1331*(F1331+G1331)/H1331</f>
        <v/>
      </c>
      <c r="AR1331" s="43">
        <f>O1331*AQ1331</f>
        <v/>
      </c>
      <c r="AS1331" s="52">
        <f>IF(AG1331=1,IF(AQ1331&gt;0,AF1331/AQ1331,1),IFERROR(INDEX(Types!$K:$K,MATCH($A1331&amp;"|"&amp;$D1331,Types!$A:$A,0)),INDEX(Dashboard!$X$6:$X$22,MATCH($A1331,Dashboard!$A$6:$A$22,0))))</f>
        <v/>
      </c>
      <c r="AT1331" s="43">
        <f>AQ1331*INDEX(Dashboard!$Y$6:$Y$22,MATCH($A1331,Dashboard!$A$6:$A$22,0))</f>
        <v/>
      </c>
      <c r="AU1331" s="53">
        <f>IF(AND(AG1331=1,AT1331&gt;0,AF1331&gt;0),100*AF1331/AT1331,"")</f>
        <v/>
      </c>
      <c r="AV1331" s="44">
        <f>IF(AU1331="","",T1331/(AU1331/100))</f>
        <v/>
      </c>
      <c r="AW1331" s="53">
        <f>IF(AU1331="","",IF(AND(ABS(AH1331)&gt;=0.1,ABS(T1331)&gt;=0.05,SIGN(AH1331)=SIGN(T1331)),100*T1331/AH1331,""))</f>
        <v/>
      </c>
      <c r="AX1331" s="45">
        <f>IF(AU1331="","",T1331-AV1331)</f>
        <v/>
      </c>
      <c r="AY1331" s="45">
        <f>IF(AU1331="","",AH1331-AV1331)</f>
        <v/>
      </c>
      <c r="AZ1331" s="54">
        <f>(AL1331-AM1331)-T1331*AT1331</f>
        <v/>
      </c>
      <c r="BA1331" s="43">
        <f>IF(AU1331="",0,(AH1331-T1331)*AF1331)</f>
        <v/>
      </c>
      <c r="BB1331" s="43">
        <f>IF(AU1331="",0,T1331*(AF1331-AT1331))</f>
        <v/>
      </c>
      <c r="BC1331" s="51" t="n">
        <v>0.2652306026053732</v>
      </c>
      <c r="BD1331" s="51" t="n">
        <v>0.1119768946117513</v>
      </c>
      <c r="BE1331" s="51" t="n">
        <v>0.2179476663112132</v>
      </c>
      <c r="BF1331" s="43" t="n">
        <v>33239</v>
      </c>
    </row>
    <row r="1332">
      <c r="A1332" s="42" t="inlineStr">
        <is>
          <t>VA</t>
        </is>
      </c>
      <c r="B1332" s="42" t="inlineStr">
        <is>
          <t>51003</t>
        </is>
      </c>
      <c r="C1332" s="42" t="inlineStr">
        <is>
          <t>Albemarle</t>
        </is>
      </c>
      <c r="D1332" s="42" t="inlineStr">
        <is>
          <t>College suburb/metro</t>
        </is>
      </c>
      <c r="E1332" s="42" t="inlineStr"/>
      <c r="F1332" s="43" t="n">
        <v>44279</v>
      </c>
      <c r="G1332" s="43" t="n">
        <v>21513</v>
      </c>
      <c r="H1332" s="43" t="n">
        <v>66740</v>
      </c>
      <c r="I1332" s="43" t="n">
        <v>42466</v>
      </c>
      <c r="J1332" s="43" t="n">
        <v>20804</v>
      </c>
      <c r="K1332" s="42" t="inlineStr">
        <is>
          <t>US House</t>
        </is>
      </c>
      <c r="L1332" s="43" t="n">
        <v>33437</v>
      </c>
      <c r="M1332" s="43" t="n">
        <v>16638</v>
      </c>
      <c r="N1332" s="43" t="n">
        <v>50201</v>
      </c>
      <c r="O1332" s="44">
        <f>IFERROR((F1332-G1332)/(F1332+G1332),"")</f>
        <v/>
      </c>
      <c r="P1332" s="44">
        <f>IFERROR((I1332-J1332)/(I1332+J1332),"")</f>
        <v/>
      </c>
      <c r="Q1332" s="45">
        <f>IFERROR(O1332-P1332,"")</f>
        <v/>
      </c>
      <c r="R1332" s="44">
        <f>IFERROR((L1332-M1332)/(L1332+M1332),"")</f>
        <v/>
      </c>
      <c r="S1332" s="46">
        <f>H1332/SUMIFS(Counties!$H$2:$H$1583,Counties!$A$2:$A$1583,$A1332)</f>
        <v/>
      </c>
      <c r="T1332" s="44">
        <f>O1332+INDEX(Dashboard!$F$6:$F$22,MATCH($A1332,Dashboard!$A$6:$A$22,0))</f>
        <v/>
      </c>
      <c r="U1332" s="43">
        <f>AQ1332*INDEX(Dashboard!$G$6:$G$22,MATCH($A1332,Dashboard!$A$6:$A$22,0))</f>
        <v/>
      </c>
      <c r="V1332" s="47" t="n"/>
      <c r="W1332" s="47" t="n"/>
      <c r="X1332" s="47" t="n"/>
      <c r="Y1332" s="48" t="n"/>
      <c r="Z1332" s="49" t="n"/>
      <c r="AA1332" s="49" t="n"/>
      <c r="AB1332" s="49" t="n"/>
      <c r="AC1332" s="50" t="n"/>
      <c r="AD1332" s="43">
        <f>IF(Z1332&lt;&gt;"",Z1332,N(V1332))</f>
        <v/>
      </c>
      <c r="AE1332" s="43">
        <f>IF(AA1332&lt;&gt;"",AA1332,N(W1332))</f>
        <v/>
      </c>
      <c r="AF1332" s="43">
        <f>AD1332+AE1332</f>
        <v/>
      </c>
      <c r="AG1332" s="42">
        <f>IF(UPPER(AC1332)="Y",1,IF(AF1332=0,0,IF(AND(Z1332="",Y1332&lt;&gt;""),IF(Y1332&gt;=0.999,1,0),IF(AF1332&gt;=U1332,1,0))))</f>
        <v/>
      </c>
      <c r="AH1332" s="44">
        <f>IF(AF1332&gt;0,(AD1332-AE1332)/AF1332,"")</f>
        <v/>
      </c>
      <c r="AI1332" s="45">
        <f>IF(AG1332=1,AH1332-O1332,"")</f>
        <v/>
      </c>
      <c r="AJ1332" s="44">
        <f>IF(AG1332=1,AH1332,MAX(-1,MIN(1,O1332+INDEX(Types!$H:$H,MATCH($A1332&amp;"|"&amp;$D1332,Types!$A:$A,0)))))</f>
        <v/>
      </c>
      <c r="AK1332" s="43">
        <f>IF(AG1332=1,AF1332,MAX(AQ1332*AS1332,AF1332))</f>
        <v/>
      </c>
      <c r="AL1332" s="43">
        <f>IF(AG1332=1,AD1332,AK1332*(1+AJ1332)/2)</f>
        <v/>
      </c>
      <c r="AM1332" s="43">
        <f>IF(AG1332=1,AE1332,AK1332*(1-AJ1332)/2)</f>
        <v/>
      </c>
      <c r="AN1332" s="45">
        <f>IF(AH1332="","",AH1332-T1332)</f>
        <v/>
      </c>
      <c r="AO1332" s="51">
        <f>IF(AG1332=1,1,IF(U1332&gt;0,MIN(AF1332/U1332,0.99),0))</f>
        <v/>
      </c>
      <c r="AP1332" s="43">
        <f>IF(AG1332=1,AI1332*AF1332,0)</f>
        <v/>
      </c>
      <c r="AQ1332" s="43">
        <f>N1332*(F1332+G1332)/H1332</f>
        <v/>
      </c>
      <c r="AR1332" s="43">
        <f>O1332*AQ1332</f>
        <v/>
      </c>
      <c r="AS1332" s="52">
        <f>IF(AG1332=1,IF(AQ1332&gt;0,AF1332/AQ1332,1),IFERROR(INDEX(Types!$K:$K,MATCH($A1332&amp;"|"&amp;$D1332,Types!$A:$A,0)),INDEX(Dashboard!$X$6:$X$22,MATCH($A1332,Dashboard!$A$6:$A$22,0))))</f>
        <v/>
      </c>
      <c r="AT1332" s="43">
        <f>AQ1332*INDEX(Dashboard!$Y$6:$Y$22,MATCH($A1332,Dashboard!$A$6:$A$22,0))</f>
        <v/>
      </c>
      <c r="AU1332" s="53">
        <f>IF(AND(AG1332=1,AT1332&gt;0,AF1332&gt;0),100*AF1332/AT1332,"")</f>
        <v/>
      </c>
      <c r="AV1332" s="44">
        <f>IF(AU1332="","",T1332/(AU1332/100))</f>
        <v/>
      </c>
      <c r="AW1332" s="53">
        <f>IF(AU1332="","",IF(AND(ABS(AH1332)&gt;=0.1,ABS(T1332)&gt;=0.05,SIGN(AH1332)=SIGN(T1332)),100*T1332/AH1332,""))</f>
        <v/>
      </c>
      <c r="AX1332" s="45">
        <f>IF(AU1332="","",T1332-AV1332)</f>
        <v/>
      </c>
      <c r="AY1332" s="45">
        <f>IF(AU1332="","",AH1332-AV1332)</f>
        <v/>
      </c>
      <c r="AZ1332" s="54">
        <f>(AL1332-AM1332)-T1332*AT1332</f>
        <v/>
      </c>
      <c r="BA1332" s="43">
        <f>IF(AU1332="",0,(AH1332-T1332)*AF1332)</f>
        <v/>
      </c>
      <c r="BB1332" s="43">
        <f>IF(AU1332="",0,T1332*(AF1332-AT1332))</f>
        <v/>
      </c>
      <c r="BC1332" s="51" t="n">
        <v>0.0925516096683841</v>
      </c>
      <c r="BD1332" s="51" t="n">
        <v>0.07401708219509665</v>
      </c>
      <c r="BE1332" s="51" t="n">
        <v>0.6060038486209108</v>
      </c>
      <c r="BF1332" s="43" t="n">
        <v>115676</v>
      </c>
    </row>
    <row r="1333">
      <c r="A1333" s="42" t="inlineStr">
        <is>
          <t>VA</t>
        </is>
      </c>
      <c r="B1333" s="42" t="inlineStr">
        <is>
          <t>51510</t>
        </is>
      </c>
      <c r="C1333" s="42" t="inlineStr">
        <is>
          <t>Alexandria city</t>
        </is>
      </c>
      <c r="D1333" s="42" t="inlineStr">
        <is>
          <t>College suburb/metro</t>
        </is>
      </c>
      <c r="E1333" s="42" t="inlineStr"/>
      <c r="F1333" s="43" t="n">
        <v>62326</v>
      </c>
      <c r="G1333" s="43" t="n">
        <v>16112</v>
      </c>
      <c r="H1333" s="43" t="n">
        <v>80062</v>
      </c>
      <c r="I1333" s="43" t="n">
        <v>66240</v>
      </c>
      <c r="J1333" s="43" t="n">
        <v>14544</v>
      </c>
      <c r="K1333" s="42" t="inlineStr">
        <is>
          <t>US House</t>
        </is>
      </c>
      <c r="L1333" s="43" t="n">
        <v>41974</v>
      </c>
      <c r="M1333" s="43" t="n">
        <v>11276</v>
      </c>
      <c r="N1333" s="43" t="n">
        <v>54223</v>
      </c>
      <c r="O1333" s="44">
        <f>IFERROR((F1333-G1333)/(F1333+G1333),"")</f>
        <v/>
      </c>
      <c r="P1333" s="44">
        <f>IFERROR((I1333-J1333)/(I1333+J1333),"")</f>
        <v/>
      </c>
      <c r="Q1333" s="45">
        <f>IFERROR(O1333-P1333,"")</f>
        <v/>
      </c>
      <c r="R1333" s="44">
        <f>IFERROR((L1333-M1333)/(L1333+M1333),"")</f>
        <v/>
      </c>
      <c r="S1333" s="46">
        <f>H1333/SUMIFS(Counties!$H$2:$H$1583,Counties!$A$2:$A$1583,$A1333)</f>
        <v/>
      </c>
      <c r="T1333" s="44">
        <f>O1333+INDEX(Dashboard!$F$6:$F$22,MATCH($A1333,Dashboard!$A$6:$A$22,0))</f>
        <v/>
      </c>
      <c r="U1333" s="43">
        <f>AQ1333*INDEX(Dashboard!$G$6:$G$22,MATCH($A1333,Dashboard!$A$6:$A$22,0))</f>
        <v/>
      </c>
      <c r="V1333" s="47" t="n"/>
      <c r="W1333" s="47" t="n"/>
      <c r="X1333" s="47" t="n"/>
      <c r="Y1333" s="48" t="n"/>
      <c r="Z1333" s="49" t="n"/>
      <c r="AA1333" s="49" t="n"/>
      <c r="AB1333" s="49" t="n"/>
      <c r="AC1333" s="50" t="n"/>
      <c r="AD1333" s="43">
        <f>IF(Z1333&lt;&gt;"",Z1333,N(V1333))</f>
        <v/>
      </c>
      <c r="AE1333" s="43">
        <f>IF(AA1333&lt;&gt;"",AA1333,N(W1333))</f>
        <v/>
      </c>
      <c r="AF1333" s="43">
        <f>AD1333+AE1333</f>
        <v/>
      </c>
      <c r="AG1333" s="42">
        <f>IF(UPPER(AC1333)="Y",1,IF(AF1333=0,0,IF(AND(Z1333="",Y1333&lt;&gt;""),IF(Y1333&gt;=0.999,1,0),IF(AF1333&gt;=U1333,1,0))))</f>
        <v/>
      </c>
      <c r="AH1333" s="44">
        <f>IF(AF1333&gt;0,(AD1333-AE1333)/AF1333,"")</f>
        <v/>
      </c>
      <c r="AI1333" s="45">
        <f>IF(AG1333=1,AH1333-O1333,"")</f>
        <v/>
      </c>
      <c r="AJ1333" s="44">
        <f>IF(AG1333=1,AH1333,MAX(-1,MIN(1,O1333+INDEX(Types!$H:$H,MATCH($A1333&amp;"|"&amp;$D1333,Types!$A:$A,0)))))</f>
        <v/>
      </c>
      <c r="AK1333" s="43">
        <f>IF(AG1333=1,AF1333,MAX(AQ1333*AS1333,AF1333))</f>
        <v/>
      </c>
      <c r="AL1333" s="43">
        <f>IF(AG1333=1,AD1333,AK1333*(1+AJ1333)/2)</f>
        <v/>
      </c>
      <c r="AM1333" s="43">
        <f>IF(AG1333=1,AE1333,AK1333*(1-AJ1333)/2)</f>
        <v/>
      </c>
      <c r="AN1333" s="45">
        <f>IF(AH1333="","",AH1333-T1333)</f>
        <v/>
      </c>
      <c r="AO1333" s="51">
        <f>IF(AG1333=1,1,IF(U1333&gt;0,MIN(AF1333/U1333,0.99),0))</f>
        <v/>
      </c>
      <c r="AP1333" s="43">
        <f>IF(AG1333=1,AI1333*AF1333,0)</f>
        <v/>
      </c>
      <c r="AQ1333" s="43">
        <f>N1333*(F1333+G1333)/H1333</f>
        <v/>
      </c>
      <c r="AR1333" s="43">
        <f>O1333*AQ1333</f>
        <v/>
      </c>
      <c r="AS1333" s="52">
        <f>IF(AG1333=1,IF(AQ1333&gt;0,AF1333/AQ1333,1),IFERROR(INDEX(Types!$K:$K,MATCH($A1333&amp;"|"&amp;$D1333,Types!$A:$A,0)),INDEX(Dashboard!$X$6:$X$22,MATCH($A1333,Dashboard!$A$6:$A$22,0))))</f>
        <v/>
      </c>
      <c r="AT1333" s="43">
        <f>AQ1333*INDEX(Dashboard!$Y$6:$Y$22,MATCH($A1333,Dashboard!$A$6:$A$22,0))</f>
        <v/>
      </c>
      <c r="AU1333" s="53">
        <f>IF(AND(AG1333=1,AT1333&gt;0,AF1333&gt;0),100*AF1333/AT1333,"")</f>
        <v/>
      </c>
      <c r="AV1333" s="44">
        <f>IF(AU1333="","",T1333/(AU1333/100))</f>
        <v/>
      </c>
      <c r="AW1333" s="53">
        <f>IF(AU1333="","",IF(AND(ABS(AH1333)&gt;=0.1,ABS(T1333)&gt;=0.05,SIGN(AH1333)=SIGN(T1333)),100*T1333/AH1333,""))</f>
        <v/>
      </c>
      <c r="AX1333" s="45">
        <f>IF(AU1333="","",T1333-AV1333)</f>
        <v/>
      </c>
      <c r="AY1333" s="45">
        <f>IF(AU1333="","",AH1333-AV1333)</f>
        <v/>
      </c>
      <c r="AZ1333" s="54">
        <f>(AL1333-AM1333)-T1333*AT1333</f>
        <v/>
      </c>
      <c r="BA1333" s="43">
        <f>IF(AU1333="",0,(AH1333-T1333)*AF1333)</f>
        <v/>
      </c>
      <c r="BB1333" s="43">
        <f>IF(AU1333="",0,T1333*(AF1333-AT1333))</f>
        <v/>
      </c>
      <c r="BC1333" s="51" t="n">
        <v>0.2181665915093732</v>
      </c>
      <c r="BD1333" s="51" t="n">
        <v>0.180976615344972</v>
      </c>
      <c r="BE1333" s="51" t="n">
        <v>0.6575447269303202</v>
      </c>
      <c r="BF1333" s="43" t="n">
        <v>155230</v>
      </c>
    </row>
    <row r="1334">
      <c r="A1334" s="42" t="inlineStr">
        <is>
          <t>VA</t>
        </is>
      </c>
      <c r="B1334" s="42" t="inlineStr">
        <is>
          <t>51005</t>
        </is>
      </c>
      <c r="C1334" s="42" t="inlineStr">
        <is>
          <t>Alleghany</t>
        </is>
      </c>
      <c r="D1334" s="42" t="inlineStr">
        <is>
          <t>Small town &amp; rural</t>
        </is>
      </c>
      <c r="E1334" s="42" t="inlineStr"/>
      <c r="F1334" s="43" t="n">
        <v>2114</v>
      </c>
      <c r="G1334" s="43" t="n">
        <v>6093</v>
      </c>
      <c r="H1334" s="43" t="n">
        <v>8277</v>
      </c>
      <c r="I1334" s="43" t="n">
        <v>2243</v>
      </c>
      <c r="J1334" s="43" t="n">
        <v>5859</v>
      </c>
      <c r="K1334" s="42" t="inlineStr">
        <is>
          <t>US House</t>
        </is>
      </c>
      <c r="L1334" s="43" t="n">
        <v>1347</v>
      </c>
      <c r="M1334" s="43" t="n">
        <v>4057</v>
      </c>
      <c r="N1334" s="43" t="n">
        <v>5411</v>
      </c>
      <c r="O1334" s="44">
        <f>IFERROR((F1334-G1334)/(F1334+G1334),"")</f>
        <v/>
      </c>
      <c r="P1334" s="44">
        <f>IFERROR((I1334-J1334)/(I1334+J1334),"")</f>
        <v/>
      </c>
      <c r="Q1334" s="45">
        <f>IFERROR(O1334-P1334,"")</f>
        <v/>
      </c>
      <c r="R1334" s="44">
        <f>IFERROR((L1334-M1334)/(L1334+M1334),"")</f>
        <v/>
      </c>
      <c r="S1334" s="46">
        <f>H1334/SUMIFS(Counties!$H$2:$H$1583,Counties!$A$2:$A$1583,$A1334)</f>
        <v/>
      </c>
      <c r="T1334" s="44">
        <f>O1334+INDEX(Dashboard!$F$6:$F$22,MATCH($A1334,Dashboard!$A$6:$A$22,0))</f>
        <v/>
      </c>
      <c r="U1334" s="43">
        <f>AQ1334*INDEX(Dashboard!$G$6:$G$22,MATCH($A1334,Dashboard!$A$6:$A$22,0))</f>
        <v/>
      </c>
      <c r="V1334" s="47" t="n"/>
      <c r="W1334" s="47" t="n"/>
      <c r="X1334" s="47" t="n"/>
      <c r="Y1334" s="48" t="n"/>
      <c r="Z1334" s="49" t="n"/>
      <c r="AA1334" s="49" t="n"/>
      <c r="AB1334" s="49" t="n"/>
      <c r="AC1334" s="50" t="n"/>
      <c r="AD1334" s="43">
        <f>IF(Z1334&lt;&gt;"",Z1334,N(V1334))</f>
        <v/>
      </c>
      <c r="AE1334" s="43">
        <f>IF(AA1334&lt;&gt;"",AA1334,N(W1334))</f>
        <v/>
      </c>
      <c r="AF1334" s="43">
        <f>AD1334+AE1334</f>
        <v/>
      </c>
      <c r="AG1334" s="42">
        <f>IF(UPPER(AC1334)="Y",1,IF(AF1334=0,0,IF(AND(Z1334="",Y1334&lt;&gt;""),IF(Y1334&gt;=0.999,1,0),IF(AF1334&gt;=U1334,1,0))))</f>
        <v/>
      </c>
      <c r="AH1334" s="44">
        <f>IF(AF1334&gt;0,(AD1334-AE1334)/AF1334,"")</f>
        <v/>
      </c>
      <c r="AI1334" s="45">
        <f>IF(AG1334=1,AH1334-O1334,"")</f>
        <v/>
      </c>
      <c r="AJ1334" s="44">
        <f>IF(AG1334=1,AH1334,MAX(-1,MIN(1,O1334+INDEX(Types!$H:$H,MATCH($A1334&amp;"|"&amp;$D1334,Types!$A:$A,0)))))</f>
        <v/>
      </c>
      <c r="AK1334" s="43">
        <f>IF(AG1334=1,AF1334,MAX(AQ1334*AS1334,AF1334))</f>
        <v/>
      </c>
      <c r="AL1334" s="43">
        <f>IF(AG1334=1,AD1334,AK1334*(1+AJ1334)/2)</f>
        <v/>
      </c>
      <c r="AM1334" s="43">
        <f>IF(AG1334=1,AE1334,AK1334*(1-AJ1334)/2)</f>
        <v/>
      </c>
      <c r="AN1334" s="45">
        <f>IF(AH1334="","",AH1334-T1334)</f>
        <v/>
      </c>
      <c r="AO1334" s="51">
        <f>IF(AG1334=1,1,IF(U1334&gt;0,MIN(AF1334/U1334,0.99),0))</f>
        <v/>
      </c>
      <c r="AP1334" s="43">
        <f>IF(AG1334=1,AI1334*AF1334,0)</f>
        <v/>
      </c>
      <c r="AQ1334" s="43">
        <f>N1334*(F1334+G1334)/H1334</f>
        <v/>
      </c>
      <c r="AR1334" s="43">
        <f>O1334*AQ1334</f>
        <v/>
      </c>
      <c r="AS1334" s="52">
        <f>IF(AG1334=1,IF(AQ1334&gt;0,AF1334/AQ1334,1),IFERROR(INDEX(Types!$K:$K,MATCH($A1334&amp;"|"&amp;$D1334,Types!$A:$A,0)),INDEX(Dashboard!$X$6:$X$22,MATCH($A1334,Dashboard!$A$6:$A$22,0))))</f>
        <v/>
      </c>
      <c r="AT1334" s="43">
        <f>AQ1334*INDEX(Dashboard!$Y$6:$Y$22,MATCH($A1334,Dashboard!$A$6:$A$22,0))</f>
        <v/>
      </c>
      <c r="AU1334" s="53">
        <f>IF(AND(AG1334=1,AT1334&gt;0,AF1334&gt;0),100*AF1334/AT1334,"")</f>
        <v/>
      </c>
      <c r="AV1334" s="44">
        <f>IF(AU1334="","",T1334/(AU1334/100))</f>
        <v/>
      </c>
      <c r="AW1334" s="53">
        <f>IF(AU1334="","",IF(AND(ABS(AH1334)&gt;=0.1,ABS(T1334)&gt;=0.05,SIGN(AH1334)=SIGN(T1334)),100*T1334/AH1334,""))</f>
        <v/>
      </c>
      <c r="AX1334" s="45">
        <f>IF(AU1334="","",T1334-AV1334)</f>
        <v/>
      </c>
      <c r="AY1334" s="45">
        <f>IF(AU1334="","",AH1334-AV1334)</f>
        <v/>
      </c>
      <c r="AZ1334" s="54">
        <f>(AL1334-AM1334)-T1334*AT1334</f>
        <v/>
      </c>
      <c r="BA1334" s="43">
        <f>IF(AU1334="",0,(AH1334-T1334)*AF1334)</f>
        <v/>
      </c>
      <c r="BB1334" s="43">
        <f>IF(AU1334="",0,T1334*(AF1334-AT1334))</f>
        <v/>
      </c>
      <c r="BC1334" s="51" t="n">
        <v>0.04570058239122987</v>
      </c>
      <c r="BD1334" s="51" t="n">
        <v>0.01685508735868448</v>
      </c>
      <c r="BE1334" s="51" t="n">
        <v>0.1556074346772021</v>
      </c>
      <c r="BF1334" s="43" t="n">
        <v>14595</v>
      </c>
    </row>
    <row r="1335">
      <c r="A1335" s="42" t="inlineStr">
        <is>
          <t>VA</t>
        </is>
      </c>
      <c r="B1335" s="42" t="inlineStr">
        <is>
          <t>51007</t>
        </is>
      </c>
      <c r="C1335" s="42" t="inlineStr">
        <is>
          <t>Amelia</t>
        </is>
      </c>
      <c r="D1335" s="42" t="inlineStr">
        <is>
          <t>Small town &amp; rural</t>
        </is>
      </c>
      <c r="E1335" s="42" t="inlineStr"/>
      <c r="F1335" s="43" t="n">
        <v>2214</v>
      </c>
      <c r="G1335" s="43" t="n">
        <v>5776</v>
      </c>
      <c r="H1335" s="43" t="n">
        <v>8032</v>
      </c>
      <c r="I1335" s="43" t="n">
        <v>2411</v>
      </c>
      <c r="J1335" s="43" t="n">
        <v>5390</v>
      </c>
      <c r="K1335" s="42" t="inlineStr">
        <is>
          <t>US House</t>
        </is>
      </c>
      <c r="L1335" s="43" t="n">
        <v>1393</v>
      </c>
      <c r="M1335" s="43" t="n">
        <v>4187</v>
      </c>
      <c r="N1335" s="43" t="n">
        <v>5584</v>
      </c>
      <c r="O1335" s="44">
        <f>IFERROR((F1335-G1335)/(F1335+G1335),"")</f>
        <v/>
      </c>
      <c r="P1335" s="44">
        <f>IFERROR((I1335-J1335)/(I1335+J1335),"")</f>
        <v/>
      </c>
      <c r="Q1335" s="45">
        <f>IFERROR(O1335-P1335,"")</f>
        <v/>
      </c>
      <c r="R1335" s="44">
        <f>IFERROR((L1335-M1335)/(L1335+M1335),"")</f>
        <v/>
      </c>
      <c r="S1335" s="46">
        <f>H1335/SUMIFS(Counties!$H$2:$H$1583,Counties!$A$2:$A$1583,$A1335)</f>
        <v/>
      </c>
      <c r="T1335" s="44">
        <f>O1335+INDEX(Dashboard!$F$6:$F$22,MATCH($A1335,Dashboard!$A$6:$A$22,0))</f>
        <v/>
      </c>
      <c r="U1335" s="43">
        <f>AQ1335*INDEX(Dashboard!$G$6:$G$22,MATCH($A1335,Dashboard!$A$6:$A$22,0))</f>
        <v/>
      </c>
      <c r="V1335" s="47" t="n"/>
      <c r="W1335" s="47" t="n"/>
      <c r="X1335" s="47" t="n"/>
      <c r="Y1335" s="48" t="n"/>
      <c r="Z1335" s="49" t="n"/>
      <c r="AA1335" s="49" t="n"/>
      <c r="AB1335" s="49" t="n"/>
      <c r="AC1335" s="50" t="n"/>
      <c r="AD1335" s="43">
        <f>IF(Z1335&lt;&gt;"",Z1335,N(V1335))</f>
        <v/>
      </c>
      <c r="AE1335" s="43">
        <f>IF(AA1335&lt;&gt;"",AA1335,N(W1335))</f>
        <v/>
      </c>
      <c r="AF1335" s="43">
        <f>AD1335+AE1335</f>
        <v/>
      </c>
      <c r="AG1335" s="42">
        <f>IF(UPPER(AC1335)="Y",1,IF(AF1335=0,0,IF(AND(Z1335="",Y1335&lt;&gt;""),IF(Y1335&gt;=0.999,1,0),IF(AF1335&gt;=U1335,1,0))))</f>
        <v/>
      </c>
      <c r="AH1335" s="44">
        <f>IF(AF1335&gt;0,(AD1335-AE1335)/AF1335,"")</f>
        <v/>
      </c>
      <c r="AI1335" s="45">
        <f>IF(AG1335=1,AH1335-O1335,"")</f>
        <v/>
      </c>
      <c r="AJ1335" s="44">
        <f>IF(AG1335=1,AH1335,MAX(-1,MIN(1,O1335+INDEX(Types!$H:$H,MATCH($A1335&amp;"|"&amp;$D1335,Types!$A:$A,0)))))</f>
        <v/>
      </c>
      <c r="AK1335" s="43">
        <f>IF(AG1335=1,AF1335,MAX(AQ1335*AS1335,AF1335))</f>
        <v/>
      </c>
      <c r="AL1335" s="43">
        <f>IF(AG1335=1,AD1335,AK1335*(1+AJ1335)/2)</f>
        <v/>
      </c>
      <c r="AM1335" s="43">
        <f>IF(AG1335=1,AE1335,AK1335*(1-AJ1335)/2)</f>
        <v/>
      </c>
      <c r="AN1335" s="45">
        <f>IF(AH1335="","",AH1335-T1335)</f>
        <v/>
      </c>
      <c r="AO1335" s="51">
        <f>IF(AG1335=1,1,IF(U1335&gt;0,MIN(AF1335/U1335,0.99),0))</f>
        <v/>
      </c>
      <c r="AP1335" s="43">
        <f>IF(AG1335=1,AI1335*AF1335,0)</f>
        <v/>
      </c>
      <c r="AQ1335" s="43">
        <f>N1335*(F1335+G1335)/H1335</f>
        <v/>
      </c>
      <c r="AR1335" s="43">
        <f>O1335*AQ1335</f>
        <v/>
      </c>
      <c r="AS1335" s="52">
        <f>IF(AG1335=1,IF(AQ1335&gt;0,AF1335/AQ1335,1),IFERROR(INDEX(Types!$K:$K,MATCH($A1335&amp;"|"&amp;$D1335,Types!$A:$A,0)),INDEX(Dashboard!$X$6:$X$22,MATCH($A1335,Dashboard!$A$6:$A$22,0))))</f>
        <v/>
      </c>
      <c r="AT1335" s="43">
        <f>AQ1335*INDEX(Dashboard!$Y$6:$Y$22,MATCH($A1335,Dashboard!$A$6:$A$22,0))</f>
        <v/>
      </c>
      <c r="AU1335" s="53">
        <f>IF(AND(AG1335=1,AT1335&gt;0,AF1335&gt;0),100*AF1335/AT1335,"")</f>
        <v/>
      </c>
      <c r="AV1335" s="44">
        <f>IF(AU1335="","",T1335/(AU1335/100))</f>
        <v/>
      </c>
      <c r="AW1335" s="53">
        <f>IF(AU1335="","",IF(AND(ABS(AH1335)&gt;=0.1,ABS(T1335)&gt;=0.05,SIGN(AH1335)=SIGN(T1335)),100*T1335/AH1335,""))</f>
        <v/>
      </c>
      <c r="AX1335" s="45">
        <f>IF(AU1335="","",T1335-AV1335)</f>
        <v/>
      </c>
      <c r="AY1335" s="45">
        <f>IF(AU1335="","",AH1335-AV1335)</f>
        <v/>
      </c>
      <c r="AZ1335" s="54">
        <f>(AL1335-AM1335)-T1335*AT1335</f>
        <v/>
      </c>
      <c r="BA1335" s="43">
        <f>IF(AU1335="",0,(AH1335-T1335)*AF1335)</f>
        <v/>
      </c>
      <c r="BB1335" s="43">
        <f>IF(AU1335="",0,T1335*(AF1335-AT1335))</f>
        <v/>
      </c>
      <c r="BC1335" s="51" t="n">
        <v>0.1856083086053412</v>
      </c>
      <c r="BD1335" s="51" t="n">
        <v>0.04206231454005935</v>
      </c>
      <c r="BE1335" s="51" t="n">
        <v>0.1678321678321678</v>
      </c>
      <c r="BF1335" s="43" t="n">
        <v>13480</v>
      </c>
    </row>
    <row r="1336">
      <c r="A1336" s="42" t="inlineStr">
        <is>
          <t>VA</t>
        </is>
      </c>
      <c r="B1336" s="42" t="inlineStr">
        <is>
          <t>51009</t>
        </is>
      </c>
      <c r="C1336" s="42" t="inlineStr">
        <is>
          <t>Amherst</t>
        </is>
      </c>
      <c r="D1336" s="42" t="inlineStr">
        <is>
          <t>Small town &amp; rural</t>
        </is>
      </c>
      <c r="E1336" s="42" t="inlineStr"/>
      <c r="F1336" s="43" t="n">
        <v>5429</v>
      </c>
      <c r="G1336" s="43" t="n">
        <v>11742</v>
      </c>
      <c r="H1336" s="43" t="n">
        <v>17303</v>
      </c>
      <c r="I1336" s="43" t="n">
        <v>5672</v>
      </c>
      <c r="J1336" s="43" t="n">
        <v>11041</v>
      </c>
      <c r="K1336" s="42" t="inlineStr">
        <is>
          <t>US House</t>
        </is>
      </c>
      <c r="L1336" s="43" t="n">
        <v>3536</v>
      </c>
      <c r="M1336" s="43" t="n">
        <v>8250</v>
      </c>
      <c r="N1336" s="43" t="n">
        <v>11802</v>
      </c>
      <c r="O1336" s="44">
        <f>IFERROR((F1336-G1336)/(F1336+G1336),"")</f>
        <v/>
      </c>
      <c r="P1336" s="44">
        <f>IFERROR((I1336-J1336)/(I1336+J1336),"")</f>
        <v/>
      </c>
      <c r="Q1336" s="45">
        <f>IFERROR(O1336-P1336,"")</f>
        <v/>
      </c>
      <c r="R1336" s="44">
        <f>IFERROR((L1336-M1336)/(L1336+M1336),"")</f>
        <v/>
      </c>
      <c r="S1336" s="46">
        <f>H1336/SUMIFS(Counties!$H$2:$H$1583,Counties!$A$2:$A$1583,$A1336)</f>
        <v/>
      </c>
      <c r="T1336" s="44">
        <f>O1336+INDEX(Dashboard!$F$6:$F$22,MATCH($A1336,Dashboard!$A$6:$A$22,0))</f>
        <v/>
      </c>
      <c r="U1336" s="43">
        <f>AQ1336*INDEX(Dashboard!$G$6:$G$22,MATCH($A1336,Dashboard!$A$6:$A$22,0))</f>
        <v/>
      </c>
      <c r="V1336" s="47" t="n"/>
      <c r="W1336" s="47" t="n"/>
      <c r="X1336" s="47" t="n"/>
      <c r="Y1336" s="48" t="n"/>
      <c r="Z1336" s="49" t="n"/>
      <c r="AA1336" s="49" t="n"/>
      <c r="AB1336" s="49" t="n"/>
      <c r="AC1336" s="50" t="n"/>
      <c r="AD1336" s="43">
        <f>IF(Z1336&lt;&gt;"",Z1336,N(V1336))</f>
        <v/>
      </c>
      <c r="AE1336" s="43">
        <f>IF(AA1336&lt;&gt;"",AA1336,N(W1336))</f>
        <v/>
      </c>
      <c r="AF1336" s="43">
        <f>AD1336+AE1336</f>
        <v/>
      </c>
      <c r="AG1336" s="42">
        <f>IF(UPPER(AC1336)="Y",1,IF(AF1336=0,0,IF(AND(Z1336="",Y1336&lt;&gt;""),IF(Y1336&gt;=0.999,1,0),IF(AF1336&gt;=U1336,1,0))))</f>
        <v/>
      </c>
      <c r="AH1336" s="44">
        <f>IF(AF1336&gt;0,(AD1336-AE1336)/AF1336,"")</f>
        <v/>
      </c>
      <c r="AI1336" s="45">
        <f>IF(AG1336=1,AH1336-O1336,"")</f>
        <v/>
      </c>
      <c r="AJ1336" s="44">
        <f>IF(AG1336=1,AH1336,MAX(-1,MIN(1,O1336+INDEX(Types!$H:$H,MATCH($A1336&amp;"|"&amp;$D1336,Types!$A:$A,0)))))</f>
        <v/>
      </c>
      <c r="AK1336" s="43">
        <f>IF(AG1336=1,AF1336,MAX(AQ1336*AS1336,AF1336))</f>
        <v/>
      </c>
      <c r="AL1336" s="43">
        <f>IF(AG1336=1,AD1336,AK1336*(1+AJ1336)/2)</f>
        <v/>
      </c>
      <c r="AM1336" s="43">
        <f>IF(AG1336=1,AE1336,AK1336*(1-AJ1336)/2)</f>
        <v/>
      </c>
      <c r="AN1336" s="45">
        <f>IF(AH1336="","",AH1336-T1336)</f>
        <v/>
      </c>
      <c r="AO1336" s="51">
        <f>IF(AG1336=1,1,IF(U1336&gt;0,MIN(AF1336/U1336,0.99),0))</f>
        <v/>
      </c>
      <c r="AP1336" s="43">
        <f>IF(AG1336=1,AI1336*AF1336,0)</f>
        <v/>
      </c>
      <c r="AQ1336" s="43">
        <f>N1336*(F1336+G1336)/H1336</f>
        <v/>
      </c>
      <c r="AR1336" s="43">
        <f>O1336*AQ1336</f>
        <v/>
      </c>
      <c r="AS1336" s="52">
        <f>IF(AG1336=1,IF(AQ1336&gt;0,AF1336/AQ1336,1),IFERROR(INDEX(Types!$K:$K,MATCH($A1336&amp;"|"&amp;$D1336,Types!$A:$A,0)),INDEX(Dashboard!$X$6:$X$22,MATCH($A1336,Dashboard!$A$6:$A$22,0))))</f>
        <v/>
      </c>
      <c r="AT1336" s="43">
        <f>AQ1336*INDEX(Dashboard!$Y$6:$Y$22,MATCH($A1336,Dashboard!$A$6:$A$22,0))</f>
        <v/>
      </c>
      <c r="AU1336" s="53">
        <f>IF(AND(AG1336=1,AT1336&gt;0,AF1336&gt;0),100*AF1336/AT1336,"")</f>
        <v/>
      </c>
      <c r="AV1336" s="44">
        <f>IF(AU1336="","",T1336/(AU1336/100))</f>
        <v/>
      </c>
      <c r="AW1336" s="53">
        <f>IF(AU1336="","",IF(AND(ABS(AH1336)&gt;=0.1,ABS(T1336)&gt;=0.05,SIGN(AH1336)=SIGN(T1336)),100*T1336/AH1336,""))</f>
        <v/>
      </c>
      <c r="AX1336" s="45">
        <f>IF(AU1336="","",T1336-AV1336)</f>
        <v/>
      </c>
      <c r="AY1336" s="45">
        <f>IF(AU1336="","",AH1336-AV1336)</f>
        <v/>
      </c>
      <c r="AZ1336" s="54">
        <f>(AL1336-AM1336)-T1336*AT1336</f>
        <v/>
      </c>
      <c r="BA1336" s="43">
        <f>IF(AU1336="",0,(AH1336-T1336)*AF1336)</f>
        <v/>
      </c>
      <c r="BB1336" s="43">
        <f>IF(AU1336="",0,T1336*(AF1336-AT1336))</f>
        <v/>
      </c>
      <c r="BC1336" s="51" t="n">
        <v>0.1805007007262072</v>
      </c>
      <c r="BD1336" s="51" t="n">
        <v>0.03032233405529367</v>
      </c>
      <c r="BE1336" s="51" t="n">
        <v>0.2297605728350861</v>
      </c>
      <c r="BF1336" s="43" t="n">
        <v>31396</v>
      </c>
    </row>
    <row r="1337">
      <c r="A1337" s="42" t="inlineStr">
        <is>
          <t>VA</t>
        </is>
      </c>
      <c r="B1337" s="42" t="inlineStr">
        <is>
          <t>51011</t>
        </is>
      </c>
      <c r="C1337" s="42" t="inlineStr">
        <is>
          <t>Appomattox</t>
        </is>
      </c>
      <c r="D1337" s="42" t="inlineStr">
        <is>
          <t>Small town &amp; rural</t>
        </is>
      </c>
      <c r="E1337" s="42" t="inlineStr"/>
      <c r="F1337" s="43" t="n">
        <v>2324</v>
      </c>
      <c r="G1337" s="43" t="n">
        <v>7243</v>
      </c>
      <c r="H1337" s="43" t="n">
        <v>9642</v>
      </c>
      <c r="I1337" s="43" t="n">
        <v>2418</v>
      </c>
      <c r="J1337" s="43" t="n">
        <v>6702</v>
      </c>
      <c r="K1337" s="42" t="inlineStr">
        <is>
          <t>US House</t>
        </is>
      </c>
      <c r="L1337" s="43" t="n">
        <v>1364</v>
      </c>
      <c r="M1337" s="43" t="n">
        <v>5224</v>
      </c>
      <c r="N1337" s="43" t="n">
        <v>6597</v>
      </c>
      <c r="O1337" s="44">
        <f>IFERROR((F1337-G1337)/(F1337+G1337),"")</f>
        <v/>
      </c>
      <c r="P1337" s="44">
        <f>IFERROR((I1337-J1337)/(I1337+J1337),"")</f>
        <v/>
      </c>
      <c r="Q1337" s="45">
        <f>IFERROR(O1337-P1337,"")</f>
        <v/>
      </c>
      <c r="R1337" s="44">
        <f>IFERROR((L1337-M1337)/(L1337+M1337),"")</f>
        <v/>
      </c>
      <c r="S1337" s="46">
        <f>H1337/SUMIFS(Counties!$H$2:$H$1583,Counties!$A$2:$A$1583,$A1337)</f>
        <v/>
      </c>
      <c r="T1337" s="44">
        <f>O1337+INDEX(Dashboard!$F$6:$F$22,MATCH($A1337,Dashboard!$A$6:$A$22,0))</f>
        <v/>
      </c>
      <c r="U1337" s="43">
        <f>AQ1337*INDEX(Dashboard!$G$6:$G$22,MATCH($A1337,Dashboard!$A$6:$A$22,0))</f>
        <v/>
      </c>
      <c r="V1337" s="47" t="n"/>
      <c r="W1337" s="47" t="n"/>
      <c r="X1337" s="47" t="n"/>
      <c r="Y1337" s="48" t="n"/>
      <c r="Z1337" s="49" t="n"/>
      <c r="AA1337" s="49" t="n"/>
      <c r="AB1337" s="49" t="n"/>
      <c r="AC1337" s="50" t="n"/>
      <c r="AD1337" s="43">
        <f>IF(Z1337&lt;&gt;"",Z1337,N(V1337))</f>
        <v/>
      </c>
      <c r="AE1337" s="43">
        <f>IF(AA1337&lt;&gt;"",AA1337,N(W1337))</f>
        <v/>
      </c>
      <c r="AF1337" s="43">
        <f>AD1337+AE1337</f>
        <v/>
      </c>
      <c r="AG1337" s="42">
        <f>IF(UPPER(AC1337)="Y",1,IF(AF1337=0,0,IF(AND(Z1337="",Y1337&lt;&gt;""),IF(Y1337&gt;=0.999,1,0),IF(AF1337&gt;=U1337,1,0))))</f>
        <v/>
      </c>
      <c r="AH1337" s="44">
        <f>IF(AF1337&gt;0,(AD1337-AE1337)/AF1337,"")</f>
        <v/>
      </c>
      <c r="AI1337" s="45">
        <f>IF(AG1337=1,AH1337-O1337,"")</f>
        <v/>
      </c>
      <c r="AJ1337" s="44">
        <f>IF(AG1337=1,AH1337,MAX(-1,MIN(1,O1337+INDEX(Types!$H:$H,MATCH($A1337&amp;"|"&amp;$D1337,Types!$A:$A,0)))))</f>
        <v/>
      </c>
      <c r="AK1337" s="43">
        <f>IF(AG1337=1,AF1337,MAX(AQ1337*AS1337,AF1337))</f>
        <v/>
      </c>
      <c r="AL1337" s="43">
        <f>IF(AG1337=1,AD1337,AK1337*(1+AJ1337)/2)</f>
        <v/>
      </c>
      <c r="AM1337" s="43">
        <f>IF(AG1337=1,AE1337,AK1337*(1-AJ1337)/2)</f>
        <v/>
      </c>
      <c r="AN1337" s="45">
        <f>IF(AH1337="","",AH1337-T1337)</f>
        <v/>
      </c>
      <c r="AO1337" s="51">
        <f>IF(AG1337=1,1,IF(U1337&gt;0,MIN(AF1337/U1337,0.99),0))</f>
        <v/>
      </c>
      <c r="AP1337" s="43">
        <f>IF(AG1337=1,AI1337*AF1337,0)</f>
        <v/>
      </c>
      <c r="AQ1337" s="43">
        <f>N1337*(F1337+G1337)/H1337</f>
        <v/>
      </c>
      <c r="AR1337" s="43">
        <f>O1337*AQ1337</f>
        <v/>
      </c>
      <c r="AS1337" s="52">
        <f>IF(AG1337=1,IF(AQ1337&gt;0,AF1337/AQ1337,1),IFERROR(INDEX(Types!$K:$K,MATCH($A1337&amp;"|"&amp;$D1337,Types!$A:$A,0)),INDEX(Dashboard!$X$6:$X$22,MATCH($A1337,Dashboard!$A$6:$A$22,0))))</f>
        <v/>
      </c>
      <c r="AT1337" s="43">
        <f>AQ1337*INDEX(Dashboard!$Y$6:$Y$22,MATCH($A1337,Dashboard!$A$6:$A$22,0))</f>
        <v/>
      </c>
      <c r="AU1337" s="53">
        <f>IF(AND(AG1337=1,AT1337&gt;0,AF1337&gt;0),100*AF1337/AT1337,"")</f>
        <v/>
      </c>
      <c r="AV1337" s="44">
        <f>IF(AU1337="","",T1337/(AU1337/100))</f>
        <v/>
      </c>
      <c r="AW1337" s="53">
        <f>IF(AU1337="","",IF(AND(ABS(AH1337)&gt;=0.1,ABS(T1337)&gt;=0.05,SIGN(AH1337)=SIGN(T1337)),100*T1337/AH1337,""))</f>
        <v/>
      </c>
      <c r="AX1337" s="45">
        <f>IF(AU1337="","",T1337-AV1337)</f>
        <v/>
      </c>
      <c r="AY1337" s="45">
        <f>IF(AU1337="","",AH1337-AV1337)</f>
        <v/>
      </c>
      <c r="AZ1337" s="54">
        <f>(AL1337-AM1337)-T1337*AT1337</f>
        <v/>
      </c>
      <c r="BA1337" s="43">
        <f>IF(AU1337="",0,(AH1337-T1337)*AF1337)</f>
        <v/>
      </c>
      <c r="BB1337" s="43">
        <f>IF(AU1337="",0,T1337*(AF1337-AT1337))</f>
        <v/>
      </c>
      <c r="BC1337" s="51" t="n">
        <v>0.1753439278937381</v>
      </c>
      <c r="BD1337" s="51" t="n">
        <v>0.02603178368121442</v>
      </c>
      <c r="BE1337" s="51" t="n">
        <v>0.2050554552489038</v>
      </c>
      <c r="BF1337" s="43" t="n">
        <v>16864</v>
      </c>
    </row>
    <row r="1338">
      <c r="A1338" s="42" t="inlineStr">
        <is>
          <t>VA</t>
        </is>
      </c>
      <c r="B1338" s="42" t="inlineStr">
        <is>
          <t>51013</t>
        </is>
      </c>
      <c r="C1338" s="42" t="inlineStr">
        <is>
          <t>Arlington</t>
        </is>
      </c>
      <c r="D1338" s="42" t="inlineStr">
        <is>
          <t>College suburb/metro</t>
        </is>
      </c>
      <c r="E1338" s="42" t="inlineStr"/>
      <c r="F1338" s="43" t="n">
        <v>100446</v>
      </c>
      <c r="G1338" s="43" t="n">
        <v>25223</v>
      </c>
      <c r="H1338" s="43" t="n">
        <v>128362</v>
      </c>
      <c r="I1338" s="43" t="n">
        <v>105344</v>
      </c>
      <c r="J1338" s="43" t="n">
        <v>22318</v>
      </c>
      <c r="K1338" s="42" t="inlineStr">
        <is>
          <t>US House</t>
        </is>
      </c>
      <c r="L1338" s="43" t="n">
        <v>70856</v>
      </c>
      <c r="M1338" s="43" t="n">
        <v>18699</v>
      </c>
      <c r="N1338" s="43" t="n">
        <v>91334</v>
      </c>
      <c r="O1338" s="44">
        <f>IFERROR((F1338-G1338)/(F1338+G1338),"")</f>
        <v/>
      </c>
      <c r="P1338" s="44">
        <f>IFERROR((I1338-J1338)/(I1338+J1338),"")</f>
        <v/>
      </c>
      <c r="Q1338" s="45">
        <f>IFERROR(O1338-P1338,"")</f>
        <v/>
      </c>
      <c r="R1338" s="44">
        <f>IFERROR((L1338-M1338)/(L1338+M1338),"")</f>
        <v/>
      </c>
      <c r="S1338" s="46">
        <f>H1338/SUMIFS(Counties!$H$2:$H$1583,Counties!$A$2:$A$1583,$A1338)</f>
        <v/>
      </c>
      <c r="T1338" s="44">
        <f>O1338+INDEX(Dashboard!$F$6:$F$22,MATCH($A1338,Dashboard!$A$6:$A$22,0))</f>
        <v/>
      </c>
      <c r="U1338" s="43">
        <f>AQ1338*INDEX(Dashboard!$G$6:$G$22,MATCH($A1338,Dashboard!$A$6:$A$22,0))</f>
        <v/>
      </c>
      <c r="V1338" s="47" t="n"/>
      <c r="W1338" s="47" t="n"/>
      <c r="X1338" s="47" t="n"/>
      <c r="Y1338" s="48" t="n"/>
      <c r="Z1338" s="49" t="n"/>
      <c r="AA1338" s="49" t="n"/>
      <c r="AB1338" s="49" t="n"/>
      <c r="AC1338" s="50" t="n"/>
      <c r="AD1338" s="43">
        <f>IF(Z1338&lt;&gt;"",Z1338,N(V1338))</f>
        <v/>
      </c>
      <c r="AE1338" s="43">
        <f>IF(AA1338&lt;&gt;"",AA1338,N(W1338))</f>
        <v/>
      </c>
      <c r="AF1338" s="43">
        <f>AD1338+AE1338</f>
        <v/>
      </c>
      <c r="AG1338" s="42">
        <f>IF(UPPER(AC1338)="Y",1,IF(AF1338=0,0,IF(AND(Z1338="",Y1338&lt;&gt;""),IF(Y1338&gt;=0.999,1,0),IF(AF1338&gt;=U1338,1,0))))</f>
        <v/>
      </c>
      <c r="AH1338" s="44">
        <f>IF(AF1338&gt;0,(AD1338-AE1338)/AF1338,"")</f>
        <v/>
      </c>
      <c r="AI1338" s="45">
        <f>IF(AG1338=1,AH1338-O1338,"")</f>
        <v/>
      </c>
      <c r="AJ1338" s="44">
        <f>IF(AG1338=1,AH1338,MAX(-1,MIN(1,O1338+INDEX(Types!$H:$H,MATCH($A1338&amp;"|"&amp;$D1338,Types!$A:$A,0)))))</f>
        <v/>
      </c>
      <c r="AK1338" s="43">
        <f>IF(AG1338=1,AF1338,MAX(AQ1338*AS1338,AF1338))</f>
        <v/>
      </c>
      <c r="AL1338" s="43">
        <f>IF(AG1338=1,AD1338,AK1338*(1+AJ1338)/2)</f>
        <v/>
      </c>
      <c r="AM1338" s="43">
        <f>IF(AG1338=1,AE1338,AK1338*(1-AJ1338)/2)</f>
        <v/>
      </c>
      <c r="AN1338" s="45">
        <f>IF(AH1338="","",AH1338-T1338)</f>
        <v/>
      </c>
      <c r="AO1338" s="51">
        <f>IF(AG1338=1,1,IF(U1338&gt;0,MIN(AF1338/U1338,0.99),0))</f>
        <v/>
      </c>
      <c r="AP1338" s="43">
        <f>IF(AG1338=1,AI1338*AF1338,0)</f>
        <v/>
      </c>
      <c r="AQ1338" s="43">
        <f>N1338*(F1338+G1338)/H1338</f>
        <v/>
      </c>
      <c r="AR1338" s="43">
        <f>O1338*AQ1338</f>
        <v/>
      </c>
      <c r="AS1338" s="52">
        <f>IF(AG1338=1,IF(AQ1338&gt;0,AF1338/AQ1338,1),IFERROR(INDEX(Types!$K:$K,MATCH($A1338&amp;"|"&amp;$D1338,Types!$A:$A,0)),INDEX(Dashboard!$X$6:$X$22,MATCH($A1338,Dashboard!$A$6:$A$22,0))))</f>
        <v/>
      </c>
      <c r="AT1338" s="43">
        <f>AQ1338*INDEX(Dashboard!$Y$6:$Y$22,MATCH($A1338,Dashboard!$A$6:$A$22,0))</f>
        <v/>
      </c>
      <c r="AU1338" s="53">
        <f>IF(AND(AG1338=1,AT1338&gt;0,AF1338&gt;0),100*AF1338/AT1338,"")</f>
        <v/>
      </c>
      <c r="AV1338" s="44">
        <f>IF(AU1338="","",T1338/(AU1338/100))</f>
        <v/>
      </c>
      <c r="AW1338" s="53">
        <f>IF(AU1338="","",IF(AND(ABS(AH1338)&gt;=0.1,ABS(T1338)&gt;=0.05,SIGN(AH1338)=SIGN(T1338)),100*T1338/AH1338,""))</f>
        <v/>
      </c>
      <c r="AX1338" s="45">
        <f>IF(AU1338="","",T1338-AV1338)</f>
        <v/>
      </c>
      <c r="AY1338" s="45">
        <f>IF(AU1338="","",AH1338-AV1338)</f>
        <v/>
      </c>
      <c r="AZ1338" s="54">
        <f>(AL1338-AM1338)-T1338*AT1338</f>
        <v/>
      </c>
      <c r="BA1338" s="43">
        <f>IF(AU1338="",0,(AH1338-T1338)*AF1338)</f>
        <v/>
      </c>
      <c r="BB1338" s="43">
        <f>IF(AU1338="",0,T1338*(AF1338-AT1338))</f>
        <v/>
      </c>
      <c r="BC1338" s="51" t="n">
        <v>0.1004560944986804</v>
      </c>
      <c r="BD1338" s="51" t="n">
        <v>0.1596672389200639</v>
      </c>
      <c r="BE1338" s="51" t="n">
        <v>0.7710922662171601</v>
      </c>
      <c r="BF1338" s="43" t="n">
        <v>234162</v>
      </c>
    </row>
    <row r="1339">
      <c r="A1339" s="42" t="inlineStr">
        <is>
          <t>VA</t>
        </is>
      </c>
      <c r="B1339" s="42" t="inlineStr">
        <is>
          <t>51015</t>
        </is>
      </c>
      <c r="C1339" s="42" t="inlineStr">
        <is>
          <t>Augusta</t>
        </is>
      </c>
      <c r="D1339" s="42" t="inlineStr">
        <is>
          <t>Small town &amp; rural</t>
        </is>
      </c>
      <c r="E1339" s="42" t="inlineStr"/>
      <c r="F1339" s="43" t="n">
        <v>11403</v>
      </c>
      <c r="G1339" s="43" t="n">
        <v>32429</v>
      </c>
      <c r="H1339" s="43" t="n">
        <v>44223</v>
      </c>
      <c r="I1339" s="43" t="n">
        <v>10840</v>
      </c>
      <c r="J1339" s="43" t="n">
        <v>30714</v>
      </c>
      <c r="K1339" s="42" t="inlineStr">
        <is>
          <t>US House</t>
        </is>
      </c>
      <c r="L1339" s="43" t="n">
        <v>7089</v>
      </c>
      <c r="M1339" s="43" t="n">
        <v>23358</v>
      </c>
      <c r="N1339" s="43" t="n">
        <v>30487</v>
      </c>
      <c r="O1339" s="44">
        <f>IFERROR((F1339-G1339)/(F1339+G1339),"")</f>
        <v/>
      </c>
      <c r="P1339" s="44">
        <f>IFERROR((I1339-J1339)/(I1339+J1339),"")</f>
        <v/>
      </c>
      <c r="Q1339" s="45">
        <f>IFERROR(O1339-P1339,"")</f>
        <v/>
      </c>
      <c r="R1339" s="44">
        <f>IFERROR((L1339-M1339)/(L1339+M1339),"")</f>
        <v/>
      </c>
      <c r="S1339" s="46">
        <f>H1339/SUMIFS(Counties!$H$2:$H$1583,Counties!$A$2:$A$1583,$A1339)</f>
        <v/>
      </c>
      <c r="T1339" s="44">
        <f>O1339+INDEX(Dashboard!$F$6:$F$22,MATCH($A1339,Dashboard!$A$6:$A$22,0))</f>
        <v/>
      </c>
      <c r="U1339" s="43">
        <f>AQ1339*INDEX(Dashboard!$G$6:$G$22,MATCH($A1339,Dashboard!$A$6:$A$22,0))</f>
        <v/>
      </c>
      <c r="V1339" s="47" t="n"/>
      <c r="W1339" s="47" t="n"/>
      <c r="X1339" s="47" t="n"/>
      <c r="Y1339" s="48" t="n"/>
      <c r="Z1339" s="49" t="n"/>
      <c r="AA1339" s="49" t="n"/>
      <c r="AB1339" s="49" t="n"/>
      <c r="AC1339" s="50" t="n"/>
      <c r="AD1339" s="43">
        <f>IF(Z1339&lt;&gt;"",Z1339,N(V1339))</f>
        <v/>
      </c>
      <c r="AE1339" s="43">
        <f>IF(AA1339&lt;&gt;"",AA1339,N(W1339))</f>
        <v/>
      </c>
      <c r="AF1339" s="43">
        <f>AD1339+AE1339</f>
        <v/>
      </c>
      <c r="AG1339" s="42">
        <f>IF(UPPER(AC1339)="Y",1,IF(AF1339=0,0,IF(AND(Z1339="",Y1339&lt;&gt;""),IF(Y1339&gt;=0.999,1,0),IF(AF1339&gt;=U1339,1,0))))</f>
        <v/>
      </c>
      <c r="AH1339" s="44">
        <f>IF(AF1339&gt;0,(AD1339-AE1339)/AF1339,"")</f>
        <v/>
      </c>
      <c r="AI1339" s="45">
        <f>IF(AG1339=1,AH1339-O1339,"")</f>
        <v/>
      </c>
      <c r="AJ1339" s="44">
        <f>IF(AG1339=1,AH1339,MAX(-1,MIN(1,O1339+INDEX(Types!$H:$H,MATCH($A1339&amp;"|"&amp;$D1339,Types!$A:$A,0)))))</f>
        <v/>
      </c>
      <c r="AK1339" s="43">
        <f>IF(AG1339=1,AF1339,MAX(AQ1339*AS1339,AF1339))</f>
        <v/>
      </c>
      <c r="AL1339" s="43">
        <f>IF(AG1339=1,AD1339,AK1339*(1+AJ1339)/2)</f>
        <v/>
      </c>
      <c r="AM1339" s="43">
        <f>IF(AG1339=1,AE1339,AK1339*(1-AJ1339)/2)</f>
        <v/>
      </c>
      <c r="AN1339" s="45">
        <f>IF(AH1339="","",AH1339-T1339)</f>
        <v/>
      </c>
      <c r="AO1339" s="51">
        <f>IF(AG1339=1,1,IF(U1339&gt;0,MIN(AF1339/U1339,0.99),0))</f>
        <v/>
      </c>
      <c r="AP1339" s="43">
        <f>IF(AG1339=1,AI1339*AF1339,0)</f>
        <v/>
      </c>
      <c r="AQ1339" s="43">
        <f>N1339*(F1339+G1339)/H1339</f>
        <v/>
      </c>
      <c r="AR1339" s="43">
        <f>O1339*AQ1339</f>
        <v/>
      </c>
      <c r="AS1339" s="52">
        <f>IF(AG1339=1,IF(AQ1339&gt;0,AF1339/AQ1339,1),IFERROR(INDEX(Types!$K:$K,MATCH($A1339&amp;"|"&amp;$D1339,Types!$A:$A,0)),INDEX(Dashboard!$X$6:$X$22,MATCH($A1339,Dashboard!$A$6:$A$22,0))))</f>
        <v/>
      </c>
      <c r="AT1339" s="43">
        <f>AQ1339*INDEX(Dashboard!$Y$6:$Y$22,MATCH($A1339,Dashboard!$A$6:$A$22,0))</f>
        <v/>
      </c>
      <c r="AU1339" s="53">
        <f>IF(AND(AG1339=1,AT1339&gt;0,AF1339&gt;0),100*AF1339/AT1339,"")</f>
        <v/>
      </c>
      <c r="AV1339" s="44">
        <f>IF(AU1339="","",T1339/(AU1339/100))</f>
        <v/>
      </c>
      <c r="AW1339" s="53">
        <f>IF(AU1339="","",IF(AND(ABS(AH1339)&gt;=0.1,ABS(T1339)&gt;=0.05,SIGN(AH1339)=SIGN(T1339)),100*T1339/AH1339,""))</f>
        <v/>
      </c>
      <c r="AX1339" s="45">
        <f>IF(AU1339="","",T1339-AV1339)</f>
        <v/>
      </c>
      <c r="AY1339" s="45">
        <f>IF(AU1339="","",AH1339-AV1339)</f>
        <v/>
      </c>
      <c r="AZ1339" s="54">
        <f>(AL1339-AM1339)-T1339*AT1339</f>
        <v/>
      </c>
      <c r="BA1339" s="43">
        <f>IF(AU1339="",0,(AH1339-T1339)*AF1339)</f>
        <v/>
      </c>
      <c r="BB1339" s="43">
        <f>IF(AU1339="",0,T1339*(AF1339-AT1339))</f>
        <v/>
      </c>
      <c r="BC1339" s="51" t="n">
        <v>0.04774623947243984</v>
      </c>
      <c r="BD1339" s="51" t="n">
        <v>0.04195688013597965</v>
      </c>
      <c r="BE1339" s="51" t="n">
        <v>0.2328240957992248</v>
      </c>
      <c r="BF1339" s="43" t="n">
        <v>78247</v>
      </c>
    </row>
    <row r="1340">
      <c r="A1340" s="42" t="inlineStr">
        <is>
          <t>VA</t>
        </is>
      </c>
      <c r="B1340" s="42" t="inlineStr">
        <is>
          <t>51017</t>
        </is>
      </c>
      <c r="C1340" s="42" t="inlineStr">
        <is>
          <t>Bath</t>
        </is>
      </c>
      <c r="D1340" s="42" t="inlineStr">
        <is>
          <t>Small town &amp; rural</t>
        </is>
      </c>
      <c r="E1340" s="42" t="inlineStr"/>
      <c r="F1340" s="43" t="n">
        <v>588</v>
      </c>
      <c r="G1340" s="43" t="n">
        <v>1976</v>
      </c>
      <c r="H1340" s="43" t="n">
        <v>2582</v>
      </c>
      <c r="I1340" s="43" t="n">
        <v>646</v>
      </c>
      <c r="J1340" s="43" t="n">
        <v>1834</v>
      </c>
      <c r="K1340" s="42" t="inlineStr">
        <is>
          <t>US House</t>
        </is>
      </c>
      <c r="L1340" s="43" t="n">
        <v>358</v>
      </c>
      <c r="M1340" s="43" t="n">
        <v>1330</v>
      </c>
      <c r="N1340" s="43" t="n">
        <v>1691</v>
      </c>
      <c r="O1340" s="44">
        <f>IFERROR((F1340-G1340)/(F1340+G1340),"")</f>
        <v/>
      </c>
      <c r="P1340" s="44">
        <f>IFERROR((I1340-J1340)/(I1340+J1340),"")</f>
        <v/>
      </c>
      <c r="Q1340" s="45">
        <f>IFERROR(O1340-P1340,"")</f>
        <v/>
      </c>
      <c r="R1340" s="44">
        <f>IFERROR((L1340-M1340)/(L1340+M1340),"")</f>
        <v/>
      </c>
      <c r="S1340" s="46">
        <f>H1340/SUMIFS(Counties!$H$2:$H$1583,Counties!$A$2:$A$1583,$A1340)</f>
        <v/>
      </c>
      <c r="T1340" s="44">
        <f>O1340+INDEX(Dashboard!$F$6:$F$22,MATCH($A1340,Dashboard!$A$6:$A$22,0))</f>
        <v/>
      </c>
      <c r="U1340" s="43">
        <f>AQ1340*INDEX(Dashboard!$G$6:$G$22,MATCH($A1340,Dashboard!$A$6:$A$22,0))</f>
        <v/>
      </c>
      <c r="V1340" s="47" t="n"/>
      <c r="W1340" s="47" t="n"/>
      <c r="X1340" s="47" t="n"/>
      <c r="Y1340" s="48" t="n"/>
      <c r="Z1340" s="49" t="n"/>
      <c r="AA1340" s="49" t="n"/>
      <c r="AB1340" s="49" t="n"/>
      <c r="AC1340" s="50" t="n"/>
      <c r="AD1340" s="43">
        <f>IF(Z1340&lt;&gt;"",Z1340,N(V1340))</f>
        <v/>
      </c>
      <c r="AE1340" s="43">
        <f>IF(AA1340&lt;&gt;"",AA1340,N(W1340))</f>
        <v/>
      </c>
      <c r="AF1340" s="43">
        <f>AD1340+AE1340</f>
        <v/>
      </c>
      <c r="AG1340" s="42">
        <f>IF(UPPER(AC1340)="Y",1,IF(AF1340=0,0,IF(AND(Z1340="",Y1340&lt;&gt;""),IF(Y1340&gt;=0.999,1,0),IF(AF1340&gt;=U1340,1,0))))</f>
        <v/>
      </c>
      <c r="AH1340" s="44">
        <f>IF(AF1340&gt;0,(AD1340-AE1340)/AF1340,"")</f>
        <v/>
      </c>
      <c r="AI1340" s="45">
        <f>IF(AG1340=1,AH1340-O1340,"")</f>
        <v/>
      </c>
      <c r="AJ1340" s="44">
        <f>IF(AG1340=1,AH1340,MAX(-1,MIN(1,O1340+INDEX(Types!$H:$H,MATCH($A1340&amp;"|"&amp;$D1340,Types!$A:$A,0)))))</f>
        <v/>
      </c>
      <c r="AK1340" s="43">
        <f>IF(AG1340=1,AF1340,MAX(AQ1340*AS1340,AF1340))</f>
        <v/>
      </c>
      <c r="AL1340" s="43">
        <f>IF(AG1340=1,AD1340,AK1340*(1+AJ1340)/2)</f>
        <v/>
      </c>
      <c r="AM1340" s="43">
        <f>IF(AG1340=1,AE1340,AK1340*(1-AJ1340)/2)</f>
        <v/>
      </c>
      <c r="AN1340" s="45">
        <f>IF(AH1340="","",AH1340-T1340)</f>
        <v/>
      </c>
      <c r="AO1340" s="51">
        <f>IF(AG1340=1,1,IF(U1340&gt;0,MIN(AF1340/U1340,0.99),0))</f>
        <v/>
      </c>
      <c r="AP1340" s="43">
        <f>IF(AG1340=1,AI1340*AF1340,0)</f>
        <v/>
      </c>
      <c r="AQ1340" s="43">
        <f>N1340*(F1340+G1340)/H1340</f>
        <v/>
      </c>
      <c r="AR1340" s="43">
        <f>O1340*AQ1340</f>
        <v/>
      </c>
      <c r="AS1340" s="52">
        <f>IF(AG1340=1,IF(AQ1340&gt;0,AF1340/AQ1340,1),IFERROR(INDEX(Types!$K:$K,MATCH($A1340&amp;"|"&amp;$D1340,Types!$A:$A,0)),INDEX(Dashboard!$X$6:$X$22,MATCH($A1340,Dashboard!$A$6:$A$22,0))))</f>
        <v/>
      </c>
      <c r="AT1340" s="43">
        <f>AQ1340*INDEX(Dashboard!$Y$6:$Y$22,MATCH($A1340,Dashboard!$A$6:$A$22,0))</f>
        <v/>
      </c>
      <c r="AU1340" s="53">
        <f>IF(AND(AG1340=1,AT1340&gt;0,AF1340&gt;0),100*AF1340/AT1340,"")</f>
        <v/>
      </c>
      <c r="AV1340" s="44">
        <f>IF(AU1340="","",T1340/(AU1340/100))</f>
        <v/>
      </c>
      <c r="AW1340" s="53">
        <f>IF(AU1340="","",IF(AND(ABS(AH1340)&gt;=0.1,ABS(T1340)&gt;=0.05,SIGN(AH1340)=SIGN(T1340)),100*T1340/AH1340,""))</f>
        <v/>
      </c>
      <c r="AX1340" s="45">
        <f>IF(AU1340="","",T1340-AV1340)</f>
        <v/>
      </c>
      <c r="AY1340" s="45">
        <f>IF(AU1340="","",AH1340-AV1340)</f>
        <v/>
      </c>
      <c r="AZ1340" s="54">
        <f>(AL1340-AM1340)-T1340*AT1340</f>
        <v/>
      </c>
      <c r="BA1340" s="43">
        <f>IF(AU1340="",0,(AH1340-T1340)*AF1340)</f>
        <v/>
      </c>
      <c r="BB1340" s="43">
        <f>IF(AU1340="",0,T1340*(AF1340-AT1340))</f>
        <v/>
      </c>
      <c r="BC1340" s="51" t="n">
        <v>0.03381881017032831</v>
      </c>
      <c r="BD1340" s="51" t="n">
        <v>0.02369785238212787</v>
      </c>
      <c r="BE1340" s="51" t="n">
        <v>0.1555346503606146</v>
      </c>
      <c r="BF1340" s="43" t="n">
        <v>4051</v>
      </c>
    </row>
    <row r="1341">
      <c r="A1341" s="42" t="inlineStr">
        <is>
          <t>VA</t>
        </is>
      </c>
      <c r="B1341" s="42" t="inlineStr">
        <is>
          <t>51019</t>
        </is>
      </c>
      <c r="C1341" s="42" t="inlineStr">
        <is>
          <t>Bedford</t>
        </is>
      </c>
      <c r="D1341" s="42" t="inlineStr">
        <is>
          <t>Small town &amp; rural</t>
        </is>
      </c>
      <c r="E1341" s="42" t="inlineStr">
        <is>
          <t>★</t>
        </is>
      </c>
      <c r="F1341" s="43" t="n">
        <v>12414</v>
      </c>
      <c r="G1341" s="43" t="n">
        <v>38017</v>
      </c>
      <c r="H1341" s="43" t="n">
        <v>50830</v>
      </c>
      <c r="I1341" s="43" t="n">
        <v>12176</v>
      </c>
      <c r="J1341" s="43" t="n">
        <v>35600</v>
      </c>
      <c r="K1341" s="42" t="inlineStr">
        <is>
          <t>US House</t>
        </is>
      </c>
      <c r="L1341" s="43" t="n">
        <v>7389</v>
      </c>
      <c r="M1341" s="43" t="n">
        <v>26254</v>
      </c>
      <c r="N1341" s="43" t="n">
        <v>33688</v>
      </c>
      <c r="O1341" s="44">
        <f>IFERROR((F1341-G1341)/(F1341+G1341),"")</f>
        <v/>
      </c>
      <c r="P1341" s="44">
        <f>IFERROR((I1341-J1341)/(I1341+J1341),"")</f>
        <v/>
      </c>
      <c r="Q1341" s="45">
        <f>IFERROR(O1341-P1341,"")</f>
        <v/>
      </c>
      <c r="R1341" s="44">
        <f>IFERROR((L1341-M1341)/(L1341+M1341),"")</f>
        <v/>
      </c>
      <c r="S1341" s="46">
        <f>H1341/SUMIFS(Counties!$H$2:$H$1583,Counties!$A$2:$A$1583,$A1341)</f>
        <v/>
      </c>
      <c r="T1341" s="44">
        <f>O1341+INDEX(Dashboard!$F$6:$F$22,MATCH($A1341,Dashboard!$A$6:$A$22,0))</f>
        <v/>
      </c>
      <c r="U1341" s="43">
        <f>AQ1341*INDEX(Dashboard!$G$6:$G$22,MATCH($A1341,Dashboard!$A$6:$A$22,0))</f>
        <v/>
      </c>
      <c r="V1341" s="47" t="n"/>
      <c r="W1341" s="47" t="n"/>
      <c r="X1341" s="47" t="n"/>
      <c r="Y1341" s="48" t="n"/>
      <c r="Z1341" s="49" t="n"/>
      <c r="AA1341" s="49" t="n"/>
      <c r="AB1341" s="49" t="n"/>
      <c r="AC1341" s="50" t="n"/>
      <c r="AD1341" s="43">
        <f>IF(Z1341&lt;&gt;"",Z1341,N(V1341))</f>
        <v/>
      </c>
      <c r="AE1341" s="43">
        <f>IF(AA1341&lt;&gt;"",AA1341,N(W1341))</f>
        <v/>
      </c>
      <c r="AF1341" s="43">
        <f>AD1341+AE1341</f>
        <v/>
      </c>
      <c r="AG1341" s="42">
        <f>IF(UPPER(AC1341)="Y",1,IF(AF1341=0,0,IF(AND(Z1341="",Y1341&lt;&gt;""),IF(Y1341&gt;=0.999,1,0),IF(AF1341&gt;=U1341,1,0))))</f>
        <v/>
      </c>
      <c r="AH1341" s="44">
        <f>IF(AF1341&gt;0,(AD1341-AE1341)/AF1341,"")</f>
        <v/>
      </c>
      <c r="AI1341" s="45">
        <f>IF(AG1341=1,AH1341-O1341,"")</f>
        <v/>
      </c>
      <c r="AJ1341" s="44">
        <f>IF(AG1341=1,AH1341,MAX(-1,MIN(1,O1341+INDEX(Types!$H:$H,MATCH($A1341&amp;"|"&amp;$D1341,Types!$A:$A,0)))))</f>
        <v/>
      </c>
      <c r="AK1341" s="43">
        <f>IF(AG1341=1,AF1341,MAX(AQ1341*AS1341,AF1341))</f>
        <v/>
      </c>
      <c r="AL1341" s="43">
        <f>IF(AG1341=1,AD1341,AK1341*(1+AJ1341)/2)</f>
        <v/>
      </c>
      <c r="AM1341" s="43">
        <f>IF(AG1341=1,AE1341,AK1341*(1-AJ1341)/2)</f>
        <v/>
      </c>
      <c r="AN1341" s="45">
        <f>IF(AH1341="","",AH1341-T1341)</f>
        <v/>
      </c>
      <c r="AO1341" s="51">
        <f>IF(AG1341=1,1,IF(U1341&gt;0,MIN(AF1341/U1341,0.99),0))</f>
        <v/>
      </c>
      <c r="AP1341" s="43">
        <f>IF(AG1341=1,AI1341*AF1341,0)</f>
        <v/>
      </c>
      <c r="AQ1341" s="43">
        <f>N1341*(F1341+G1341)/H1341</f>
        <v/>
      </c>
      <c r="AR1341" s="43">
        <f>O1341*AQ1341</f>
        <v/>
      </c>
      <c r="AS1341" s="52">
        <f>IF(AG1341=1,IF(AQ1341&gt;0,AF1341/AQ1341,1),IFERROR(INDEX(Types!$K:$K,MATCH($A1341&amp;"|"&amp;$D1341,Types!$A:$A,0)),INDEX(Dashboard!$X$6:$X$22,MATCH($A1341,Dashboard!$A$6:$A$22,0))))</f>
        <v/>
      </c>
      <c r="AT1341" s="43">
        <f>AQ1341*INDEX(Dashboard!$Y$6:$Y$22,MATCH($A1341,Dashboard!$A$6:$A$22,0))</f>
        <v/>
      </c>
      <c r="AU1341" s="53">
        <f>IF(AND(AG1341=1,AT1341&gt;0,AF1341&gt;0),100*AF1341/AT1341,"")</f>
        <v/>
      </c>
      <c r="AV1341" s="44">
        <f>IF(AU1341="","",T1341/(AU1341/100))</f>
        <v/>
      </c>
      <c r="AW1341" s="53">
        <f>IF(AU1341="","",IF(AND(ABS(AH1341)&gt;=0.1,ABS(T1341)&gt;=0.05,SIGN(AH1341)=SIGN(T1341)),100*T1341/AH1341,""))</f>
        <v/>
      </c>
      <c r="AX1341" s="45">
        <f>IF(AU1341="","",T1341-AV1341)</f>
        <v/>
      </c>
      <c r="AY1341" s="45">
        <f>IF(AU1341="","",AH1341-AV1341)</f>
        <v/>
      </c>
      <c r="AZ1341" s="54">
        <f>(AL1341-AM1341)-T1341*AT1341</f>
        <v/>
      </c>
      <c r="BA1341" s="43">
        <f>IF(AU1341="",0,(AH1341-T1341)*AF1341)</f>
        <v/>
      </c>
      <c r="BB1341" s="43">
        <f>IF(AU1341="",0,T1341*(AF1341-AT1341))</f>
        <v/>
      </c>
      <c r="BC1341" s="51" t="n">
        <v>0.06974547684759276</v>
      </c>
      <c r="BD1341" s="51" t="n">
        <v>0.02953695185525912</v>
      </c>
      <c r="BE1341" s="51" t="n">
        <v>0.3364661333515275</v>
      </c>
      <c r="BF1341" s="43" t="n">
        <v>81525</v>
      </c>
    </row>
    <row r="1342">
      <c r="A1342" s="42" t="inlineStr">
        <is>
          <t>VA</t>
        </is>
      </c>
      <c r="B1342" s="42" t="inlineStr">
        <is>
          <t>51021</t>
        </is>
      </c>
      <c r="C1342" s="42" t="inlineStr">
        <is>
          <t>Bland</t>
        </is>
      </c>
      <c r="D1342" s="42" t="inlineStr">
        <is>
          <t>Small town &amp; rural</t>
        </is>
      </c>
      <c r="E1342" s="42" t="inlineStr"/>
      <c r="F1342" s="43" t="n">
        <v>524</v>
      </c>
      <c r="G1342" s="43" t="n">
        <v>2998</v>
      </c>
      <c r="H1342" s="43" t="n">
        <v>3548</v>
      </c>
      <c r="I1342" s="43" t="n">
        <v>532</v>
      </c>
      <c r="J1342" s="43" t="n">
        <v>2903</v>
      </c>
      <c r="K1342" s="42" t="inlineStr">
        <is>
          <t>US House</t>
        </is>
      </c>
      <c r="L1342" s="43" t="n">
        <v>296</v>
      </c>
      <c r="M1342" s="43" t="n">
        <v>1922</v>
      </c>
      <c r="N1342" s="43" t="n">
        <v>2225</v>
      </c>
      <c r="O1342" s="44">
        <f>IFERROR((F1342-G1342)/(F1342+G1342),"")</f>
        <v/>
      </c>
      <c r="P1342" s="44">
        <f>IFERROR((I1342-J1342)/(I1342+J1342),"")</f>
        <v/>
      </c>
      <c r="Q1342" s="45">
        <f>IFERROR(O1342-P1342,"")</f>
        <v/>
      </c>
      <c r="R1342" s="44">
        <f>IFERROR((L1342-M1342)/(L1342+M1342),"")</f>
        <v/>
      </c>
      <c r="S1342" s="46">
        <f>H1342/SUMIFS(Counties!$H$2:$H$1583,Counties!$A$2:$A$1583,$A1342)</f>
        <v/>
      </c>
      <c r="T1342" s="44">
        <f>O1342+INDEX(Dashboard!$F$6:$F$22,MATCH($A1342,Dashboard!$A$6:$A$22,0))</f>
        <v/>
      </c>
      <c r="U1342" s="43">
        <f>AQ1342*INDEX(Dashboard!$G$6:$G$22,MATCH($A1342,Dashboard!$A$6:$A$22,0))</f>
        <v/>
      </c>
      <c r="V1342" s="47" t="n"/>
      <c r="W1342" s="47" t="n"/>
      <c r="X1342" s="47" t="n"/>
      <c r="Y1342" s="48" t="n"/>
      <c r="Z1342" s="49" t="n"/>
      <c r="AA1342" s="49" t="n"/>
      <c r="AB1342" s="49" t="n"/>
      <c r="AC1342" s="50" t="n"/>
      <c r="AD1342" s="43">
        <f>IF(Z1342&lt;&gt;"",Z1342,N(V1342))</f>
        <v/>
      </c>
      <c r="AE1342" s="43">
        <f>IF(AA1342&lt;&gt;"",AA1342,N(W1342))</f>
        <v/>
      </c>
      <c r="AF1342" s="43">
        <f>AD1342+AE1342</f>
        <v/>
      </c>
      <c r="AG1342" s="42">
        <f>IF(UPPER(AC1342)="Y",1,IF(AF1342=0,0,IF(AND(Z1342="",Y1342&lt;&gt;""),IF(Y1342&gt;=0.999,1,0),IF(AF1342&gt;=U1342,1,0))))</f>
        <v/>
      </c>
      <c r="AH1342" s="44">
        <f>IF(AF1342&gt;0,(AD1342-AE1342)/AF1342,"")</f>
        <v/>
      </c>
      <c r="AI1342" s="45">
        <f>IF(AG1342=1,AH1342-O1342,"")</f>
        <v/>
      </c>
      <c r="AJ1342" s="44">
        <f>IF(AG1342=1,AH1342,MAX(-1,MIN(1,O1342+INDEX(Types!$H:$H,MATCH($A1342&amp;"|"&amp;$D1342,Types!$A:$A,0)))))</f>
        <v/>
      </c>
      <c r="AK1342" s="43">
        <f>IF(AG1342=1,AF1342,MAX(AQ1342*AS1342,AF1342))</f>
        <v/>
      </c>
      <c r="AL1342" s="43">
        <f>IF(AG1342=1,AD1342,AK1342*(1+AJ1342)/2)</f>
        <v/>
      </c>
      <c r="AM1342" s="43">
        <f>IF(AG1342=1,AE1342,AK1342*(1-AJ1342)/2)</f>
        <v/>
      </c>
      <c r="AN1342" s="45">
        <f>IF(AH1342="","",AH1342-T1342)</f>
        <v/>
      </c>
      <c r="AO1342" s="51">
        <f>IF(AG1342=1,1,IF(U1342&gt;0,MIN(AF1342/U1342,0.99),0))</f>
        <v/>
      </c>
      <c r="AP1342" s="43">
        <f>IF(AG1342=1,AI1342*AF1342,0)</f>
        <v/>
      </c>
      <c r="AQ1342" s="43">
        <f>N1342*(F1342+G1342)/H1342</f>
        <v/>
      </c>
      <c r="AR1342" s="43">
        <f>O1342*AQ1342</f>
        <v/>
      </c>
      <c r="AS1342" s="52">
        <f>IF(AG1342=1,IF(AQ1342&gt;0,AF1342/AQ1342,1),IFERROR(INDEX(Types!$K:$K,MATCH($A1342&amp;"|"&amp;$D1342,Types!$A:$A,0)),INDEX(Dashboard!$X$6:$X$22,MATCH($A1342,Dashboard!$A$6:$A$22,0))))</f>
        <v/>
      </c>
      <c r="AT1342" s="43">
        <f>AQ1342*INDEX(Dashboard!$Y$6:$Y$22,MATCH($A1342,Dashboard!$A$6:$A$22,0))</f>
        <v/>
      </c>
      <c r="AU1342" s="53">
        <f>IF(AND(AG1342=1,AT1342&gt;0,AF1342&gt;0),100*AF1342/AT1342,"")</f>
        <v/>
      </c>
      <c r="AV1342" s="44">
        <f>IF(AU1342="","",T1342/(AU1342/100))</f>
        <v/>
      </c>
      <c r="AW1342" s="53">
        <f>IF(AU1342="","",IF(AND(ABS(AH1342)&gt;=0.1,ABS(T1342)&gt;=0.05,SIGN(AH1342)=SIGN(T1342)),100*T1342/AH1342,""))</f>
        <v/>
      </c>
      <c r="AX1342" s="45">
        <f>IF(AU1342="","",T1342-AV1342)</f>
        <v/>
      </c>
      <c r="AY1342" s="45">
        <f>IF(AU1342="","",AH1342-AV1342)</f>
        <v/>
      </c>
      <c r="AZ1342" s="54">
        <f>(AL1342-AM1342)-T1342*AT1342</f>
        <v/>
      </c>
      <c r="BA1342" s="43">
        <f>IF(AU1342="",0,(AH1342-T1342)*AF1342)</f>
        <v/>
      </c>
      <c r="BB1342" s="43">
        <f>IF(AU1342="",0,T1342*(AF1342-AT1342))</f>
        <v/>
      </c>
      <c r="BC1342" s="51" t="n">
        <v>0.04191616766467066</v>
      </c>
      <c r="BD1342" s="51" t="n">
        <v>0.01294707881534229</v>
      </c>
      <c r="BE1342" s="51" t="n">
        <v>0.1544440015942607</v>
      </c>
      <c r="BF1342" s="43" t="n">
        <v>6179</v>
      </c>
    </row>
    <row r="1343">
      <c r="A1343" s="42" t="inlineStr">
        <is>
          <t>VA</t>
        </is>
      </c>
      <c r="B1343" s="42" t="inlineStr">
        <is>
          <t>51023</t>
        </is>
      </c>
      <c r="C1343" s="42" t="inlineStr">
        <is>
          <t>Botetourt</t>
        </is>
      </c>
      <c r="D1343" s="42" t="inlineStr">
        <is>
          <t>Small town &amp; rural</t>
        </is>
      </c>
      <c r="E1343" s="42" t="inlineStr"/>
      <c r="F1343" s="43" t="n">
        <v>5915</v>
      </c>
      <c r="G1343" s="43" t="n">
        <v>15796</v>
      </c>
      <c r="H1343" s="43" t="n">
        <v>21893</v>
      </c>
      <c r="I1343" s="43" t="n">
        <v>5700</v>
      </c>
      <c r="J1343" s="43" t="n">
        <v>15099</v>
      </c>
      <c r="K1343" s="42" t="inlineStr">
        <is>
          <t>US House</t>
        </is>
      </c>
      <c r="L1343" s="43" t="n">
        <v>3568</v>
      </c>
      <c r="M1343" s="43" t="n">
        <v>11118</v>
      </c>
      <c r="N1343" s="43" t="n">
        <v>14707</v>
      </c>
      <c r="O1343" s="44">
        <f>IFERROR((F1343-G1343)/(F1343+G1343),"")</f>
        <v/>
      </c>
      <c r="P1343" s="44">
        <f>IFERROR((I1343-J1343)/(I1343+J1343),"")</f>
        <v/>
      </c>
      <c r="Q1343" s="45">
        <f>IFERROR(O1343-P1343,"")</f>
        <v/>
      </c>
      <c r="R1343" s="44">
        <f>IFERROR((L1343-M1343)/(L1343+M1343),"")</f>
        <v/>
      </c>
      <c r="S1343" s="46">
        <f>H1343/SUMIFS(Counties!$H$2:$H$1583,Counties!$A$2:$A$1583,$A1343)</f>
        <v/>
      </c>
      <c r="T1343" s="44">
        <f>O1343+INDEX(Dashboard!$F$6:$F$22,MATCH($A1343,Dashboard!$A$6:$A$22,0))</f>
        <v/>
      </c>
      <c r="U1343" s="43">
        <f>AQ1343*INDEX(Dashboard!$G$6:$G$22,MATCH($A1343,Dashboard!$A$6:$A$22,0))</f>
        <v/>
      </c>
      <c r="V1343" s="47" t="n"/>
      <c r="W1343" s="47" t="n"/>
      <c r="X1343" s="47" t="n"/>
      <c r="Y1343" s="48" t="n"/>
      <c r="Z1343" s="49" t="n"/>
      <c r="AA1343" s="49" t="n"/>
      <c r="AB1343" s="49" t="n"/>
      <c r="AC1343" s="50" t="n"/>
      <c r="AD1343" s="43">
        <f>IF(Z1343&lt;&gt;"",Z1343,N(V1343))</f>
        <v/>
      </c>
      <c r="AE1343" s="43">
        <f>IF(AA1343&lt;&gt;"",AA1343,N(W1343))</f>
        <v/>
      </c>
      <c r="AF1343" s="43">
        <f>AD1343+AE1343</f>
        <v/>
      </c>
      <c r="AG1343" s="42">
        <f>IF(UPPER(AC1343)="Y",1,IF(AF1343=0,0,IF(AND(Z1343="",Y1343&lt;&gt;""),IF(Y1343&gt;=0.999,1,0),IF(AF1343&gt;=U1343,1,0))))</f>
        <v/>
      </c>
      <c r="AH1343" s="44">
        <f>IF(AF1343&gt;0,(AD1343-AE1343)/AF1343,"")</f>
        <v/>
      </c>
      <c r="AI1343" s="45">
        <f>IF(AG1343=1,AH1343-O1343,"")</f>
        <v/>
      </c>
      <c r="AJ1343" s="44">
        <f>IF(AG1343=1,AH1343,MAX(-1,MIN(1,O1343+INDEX(Types!$H:$H,MATCH($A1343&amp;"|"&amp;$D1343,Types!$A:$A,0)))))</f>
        <v/>
      </c>
      <c r="AK1343" s="43">
        <f>IF(AG1343=1,AF1343,MAX(AQ1343*AS1343,AF1343))</f>
        <v/>
      </c>
      <c r="AL1343" s="43">
        <f>IF(AG1343=1,AD1343,AK1343*(1+AJ1343)/2)</f>
        <v/>
      </c>
      <c r="AM1343" s="43">
        <f>IF(AG1343=1,AE1343,AK1343*(1-AJ1343)/2)</f>
        <v/>
      </c>
      <c r="AN1343" s="45">
        <f>IF(AH1343="","",AH1343-T1343)</f>
        <v/>
      </c>
      <c r="AO1343" s="51">
        <f>IF(AG1343=1,1,IF(U1343&gt;0,MIN(AF1343/U1343,0.99),0))</f>
        <v/>
      </c>
      <c r="AP1343" s="43">
        <f>IF(AG1343=1,AI1343*AF1343,0)</f>
        <v/>
      </c>
      <c r="AQ1343" s="43">
        <f>N1343*(F1343+G1343)/H1343</f>
        <v/>
      </c>
      <c r="AR1343" s="43">
        <f>O1343*AQ1343</f>
        <v/>
      </c>
      <c r="AS1343" s="52">
        <f>IF(AG1343=1,IF(AQ1343&gt;0,AF1343/AQ1343,1),IFERROR(INDEX(Types!$K:$K,MATCH($A1343&amp;"|"&amp;$D1343,Types!$A:$A,0)),INDEX(Dashboard!$X$6:$X$22,MATCH($A1343,Dashboard!$A$6:$A$22,0))))</f>
        <v/>
      </c>
      <c r="AT1343" s="43">
        <f>AQ1343*INDEX(Dashboard!$Y$6:$Y$22,MATCH($A1343,Dashboard!$A$6:$A$22,0))</f>
        <v/>
      </c>
      <c r="AU1343" s="53">
        <f>IF(AND(AG1343=1,AT1343&gt;0,AF1343&gt;0),100*AF1343/AT1343,"")</f>
        <v/>
      </c>
      <c r="AV1343" s="44">
        <f>IF(AU1343="","",T1343/(AU1343/100))</f>
        <v/>
      </c>
      <c r="AW1343" s="53">
        <f>IF(AU1343="","",IF(AND(ABS(AH1343)&gt;=0.1,ABS(T1343)&gt;=0.05,SIGN(AH1343)=SIGN(T1343)),100*T1343/AH1343,""))</f>
        <v/>
      </c>
      <c r="AX1343" s="45">
        <f>IF(AU1343="","",T1343-AV1343)</f>
        <v/>
      </c>
      <c r="AY1343" s="45">
        <f>IF(AU1343="","",AH1343-AV1343)</f>
        <v/>
      </c>
      <c r="AZ1343" s="54">
        <f>(AL1343-AM1343)-T1343*AT1343</f>
        <v/>
      </c>
      <c r="BA1343" s="43">
        <f>IF(AU1343="",0,(AH1343-T1343)*AF1343)</f>
        <v/>
      </c>
      <c r="BB1343" s="43">
        <f>IF(AU1343="",0,T1343*(AF1343-AT1343))</f>
        <v/>
      </c>
      <c r="BC1343" s="51" t="n">
        <v>0.03117948717948718</v>
      </c>
      <c r="BD1343" s="51" t="n">
        <v>0.02637362637362637</v>
      </c>
      <c r="BE1343" s="51" t="n">
        <v>0.2751998091375403</v>
      </c>
      <c r="BF1343" s="43" t="n">
        <v>34125</v>
      </c>
    </row>
    <row r="1344">
      <c r="A1344" s="42" t="inlineStr">
        <is>
          <t>VA</t>
        </is>
      </c>
      <c r="B1344" s="42" t="inlineStr">
        <is>
          <t>51520</t>
        </is>
      </c>
      <c r="C1344" s="42" t="inlineStr">
        <is>
          <t>Bristol city</t>
        </is>
      </c>
      <c r="D1344" s="42" t="inlineStr">
        <is>
          <t>Small town &amp; rural</t>
        </is>
      </c>
      <c r="E1344" s="42" t="inlineStr"/>
      <c r="F1344" s="43" t="n">
        <v>2231</v>
      </c>
      <c r="G1344" s="43" t="n">
        <v>5197</v>
      </c>
      <c r="H1344" s="43" t="n">
        <v>7479</v>
      </c>
      <c r="I1344" s="43" t="n">
        <v>2313</v>
      </c>
      <c r="J1344" s="43" t="n">
        <v>5347</v>
      </c>
      <c r="K1344" s="42" t="inlineStr">
        <is>
          <t>US House</t>
        </is>
      </c>
      <c r="L1344" s="43" t="n">
        <v>1259</v>
      </c>
      <c r="M1344" s="43" t="n">
        <v>3130</v>
      </c>
      <c r="N1344" s="43" t="n">
        <v>4403</v>
      </c>
      <c r="O1344" s="44">
        <f>IFERROR((F1344-G1344)/(F1344+G1344),"")</f>
        <v/>
      </c>
      <c r="P1344" s="44">
        <f>IFERROR((I1344-J1344)/(I1344+J1344),"")</f>
        <v/>
      </c>
      <c r="Q1344" s="45">
        <f>IFERROR(O1344-P1344,"")</f>
        <v/>
      </c>
      <c r="R1344" s="44">
        <f>IFERROR((L1344-M1344)/(L1344+M1344),"")</f>
        <v/>
      </c>
      <c r="S1344" s="46">
        <f>H1344/SUMIFS(Counties!$H$2:$H$1583,Counties!$A$2:$A$1583,$A1344)</f>
        <v/>
      </c>
      <c r="T1344" s="44">
        <f>O1344+INDEX(Dashboard!$F$6:$F$22,MATCH($A1344,Dashboard!$A$6:$A$22,0))</f>
        <v/>
      </c>
      <c r="U1344" s="43">
        <f>AQ1344*INDEX(Dashboard!$G$6:$G$22,MATCH($A1344,Dashboard!$A$6:$A$22,0))</f>
        <v/>
      </c>
      <c r="V1344" s="47" t="n"/>
      <c r="W1344" s="47" t="n"/>
      <c r="X1344" s="47" t="n"/>
      <c r="Y1344" s="48" t="n"/>
      <c r="Z1344" s="49" t="n"/>
      <c r="AA1344" s="49" t="n"/>
      <c r="AB1344" s="49" t="n"/>
      <c r="AC1344" s="50" t="n"/>
      <c r="AD1344" s="43">
        <f>IF(Z1344&lt;&gt;"",Z1344,N(V1344))</f>
        <v/>
      </c>
      <c r="AE1344" s="43">
        <f>IF(AA1344&lt;&gt;"",AA1344,N(W1344))</f>
        <v/>
      </c>
      <c r="AF1344" s="43">
        <f>AD1344+AE1344</f>
        <v/>
      </c>
      <c r="AG1344" s="42">
        <f>IF(UPPER(AC1344)="Y",1,IF(AF1344=0,0,IF(AND(Z1344="",Y1344&lt;&gt;""),IF(Y1344&gt;=0.999,1,0),IF(AF1344&gt;=U1344,1,0))))</f>
        <v/>
      </c>
      <c r="AH1344" s="44">
        <f>IF(AF1344&gt;0,(AD1344-AE1344)/AF1344,"")</f>
        <v/>
      </c>
      <c r="AI1344" s="45">
        <f>IF(AG1344=1,AH1344-O1344,"")</f>
        <v/>
      </c>
      <c r="AJ1344" s="44">
        <f>IF(AG1344=1,AH1344,MAX(-1,MIN(1,O1344+INDEX(Types!$H:$H,MATCH($A1344&amp;"|"&amp;$D1344,Types!$A:$A,0)))))</f>
        <v/>
      </c>
      <c r="AK1344" s="43">
        <f>IF(AG1344=1,AF1344,MAX(AQ1344*AS1344,AF1344))</f>
        <v/>
      </c>
      <c r="AL1344" s="43">
        <f>IF(AG1344=1,AD1344,AK1344*(1+AJ1344)/2)</f>
        <v/>
      </c>
      <c r="AM1344" s="43">
        <f>IF(AG1344=1,AE1344,AK1344*(1-AJ1344)/2)</f>
        <v/>
      </c>
      <c r="AN1344" s="45">
        <f>IF(AH1344="","",AH1344-T1344)</f>
        <v/>
      </c>
      <c r="AO1344" s="51">
        <f>IF(AG1344=1,1,IF(U1344&gt;0,MIN(AF1344/U1344,0.99),0))</f>
        <v/>
      </c>
      <c r="AP1344" s="43">
        <f>IF(AG1344=1,AI1344*AF1344,0)</f>
        <v/>
      </c>
      <c r="AQ1344" s="43">
        <f>N1344*(F1344+G1344)/H1344</f>
        <v/>
      </c>
      <c r="AR1344" s="43">
        <f>O1344*AQ1344</f>
        <v/>
      </c>
      <c r="AS1344" s="52">
        <f>IF(AG1344=1,IF(AQ1344&gt;0,AF1344/AQ1344,1),IFERROR(INDEX(Types!$K:$K,MATCH($A1344&amp;"|"&amp;$D1344,Types!$A:$A,0)),INDEX(Dashboard!$X$6:$X$22,MATCH($A1344,Dashboard!$A$6:$A$22,0))))</f>
        <v/>
      </c>
      <c r="AT1344" s="43">
        <f>AQ1344*INDEX(Dashboard!$Y$6:$Y$22,MATCH($A1344,Dashboard!$A$6:$A$22,0))</f>
        <v/>
      </c>
      <c r="AU1344" s="53">
        <f>IF(AND(AG1344=1,AT1344&gt;0,AF1344&gt;0),100*AF1344/AT1344,"")</f>
        <v/>
      </c>
      <c r="AV1344" s="44">
        <f>IF(AU1344="","",T1344/(AU1344/100))</f>
        <v/>
      </c>
      <c r="AW1344" s="53">
        <f>IF(AU1344="","",IF(AND(ABS(AH1344)&gt;=0.1,ABS(T1344)&gt;=0.05,SIGN(AH1344)=SIGN(T1344)),100*T1344/AH1344,""))</f>
        <v/>
      </c>
      <c r="AX1344" s="45">
        <f>IF(AU1344="","",T1344-AV1344)</f>
        <v/>
      </c>
      <c r="AY1344" s="45">
        <f>IF(AU1344="","",AH1344-AV1344)</f>
        <v/>
      </c>
      <c r="AZ1344" s="54">
        <f>(AL1344-AM1344)-T1344*AT1344</f>
        <v/>
      </c>
      <c r="BA1344" s="43">
        <f>IF(AU1344="",0,(AH1344-T1344)*AF1344)</f>
        <v/>
      </c>
      <c r="BB1344" s="43">
        <f>IF(AU1344="",0,T1344*(AF1344-AT1344))</f>
        <v/>
      </c>
      <c r="BC1344" s="51" t="n">
        <v>0.06473493187362409</v>
      </c>
      <c r="BD1344" s="51" t="n">
        <v>0.02885702385910632</v>
      </c>
      <c r="BE1344" s="51" t="n">
        <v>0.2392015706806283</v>
      </c>
      <c r="BF1344" s="43" t="n">
        <v>16807</v>
      </c>
    </row>
    <row r="1345">
      <c r="A1345" s="42" t="inlineStr">
        <is>
          <t>VA</t>
        </is>
      </c>
      <c r="B1345" s="42" t="inlineStr">
        <is>
          <t>51025</t>
        </is>
      </c>
      <c r="C1345" s="42" t="inlineStr">
        <is>
          <t>Brunswick</t>
        </is>
      </c>
      <c r="D1345" s="42" t="inlineStr">
        <is>
          <t>Black Belt</t>
        </is>
      </c>
      <c r="E1345" s="42" t="inlineStr"/>
      <c r="F1345" s="43" t="n">
        <v>4184</v>
      </c>
      <c r="G1345" s="43" t="n">
        <v>3523</v>
      </c>
      <c r="H1345" s="43" t="n">
        <v>7738</v>
      </c>
      <c r="I1345" s="43" t="n">
        <v>4552</v>
      </c>
      <c r="J1345" s="43" t="n">
        <v>3357</v>
      </c>
      <c r="K1345" s="42" t="inlineStr">
        <is>
          <t>US House</t>
        </is>
      </c>
      <c r="L1345" s="43" t="n">
        <v>2791</v>
      </c>
      <c r="M1345" s="43" t="n">
        <v>2450</v>
      </c>
      <c r="N1345" s="43" t="n">
        <v>5246</v>
      </c>
      <c r="O1345" s="44">
        <f>IFERROR((F1345-G1345)/(F1345+G1345),"")</f>
        <v/>
      </c>
      <c r="P1345" s="44">
        <f>IFERROR((I1345-J1345)/(I1345+J1345),"")</f>
        <v/>
      </c>
      <c r="Q1345" s="45">
        <f>IFERROR(O1345-P1345,"")</f>
        <v/>
      </c>
      <c r="R1345" s="44">
        <f>IFERROR((L1345-M1345)/(L1345+M1345),"")</f>
        <v/>
      </c>
      <c r="S1345" s="46">
        <f>H1345/SUMIFS(Counties!$H$2:$H$1583,Counties!$A$2:$A$1583,$A1345)</f>
        <v/>
      </c>
      <c r="T1345" s="44">
        <f>O1345+INDEX(Dashboard!$F$6:$F$22,MATCH($A1345,Dashboard!$A$6:$A$22,0))</f>
        <v/>
      </c>
      <c r="U1345" s="43">
        <f>AQ1345*INDEX(Dashboard!$G$6:$G$22,MATCH($A1345,Dashboard!$A$6:$A$22,0))</f>
        <v/>
      </c>
      <c r="V1345" s="47" t="n"/>
      <c r="W1345" s="47" t="n"/>
      <c r="X1345" s="47" t="n"/>
      <c r="Y1345" s="48" t="n"/>
      <c r="Z1345" s="49" t="n"/>
      <c r="AA1345" s="49" t="n"/>
      <c r="AB1345" s="49" t="n"/>
      <c r="AC1345" s="50" t="n"/>
      <c r="AD1345" s="43">
        <f>IF(Z1345&lt;&gt;"",Z1345,N(V1345))</f>
        <v/>
      </c>
      <c r="AE1345" s="43">
        <f>IF(AA1345&lt;&gt;"",AA1345,N(W1345))</f>
        <v/>
      </c>
      <c r="AF1345" s="43">
        <f>AD1345+AE1345</f>
        <v/>
      </c>
      <c r="AG1345" s="42">
        <f>IF(UPPER(AC1345)="Y",1,IF(AF1345=0,0,IF(AND(Z1345="",Y1345&lt;&gt;""),IF(Y1345&gt;=0.999,1,0),IF(AF1345&gt;=U1345,1,0))))</f>
        <v/>
      </c>
      <c r="AH1345" s="44">
        <f>IF(AF1345&gt;0,(AD1345-AE1345)/AF1345,"")</f>
        <v/>
      </c>
      <c r="AI1345" s="45">
        <f>IF(AG1345=1,AH1345-O1345,"")</f>
        <v/>
      </c>
      <c r="AJ1345" s="44">
        <f>IF(AG1345=1,AH1345,MAX(-1,MIN(1,O1345+INDEX(Types!$H:$H,MATCH($A1345&amp;"|"&amp;$D1345,Types!$A:$A,0)))))</f>
        <v/>
      </c>
      <c r="AK1345" s="43">
        <f>IF(AG1345=1,AF1345,MAX(AQ1345*AS1345,AF1345))</f>
        <v/>
      </c>
      <c r="AL1345" s="43">
        <f>IF(AG1345=1,AD1345,AK1345*(1+AJ1345)/2)</f>
        <v/>
      </c>
      <c r="AM1345" s="43">
        <f>IF(AG1345=1,AE1345,AK1345*(1-AJ1345)/2)</f>
        <v/>
      </c>
      <c r="AN1345" s="45">
        <f>IF(AH1345="","",AH1345-T1345)</f>
        <v/>
      </c>
      <c r="AO1345" s="51">
        <f>IF(AG1345=1,1,IF(U1345&gt;0,MIN(AF1345/U1345,0.99),0))</f>
        <v/>
      </c>
      <c r="AP1345" s="43">
        <f>IF(AG1345=1,AI1345*AF1345,0)</f>
        <v/>
      </c>
      <c r="AQ1345" s="43">
        <f>N1345*(F1345+G1345)/H1345</f>
        <v/>
      </c>
      <c r="AR1345" s="43">
        <f>O1345*AQ1345</f>
        <v/>
      </c>
      <c r="AS1345" s="52">
        <f>IF(AG1345=1,IF(AQ1345&gt;0,AF1345/AQ1345,1),IFERROR(INDEX(Types!$K:$K,MATCH($A1345&amp;"|"&amp;$D1345,Types!$A:$A,0)),INDEX(Dashboard!$X$6:$X$22,MATCH($A1345,Dashboard!$A$6:$A$22,0))))</f>
        <v/>
      </c>
      <c r="AT1345" s="43">
        <f>AQ1345*INDEX(Dashboard!$Y$6:$Y$22,MATCH($A1345,Dashboard!$A$6:$A$22,0))</f>
        <v/>
      </c>
      <c r="AU1345" s="53">
        <f>IF(AND(AG1345=1,AT1345&gt;0,AF1345&gt;0),100*AF1345/AT1345,"")</f>
        <v/>
      </c>
      <c r="AV1345" s="44">
        <f>IF(AU1345="","",T1345/(AU1345/100))</f>
        <v/>
      </c>
      <c r="AW1345" s="53">
        <f>IF(AU1345="","",IF(AND(ABS(AH1345)&gt;=0.1,ABS(T1345)&gt;=0.05,SIGN(AH1345)=SIGN(T1345)),100*T1345/AH1345,""))</f>
        <v/>
      </c>
      <c r="AX1345" s="45">
        <f>IF(AU1345="","",T1345-AV1345)</f>
        <v/>
      </c>
      <c r="AY1345" s="45">
        <f>IF(AU1345="","",AH1345-AV1345)</f>
        <v/>
      </c>
      <c r="AZ1345" s="54">
        <f>(AL1345-AM1345)-T1345*AT1345</f>
        <v/>
      </c>
      <c r="BA1345" s="43">
        <f>IF(AU1345="",0,(AH1345-T1345)*AF1345)</f>
        <v/>
      </c>
      <c r="BB1345" s="43">
        <f>IF(AU1345="",0,T1345*(AF1345-AT1345))</f>
        <v/>
      </c>
      <c r="BC1345" s="51" t="n">
        <v>0.5270175884183123</v>
      </c>
      <c r="BD1345" s="51" t="n">
        <v>0.03009714902533494</v>
      </c>
      <c r="BE1345" s="51" t="n">
        <v>0.1561616497588558</v>
      </c>
      <c r="BF1345" s="43" t="n">
        <v>15749</v>
      </c>
    </row>
    <row r="1346">
      <c r="A1346" s="42" t="inlineStr">
        <is>
          <t>VA</t>
        </is>
      </c>
      <c r="B1346" s="42" t="inlineStr">
        <is>
          <t>51027</t>
        </is>
      </c>
      <c r="C1346" s="42" t="inlineStr">
        <is>
          <t>Buchanan</t>
        </is>
      </c>
      <c r="D1346" s="42" t="inlineStr">
        <is>
          <t>Small town &amp; rural</t>
        </is>
      </c>
      <c r="E1346" s="42" t="inlineStr"/>
      <c r="F1346" s="43" t="n">
        <v>1355</v>
      </c>
      <c r="G1346" s="43" t="n">
        <v>7939</v>
      </c>
      <c r="H1346" s="43" t="n">
        <v>9327</v>
      </c>
      <c r="I1346" s="43" t="n">
        <v>1587</v>
      </c>
      <c r="J1346" s="43" t="n">
        <v>8311</v>
      </c>
      <c r="K1346" s="42" t="inlineStr">
        <is>
          <t>US House</t>
        </is>
      </c>
      <c r="L1346" s="43" t="n">
        <v>767</v>
      </c>
      <c r="M1346" s="43" t="n">
        <v>3969</v>
      </c>
      <c r="N1346" s="43" t="n">
        <v>4745</v>
      </c>
      <c r="O1346" s="44">
        <f>IFERROR((F1346-G1346)/(F1346+G1346),"")</f>
        <v/>
      </c>
      <c r="P1346" s="44">
        <f>IFERROR((I1346-J1346)/(I1346+J1346),"")</f>
        <v/>
      </c>
      <c r="Q1346" s="45">
        <f>IFERROR(O1346-P1346,"")</f>
        <v/>
      </c>
      <c r="R1346" s="44">
        <f>IFERROR((L1346-M1346)/(L1346+M1346),"")</f>
        <v/>
      </c>
      <c r="S1346" s="46">
        <f>H1346/SUMIFS(Counties!$H$2:$H$1583,Counties!$A$2:$A$1583,$A1346)</f>
        <v/>
      </c>
      <c r="T1346" s="44">
        <f>O1346+INDEX(Dashboard!$F$6:$F$22,MATCH($A1346,Dashboard!$A$6:$A$22,0))</f>
        <v/>
      </c>
      <c r="U1346" s="43">
        <f>AQ1346*INDEX(Dashboard!$G$6:$G$22,MATCH($A1346,Dashboard!$A$6:$A$22,0))</f>
        <v/>
      </c>
      <c r="V1346" s="47" t="n"/>
      <c r="W1346" s="47" t="n"/>
      <c r="X1346" s="47" t="n"/>
      <c r="Y1346" s="48" t="n"/>
      <c r="Z1346" s="49" t="n"/>
      <c r="AA1346" s="49" t="n"/>
      <c r="AB1346" s="49" t="n"/>
      <c r="AC1346" s="50" t="n"/>
      <c r="AD1346" s="43">
        <f>IF(Z1346&lt;&gt;"",Z1346,N(V1346))</f>
        <v/>
      </c>
      <c r="AE1346" s="43">
        <f>IF(AA1346&lt;&gt;"",AA1346,N(W1346))</f>
        <v/>
      </c>
      <c r="AF1346" s="43">
        <f>AD1346+AE1346</f>
        <v/>
      </c>
      <c r="AG1346" s="42">
        <f>IF(UPPER(AC1346)="Y",1,IF(AF1346=0,0,IF(AND(Z1346="",Y1346&lt;&gt;""),IF(Y1346&gt;=0.999,1,0),IF(AF1346&gt;=U1346,1,0))))</f>
        <v/>
      </c>
      <c r="AH1346" s="44">
        <f>IF(AF1346&gt;0,(AD1346-AE1346)/AF1346,"")</f>
        <v/>
      </c>
      <c r="AI1346" s="45">
        <f>IF(AG1346=1,AH1346-O1346,"")</f>
        <v/>
      </c>
      <c r="AJ1346" s="44">
        <f>IF(AG1346=1,AH1346,MAX(-1,MIN(1,O1346+INDEX(Types!$H:$H,MATCH($A1346&amp;"|"&amp;$D1346,Types!$A:$A,0)))))</f>
        <v/>
      </c>
      <c r="AK1346" s="43">
        <f>IF(AG1346=1,AF1346,MAX(AQ1346*AS1346,AF1346))</f>
        <v/>
      </c>
      <c r="AL1346" s="43">
        <f>IF(AG1346=1,AD1346,AK1346*(1+AJ1346)/2)</f>
        <v/>
      </c>
      <c r="AM1346" s="43">
        <f>IF(AG1346=1,AE1346,AK1346*(1-AJ1346)/2)</f>
        <v/>
      </c>
      <c r="AN1346" s="45">
        <f>IF(AH1346="","",AH1346-T1346)</f>
        <v/>
      </c>
      <c r="AO1346" s="51">
        <f>IF(AG1346=1,1,IF(U1346&gt;0,MIN(AF1346/U1346,0.99),0))</f>
        <v/>
      </c>
      <c r="AP1346" s="43">
        <f>IF(AG1346=1,AI1346*AF1346,0)</f>
        <v/>
      </c>
      <c r="AQ1346" s="43">
        <f>N1346*(F1346+G1346)/H1346</f>
        <v/>
      </c>
      <c r="AR1346" s="43">
        <f>O1346*AQ1346</f>
        <v/>
      </c>
      <c r="AS1346" s="52">
        <f>IF(AG1346=1,IF(AQ1346&gt;0,AF1346/AQ1346,1),IFERROR(INDEX(Types!$K:$K,MATCH($A1346&amp;"|"&amp;$D1346,Types!$A:$A,0)),INDEX(Dashboard!$X$6:$X$22,MATCH($A1346,Dashboard!$A$6:$A$22,0))))</f>
        <v/>
      </c>
      <c r="AT1346" s="43">
        <f>AQ1346*INDEX(Dashboard!$Y$6:$Y$22,MATCH($A1346,Dashboard!$A$6:$A$22,0))</f>
        <v/>
      </c>
      <c r="AU1346" s="53">
        <f>IF(AND(AG1346=1,AT1346&gt;0,AF1346&gt;0),100*AF1346/AT1346,"")</f>
        <v/>
      </c>
      <c r="AV1346" s="44">
        <f>IF(AU1346="","",T1346/(AU1346/100))</f>
        <v/>
      </c>
      <c r="AW1346" s="53">
        <f>IF(AU1346="","",IF(AND(ABS(AH1346)&gt;=0.1,ABS(T1346)&gt;=0.05,SIGN(AH1346)=SIGN(T1346)),100*T1346/AH1346,""))</f>
        <v/>
      </c>
      <c r="AX1346" s="45">
        <f>IF(AU1346="","",T1346-AV1346)</f>
        <v/>
      </c>
      <c r="AY1346" s="45">
        <f>IF(AU1346="","",AH1346-AV1346)</f>
        <v/>
      </c>
      <c r="AZ1346" s="54">
        <f>(AL1346-AM1346)-T1346*AT1346</f>
        <v/>
      </c>
      <c r="BA1346" s="43">
        <f>IF(AU1346="",0,(AH1346-T1346)*AF1346)</f>
        <v/>
      </c>
      <c r="BB1346" s="43">
        <f>IF(AU1346="",0,T1346*(AF1346-AT1346))</f>
        <v/>
      </c>
      <c r="BC1346" s="51" t="n">
        <v>0.04364226960758631</v>
      </c>
      <c r="BD1346" s="51" t="n">
        <v>0.01168334468486404</v>
      </c>
      <c r="BE1346" s="51" t="n">
        <v>0.1084591547438518</v>
      </c>
      <c r="BF1346" s="43" t="n">
        <v>19087</v>
      </c>
    </row>
    <row r="1347">
      <c r="A1347" s="42" t="inlineStr">
        <is>
          <t>VA</t>
        </is>
      </c>
      <c r="B1347" s="42" t="inlineStr">
        <is>
          <t>51029</t>
        </is>
      </c>
      <c r="C1347" s="42" t="inlineStr">
        <is>
          <t>Buckingham</t>
        </is>
      </c>
      <c r="D1347" s="42" t="inlineStr">
        <is>
          <t>Small town &amp; rural</t>
        </is>
      </c>
      <c r="E1347" s="42" t="inlineStr"/>
      <c r="F1347" s="43" t="n">
        <v>2988</v>
      </c>
      <c r="G1347" s="43" t="n">
        <v>4847</v>
      </c>
      <c r="H1347" s="43" t="n">
        <v>7915</v>
      </c>
      <c r="I1347" s="43" t="n">
        <v>3471</v>
      </c>
      <c r="J1347" s="43" t="n">
        <v>4544</v>
      </c>
      <c r="K1347" s="42" t="inlineStr">
        <is>
          <t>US House</t>
        </is>
      </c>
      <c r="L1347" s="43" t="n">
        <v>1869</v>
      </c>
      <c r="M1347" s="43" t="n">
        <v>3472</v>
      </c>
      <c r="N1347" s="43" t="n">
        <v>5347</v>
      </c>
      <c r="O1347" s="44">
        <f>IFERROR((F1347-G1347)/(F1347+G1347),"")</f>
        <v/>
      </c>
      <c r="P1347" s="44">
        <f>IFERROR((I1347-J1347)/(I1347+J1347),"")</f>
        <v/>
      </c>
      <c r="Q1347" s="45">
        <f>IFERROR(O1347-P1347,"")</f>
        <v/>
      </c>
      <c r="R1347" s="44">
        <f>IFERROR((L1347-M1347)/(L1347+M1347),"")</f>
        <v/>
      </c>
      <c r="S1347" s="46">
        <f>H1347/SUMIFS(Counties!$H$2:$H$1583,Counties!$A$2:$A$1583,$A1347)</f>
        <v/>
      </c>
      <c r="T1347" s="44">
        <f>O1347+INDEX(Dashboard!$F$6:$F$22,MATCH($A1347,Dashboard!$A$6:$A$22,0))</f>
        <v/>
      </c>
      <c r="U1347" s="43">
        <f>AQ1347*INDEX(Dashboard!$G$6:$G$22,MATCH($A1347,Dashboard!$A$6:$A$22,0))</f>
        <v/>
      </c>
      <c r="V1347" s="47" t="n"/>
      <c r="W1347" s="47" t="n"/>
      <c r="X1347" s="47" t="n"/>
      <c r="Y1347" s="48" t="n"/>
      <c r="Z1347" s="49" t="n"/>
      <c r="AA1347" s="49" t="n"/>
      <c r="AB1347" s="49" t="n"/>
      <c r="AC1347" s="50" t="n"/>
      <c r="AD1347" s="43">
        <f>IF(Z1347&lt;&gt;"",Z1347,N(V1347))</f>
        <v/>
      </c>
      <c r="AE1347" s="43">
        <f>IF(AA1347&lt;&gt;"",AA1347,N(W1347))</f>
        <v/>
      </c>
      <c r="AF1347" s="43">
        <f>AD1347+AE1347</f>
        <v/>
      </c>
      <c r="AG1347" s="42">
        <f>IF(UPPER(AC1347)="Y",1,IF(AF1347=0,0,IF(AND(Z1347="",Y1347&lt;&gt;""),IF(Y1347&gt;=0.999,1,0),IF(AF1347&gt;=U1347,1,0))))</f>
        <v/>
      </c>
      <c r="AH1347" s="44">
        <f>IF(AF1347&gt;0,(AD1347-AE1347)/AF1347,"")</f>
        <v/>
      </c>
      <c r="AI1347" s="45">
        <f>IF(AG1347=1,AH1347-O1347,"")</f>
        <v/>
      </c>
      <c r="AJ1347" s="44">
        <f>IF(AG1347=1,AH1347,MAX(-1,MIN(1,O1347+INDEX(Types!$H:$H,MATCH($A1347&amp;"|"&amp;$D1347,Types!$A:$A,0)))))</f>
        <v/>
      </c>
      <c r="AK1347" s="43">
        <f>IF(AG1347=1,AF1347,MAX(AQ1347*AS1347,AF1347))</f>
        <v/>
      </c>
      <c r="AL1347" s="43">
        <f>IF(AG1347=1,AD1347,AK1347*(1+AJ1347)/2)</f>
        <v/>
      </c>
      <c r="AM1347" s="43">
        <f>IF(AG1347=1,AE1347,AK1347*(1-AJ1347)/2)</f>
        <v/>
      </c>
      <c r="AN1347" s="45">
        <f>IF(AH1347="","",AH1347-T1347)</f>
        <v/>
      </c>
      <c r="AO1347" s="51">
        <f>IF(AG1347=1,1,IF(U1347&gt;0,MIN(AF1347/U1347,0.99),0))</f>
        <v/>
      </c>
      <c r="AP1347" s="43">
        <f>IF(AG1347=1,AI1347*AF1347,0)</f>
        <v/>
      </c>
      <c r="AQ1347" s="43">
        <f>N1347*(F1347+G1347)/H1347</f>
        <v/>
      </c>
      <c r="AR1347" s="43">
        <f>O1347*AQ1347</f>
        <v/>
      </c>
      <c r="AS1347" s="52">
        <f>IF(AG1347=1,IF(AQ1347&gt;0,AF1347/AQ1347,1),IFERROR(INDEX(Types!$K:$K,MATCH($A1347&amp;"|"&amp;$D1347,Types!$A:$A,0)),INDEX(Dashboard!$X$6:$X$22,MATCH($A1347,Dashboard!$A$6:$A$22,0))))</f>
        <v/>
      </c>
      <c r="AT1347" s="43">
        <f>AQ1347*INDEX(Dashboard!$Y$6:$Y$22,MATCH($A1347,Dashboard!$A$6:$A$22,0))</f>
        <v/>
      </c>
      <c r="AU1347" s="53">
        <f>IF(AND(AG1347=1,AT1347&gt;0,AF1347&gt;0),100*AF1347/AT1347,"")</f>
        <v/>
      </c>
      <c r="AV1347" s="44">
        <f>IF(AU1347="","",T1347/(AU1347/100))</f>
        <v/>
      </c>
      <c r="AW1347" s="53">
        <f>IF(AU1347="","",IF(AND(ABS(AH1347)&gt;=0.1,ABS(T1347)&gt;=0.05,SIGN(AH1347)=SIGN(T1347)),100*T1347/AH1347,""))</f>
        <v/>
      </c>
      <c r="AX1347" s="45">
        <f>IF(AU1347="","",T1347-AV1347)</f>
        <v/>
      </c>
      <c r="AY1347" s="45">
        <f>IF(AU1347="","",AH1347-AV1347)</f>
        <v/>
      </c>
      <c r="AZ1347" s="54">
        <f>(AL1347-AM1347)-T1347*AT1347</f>
        <v/>
      </c>
      <c r="BA1347" s="43">
        <f>IF(AU1347="",0,(AH1347-T1347)*AF1347)</f>
        <v/>
      </c>
      <c r="BB1347" s="43">
        <f>IF(AU1347="",0,T1347*(AF1347-AT1347))</f>
        <v/>
      </c>
      <c r="BC1347" s="51" t="n">
        <v>0.3194722582165155</v>
      </c>
      <c r="BD1347" s="51" t="n">
        <v>0.0267404876899517</v>
      </c>
      <c r="BE1347" s="51" t="n">
        <v>0.1349118942731277</v>
      </c>
      <c r="BF1347" s="43" t="n">
        <v>16978</v>
      </c>
    </row>
    <row r="1348">
      <c r="A1348" s="42" t="inlineStr">
        <is>
          <t>VA</t>
        </is>
      </c>
      <c r="B1348" s="42" t="inlineStr">
        <is>
          <t>51530</t>
        </is>
      </c>
      <c r="C1348" s="42" t="inlineStr">
        <is>
          <t>Buena Vista city</t>
        </is>
      </c>
      <c r="D1348" s="42" t="inlineStr">
        <is>
          <t>Small town &amp; rural</t>
        </is>
      </c>
      <c r="E1348" s="42" t="inlineStr"/>
      <c r="F1348" s="43" t="n">
        <v>767</v>
      </c>
      <c r="G1348" s="43" t="n">
        <v>2035</v>
      </c>
      <c r="H1348" s="43" t="n">
        <v>2853</v>
      </c>
      <c r="I1348" s="43" t="n">
        <v>825</v>
      </c>
      <c r="J1348" s="43" t="n">
        <v>1863</v>
      </c>
      <c r="K1348" s="42" t="inlineStr">
        <is>
          <t>US House</t>
        </is>
      </c>
      <c r="L1348" s="43" t="n">
        <v>466</v>
      </c>
      <c r="M1348" s="43" t="n">
        <v>1153</v>
      </c>
      <c r="N1348" s="43" t="n">
        <v>1625</v>
      </c>
      <c r="O1348" s="44">
        <f>IFERROR((F1348-G1348)/(F1348+G1348),"")</f>
        <v/>
      </c>
      <c r="P1348" s="44">
        <f>IFERROR((I1348-J1348)/(I1348+J1348),"")</f>
        <v/>
      </c>
      <c r="Q1348" s="45">
        <f>IFERROR(O1348-P1348,"")</f>
        <v/>
      </c>
      <c r="R1348" s="44">
        <f>IFERROR((L1348-M1348)/(L1348+M1348),"")</f>
        <v/>
      </c>
      <c r="S1348" s="46">
        <f>H1348/SUMIFS(Counties!$H$2:$H$1583,Counties!$A$2:$A$1583,$A1348)</f>
        <v/>
      </c>
      <c r="T1348" s="44">
        <f>O1348+INDEX(Dashboard!$F$6:$F$22,MATCH($A1348,Dashboard!$A$6:$A$22,0))</f>
        <v/>
      </c>
      <c r="U1348" s="43">
        <f>AQ1348*INDEX(Dashboard!$G$6:$G$22,MATCH($A1348,Dashboard!$A$6:$A$22,0))</f>
        <v/>
      </c>
      <c r="V1348" s="47" t="n"/>
      <c r="W1348" s="47" t="n"/>
      <c r="X1348" s="47" t="n"/>
      <c r="Y1348" s="48" t="n"/>
      <c r="Z1348" s="49" t="n"/>
      <c r="AA1348" s="49" t="n"/>
      <c r="AB1348" s="49" t="n"/>
      <c r="AC1348" s="50" t="n"/>
      <c r="AD1348" s="43">
        <f>IF(Z1348&lt;&gt;"",Z1348,N(V1348))</f>
        <v/>
      </c>
      <c r="AE1348" s="43">
        <f>IF(AA1348&lt;&gt;"",AA1348,N(W1348))</f>
        <v/>
      </c>
      <c r="AF1348" s="43">
        <f>AD1348+AE1348</f>
        <v/>
      </c>
      <c r="AG1348" s="42">
        <f>IF(UPPER(AC1348)="Y",1,IF(AF1348=0,0,IF(AND(Z1348="",Y1348&lt;&gt;""),IF(Y1348&gt;=0.999,1,0),IF(AF1348&gt;=U1348,1,0))))</f>
        <v/>
      </c>
      <c r="AH1348" s="44">
        <f>IF(AF1348&gt;0,(AD1348-AE1348)/AF1348,"")</f>
        <v/>
      </c>
      <c r="AI1348" s="45">
        <f>IF(AG1348=1,AH1348-O1348,"")</f>
        <v/>
      </c>
      <c r="AJ1348" s="44">
        <f>IF(AG1348=1,AH1348,MAX(-1,MIN(1,O1348+INDEX(Types!$H:$H,MATCH($A1348&amp;"|"&amp;$D1348,Types!$A:$A,0)))))</f>
        <v/>
      </c>
      <c r="AK1348" s="43">
        <f>IF(AG1348=1,AF1348,MAX(AQ1348*AS1348,AF1348))</f>
        <v/>
      </c>
      <c r="AL1348" s="43">
        <f>IF(AG1348=1,AD1348,AK1348*(1+AJ1348)/2)</f>
        <v/>
      </c>
      <c r="AM1348" s="43">
        <f>IF(AG1348=1,AE1348,AK1348*(1-AJ1348)/2)</f>
        <v/>
      </c>
      <c r="AN1348" s="45">
        <f>IF(AH1348="","",AH1348-T1348)</f>
        <v/>
      </c>
      <c r="AO1348" s="51">
        <f>IF(AG1348=1,1,IF(U1348&gt;0,MIN(AF1348/U1348,0.99),0))</f>
        <v/>
      </c>
      <c r="AP1348" s="43">
        <f>IF(AG1348=1,AI1348*AF1348,0)</f>
        <v/>
      </c>
      <c r="AQ1348" s="43">
        <f>N1348*(F1348+G1348)/H1348</f>
        <v/>
      </c>
      <c r="AR1348" s="43">
        <f>O1348*AQ1348</f>
        <v/>
      </c>
      <c r="AS1348" s="52">
        <f>IF(AG1348=1,IF(AQ1348&gt;0,AF1348/AQ1348,1),IFERROR(INDEX(Types!$K:$K,MATCH($A1348&amp;"|"&amp;$D1348,Types!$A:$A,0)),INDEX(Dashboard!$X$6:$X$22,MATCH($A1348,Dashboard!$A$6:$A$22,0))))</f>
        <v/>
      </c>
      <c r="AT1348" s="43">
        <f>AQ1348*INDEX(Dashboard!$Y$6:$Y$22,MATCH($A1348,Dashboard!$A$6:$A$22,0))</f>
        <v/>
      </c>
      <c r="AU1348" s="53">
        <f>IF(AND(AG1348=1,AT1348&gt;0,AF1348&gt;0),100*AF1348/AT1348,"")</f>
        <v/>
      </c>
      <c r="AV1348" s="44">
        <f>IF(AU1348="","",T1348/(AU1348/100))</f>
        <v/>
      </c>
      <c r="AW1348" s="53">
        <f>IF(AU1348="","",IF(AND(ABS(AH1348)&gt;=0.1,ABS(T1348)&gt;=0.05,SIGN(AH1348)=SIGN(T1348)),100*T1348/AH1348,""))</f>
        <v/>
      </c>
      <c r="AX1348" s="45">
        <f>IF(AU1348="","",T1348-AV1348)</f>
        <v/>
      </c>
      <c r="AY1348" s="45">
        <f>IF(AU1348="","",AH1348-AV1348)</f>
        <v/>
      </c>
      <c r="AZ1348" s="54">
        <f>(AL1348-AM1348)-T1348*AT1348</f>
        <v/>
      </c>
      <c r="BA1348" s="43">
        <f>IF(AU1348="",0,(AH1348-T1348)*AF1348)</f>
        <v/>
      </c>
      <c r="BB1348" s="43">
        <f>IF(AU1348="",0,T1348*(AF1348-AT1348))</f>
        <v/>
      </c>
      <c r="BC1348" s="51" t="n">
        <v>0.05162960706670728</v>
      </c>
      <c r="BD1348" s="51" t="n">
        <v>0.04112092598233323</v>
      </c>
      <c r="BE1348" s="51" t="n">
        <v>0.2473118279569892</v>
      </c>
      <c r="BF1348" s="43" t="n">
        <v>6566</v>
      </c>
    </row>
    <row r="1349">
      <c r="A1349" s="42" t="inlineStr">
        <is>
          <t>VA</t>
        </is>
      </c>
      <c r="B1349" s="42" t="inlineStr">
        <is>
          <t>51031</t>
        </is>
      </c>
      <c r="C1349" s="42" t="inlineStr">
        <is>
          <t>Campbell</t>
        </is>
      </c>
      <c r="D1349" s="42" t="inlineStr">
        <is>
          <t>Small town &amp; rural</t>
        </is>
      </c>
      <c r="E1349" s="42" t="inlineStr"/>
      <c r="F1349" s="43" t="n">
        <v>7890</v>
      </c>
      <c r="G1349" s="43" t="n">
        <v>23032</v>
      </c>
      <c r="H1349" s="43" t="n">
        <v>31171</v>
      </c>
      <c r="I1349" s="43" t="n">
        <v>8070</v>
      </c>
      <c r="J1349" s="43" t="n">
        <v>21245</v>
      </c>
      <c r="K1349" s="42" t="inlineStr">
        <is>
          <t>US House</t>
        </is>
      </c>
      <c r="L1349" s="43" t="n">
        <v>4616</v>
      </c>
      <c r="M1349" s="43" t="n">
        <v>15393</v>
      </c>
      <c r="N1349" s="43" t="n">
        <v>20059</v>
      </c>
      <c r="O1349" s="44">
        <f>IFERROR((F1349-G1349)/(F1349+G1349),"")</f>
        <v/>
      </c>
      <c r="P1349" s="44">
        <f>IFERROR((I1349-J1349)/(I1349+J1349),"")</f>
        <v/>
      </c>
      <c r="Q1349" s="45">
        <f>IFERROR(O1349-P1349,"")</f>
        <v/>
      </c>
      <c r="R1349" s="44">
        <f>IFERROR((L1349-M1349)/(L1349+M1349),"")</f>
        <v/>
      </c>
      <c r="S1349" s="46">
        <f>H1349/SUMIFS(Counties!$H$2:$H$1583,Counties!$A$2:$A$1583,$A1349)</f>
        <v/>
      </c>
      <c r="T1349" s="44">
        <f>O1349+INDEX(Dashboard!$F$6:$F$22,MATCH($A1349,Dashboard!$A$6:$A$22,0))</f>
        <v/>
      </c>
      <c r="U1349" s="43">
        <f>AQ1349*INDEX(Dashboard!$G$6:$G$22,MATCH($A1349,Dashboard!$A$6:$A$22,0))</f>
        <v/>
      </c>
      <c r="V1349" s="47" t="n"/>
      <c r="W1349" s="47" t="n"/>
      <c r="X1349" s="47" t="n"/>
      <c r="Y1349" s="48" t="n"/>
      <c r="Z1349" s="49" t="n"/>
      <c r="AA1349" s="49" t="n"/>
      <c r="AB1349" s="49" t="n"/>
      <c r="AC1349" s="50" t="n"/>
      <c r="AD1349" s="43">
        <f>IF(Z1349&lt;&gt;"",Z1349,N(V1349))</f>
        <v/>
      </c>
      <c r="AE1349" s="43">
        <f>IF(AA1349&lt;&gt;"",AA1349,N(W1349))</f>
        <v/>
      </c>
      <c r="AF1349" s="43">
        <f>AD1349+AE1349</f>
        <v/>
      </c>
      <c r="AG1349" s="42">
        <f>IF(UPPER(AC1349)="Y",1,IF(AF1349=0,0,IF(AND(Z1349="",Y1349&lt;&gt;""),IF(Y1349&gt;=0.999,1,0),IF(AF1349&gt;=U1349,1,0))))</f>
        <v/>
      </c>
      <c r="AH1349" s="44">
        <f>IF(AF1349&gt;0,(AD1349-AE1349)/AF1349,"")</f>
        <v/>
      </c>
      <c r="AI1349" s="45">
        <f>IF(AG1349=1,AH1349-O1349,"")</f>
        <v/>
      </c>
      <c r="AJ1349" s="44">
        <f>IF(AG1349=1,AH1349,MAX(-1,MIN(1,O1349+INDEX(Types!$H:$H,MATCH($A1349&amp;"|"&amp;$D1349,Types!$A:$A,0)))))</f>
        <v/>
      </c>
      <c r="AK1349" s="43">
        <f>IF(AG1349=1,AF1349,MAX(AQ1349*AS1349,AF1349))</f>
        <v/>
      </c>
      <c r="AL1349" s="43">
        <f>IF(AG1349=1,AD1349,AK1349*(1+AJ1349)/2)</f>
        <v/>
      </c>
      <c r="AM1349" s="43">
        <f>IF(AG1349=1,AE1349,AK1349*(1-AJ1349)/2)</f>
        <v/>
      </c>
      <c r="AN1349" s="45">
        <f>IF(AH1349="","",AH1349-T1349)</f>
        <v/>
      </c>
      <c r="AO1349" s="51">
        <f>IF(AG1349=1,1,IF(U1349&gt;0,MIN(AF1349/U1349,0.99),0))</f>
        <v/>
      </c>
      <c r="AP1349" s="43">
        <f>IF(AG1349=1,AI1349*AF1349,0)</f>
        <v/>
      </c>
      <c r="AQ1349" s="43">
        <f>N1349*(F1349+G1349)/H1349</f>
        <v/>
      </c>
      <c r="AR1349" s="43">
        <f>O1349*AQ1349</f>
        <v/>
      </c>
      <c r="AS1349" s="52">
        <f>IF(AG1349=1,IF(AQ1349&gt;0,AF1349/AQ1349,1),IFERROR(INDEX(Types!$K:$K,MATCH($A1349&amp;"|"&amp;$D1349,Types!$A:$A,0)),INDEX(Dashboard!$X$6:$X$22,MATCH($A1349,Dashboard!$A$6:$A$22,0))))</f>
        <v/>
      </c>
      <c r="AT1349" s="43">
        <f>AQ1349*INDEX(Dashboard!$Y$6:$Y$22,MATCH($A1349,Dashboard!$A$6:$A$22,0))</f>
        <v/>
      </c>
      <c r="AU1349" s="53">
        <f>IF(AND(AG1349=1,AT1349&gt;0,AF1349&gt;0),100*AF1349/AT1349,"")</f>
        <v/>
      </c>
      <c r="AV1349" s="44">
        <f>IF(AU1349="","",T1349/(AU1349/100))</f>
        <v/>
      </c>
      <c r="AW1349" s="53">
        <f>IF(AU1349="","",IF(AND(ABS(AH1349)&gt;=0.1,ABS(T1349)&gt;=0.05,SIGN(AH1349)=SIGN(T1349)),100*T1349/AH1349,""))</f>
        <v/>
      </c>
      <c r="AX1349" s="45">
        <f>IF(AU1349="","",T1349-AV1349)</f>
        <v/>
      </c>
      <c r="AY1349" s="45">
        <f>IF(AU1349="","",AH1349-AV1349)</f>
        <v/>
      </c>
      <c r="AZ1349" s="54">
        <f>(AL1349-AM1349)-T1349*AT1349</f>
        <v/>
      </c>
      <c r="BA1349" s="43">
        <f>IF(AU1349="",0,(AH1349-T1349)*AF1349)</f>
        <v/>
      </c>
      <c r="BB1349" s="43">
        <f>IF(AU1349="",0,T1349*(AF1349-AT1349))</f>
        <v/>
      </c>
      <c r="BC1349" s="51" t="n">
        <v>0.149846209516917</v>
      </c>
      <c r="BD1349" s="51" t="n">
        <v>0.0352994391170617</v>
      </c>
      <c r="BE1349" s="51" t="n">
        <v>0.2572105788423154</v>
      </c>
      <c r="BF1349" s="43" t="n">
        <v>55270</v>
      </c>
    </row>
    <row r="1350">
      <c r="A1350" s="42" t="inlineStr">
        <is>
          <t>VA</t>
        </is>
      </c>
      <c r="B1350" s="42" t="inlineStr">
        <is>
          <t>51033</t>
        </is>
      </c>
      <c r="C1350" s="42" t="inlineStr">
        <is>
          <t>Caroline</t>
        </is>
      </c>
      <c r="D1350" s="42" t="inlineStr">
        <is>
          <t>Small town &amp; rural</t>
        </is>
      </c>
      <c r="E1350" s="42" t="inlineStr"/>
      <c r="F1350" s="43" t="n">
        <v>7957</v>
      </c>
      <c r="G1350" s="43" t="n">
        <v>9511</v>
      </c>
      <c r="H1350" s="43" t="n">
        <v>17653</v>
      </c>
      <c r="I1350" s="43" t="n">
        <v>7657</v>
      </c>
      <c r="J1350" s="43" t="n">
        <v>8336</v>
      </c>
      <c r="K1350" s="42" t="inlineStr">
        <is>
          <t>US House</t>
        </is>
      </c>
      <c r="L1350" s="43" t="n">
        <v>5244</v>
      </c>
      <c r="M1350" s="43" t="n">
        <v>6350</v>
      </c>
      <c r="N1350" s="43" t="n">
        <v>11609</v>
      </c>
      <c r="O1350" s="44">
        <f>IFERROR((F1350-G1350)/(F1350+G1350),"")</f>
        <v/>
      </c>
      <c r="P1350" s="44">
        <f>IFERROR((I1350-J1350)/(I1350+J1350),"")</f>
        <v/>
      </c>
      <c r="Q1350" s="45">
        <f>IFERROR(O1350-P1350,"")</f>
        <v/>
      </c>
      <c r="R1350" s="44">
        <f>IFERROR((L1350-M1350)/(L1350+M1350),"")</f>
        <v/>
      </c>
      <c r="S1350" s="46">
        <f>H1350/SUMIFS(Counties!$H$2:$H$1583,Counties!$A$2:$A$1583,$A1350)</f>
        <v/>
      </c>
      <c r="T1350" s="44">
        <f>O1350+INDEX(Dashboard!$F$6:$F$22,MATCH($A1350,Dashboard!$A$6:$A$22,0))</f>
        <v/>
      </c>
      <c r="U1350" s="43">
        <f>AQ1350*INDEX(Dashboard!$G$6:$G$22,MATCH($A1350,Dashboard!$A$6:$A$22,0))</f>
        <v/>
      </c>
      <c r="V1350" s="47" t="n"/>
      <c r="W1350" s="47" t="n"/>
      <c r="X1350" s="47" t="n"/>
      <c r="Y1350" s="48" t="n"/>
      <c r="Z1350" s="49" t="n"/>
      <c r="AA1350" s="49" t="n"/>
      <c r="AB1350" s="49" t="n"/>
      <c r="AC1350" s="50" t="n"/>
      <c r="AD1350" s="43">
        <f>IF(Z1350&lt;&gt;"",Z1350,N(V1350))</f>
        <v/>
      </c>
      <c r="AE1350" s="43">
        <f>IF(AA1350&lt;&gt;"",AA1350,N(W1350))</f>
        <v/>
      </c>
      <c r="AF1350" s="43">
        <f>AD1350+AE1350</f>
        <v/>
      </c>
      <c r="AG1350" s="42">
        <f>IF(UPPER(AC1350)="Y",1,IF(AF1350=0,0,IF(AND(Z1350="",Y1350&lt;&gt;""),IF(Y1350&gt;=0.999,1,0),IF(AF1350&gt;=U1350,1,0))))</f>
        <v/>
      </c>
      <c r="AH1350" s="44">
        <f>IF(AF1350&gt;0,(AD1350-AE1350)/AF1350,"")</f>
        <v/>
      </c>
      <c r="AI1350" s="45">
        <f>IF(AG1350=1,AH1350-O1350,"")</f>
        <v/>
      </c>
      <c r="AJ1350" s="44">
        <f>IF(AG1350=1,AH1350,MAX(-1,MIN(1,O1350+INDEX(Types!$H:$H,MATCH($A1350&amp;"|"&amp;$D1350,Types!$A:$A,0)))))</f>
        <v/>
      </c>
      <c r="AK1350" s="43">
        <f>IF(AG1350=1,AF1350,MAX(AQ1350*AS1350,AF1350))</f>
        <v/>
      </c>
      <c r="AL1350" s="43">
        <f>IF(AG1350=1,AD1350,AK1350*(1+AJ1350)/2)</f>
        <v/>
      </c>
      <c r="AM1350" s="43">
        <f>IF(AG1350=1,AE1350,AK1350*(1-AJ1350)/2)</f>
        <v/>
      </c>
      <c r="AN1350" s="45">
        <f>IF(AH1350="","",AH1350-T1350)</f>
        <v/>
      </c>
      <c r="AO1350" s="51">
        <f>IF(AG1350=1,1,IF(U1350&gt;0,MIN(AF1350/U1350,0.99),0))</f>
        <v/>
      </c>
      <c r="AP1350" s="43">
        <f>IF(AG1350=1,AI1350*AF1350,0)</f>
        <v/>
      </c>
      <c r="AQ1350" s="43">
        <f>N1350*(F1350+G1350)/H1350</f>
        <v/>
      </c>
      <c r="AR1350" s="43">
        <f>O1350*AQ1350</f>
        <v/>
      </c>
      <c r="AS1350" s="52">
        <f>IF(AG1350=1,IF(AQ1350&gt;0,AF1350/AQ1350,1),IFERROR(INDEX(Types!$K:$K,MATCH($A1350&amp;"|"&amp;$D1350,Types!$A:$A,0)),INDEX(Dashboard!$X$6:$X$22,MATCH($A1350,Dashboard!$A$6:$A$22,0))))</f>
        <v/>
      </c>
      <c r="AT1350" s="43">
        <f>AQ1350*INDEX(Dashboard!$Y$6:$Y$22,MATCH($A1350,Dashboard!$A$6:$A$22,0))</f>
        <v/>
      </c>
      <c r="AU1350" s="53">
        <f>IF(AND(AG1350=1,AT1350&gt;0,AF1350&gt;0),100*AF1350/AT1350,"")</f>
        <v/>
      </c>
      <c r="AV1350" s="44">
        <f>IF(AU1350="","",T1350/(AU1350/100))</f>
        <v/>
      </c>
      <c r="AW1350" s="53">
        <f>IF(AU1350="","",IF(AND(ABS(AH1350)&gt;=0.1,ABS(T1350)&gt;=0.05,SIGN(AH1350)=SIGN(T1350)),100*T1350/AH1350,""))</f>
        <v/>
      </c>
      <c r="AX1350" s="45">
        <f>IF(AU1350="","",T1350-AV1350)</f>
        <v/>
      </c>
      <c r="AY1350" s="45">
        <f>IF(AU1350="","",AH1350-AV1350)</f>
        <v/>
      </c>
      <c r="AZ1350" s="54">
        <f>(AL1350-AM1350)-T1350*AT1350</f>
        <v/>
      </c>
      <c r="BA1350" s="43">
        <f>IF(AU1350="",0,(AH1350-T1350)*AF1350)</f>
        <v/>
      </c>
      <c r="BB1350" s="43">
        <f>IF(AU1350="",0,T1350*(AF1350-AT1350))</f>
        <v/>
      </c>
      <c r="BC1350" s="51" t="n">
        <v>0.2526348039215686</v>
      </c>
      <c r="BD1350" s="51" t="n">
        <v>0.08330269607843137</v>
      </c>
      <c r="BE1350" s="51" t="n">
        <v>0.2320765953548032</v>
      </c>
      <c r="BF1350" s="43" t="n">
        <v>32640</v>
      </c>
    </row>
    <row r="1351">
      <c r="A1351" s="42" t="inlineStr">
        <is>
          <t>VA</t>
        </is>
      </c>
      <c r="B1351" s="42" t="inlineStr">
        <is>
          <t>51035</t>
        </is>
      </c>
      <c r="C1351" s="42" t="inlineStr">
        <is>
          <t>Carroll</t>
        </is>
      </c>
      <c r="D1351" s="42" t="inlineStr">
        <is>
          <t>Small town &amp; rural</t>
        </is>
      </c>
      <c r="E1351" s="42" t="inlineStr"/>
      <c r="F1351" s="43" t="n">
        <v>2925</v>
      </c>
      <c r="G1351" s="43" t="n">
        <v>13152</v>
      </c>
      <c r="H1351" s="43" t="n">
        <v>16160</v>
      </c>
      <c r="I1351" s="43" t="n">
        <v>2842</v>
      </c>
      <c r="J1351" s="43" t="n">
        <v>12659</v>
      </c>
      <c r="K1351" s="42" t="inlineStr">
        <is>
          <t>US House</t>
        </is>
      </c>
      <c r="L1351" s="43" t="n">
        <v>1685</v>
      </c>
      <c r="M1351" s="43" t="n">
        <v>8496</v>
      </c>
      <c r="N1351" s="43" t="n">
        <v>10210</v>
      </c>
      <c r="O1351" s="44">
        <f>IFERROR((F1351-G1351)/(F1351+G1351),"")</f>
        <v/>
      </c>
      <c r="P1351" s="44">
        <f>IFERROR((I1351-J1351)/(I1351+J1351),"")</f>
        <v/>
      </c>
      <c r="Q1351" s="45">
        <f>IFERROR(O1351-P1351,"")</f>
        <v/>
      </c>
      <c r="R1351" s="44">
        <f>IFERROR((L1351-M1351)/(L1351+M1351),"")</f>
        <v/>
      </c>
      <c r="S1351" s="46">
        <f>H1351/SUMIFS(Counties!$H$2:$H$1583,Counties!$A$2:$A$1583,$A1351)</f>
        <v/>
      </c>
      <c r="T1351" s="44">
        <f>O1351+INDEX(Dashboard!$F$6:$F$22,MATCH($A1351,Dashboard!$A$6:$A$22,0))</f>
        <v/>
      </c>
      <c r="U1351" s="43">
        <f>AQ1351*INDEX(Dashboard!$G$6:$G$22,MATCH($A1351,Dashboard!$A$6:$A$22,0))</f>
        <v/>
      </c>
      <c r="V1351" s="47" t="n"/>
      <c r="W1351" s="47" t="n"/>
      <c r="X1351" s="47" t="n"/>
      <c r="Y1351" s="48" t="n"/>
      <c r="Z1351" s="49" t="n"/>
      <c r="AA1351" s="49" t="n"/>
      <c r="AB1351" s="49" t="n"/>
      <c r="AC1351" s="50" t="n"/>
      <c r="AD1351" s="43">
        <f>IF(Z1351&lt;&gt;"",Z1351,N(V1351))</f>
        <v/>
      </c>
      <c r="AE1351" s="43">
        <f>IF(AA1351&lt;&gt;"",AA1351,N(W1351))</f>
        <v/>
      </c>
      <c r="AF1351" s="43">
        <f>AD1351+AE1351</f>
        <v/>
      </c>
      <c r="AG1351" s="42">
        <f>IF(UPPER(AC1351)="Y",1,IF(AF1351=0,0,IF(AND(Z1351="",Y1351&lt;&gt;""),IF(Y1351&gt;=0.999,1,0),IF(AF1351&gt;=U1351,1,0))))</f>
        <v/>
      </c>
      <c r="AH1351" s="44">
        <f>IF(AF1351&gt;0,(AD1351-AE1351)/AF1351,"")</f>
        <v/>
      </c>
      <c r="AI1351" s="45">
        <f>IF(AG1351=1,AH1351-O1351,"")</f>
        <v/>
      </c>
      <c r="AJ1351" s="44">
        <f>IF(AG1351=1,AH1351,MAX(-1,MIN(1,O1351+INDEX(Types!$H:$H,MATCH($A1351&amp;"|"&amp;$D1351,Types!$A:$A,0)))))</f>
        <v/>
      </c>
      <c r="AK1351" s="43">
        <f>IF(AG1351=1,AF1351,MAX(AQ1351*AS1351,AF1351))</f>
        <v/>
      </c>
      <c r="AL1351" s="43">
        <f>IF(AG1351=1,AD1351,AK1351*(1+AJ1351)/2)</f>
        <v/>
      </c>
      <c r="AM1351" s="43">
        <f>IF(AG1351=1,AE1351,AK1351*(1-AJ1351)/2)</f>
        <v/>
      </c>
      <c r="AN1351" s="45">
        <f>IF(AH1351="","",AH1351-T1351)</f>
        <v/>
      </c>
      <c r="AO1351" s="51">
        <f>IF(AG1351=1,1,IF(U1351&gt;0,MIN(AF1351/U1351,0.99),0))</f>
        <v/>
      </c>
      <c r="AP1351" s="43">
        <f>IF(AG1351=1,AI1351*AF1351,0)</f>
        <v/>
      </c>
      <c r="AQ1351" s="43">
        <f>N1351*(F1351+G1351)/H1351</f>
        <v/>
      </c>
      <c r="AR1351" s="43">
        <f>O1351*AQ1351</f>
        <v/>
      </c>
      <c r="AS1351" s="52">
        <f>IF(AG1351=1,IF(AQ1351&gt;0,AF1351/AQ1351,1),IFERROR(INDEX(Types!$K:$K,MATCH($A1351&amp;"|"&amp;$D1351,Types!$A:$A,0)),INDEX(Dashboard!$X$6:$X$22,MATCH($A1351,Dashboard!$A$6:$A$22,0))))</f>
        <v/>
      </c>
      <c r="AT1351" s="43">
        <f>AQ1351*INDEX(Dashboard!$Y$6:$Y$22,MATCH($A1351,Dashboard!$A$6:$A$22,0))</f>
        <v/>
      </c>
      <c r="AU1351" s="53">
        <f>IF(AND(AG1351=1,AT1351&gt;0,AF1351&gt;0),100*AF1351/AT1351,"")</f>
        <v/>
      </c>
      <c r="AV1351" s="44">
        <f>IF(AU1351="","",T1351/(AU1351/100))</f>
        <v/>
      </c>
      <c r="AW1351" s="53">
        <f>IF(AU1351="","",IF(AND(ABS(AH1351)&gt;=0.1,ABS(T1351)&gt;=0.05,SIGN(AH1351)=SIGN(T1351)),100*T1351/AH1351,""))</f>
        <v/>
      </c>
      <c r="AX1351" s="45">
        <f>IF(AU1351="","",T1351-AV1351)</f>
        <v/>
      </c>
      <c r="AY1351" s="45">
        <f>IF(AU1351="","",AH1351-AV1351)</f>
        <v/>
      </c>
      <c r="AZ1351" s="54">
        <f>(AL1351-AM1351)-T1351*AT1351</f>
        <v/>
      </c>
      <c r="BA1351" s="43">
        <f>IF(AU1351="",0,(AH1351-T1351)*AF1351)</f>
        <v/>
      </c>
      <c r="BB1351" s="43">
        <f>IF(AU1351="",0,T1351*(AF1351-AT1351))</f>
        <v/>
      </c>
      <c r="BC1351" s="51" t="n">
        <v>0.009439447313519615</v>
      </c>
      <c r="BD1351" s="51" t="n">
        <v>0.04353774068880605</v>
      </c>
      <c r="BE1351" s="51" t="n">
        <v>0.166802906448683</v>
      </c>
      <c r="BF1351" s="43" t="n">
        <v>29239</v>
      </c>
    </row>
    <row r="1352">
      <c r="A1352" s="42" t="inlineStr">
        <is>
          <t>VA</t>
        </is>
      </c>
      <c r="B1352" s="42" t="inlineStr">
        <is>
          <t>51036</t>
        </is>
      </c>
      <c r="C1352" s="42" t="inlineStr">
        <is>
          <t>Charles City</t>
        </is>
      </c>
      <c r="D1352" s="42" t="inlineStr">
        <is>
          <t>Black Belt</t>
        </is>
      </c>
      <c r="E1352" s="42" t="inlineStr"/>
      <c r="F1352" s="43" t="n">
        <v>2384</v>
      </c>
      <c r="G1352" s="43" t="n">
        <v>1917</v>
      </c>
      <c r="H1352" s="43" t="n">
        <v>4341</v>
      </c>
      <c r="I1352" s="43" t="n">
        <v>2624</v>
      </c>
      <c r="J1352" s="43" t="n">
        <v>1761</v>
      </c>
      <c r="K1352" s="42" t="inlineStr">
        <is>
          <t>US House</t>
        </is>
      </c>
      <c r="L1352" s="43" t="n">
        <v>1585</v>
      </c>
      <c r="M1352" s="43" t="n">
        <v>1263</v>
      </c>
      <c r="N1352" s="43" t="n">
        <v>2848</v>
      </c>
      <c r="O1352" s="44">
        <f>IFERROR((F1352-G1352)/(F1352+G1352),"")</f>
        <v/>
      </c>
      <c r="P1352" s="44">
        <f>IFERROR((I1352-J1352)/(I1352+J1352),"")</f>
        <v/>
      </c>
      <c r="Q1352" s="45">
        <f>IFERROR(O1352-P1352,"")</f>
        <v/>
      </c>
      <c r="R1352" s="44">
        <f>IFERROR((L1352-M1352)/(L1352+M1352),"")</f>
        <v/>
      </c>
      <c r="S1352" s="46">
        <f>H1352/SUMIFS(Counties!$H$2:$H$1583,Counties!$A$2:$A$1583,$A1352)</f>
        <v/>
      </c>
      <c r="T1352" s="44">
        <f>O1352+INDEX(Dashboard!$F$6:$F$22,MATCH($A1352,Dashboard!$A$6:$A$22,0))</f>
        <v/>
      </c>
      <c r="U1352" s="43">
        <f>AQ1352*INDEX(Dashboard!$G$6:$G$22,MATCH($A1352,Dashboard!$A$6:$A$22,0))</f>
        <v/>
      </c>
      <c r="V1352" s="47" t="n"/>
      <c r="W1352" s="47" t="n"/>
      <c r="X1352" s="47" t="n"/>
      <c r="Y1352" s="48" t="n"/>
      <c r="Z1352" s="49" t="n"/>
      <c r="AA1352" s="49" t="n"/>
      <c r="AB1352" s="49" t="n"/>
      <c r="AC1352" s="50" t="n"/>
      <c r="AD1352" s="43">
        <f>IF(Z1352&lt;&gt;"",Z1352,N(V1352))</f>
        <v/>
      </c>
      <c r="AE1352" s="43">
        <f>IF(AA1352&lt;&gt;"",AA1352,N(W1352))</f>
        <v/>
      </c>
      <c r="AF1352" s="43">
        <f>AD1352+AE1352</f>
        <v/>
      </c>
      <c r="AG1352" s="42">
        <f>IF(UPPER(AC1352)="Y",1,IF(AF1352=0,0,IF(AND(Z1352="",Y1352&lt;&gt;""),IF(Y1352&gt;=0.999,1,0),IF(AF1352&gt;=U1352,1,0))))</f>
        <v/>
      </c>
      <c r="AH1352" s="44">
        <f>IF(AF1352&gt;0,(AD1352-AE1352)/AF1352,"")</f>
        <v/>
      </c>
      <c r="AI1352" s="45">
        <f>IF(AG1352=1,AH1352-O1352,"")</f>
        <v/>
      </c>
      <c r="AJ1352" s="44">
        <f>IF(AG1352=1,AH1352,MAX(-1,MIN(1,O1352+INDEX(Types!$H:$H,MATCH($A1352&amp;"|"&amp;$D1352,Types!$A:$A,0)))))</f>
        <v/>
      </c>
      <c r="AK1352" s="43">
        <f>IF(AG1352=1,AF1352,MAX(AQ1352*AS1352,AF1352))</f>
        <v/>
      </c>
      <c r="AL1352" s="43">
        <f>IF(AG1352=1,AD1352,AK1352*(1+AJ1352)/2)</f>
        <v/>
      </c>
      <c r="AM1352" s="43">
        <f>IF(AG1352=1,AE1352,AK1352*(1-AJ1352)/2)</f>
        <v/>
      </c>
      <c r="AN1352" s="45">
        <f>IF(AH1352="","",AH1352-T1352)</f>
        <v/>
      </c>
      <c r="AO1352" s="51">
        <f>IF(AG1352=1,1,IF(U1352&gt;0,MIN(AF1352/U1352,0.99),0))</f>
        <v/>
      </c>
      <c r="AP1352" s="43">
        <f>IF(AG1352=1,AI1352*AF1352,0)</f>
        <v/>
      </c>
      <c r="AQ1352" s="43">
        <f>N1352*(F1352+G1352)/H1352</f>
        <v/>
      </c>
      <c r="AR1352" s="43">
        <f>O1352*AQ1352</f>
        <v/>
      </c>
      <c r="AS1352" s="52">
        <f>IF(AG1352=1,IF(AQ1352&gt;0,AF1352/AQ1352,1),IFERROR(INDEX(Types!$K:$K,MATCH($A1352&amp;"|"&amp;$D1352,Types!$A:$A,0)),INDEX(Dashboard!$X$6:$X$22,MATCH($A1352,Dashboard!$A$6:$A$22,0))))</f>
        <v/>
      </c>
      <c r="AT1352" s="43">
        <f>AQ1352*INDEX(Dashboard!$Y$6:$Y$22,MATCH($A1352,Dashboard!$A$6:$A$22,0))</f>
        <v/>
      </c>
      <c r="AU1352" s="53">
        <f>IF(AND(AG1352=1,AT1352&gt;0,AF1352&gt;0),100*AF1352/AT1352,"")</f>
        <v/>
      </c>
      <c r="AV1352" s="44">
        <f>IF(AU1352="","",T1352/(AU1352/100))</f>
        <v/>
      </c>
      <c r="AW1352" s="53">
        <f>IF(AU1352="","",IF(AND(ABS(AH1352)&gt;=0.1,ABS(T1352)&gt;=0.05,SIGN(AH1352)=SIGN(T1352)),100*T1352/AH1352,""))</f>
        <v/>
      </c>
      <c r="AX1352" s="45">
        <f>IF(AU1352="","",T1352-AV1352)</f>
        <v/>
      </c>
      <c r="AY1352" s="45">
        <f>IF(AU1352="","",AH1352-AV1352)</f>
        <v/>
      </c>
      <c r="AZ1352" s="54">
        <f>(AL1352-AM1352)-T1352*AT1352</f>
        <v/>
      </c>
      <c r="BA1352" s="43">
        <f>IF(AU1352="",0,(AH1352-T1352)*AF1352)</f>
        <v/>
      </c>
      <c r="BB1352" s="43">
        <f>IF(AU1352="",0,T1352*(AF1352-AT1352))</f>
        <v/>
      </c>
      <c r="BC1352" s="51" t="n">
        <v>0.4170953101361574</v>
      </c>
      <c r="BD1352" s="51" t="n">
        <v>0.02344931921331316</v>
      </c>
      <c r="BE1352" s="51" t="n">
        <v>0.1601064841224567</v>
      </c>
      <c r="BF1352" s="43" t="n">
        <v>6610</v>
      </c>
    </row>
    <row r="1353">
      <c r="A1353" s="42" t="inlineStr">
        <is>
          <t>VA</t>
        </is>
      </c>
      <c r="B1353" s="42" t="inlineStr">
        <is>
          <t>51037</t>
        </is>
      </c>
      <c r="C1353" s="42" t="inlineStr">
        <is>
          <t>Charlotte</t>
        </is>
      </c>
      <c r="D1353" s="42" t="inlineStr">
        <is>
          <t>Small town &amp; rural</t>
        </is>
      </c>
      <c r="E1353" s="42" t="inlineStr"/>
      <c r="F1353" s="43" t="n">
        <v>2008</v>
      </c>
      <c r="G1353" s="43" t="n">
        <v>3963</v>
      </c>
      <c r="H1353" s="43" t="n">
        <v>6006</v>
      </c>
      <c r="I1353" s="43" t="n">
        <v>2317</v>
      </c>
      <c r="J1353" s="43" t="n">
        <v>3815</v>
      </c>
      <c r="K1353" s="42" t="inlineStr">
        <is>
          <t>US House</t>
        </is>
      </c>
      <c r="L1353" s="43" t="n">
        <v>1301</v>
      </c>
      <c r="M1353" s="43" t="n">
        <v>2953</v>
      </c>
      <c r="N1353" s="43" t="n">
        <v>4255</v>
      </c>
      <c r="O1353" s="44">
        <f>IFERROR((F1353-G1353)/(F1353+G1353),"")</f>
        <v/>
      </c>
      <c r="P1353" s="44">
        <f>IFERROR((I1353-J1353)/(I1353+J1353),"")</f>
        <v/>
      </c>
      <c r="Q1353" s="45">
        <f>IFERROR(O1353-P1353,"")</f>
        <v/>
      </c>
      <c r="R1353" s="44">
        <f>IFERROR((L1353-M1353)/(L1353+M1353),"")</f>
        <v/>
      </c>
      <c r="S1353" s="46">
        <f>H1353/SUMIFS(Counties!$H$2:$H$1583,Counties!$A$2:$A$1583,$A1353)</f>
        <v/>
      </c>
      <c r="T1353" s="44">
        <f>O1353+INDEX(Dashboard!$F$6:$F$22,MATCH($A1353,Dashboard!$A$6:$A$22,0))</f>
        <v/>
      </c>
      <c r="U1353" s="43">
        <f>AQ1353*INDEX(Dashboard!$G$6:$G$22,MATCH($A1353,Dashboard!$A$6:$A$22,0))</f>
        <v/>
      </c>
      <c r="V1353" s="47" t="n"/>
      <c r="W1353" s="47" t="n"/>
      <c r="X1353" s="47" t="n"/>
      <c r="Y1353" s="48" t="n"/>
      <c r="Z1353" s="49" t="n"/>
      <c r="AA1353" s="49" t="n"/>
      <c r="AB1353" s="49" t="n"/>
      <c r="AC1353" s="50" t="n"/>
      <c r="AD1353" s="43">
        <f>IF(Z1353&lt;&gt;"",Z1353,N(V1353))</f>
        <v/>
      </c>
      <c r="AE1353" s="43">
        <f>IF(AA1353&lt;&gt;"",AA1353,N(W1353))</f>
        <v/>
      </c>
      <c r="AF1353" s="43">
        <f>AD1353+AE1353</f>
        <v/>
      </c>
      <c r="AG1353" s="42">
        <f>IF(UPPER(AC1353)="Y",1,IF(AF1353=0,0,IF(AND(Z1353="",Y1353&lt;&gt;""),IF(Y1353&gt;=0.999,1,0),IF(AF1353&gt;=U1353,1,0))))</f>
        <v/>
      </c>
      <c r="AH1353" s="44">
        <f>IF(AF1353&gt;0,(AD1353-AE1353)/AF1353,"")</f>
        <v/>
      </c>
      <c r="AI1353" s="45">
        <f>IF(AG1353=1,AH1353-O1353,"")</f>
        <v/>
      </c>
      <c r="AJ1353" s="44">
        <f>IF(AG1353=1,AH1353,MAX(-1,MIN(1,O1353+INDEX(Types!$H:$H,MATCH($A1353&amp;"|"&amp;$D1353,Types!$A:$A,0)))))</f>
        <v/>
      </c>
      <c r="AK1353" s="43">
        <f>IF(AG1353=1,AF1353,MAX(AQ1353*AS1353,AF1353))</f>
        <v/>
      </c>
      <c r="AL1353" s="43">
        <f>IF(AG1353=1,AD1353,AK1353*(1+AJ1353)/2)</f>
        <v/>
      </c>
      <c r="AM1353" s="43">
        <f>IF(AG1353=1,AE1353,AK1353*(1-AJ1353)/2)</f>
        <v/>
      </c>
      <c r="AN1353" s="45">
        <f>IF(AH1353="","",AH1353-T1353)</f>
        <v/>
      </c>
      <c r="AO1353" s="51">
        <f>IF(AG1353=1,1,IF(U1353&gt;0,MIN(AF1353/U1353,0.99),0))</f>
        <v/>
      </c>
      <c r="AP1353" s="43">
        <f>IF(AG1353=1,AI1353*AF1353,0)</f>
        <v/>
      </c>
      <c r="AQ1353" s="43">
        <f>N1353*(F1353+G1353)/H1353</f>
        <v/>
      </c>
      <c r="AR1353" s="43">
        <f>O1353*AQ1353</f>
        <v/>
      </c>
      <c r="AS1353" s="52">
        <f>IF(AG1353=1,IF(AQ1353&gt;0,AF1353/AQ1353,1),IFERROR(INDEX(Types!$K:$K,MATCH($A1353&amp;"|"&amp;$D1353,Types!$A:$A,0)),INDEX(Dashboard!$X$6:$X$22,MATCH($A1353,Dashboard!$A$6:$A$22,0))))</f>
        <v/>
      </c>
      <c r="AT1353" s="43">
        <f>AQ1353*INDEX(Dashboard!$Y$6:$Y$22,MATCH($A1353,Dashboard!$A$6:$A$22,0))</f>
        <v/>
      </c>
      <c r="AU1353" s="53">
        <f>IF(AND(AG1353=1,AT1353&gt;0,AF1353&gt;0),100*AF1353/AT1353,"")</f>
        <v/>
      </c>
      <c r="AV1353" s="44">
        <f>IF(AU1353="","",T1353/(AU1353/100))</f>
        <v/>
      </c>
      <c r="AW1353" s="53">
        <f>IF(AU1353="","",IF(AND(ABS(AH1353)&gt;=0.1,ABS(T1353)&gt;=0.05,SIGN(AH1353)=SIGN(T1353)),100*T1353/AH1353,""))</f>
        <v/>
      </c>
      <c r="AX1353" s="45">
        <f>IF(AU1353="","",T1353-AV1353)</f>
        <v/>
      </c>
      <c r="AY1353" s="45">
        <f>IF(AU1353="","",AH1353-AV1353)</f>
        <v/>
      </c>
      <c r="AZ1353" s="54">
        <f>(AL1353-AM1353)-T1353*AT1353</f>
        <v/>
      </c>
      <c r="BA1353" s="43">
        <f>IF(AU1353="",0,(AH1353-T1353)*AF1353)</f>
        <v/>
      </c>
      <c r="BB1353" s="43">
        <f>IF(AU1353="",0,T1353*(AF1353-AT1353))</f>
        <v/>
      </c>
      <c r="BC1353" s="51" t="n">
        <v>0.2582921665490473</v>
      </c>
      <c r="BD1353" s="51" t="n">
        <v>0.0286697247706422</v>
      </c>
      <c r="BE1353" s="51" t="n">
        <v>0.1871207430340557</v>
      </c>
      <c r="BF1353" s="43" t="n">
        <v>11336</v>
      </c>
    </row>
    <row r="1354">
      <c r="A1354" s="42" t="inlineStr">
        <is>
          <t>VA</t>
        </is>
      </c>
      <c r="B1354" s="42" t="inlineStr">
        <is>
          <t>51540</t>
        </is>
      </c>
      <c r="C1354" s="42" t="inlineStr">
        <is>
          <t>Charlottesville city</t>
        </is>
      </c>
      <c r="D1354" s="42" t="inlineStr">
        <is>
          <t>Small town &amp; rural</t>
        </is>
      </c>
      <c r="E1354" s="42" t="inlineStr"/>
      <c r="F1354" s="43" t="n">
        <v>19435</v>
      </c>
      <c r="G1354" s="43" t="n">
        <v>3428</v>
      </c>
      <c r="H1354" s="43" t="n">
        <v>23303</v>
      </c>
      <c r="I1354" s="43" t="n">
        <v>20696</v>
      </c>
      <c r="J1354" s="43" t="n">
        <v>3094</v>
      </c>
      <c r="K1354" s="42" t="inlineStr">
        <is>
          <t>US House</t>
        </is>
      </c>
      <c r="L1354" s="43" t="n">
        <v>14581</v>
      </c>
      <c r="M1354" s="43" t="n">
        <v>2100</v>
      </c>
      <c r="N1354" s="43" t="n">
        <v>16724</v>
      </c>
      <c r="O1354" s="44">
        <f>IFERROR((F1354-G1354)/(F1354+G1354),"")</f>
        <v/>
      </c>
      <c r="P1354" s="44">
        <f>IFERROR((I1354-J1354)/(I1354+J1354),"")</f>
        <v/>
      </c>
      <c r="Q1354" s="45">
        <f>IFERROR(O1354-P1354,"")</f>
        <v/>
      </c>
      <c r="R1354" s="44">
        <f>IFERROR((L1354-M1354)/(L1354+M1354),"")</f>
        <v/>
      </c>
      <c r="S1354" s="46">
        <f>H1354/SUMIFS(Counties!$H$2:$H$1583,Counties!$A$2:$A$1583,$A1354)</f>
        <v/>
      </c>
      <c r="T1354" s="44">
        <f>O1354+INDEX(Dashboard!$F$6:$F$22,MATCH($A1354,Dashboard!$A$6:$A$22,0))</f>
        <v/>
      </c>
      <c r="U1354" s="43">
        <f>AQ1354*INDEX(Dashboard!$G$6:$G$22,MATCH($A1354,Dashboard!$A$6:$A$22,0))</f>
        <v/>
      </c>
      <c r="V1354" s="47" t="n"/>
      <c r="W1354" s="47" t="n"/>
      <c r="X1354" s="47" t="n"/>
      <c r="Y1354" s="48" t="n"/>
      <c r="Z1354" s="49" t="n"/>
      <c r="AA1354" s="49" t="n"/>
      <c r="AB1354" s="49" t="n"/>
      <c r="AC1354" s="50" t="n"/>
      <c r="AD1354" s="43">
        <f>IF(Z1354&lt;&gt;"",Z1354,N(V1354))</f>
        <v/>
      </c>
      <c r="AE1354" s="43">
        <f>IF(AA1354&lt;&gt;"",AA1354,N(W1354))</f>
        <v/>
      </c>
      <c r="AF1354" s="43">
        <f>AD1354+AE1354</f>
        <v/>
      </c>
      <c r="AG1354" s="42">
        <f>IF(UPPER(AC1354)="Y",1,IF(AF1354=0,0,IF(AND(Z1354="",Y1354&lt;&gt;""),IF(Y1354&gt;=0.999,1,0),IF(AF1354&gt;=U1354,1,0))))</f>
        <v/>
      </c>
      <c r="AH1354" s="44">
        <f>IF(AF1354&gt;0,(AD1354-AE1354)/AF1354,"")</f>
        <v/>
      </c>
      <c r="AI1354" s="45">
        <f>IF(AG1354=1,AH1354-O1354,"")</f>
        <v/>
      </c>
      <c r="AJ1354" s="44">
        <f>IF(AG1354=1,AH1354,MAX(-1,MIN(1,O1354+INDEX(Types!$H:$H,MATCH($A1354&amp;"|"&amp;$D1354,Types!$A:$A,0)))))</f>
        <v/>
      </c>
      <c r="AK1354" s="43">
        <f>IF(AG1354=1,AF1354,MAX(AQ1354*AS1354,AF1354))</f>
        <v/>
      </c>
      <c r="AL1354" s="43">
        <f>IF(AG1354=1,AD1354,AK1354*(1+AJ1354)/2)</f>
        <v/>
      </c>
      <c r="AM1354" s="43">
        <f>IF(AG1354=1,AE1354,AK1354*(1-AJ1354)/2)</f>
        <v/>
      </c>
      <c r="AN1354" s="45">
        <f>IF(AH1354="","",AH1354-T1354)</f>
        <v/>
      </c>
      <c r="AO1354" s="51">
        <f>IF(AG1354=1,1,IF(U1354&gt;0,MIN(AF1354/U1354,0.99),0))</f>
        <v/>
      </c>
      <c r="AP1354" s="43">
        <f>IF(AG1354=1,AI1354*AF1354,0)</f>
        <v/>
      </c>
      <c r="AQ1354" s="43">
        <f>N1354*(F1354+G1354)/H1354</f>
        <v/>
      </c>
      <c r="AR1354" s="43">
        <f>O1354*AQ1354</f>
        <v/>
      </c>
      <c r="AS1354" s="52">
        <f>IF(AG1354=1,IF(AQ1354&gt;0,AF1354/AQ1354,1),IFERROR(INDEX(Types!$K:$K,MATCH($A1354&amp;"|"&amp;$D1354,Types!$A:$A,0)),INDEX(Dashboard!$X$6:$X$22,MATCH($A1354,Dashboard!$A$6:$A$22,0))))</f>
        <v/>
      </c>
      <c r="AT1354" s="43">
        <f>AQ1354*INDEX(Dashboard!$Y$6:$Y$22,MATCH($A1354,Dashboard!$A$6:$A$22,0))</f>
        <v/>
      </c>
      <c r="AU1354" s="53">
        <f>IF(AND(AG1354=1,AT1354&gt;0,AF1354&gt;0),100*AF1354/AT1354,"")</f>
        <v/>
      </c>
      <c r="AV1354" s="44">
        <f>IF(AU1354="","",T1354/(AU1354/100))</f>
        <v/>
      </c>
      <c r="AW1354" s="53">
        <f>IF(AU1354="","",IF(AND(ABS(AH1354)&gt;=0.1,ABS(T1354)&gt;=0.05,SIGN(AH1354)=SIGN(T1354)),100*T1354/AH1354,""))</f>
        <v/>
      </c>
      <c r="AX1354" s="45">
        <f>IF(AU1354="","",T1354-AV1354)</f>
        <v/>
      </c>
      <c r="AY1354" s="45">
        <f>IF(AU1354="","",AH1354-AV1354)</f>
        <v/>
      </c>
      <c r="AZ1354" s="54">
        <f>(AL1354-AM1354)-T1354*AT1354</f>
        <v/>
      </c>
      <c r="BA1354" s="43">
        <f>IF(AU1354="",0,(AH1354-T1354)*AF1354)</f>
        <v/>
      </c>
      <c r="BB1354" s="43">
        <f>IF(AU1354="",0,T1354*(AF1354-AT1354))</f>
        <v/>
      </c>
      <c r="BC1354" s="51" t="n">
        <v>0.1637062890425272</v>
      </c>
      <c r="BD1354" s="51" t="n">
        <v>0.06918169086099193</v>
      </c>
      <c r="BE1354" s="51" t="n">
        <v>0.6055131117076192</v>
      </c>
      <c r="BF1354" s="43" t="n">
        <v>44983</v>
      </c>
    </row>
    <row r="1355">
      <c r="A1355" s="42" t="inlineStr">
        <is>
          <t>VA</t>
        </is>
      </c>
      <c r="B1355" s="42" t="inlineStr">
        <is>
          <t>51550</t>
        </is>
      </c>
      <c r="C1355" s="42" t="inlineStr">
        <is>
          <t>Chesapeake city</t>
        </is>
      </c>
      <c r="D1355" s="42" t="inlineStr">
        <is>
          <t>Mid-size/working metro</t>
        </is>
      </c>
      <c r="E1355" s="42" t="inlineStr"/>
      <c r="F1355" s="43" t="n">
        <v>65399</v>
      </c>
      <c r="G1355" s="43" t="n">
        <v>60550</v>
      </c>
      <c r="H1355" s="43" t="n">
        <v>127493</v>
      </c>
      <c r="I1355" s="43" t="n">
        <v>66377</v>
      </c>
      <c r="J1355" s="43" t="n">
        <v>58180</v>
      </c>
      <c r="K1355" s="42" t="inlineStr">
        <is>
          <t>US House</t>
        </is>
      </c>
      <c r="L1355" s="43" t="n">
        <v>44335</v>
      </c>
      <c r="M1355" s="43" t="n">
        <v>44062</v>
      </c>
      <c r="N1355" s="43" t="n">
        <v>88645</v>
      </c>
      <c r="O1355" s="44">
        <f>IFERROR((F1355-G1355)/(F1355+G1355),"")</f>
        <v/>
      </c>
      <c r="P1355" s="44">
        <f>IFERROR((I1355-J1355)/(I1355+J1355),"")</f>
        <v/>
      </c>
      <c r="Q1355" s="45">
        <f>IFERROR(O1355-P1355,"")</f>
        <v/>
      </c>
      <c r="R1355" s="44">
        <f>IFERROR((L1355-M1355)/(L1355+M1355),"")</f>
        <v/>
      </c>
      <c r="S1355" s="46">
        <f>H1355/SUMIFS(Counties!$H$2:$H$1583,Counties!$A$2:$A$1583,$A1355)</f>
        <v/>
      </c>
      <c r="T1355" s="44">
        <f>O1355+INDEX(Dashboard!$F$6:$F$22,MATCH($A1355,Dashboard!$A$6:$A$22,0))</f>
        <v/>
      </c>
      <c r="U1355" s="43">
        <f>AQ1355*INDEX(Dashboard!$G$6:$G$22,MATCH($A1355,Dashboard!$A$6:$A$22,0))</f>
        <v/>
      </c>
      <c r="V1355" s="47" t="n"/>
      <c r="W1355" s="47" t="n"/>
      <c r="X1355" s="47" t="n"/>
      <c r="Y1355" s="48" t="n"/>
      <c r="Z1355" s="49" t="n"/>
      <c r="AA1355" s="49" t="n"/>
      <c r="AB1355" s="49" t="n"/>
      <c r="AC1355" s="50" t="n"/>
      <c r="AD1355" s="43">
        <f>IF(Z1355&lt;&gt;"",Z1355,N(V1355))</f>
        <v/>
      </c>
      <c r="AE1355" s="43">
        <f>IF(AA1355&lt;&gt;"",AA1355,N(W1355))</f>
        <v/>
      </c>
      <c r="AF1355" s="43">
        <f>AD1355+AE1355</f>
        <v/>
      </c>
      <c r="AG1355" s="42">
        <f>IF(UPPER(AC1355)="Y",1,IF(AF1355=0,0,IF(AND(Z1355="",Y1355&lt;&gt;""),IF(Y1355&gt;=0.999,1,0),IF(AF1355&gt;=U1355,1,0))))</f>
        <v/>
      </c>
      <c r="AH1355" s="44">
        <f>IF(AF1355&gt;0,(AD1355-AE1355)/AF1355,"")</f>
        <v/>
      </c>
      <c r="AI1355" s="45">
        <f>IF(AG1355=1,AH1355-O1355,"")</f>
        <v/>
      </c>
      <c r="AJ1355" s="44">
        <f>IF(AG1355=1,AH1355,MAX(-1,MIN(1,O1355+INDEX(Types!$H:$H,MATCH($A1355&amp;"|"&amp;$D1355,Types!$A:$A,0)))))</f>
        <v/>
      </c>
      <c r="AK1355" s="43">
        <f>IF(AG1355=1,AF1355,MAX(AQ1355*AS1355,AF1355))</f>
        <v/>
      </c>
      <c r="AL1355" s="43">
        <f>IF(AG1355=1,AD1355,AK1355*(1+AJ1355)/2)</f>
        <v/>
      </c>
      <c r="AM1355" s="43">
        <f>IF(AG1355=1,AE1355,AK1355*(1-AJ1355)/2)</f>
        <v/>
      </c>
      <c r="AN1355" s="45">
        <f>IF(AH1355="","",AH1355-T1355)</f>
        <v/>
      </c>
      <c r="AO1355" s="51">
        <f>IF(AG1355=1,1,IF(U1355&gt;0,MIN(AF1355/U1355,0.99),0))</f>
        <v/>
      </c>
      <c r="AP1355" s="43">
        <f>IF(AG1355=1,AI1355*AF1355,0)</f>
        <v/>
      </c>
      <c r="AQ1355" s="43">
        <f>N1355*(F1355+G1355)/H1355</f>
        <v/>
      </c>
      <c r="AR1355" s="43">
        <f>O1355*AQ1355</f>
        <v/>
      </c>
      <c r="AS1355" s="52">
        <f>IF(AG1355=1,IF(AQ1355&gt;0,AF1355/AQ1355,1),IFERROR(INDEX(Types!$K:$K,MATCH($A1355&amp;"|"&amp;$D1355,Types!$A:$A,0)),INDEX(Dashboard!$X$6:$X$22,MATCH($A1355,Dashboard!$A$6:$A$22,0))))</f>
        <v/>
      </c>
      <c r="AT1355" s="43">
        <f>AQ1355*INDEX(Dashboard!$Y$6:$Y$22,MATCH($A1355,Dashboard!$A$6:$A$22,0))</f>
        <v/>
      </c>
      <c r="AU1355" s="53">
        <f>IF(AND(AG1355=1,AT1355&gt;0,AF1355&gt;0),100*AF1355/AT1355,"")</f>
        <v/>
      </c>
      <c r="AV1355" s="44">
        <f>IF(AU1355="","",T1355/(AU1355/100))</f>
        <v/>
      </c>
      <c r="AW1355" s="53">
        <f>IF(AU1355="","",IF(AND(ABS(AH1355)&gt;=0.1,ABS(T1355)&gt;=0.05,SIGN(AH1355)=SIGN(T1355)),100*T1355/AH1355,""))</f>
        <v/>
      </c>
      <c r="AX1355" s="45">
        <f>IF(AU1355="","",T1355-AV1355)</f>
        <v/>
      </c>
      <c r="AY1355" s="45">
        <f>IF(AU1355="","",AH1355-AV1355)</f>
        <v/>
      </c>
      <c r="AZ1355" s="54">
        <f>(AL1355-AM1355)-T1355*AT1355</f>
        <v/>
      </c>
      <c r="BA1355" s="43">
        <f>IF(AU1355="",0,(AH1355-T1355)*AF1355)</f>
        <v/>
      </c>
      <c r="BB1355" s="43">
        <f>IF(AU1355="",0,T1355*(AF1355-AT1355))</f>
        <v/>
      </c>
      <c r="BC1355" s="51" t="n">
        <v>0.2977084203146294</v>
      </c>
      <c r="BD1355" s="51" t="n">
        <v>0.07872824811135706</v>
      </c>
      <c r="BE1355" s="51" t="n">
        <v>0.3642057796798747</v>
      </c>
      <c r="BF1355" s="43" t="n">
        <v>253886</v>
      </c>
    </row>
    <row r="1356">
      <c r="A1356" s="42" t="inlineStr">
        <is>
          <t>VA</t>
        </is>
      </c>
      <c r="B1356" s="42" t="inlineStr">
        <is>
          <t>51041</t>
        </is>
      </c>
      <c r="C1356" s="42" t="inlineStr">
        <is>
          <t>Chesterfield</t>
        </is>
      </c>
      <c r="D1356" s="42" t="inlineStr">
        <is>
          <t>College suburb/metro</t>
        </is>
      </c>
      <c r="E1356" s="42" t="inlineStr">
        <is>
          <t>★</t>
        </is>
      </c>
      <c r="F1356" s="43" t="n">
        <v>112869</v>
      </c>
      <c r="G1356" s="43" t="n">
        <v>94030</v>
      </c>
      <c r="H1356" s="43" t="n">
        <v>209730</v>
      </c>
      <c r="I1356" s="43" t="n">
        <v>106935</v>
      </c>
      <c r="J1356" s="43" t="n">
        <v>93326</v>
      </c>
      <c r="K1356" s="42" t="inlineStr">
        <is>
          <t>US House</t>
        </is>
      </c>
      <c r="L1356" s="43" t="n">
        <v>70534</v>
      </c>
      <c r="M1356" s="43" t="n">
        <v>68825</v>
      </c>
      <c r="N1356" s="43" t="n">
        <v>140256</v>
      </c>
      <c r="O1356" s="44">
        <f>IFERROR((F1356-G1356)/(F1356+G1356),"")</f>
        <v/>
      </c>
      <c r="P1356" s="44">
        <f>IFERROR((I1356-J1356)/(I1356+J1356),"")</f>
        <v/>
      </c>
      <c r="Q1356" s="45">
        <f>IFERROR(O1356-P1356,"")</f>
        <v/>
      </c>
      <c r="R1356" s="44">
        <f>IFERROR((L1356-M1356)/(L1356+M1356),"")</f>
        <v/>
      </c>
      <c r="S1356" s="46">
        <f>H1356/SUMIFS(Counties!$H$2:$H$1583,Counties!$A$2:$A$1583,$A1356)</f>
        <v/>
      </c>
      <c r="T1356" s="44">
        <f>O1356+INDEX(Dashboard!$F$6:$F$22,MATCH($A1356,Dashboard!$A$6:$A$22,0))</f>
        <v/>
      </c>
      <c r="U1356" s="43">
        <f>AQ1356*INDEX(Dashboard!$G$6:$G$22,MATCH($A1356,Dashboard!$A$6:$A$22,0))</f>
        <v/>
      </c>
      <c r="V1356" s="47" t="n"/>
      <c r="W1356" s="47" t="n"/>
      <c r="X1356" s="47" t="n"/>
      <c r="Y1356" s="48" t="n"/>
      <c r="Z1356" s="49" t="n"/>
      <c r="AA1356" s="49" t="n"/>
      <c r="AB1356" s="49" t="n"/>
      <c r="AC1356" s="50" t="n"/>
      <c r="AD1356" s="43">
        <f>IF(Z1356&lt;&gt;"",Z1356,N(V1356))</f>
        <v/>
      </c>
      <c r="AE1356" s="43">
        <f>IF(AA1356&lt;&gt;"",AA1356,N(W1356))</f>
        <v/>
      </c>
      <c r="AF1356" s="43">
        <f>AD1356+AE1356</f>
        <v/>
      </c>
      <c r="AG1356" s="42">
        <f>IF(UPPER(AC1356)="Y",1,IF(AF1356=0,0,IF(AND(Z1356="",Y1356&lt;&gt;""),IF(Y1356&gt;=0.999,1,0),IF(AF1356&gt;=U1356,1,0))))</f>
        <v/>
      </c>
      <c r="AH1356" s="44">
        <f>IF(AF1356&gt;0,(AD1356-AE1356)/AF1356,"")</f>
        <v/>
      </c>
      <c r="AI1356" s="45">
        <f>IF(AG1356=1,AH1356-O1356,"")</f>
        <v/>
      </c>
      <c r="AJ1356" s="44">
        <f>IF(AG1356=1,AH1356,MAX(-1,MIN(1,O1356+INDEX(Types!$H:$H,MATCH($A1356&amp;"|"&amp;$D1356,Types!$A:$A,0)))))</f>
        <v/>
      </c>
      <c r="AK1356" s="43">
        <f>IF(AG1356=1,AF1356,MAX(AQ1356*AS1356,AF1356))</f>
        <v/>
      </c>
      <c r="AL1356" s="43">
        <f>IF(AG1356=1,AD1356,AK1356*(1+AJ1356)/2)</f>
        <v/>
      </c>
      <c r="AM1356" s="43">
        <f>IF(AG1356=1,AE1356,AK1356*(1-AJ1356)/2)</f>
        <v/>
      </c>
      <c r="AN1356" s="45">
        <f>IF(AH1356="","",AH1356-T1356)</f>
        <v/>
      </c>
      <c r="AO1356" s="51">
        <f>IF(AG1356=1,1,IF(U1356&gt;0,MIN(AF1356/U1356,0.99),0))</f>
        <v/>
      </c>
      <c r="AP1356" s="43">
        <f>IF(AG1356=1,AI1356*AF1356,0)</f>
        <v/>
      </c>
      <c r="AQ1356" s="43">
        <f>N1356*(F1356+G1356)/H1356</f>
        <v/>
      </c>
      <c r="AR1356" s="43">
        <f>O1356*AQ1356</f>
        <v/>
      </c>
      <c r="AS1356" s="52">
        <f>IF(AG1356=1,IF(AQ1356&gt;0,AF1356/AQ1356,1),IFERROR(INDEX(Types!$K:$K,MATCH($A1356&amp;"|"&amp;$D1356,Types!$A:$A,0)),INDEX(Dashboard!$X$6:$X$22,MATCH($A1356,Dashboard!$A$6:$A$22,0))))</f>
        <v/>
      </c>
      <c r="AT1356" s="43">
        <f>AQ1356*INDEX(Dashboard!$Y$6:$Y$22,MATCH($A1356,Dashboard!$A$6:$A$22,0))</f>
        <v/>
      </c>
      <c r="AU1356" s="53">
        <f>IF(AND(AG1356=1,AT1356&gt;0,AF1356&gt;0),100*AF1356/AT1356,"")</f>
        <v/>
      </c>
      <c r="AV1356" s="44">
        <f>IF(AU1356="","",T1356/(AU1356/100))</f>
        <v/>
      </c>
      <c r="AW1356" s="53">
        <f>IF(AU1356="","",IF(AND(ABS(AH1356)&gt;=0.1,ABS(T1356)&gt;=0.05,SIGN(AH1356)=SIGN(T1356)),100*T1356/AH1356,""))</f>
        <v/>
      </c>
      <c r="AX1356" s="45">
        <f>IF(AU1356="","",T1356-AV1356)</f>
        <v/>
      </c>
      <c r="AY1356" s="45">
        <f>IF(AU1356="","",AH1356-AV1356)</f>
        <v/>
      </c>
      <c r="AZ1356" s="54">
        <f>(AL1356-AM1356)-T1356*AT1356</f>
        <v/>
      </c>
      <c r="BA1356" s="43">
        <f>IF(AU1356="",0,(AH1356-T1356)*AF1356)</f>
        <v/>
      </c>
      <c r="BB1356" s="43">
        <f>IF(AU1356="",0,T1356*(AF1356-AT1356))</f>
        <v/>
      </c>
      <c r="BC1356" s="51" t="n">
        <v>0.2444174681407538</v>
      </c>
      <c r="BD1356" s="51" t="n">
        <v>0.121557482103596</v>
      </c>
      <c r="BE1356" s="51" t="n">
        <v>0.4266314718229233</v>
      </c>
      <c r="BF1356" s="43" t="n">
        <v>383876</v>
      </c>
    </row>
    <row r="1357">
      <c r="A1357" s="42" t="inlineStr">
        <is>
          <t>VA</t>
        </is>
      </c>
      <c r="B1357" s="42" t="inlineStr">
        <is>
          <t>51043</t>
        </is>
      </c>
      <c r="C1357" s="42" t="inlineStr">
        <is>
          <t>Clarke</t>
        </is>
      </c>
      <c r="D1357" s="42" t="inlineStr">
        <is>
          <t>Small town &amp; rural</t>
        </is>
      </c>
      <c r="E1357" s="42" t="inlineStr"/>
      <c r="F1357" s="43" t="n">
        <v>3993</v>
      </c>
      <c r="G1357" s="43" t="n">
        <v>5641</v>
      </c>
      <c r="H1357" s="43" t="n">
        <v>9782</v>
      </c>
      <c r="I1357" s="43" t="n">
        <v>3920</v>
      </c>
      <c r="J1357" s="43" t="n">
        <v>5192</v>
      </c>
      <c r="K1357" s="42" t="inlineStr">
        <is>
          <t>US House</t>
        </is>
      </c>
      <c r="L1357" s="43" t="n">
        <v>2902</v>
      </c>
      <c r="M1357" s="43" t="n">
        <v>4270</v>
      </c>
      <c r="N1357" s="43" t="n">
        <v>7179</v>
      </c>
      <c r="O1357" s="44">
        <f>IFERROR((F1357-G1357)/(F1357+G1357),"")</f>
        <v/>
      </c>
      <c r="P1357" s="44">
        <f>IFERROR((I1357-J1357)/(I1357+J1357),"")</f>
        <v/>
      </c>
      <c r="Q1357" s="45">
        <f>IFERROR(O1357-P1357,"")</f>
        <v/>
      </c>
      <c r="R1357" s="44">
        <f>IFERROR((L1357-M1357)/(L1357+M1357),"")</f>
        <v/>
      </c>
      <c r="S1357" s="46">
        <f>H1357/SUMIFS(Counties!$H$2:$H$1583,Counties!$A$2:$A$1583,$A1357)</f>
        <v/>
      </c>
      <c r="T1357" s="44">
        <f>O1357+INDEX(Dashboard!$F$6:$F$22,MATCH($A1357,Dashboard!$A$6:$A$22,0))</f>
        <v/>
      </c>
      <c r="U1357" s="43">
        <f>AQ1357*INDEX(Dashboard!$G$6:$G$22,MATCH($A1357,Dashboard!$A$6:$A$22,0))</f>
        <v/>
      </c>
      <c r="V1357" s="47" t="n"/>
      <c r="W1357" s="47" t="n"/>
      <c r="X1357" s="47" t="n"/>
      <c r="Y1357" s="48" t="n"/>
      <c r="Z1357" s="49" t="n"/>
      <c r="AA1357" s="49" t="n"/>
      <c r="AB1357" s="49" t="n"/>
      <c r="AC1357" s="50" t="n"/>
      <c r="AD1357" s="43">
        <f>IF(Z1357&lt;&gt;"",Z1357,N(V1357))</f>
        <v/>
      </c>
      <c r="AE1357" s="43">
        <f>IF(AA1357&lt;&gt;"",AA1357,N(W1357))</f>
        <v/>
      </c>
      <c r="AF1357" s="43">
        <f>AD1357+AE1357</f>
        <v/>
      </c>
      <c r="AG1357" s="42">
        <f>IF(UPPER(AC1357)="Y",1,IF(AF1357=0,0,IF(AND(Z1357="",Y1357&lt;&gt;""),IF(Y1357&gt;=0.999,1,0),IF(AF1357&gt;=U1357,1,0))))</f>
        <v/>
      </c>
      <c r="AH1357" s="44">
        <f>IF(AF1357&gt;0,(AD1357-AE1357)/AF1357,"")</f>
        <v/>
      </c>
      <c r="AI1357" s="45">
        <f>IF(AG1357=1,AH1357-O1357,"")</f>
        <v/>
      </c>
      <c r="AJ1357" s="44">
        <f>IF(AG1357=1,AH1357,MAX(-1,MIN(1,O1357+INDEX(Types!$H:$H,MATCH($A1357&amp;"|"&amp;$D1357,Types!$A:$A,0)))))</f>
        <v/>
      </c>
      <c r="AK1357" s="43">
        <f>IF(AG1357=1,AF1357,MAX(AQ1357*AS1357,AF1357))</f>
        <v/>
      </c>
      <c r="AL1357" s="43">
        <f>IF(AG1357=1,AD1357,AK1357*(1+AJ1357)/2)</f>
        <v/>
      </c>
      <c r="AM1357" s="43">
        <f>IF(AG1357=1,AE1357,AK1357*(1-AJ1357)/2)</f>
        <v/>
      </c>
      <c r="AN1357" s="45">
        <f>IF(AH1357="","",AH1357-T1357)</f>
        <v/>
      </c>
      <c r="AO1357" s="51">
        <f>IF(AG1357=1,1,IF(U1357&gt;0,MIN(AF1357/U1357,0.99),0))</f>
        <v/>
      </c>
      <c r="AP1357" s="43">
        <f>IF(AG1357=1,AI1357*AF1357,0)</f>
        <v/>
      </c>
      <c r="AQ1357" s="43">
        <f>N1357*(F1357+G1357)/H1357</f>
        <v/>
      </c>
      <c r="AR1357" s="43">
        <f>O1357*AQ1357</f>
        <v/>
      </c>
      <c r="AS1357" s="52">
        <f>IF(AG1357=1,IF(AQ1357&gt;0,AF1357/AQ1357,1),IFERROR(INDEX(Types!$K:$K,MATCH($A1357&amp;"|"&amp;$D1357,Types!$A:$A,0)),INDEX(Dashboard!$X$6:$X$22,MATCH($A1357,Dashboard!$A$6:$A$22,0))))</f>
        <v/>
      </c>
      <c r="AT1357" s="43">
        <f>AQ1357*INDEX(Dashboard!$Y$6:$Y$22,MATCH($A1357,Dashboard!$A$6:$A$22,0))</f>
        <v/>
      </c>
      <c r="AU1357" s="53">
        <f>IF(AND(AG1357=1,AT1357&gt;0,AF1357&gt;0),100*AF1357/AT1357,"")</f>
        <v/>
      </c>
      <c r="AV1357" s="44">
        <f>IF(AU1357="","",T1357/(AU1357/100))</f>
        <v/>
      </c>
      <c r="AW1357" s="53">
        <f>IF(AU1357="","",IF(AND(ABS(AH1357)&gt;=0.1,ABS(T1357)&gt;=0.05,SIGN(AH1357)=SIGN(T1357)),100*T1357/AH1357,""))</f>
        <v/>
      </c>
      <c r="AX1357" s="45">
        <f>IF(AU1357="","",T1357-AV1357)</f>
        <v/>
      </c>
      <c r="AY1357" s="45">
        <f>IF(AU1357="","",AH1357-AV1357)</f>
        <v/>
      </c>
      <c r="AZ1357" s="54">
        <f>(AL1357-AM1357)-T1357*AT1357</f>
        <v/>
      </c>
      <c r="BA1357" s="43">
        <f>IF(AU1357="",0,(AH1357-T1357)*AF1357)</f>
        <v/>
      </c>
      <c r="BB1357" s="43">
        <f>IF(AU1357="",0,T1357*(AF1357-AT1357))</f>
        <v/>
      </c>
      <c r="BC1357" s="51" t="n">
        <v>0.03976464502780292</v>
      </c>
      <c r="BD1357" s="51" t="n">
        <v>0.08379671537566274</v>
      </c>
      <c r="BE1357" s="51" t="n">
        <v>0.3728050427735254</v>
      </c>
      <c r="BF1357" s="43" t="n">
        <v>15466</v>
      </c>
    </row>
    <row r="1358">
      <c r="A1358" s="42" t="inlineStr">
        <is>
          <t>VA</t>
        </is>
      </c>
      <c r="B1358" s="42" t="inlineStr">
        <is>
          <t>51570</t>
        </is>
      </c>
      <c r="C1358" s="42" t="inlineStr">
        <is>
          <t>Colonial Heights city</t>
        </is>
      </c>
      <c r="D1358" s="42" t="inlineStr">
        <is>
          <t>Small town &amp; rural</t>
        </is>
      </c>
      <c r="E1358" s="42" t="inlineStr"/>
      <c r="F1358" s="43" t="n">
        <v>2982</v>
      </c>
      <c r="G1358" s="43" t="n">
        <v>5883</v>
      </c>
      <c r="H1358" s="43" t="n">
        <v>8941</v>
      </c>
      <c r="I1358" s="43" t="n">
        <v>2972</v>
      </c>
      <c r="J1358" s="43" t="n">
        <v>6007</v>
      </c>
      <c r="K1358" s="42" t="inlineStr">
        <is>
          <t>US House</t>
        </is>
      </c>
      <c r="L1358" s="43" t="n">
        <v>1618</v>
      </c>
      <c r="M1358" s="43" t="n">
        <v>4019</v>
      </c>
      <c r="N1358" s="43" t="n">
        <v>5645</v>
      </c>
      <c r="O1358" s="44">
        <f>IFERROR((F1358-G1358)/(F1358+G1358),"")</f>
        <v/>
      </c>
      <c r="P1358" s="44">
        <f>IFERROR((I1358-J1358)/(I1358+J1358),"")</f>
        <v/>
      </c>
      <c r="Q1358" s="45">
        <f>IFERROR(O1358-P1358,"")</f>
        <v/>
      </c>
      <c r="R1358" s="44">
        <f>IFERROR((L1358-M1358)/(L1358+M1358),"")</f>
        <v/>
      </c>
      <c r="S1358" s="46">
        <f>H1358/SUMIFS(Counties!$H$2:$H$1583,Counties!$A$2:$A$1583,$A1358)</f>
        <v/>
      </c>
      <c r="T1358" s="44">
        <f>O1358+INDEX(Dashboard!$F$6:$F$22,MATCH($A1358,Dashboard!$A$6:$A$22,0))</f>
        <v/>
      </c>
      <c r="U1358" s="43">
        <f>AQ1358*INDEX(Dashboard!$G$6:$G$22,MATCH($A1358,Dashboard!$A$6:$A$22,0))</f>
        <v/>
      </c>
      <c r="V1358" s="47" t="n"/>
      <c r="W1358" s="47" t="n"/>
      <c r="X1358" s="47" t="n"/>
      <c r="Y1358" s="48" t="n"/>
      <c r="Z1358" s="49" t="n"/>
      <c r="AA1358" s="49" t="n"/>
      <c r="AB1358" s="49" t="n"/>
      <c r="AC1358" s="50" t="n"/>
      <c r="AD1358" s="43">
        <f>IF(Z1358&lt;&gt;"",Z1358,N(V1358))</f>
        <v/>
      </c>
      <c r="AE1358" s="43">
        <f>IF(AA1358&lt;&gt;"",AA1358,N(W1358))</f>
        <v/>
      </c>
      <c r="AF1358" s="43">
        <f>AD1358+AE1358</f>
        <v/>
      </c>
      <c r="AG1358" s="42">
        <f>IF(UPPER(AC1358)="Y",1,IF(AF1358=0,0,IF(AND(Z1358="",Y1358&lt;&gt;""),IF(Y1358&gt;=0.999,1,0),IF(AF1358&gt;=U1358,1,0))))</f>
        <v/>
      </c>
      <c r="AH1358" s="44">
        <f>IF(AF1358&gt;0,(AD1358-AE1358)/AF1358,"")</f>
        <v/>
      </c>
      <c r="AI1358" s="45">
        <f>IF(AG1358=1,AH1358-O1358,"")</f>
        <v/>
      </c>
      <c r="AJ1358" s="44">
        <f>IF(AG1358=1,AH1358,MAX(-1,MIN(1,O1358+INDEX(Types!$H:$H,MATCH($A1358&amp;"|"&amp;$D1358,Types!$A:$A,0)))))</f>
        <v/>
      </c>
      <c r="AK1358" s="43">
        <f>IF(AG1358=1,AF1358,MAX(AQ1358*AS1358,AF1358))</f>
        <v/>
      </c>
      <c r="AL1358" s="43">
        <f>IF(AG1358=1,AD1358,AK1358*(1+AJ1358)/2)</f>
        <v/>
      </c>
      <c r="AM1358" s="43">
        <f>IF(AG1358=1,AE1358,AK1358*(1-AJ1358)/2)</f>
        <v/>
      </c>
      <c r="AN1358" s="45">
        <f>IF(AH1358="","",AH1358-T1358)</f>
        <v/>
      </c>
      <c r="AO1358" s="51">
        <f>IF(AG1358=1,1,IF(U1358&gt;0,MIN(AF1358/U1358,0.99),0))</f>
        <v/>
      </c>
      <c r="AP1358" s="43">
        <f>IF(AG1358=1,AI1358*AF1358,0)</f>
        <v/>
      </c>
      <c r="AQ1358" s="43">
        <f>N1358*(F1358+G1358)/H1358</f>
        <v/>
      </c>
      <c r="AR1358" s="43">
        <f>O1358*AQ1358</f>
        <v/>
      </c>
      <c r="AS1358" s="52">
        <f>IF(AG1358=1,IF(AQ1358&gt;0,AF1358/AQ1358,1),IFERROR(INDEX(Types!$K:$K,MATCH($A1358&amp;"|"&amp;$D1358,Types!$A:$A,0)),INDEX(Dashboard!$X$6:$X$22,MATCH($A1358,Dashboard!$A$6:$A$22,0))))</f>
        <v/>
      </c>
      <c r="AT1358" s="43">
        <f>AQ1358*INDEX(Dashboard!$Y$6:$Y$22,MATCH($A1358,Dashboard!$A$6:$A$22,0))</f>
        <v/>
      </c>
      <c r="AU1358" s="53">
        <f>IF(AND(AG1358=1,AT1358&gt;0,AF1358&gt;0),100*AF1358/AT1358,"")</f>
        <v/>
      </c>
      <c r="AV1358" s="44">
        <f>IF(AU1358="","",T1358/(AU1358/100))</f>
        <v/>
      </c>
      <c r="AW1358" s="53">
        <f>IF(AU1358="","",IF(AND(ABS(AH1358)&gt;=0.1,ABS(T1358)&gt;=0.05,SIGN(AH1358)=SIGN(T1358)),100*T1358/AH1358,""))</f>
        <v/>
      </c>
      <c r="AX1358" s="45">
        <f>IF(AU1358="","",T1358-AV1358)</f>
        <v/>
      </c>
      <c r="AY1358" s="45">
        <f>IF(AU1358="","",AH1358-AV1358)</f>
        <v/>
      </c>
      <c r="AZ1358" s="54">
        <f>(AL1358-AM1358)-T1358*AT1358</f>
        <v/>
      </c>
      <c r="BA1358" s="43">
        <f>IF(AU1358="",0,(AH1358-T1358)*AF1358)</f>
        <v/>
      </c>
      <c r="BB1358" s="43">
        <f>IF(AU1358="",0,T1358*(AF1358-AT1358))</f>
        <v/>
      </c>
      <c r="BC1358" s="51" t="n">
        <v>0.1942043168596749</v>
      </c>
      <c r="BD1358" s="51" t="n">
        <v>0.0881313543195781</v>
      </c>
      <c r="BE1358" s="51" t="n">
        <v>0.2949112426035503</v>
      </c>
      <c r="BF1358" s="43" t="n">
        <v>18393</v>
      </c>
    </row>
    <row r="1359">
      <c r="A1359" s="42" t="inlineStr">
        <is>
          <t>VA</t>
        </is>
      </c>
      <c r="B1359" s="42" t="inlineStr">
        <is>
          <t>51580</t>
        </is>
      </c>
      <c r="C1359" s="42" t="inlineStr">
        <is>
          <t>Covington city</t>
        </is>
      </c>
      <c r="D1359" s="42" t="inlineStr">
        <is>
          <t>Small town &amp; rural</t>
        </is>
      </c>
      <c r="E1359" s="42" t="inlineStr"/>
      <c r="F1359" s="43" t="n">
        <v>818</v>
      </c>
      <c r="G1359" s="43" t="n">
        <v>1642</v>
      </c>
      <c r="H1359" s="43" t="n">
        <v>2475</v>
      </c>
      <c r="I1359" s="43" t="n">
        <v>964</v>
      </c>
      <c r="J1359" s="43" t="n">
        <v>1580</v>
      </c>
      <c r="K1359" s="42" t="inlineStr">
        <is>
          <t>US House</t>
        </is>
      </c>
      <c r="L1359" s="43" t="n">
        <v>474</v>
      </c>
      <c r="M1359" s="43" t="n">
        <v>1011</v>
      </c>
      <c r="N1359" s="43" t="n">
        <v>1486</v>
      </c>
      <c r="O1359" s="44">
        <f>IFERROR((F1359-G1359)/(F1359+G1359),"")</f>
        <v/>
      </c>
      <c r="P1359" s="44">
        <f>IFERROR((I1359-J1359)/(I1359+J1359),"")</f>
        <v/>
      </c>
      <c r="Q1359" s="45">
        <f>IFERROR(O1359-P1359,"")</f>
        <v/>
      </c>
      <c r="R1359" s="44">
        <f>IFERROR((L1359-M1359)/(L1359+M1359),"")</f>
        <v/>
      </c>
      <c r="S1359" s="46">
        <f>H1359/SUMIFS(Counties!$H$2:$H$1583,Counties!$A$2:$A$1583,$A1359)</f>
        <v/>
      </c>
      <c r="T1359" s="44">
        <f>O1359+INDEX(Dashboard!$F$6:$F$22,MATCH($A1359,Dashboard!$A$6:$A$22,0))</f>
        <v/>
      </c>
      <c r="U1359" s="43">
        <f>AQ1359*INDEX(Dashboard!$G$6:$G$22,MATCH($A1359,Dashboard!$A$6:$A$22,0))</f>
        <v/>
      </c>
      <c r="V1359" s="47" t="n"/>
      <c r="W1359" s="47" t="n"/>
      <c r="X1359" s="47" t="n"/>
      <c r="Y1359" s="48" t="n"/>
      <c r="Z1359" s="49" t="n"/>
      <c r="AA1359" s="49" t="n"/>
      <c r="AB1359" s="49" t="n"/>
      <c r="AC1359" s="50" t="n"/>
      <c r="AD1359" s="43">
        <f>IF(Z1359&lt;&gt;"",Z1359,N(V1359))</f>
        <v/>
      </c>
      <c r="AE1359" s="43">
        <f>IF(AA1359&lt;&gt;"",AA1359,N(W1359))</f>
        <v/>
      </c>
      <c r="AF1359" s="43">
        <f>AD1359+AE1359</f>
        <v/>
      </c>
      <c r="AG1359" s="42">
        <f>IF(UPPER(AC1359)="Y",1,IF(AF1359=0,0,IF(AND(Z1359="",Y1359&lt;&gt;""),IF(Y1359&gt;=0.999,1,0),IF(AF1359&gt;=U1359,1,0))))</f>
        <v/>
      </c>
      <c r="AH1359" s="44">
        <f>IF(AF1359&gt;0,(AD1359-AE1359)/AF1359,"")</f>
        <v/>
      </c>
      <c r="AI1359" s="45">
        <f>IF(AG1359=1,AH1359-O1359,"")</f>
        <v/>
      </c>
      <c r="AJ1359" s="44">
        <f>IF(AG1359=1,AH1359,MAX(-1,MIN(1,O1359+INDEX(Types!$H:$H,MATCH($A1359&amp;"|"&amp;$D1359,Types!$A:$A,0)))))</f>
        <v/>
      </c>
      <c r="AK1359" s="43">
        <f>IF(AG1359=1,AF1359,MAX(AQ1359*AS1359,AF1359))</f>
        <v/>
      </c>
      <c r="AL1359" s="43">
        <f>IF(AG1359=1,AD1359,AK1359*(1+AJ1359)/2)</f>
        <v/>
      </c>
      <c r="AM1359" s="43">
        <f>IF(AG1359=1,AE1359,AK1359*(1-AJ1359)/2)</f>
        <v/>
      </c>
      <c r="AN1359" s="45">
        <f>IF(AH1359="","",AH1359-T1359)</f>
        <v/>
      </c>
      <c r="AO1359" s="51">
        <f>IF(AG1359=1,1,IF(U1359&gt;0,MIN(AF1359/U1359,0.99),0))</f>
        <v/>
      </c>
      <c r="AP1359" s="43">
        <f>IF(AG1359=1,AI1359*AF1359,0)</f>
        <v/>
      </c>
      <c r="AQ1359" s="43">
        <f>N1359*(F1359+G1359)/H1359</f>
        <v/>
      </c>
      <c r="AR1359" s="43">
        <f>O1359*AQ1359</f>
        <v/>
      </c>
      <c r="AS1359" s="52">
        <f>IF(AG1359=1,IF(AQ1359&gt;0,AF1359/AQ1359,1),IFERROR(INDEX(Types!$K:$K,MATCH($A1359&amp;"|"&amp;$D1359,Types!$A:$A,0)),INDEX(Dashboard!$X$6:$X$22,MATCH($A1359,Dashboard!$A$6:$A$22,0))))</f>
        <v/>
      </c>
      <c r="AT1359" s="43">
        <f>AQ1359*INDEX(Dashboard!$Y$6:$Y$22,MATCH($A1359,Dashboard!$A$6:$A$22,0))</f>
        <v/>
      </c>
      <c r="AU1359" s="53">
        <f>IF(AND(AG1359=1,AT1359&gt;0,AF1359&gt;0),100*AF1359/AT1359,"")</f>
        <v/>
      </c>
      <c r="AV1359" s="44">
        <f>IF(AU1359="","",T1359/(AU1359/100))</f>
        <v/>
      </c>
      <c r="AW1359" s="53">
        <f>IF(AU1359="","",IF(AND(ABS(AH1359)&gt;=0.1,ABS(T1359)&gt;=0.05,SIGN(AH1359)=SIGN(T1359)),100*T1359/AH1359,""))</f>
        <v/>
      </c>
      <c r="AX1359" s="45">
        <f>IF(AU1359="","",T1359-AV1359)</f>
        <v/>
      </c>
      <c r="AY1359" s="45">
        <f>IF(AU1359="","",AH1359-AV1359)</f>
        <v/>
      </c>
      <c r="AZ1359" s="54">
        <f>(AL1359-AM1359)-T1359*AT1359</f>
        <v/>
      </c>
      <c r="BA1359" s="43">
        <f>IF(AU1359="",0,(AH1359-T1359)*AF1359)</f>
        <v/>
      </c>
      <c r="BB1359" s="43">
        <f>IF(AU1359="",0,T1359*(AF1359-AT1359))</f>
        <v/>
      </c>
      <c r="BC1359" s="51" t="n">
        <v>0.1228133453561767</v>
      </c>
      <c r="BD1359" s="51" t="n">
        <v>0.03660955816050496</v>
      </c>
      <c r="BE1359" s="51" t="n">
        <v>0.09599790740256343</v>
      </c>
      <c r="BF1359" s="43" t="n">
        <v>5545</v>
      </c>
    </row>
    <row r="1360">
      <c r="A1360" s="42" t="inlineStr">
        <is>
          <t>VA</t>
        </is>
      </c>
      <c r="B1360" s="42" t="inlineStr">
        <is>
          <t>51045</t>
        </is>
      </c>
      <c r="C1360" s="42" t="inlineStr">
        <is>
          <t>Craig</t>
        </is>
      </c>
      <c r="D1360" s="42" t="inlineStr">
        <is>
          <t>Small town &amp; rural</t>
        </is>
      </c>
      <c r="E1360" s="42" t="inlineStr"/>
      <c r="F1360" s="43" t="n">
        <v>542</v>
      </c>
      <c r="G1360" s="43" t="n">
        <v>2562</v>
      </c>
      <c r="H1360" s="43" t="n">
        <v>3121</v>
      </c>
      <c r="I1360" s="43" t="n">
        <v>587</v>
      </c>
      <c r="J1360" s="43" t="n">
        <v>2536</v>
      </c>
      <c r="K1360" s="42" t="inlineStr">
        <is>
          <t>US House</t>
        </is>
      </c>
      <c r="L1360" s="43" t="n">
        <v>350</v>
      </c>
      <c r="M1360" s="43" t="n">
        <v>1715</v>
      </c>
      <c r="N1360" s="43" t="n">
        <v>2070</v>
      </c>
      <c r="O1360" s="44">
        <f>IFERROR((F1360-G1360)/(F1360+G1360),"")</f>
        <v/>
      </c>
      <c r="P1360" s="44">
        <f>IFERROR((I1360-J1360)/(I1360+J1360),"")</f>
        <v/>
      </c>
      <c r="Q1360" s="45">
        <f>IFERROR(O1360-P1360,"")</f>
        <v/>
      </c>
      <c r="R1360" s="44">
        <f>IFERROR((L1360-M1360)/(L1360+M1360),"")</f>
        <v/>
      </c>
      <c r="S1360" s="46">
        <f>H1360/SUMIFS(Counties!$H$2:$H$1583,Counties!$A$2:$A$1583,$A1360)</f>
        <v/>
      </c>
      <c r="T1360" s="44">
        <f>O1360+INDEX(Dashboard!$F$6:$F$22,MATCH($A1360,Dashboard!$A$6:$A$22,0))</f>
        <v/>
      </c>
      <c r="U1360" s="43">
        <f>AQ1360*INDEX(Dashboard!$G$6:$G$22,MATCH($A1360,Dashboard!$A$6:$A$22,0))</f>
        <v/>
      </c>
      <c r="V1360" s="47" t="n"/>
      <c r="W1360" s="47" t="n"/>
      <c r="X1360" s="47" t="n"/>
      <c r="Y1360" s="48" t="n"/>
      <c r="Z1360" s="49" t="n"/>
      <c r="AA1360" s="49" t="n"/>
      <c r="AB1360" s="49" t="n"/>
      <c r="AC1360" s="50" t="n"/>
      <c r="AD1360" s="43">
        <f>IF(Z1360&lt;&gt;"",Z1360,N(V1360))</f>
        <v/>
      </c>
      <c r="AE1360" s="43">
        <f>IF(AA1360&lt;&gt;"",AA1360,N(W1360))</f>
        <v/>
      </c>
      <c r="AF1360" s="43">
        <f>AD1360+AE1360</f>
        <v/>
      </c>
      <c r="AG1360" s="42">
        <f>IF(UPPER(AC1360)="Y",1,IF(AF1360=0,0,IF(AND(Z1360="",Y1360&lt;&gt;""),IF(Y1360&gt;=0.999,1,0),IF(AF1360&gt;=U1360,1,0))))</f>
        <v/>
      </c>
      <c r="AH1360" s="44">
        <f>IF(AF1360&gt;0,(AD1360-AE1360)/AF1360,"")</f>
        <v/>
      </c>
      <c r="AI1360" s="45">
        <f>IF(AG1360=1,AH1360-O1360,"")</f>
        <v/>
      </c>
      <c r="AJ1360" s="44">
        <f>IF(AG1360=1,AH1360,MAX(-1,MIN(1,O1360+INDEX(Types!$H:$H,MATCH($A1360&amp;"|"&amp;$D1360,Types!$A:$A,0)))))</f>
        <v/>
      </c>
      <c r="AK1360" s="43">
        <f>IF(AG1360=1,AF1360,MAX(AQ1360*AS1360,AF1360))</f>
        <v/>
      </c>
      <c r="AL1360" s="43">
        <f>IF(AG1360=1,AD1360,AK1360*(1+AJ1360)/2)</f>
        <v/>
      </c>
      <c r="AM1360" s="43">
        <f>IF(AG1360=1,AE1360,AK1360*(1-AJ1360)/2)</f>
        <v/>
      </c>
      <c r="AN1360" s="45">
        <f>IF(AH1360="","",AH1360-T1360)</f>
        <v/>
      </c>
      <c r="AO1360" s="51">
        <f>IF(AG1360=1,1,IF(U1360&gt;0,MIN(AF1360/U1360,0.99),0))</f>
        <v/>
      </c>
      <c r="AP1360" s="43">
        <f>IF(AG1360=1,AI1360*AF1360,0)</f>
        <v/>
      </c>
      <c r="AQ1360" s="43">
        <f>N1360*(F1360+G1360)/H1360</f>
        <v/>
      </c>
      <c r="AR1360" s="43">
        <f>O1360*AQ1360</f>
        <v/>
      </c>
      <c r="AS1360" s="52">
        <f>IF(AG1360=1,IF(AQ1360&gt;0,AF1360/AQ1360,1),IFERROR(INDEX(Types!$K:$K,MATCH($A1360&amp;"|"&amp;$D1360,Types!$A:$A,0)),INDEX(Dashboard!$X$6:$X$22,MATCH($A1360,Dashboard!$A$6:$A$22,0))))</f>
        <v/>
      </c>
      <c r="AT1360" s="43">
        <f>AQ1360*INDEX(Dashboard!$Y$6:$Y$22,MATCH($A1360,Dashboard!$A$6:$A$22,0))</f>
        <v/>
      </c>
      <c r="AU1360" s="53">
        <f>IF(AND(AG1360=1,AT1360&gt;0,AF1360&gt;0),100*AF1360/AT1360,"")</f>
        <v/>
      </c>
      <c r="AV1360" s="44">
        <f>IF(AU1360="","",T1360/(AU1360/100))</f>
        <v/>
      </c>
      <c r="AW1360" s="53">
        <f>IF(AU1360="","",IF(AND(ABS(AH1360)&gt;=0.1,ABS(T1360)&gt;=0.05,SIGN(AH1360)=SIGN(T1360)),100*T1360/AH1360,""))</f>
        <v/>
      </c>
      <c r="AX1360" s="45">
        <f>IF(AU1360="","",T1360-AV1360)</f>
        <v/>
      </c>
      <c r="AY1360" s="45">
        <f>IF(AU1360="","",AH1360-AV1360)</f>
        <v/>
      </c>
      <c r="AZ1360" s="54">
        <f>(AL1360-AM1360)-T1360*AT1360</f>
        <v/>
      </c>
      <c r="BA1360" s="43">
        <f>IF(AU1360="",0,(AH1360-T1360)*AF1360)</f>
        <v/>
      </c>
      <c r="BB1360" s="43">
        <f>IF(AU1360="",0,T1360*(AF1360-AT1360))</f>
        <v/>
      </c>
      <c r="BC1360" s="51" t="n">
        <v>0.004955606029320669</v>
      </c>
      <c r="BD1360" s="51" t="n">
        <v>0.01486681808796201</v>
      </c>
      <c r="BE1360" s="51" t="n">
        <v>0.1730994152046784</v>
      </c>
      <c r="BF1360" s="43" t="n">
        <v>4843</v>
      </c>
    </row>
    <row r="1361">
      <c r="A1361" s="42" t="inlineStr">
        <is>
          <t>VA</t>
        </is>
      </c>
      <c r="B1361" s="42" t="inlineStr">
        <is>
          <t>51047</t>
        </is>
      </c>
      <c r="C1361" s="42" t="inlineStr">
        <is>
          <t>Culpeper</t>
        </is>
      </c>
      <c r="D1361" s="42" t="inlineStr">
        <is>
          <t>Small town &amp; rural</t>
        </is>
      </c>
      <c r="E1361" s="42" t="inlineStr"/>
      <c r="F1361" s="43" t="n">
        <v>10557</v>
      </c>
      <c r="G1361" s="43" t="n">
        <v>17685</v>
      </c>
      <c r="H1361" s="43" t="n">
        <v>28553</v>
      </c>
      <c r="I1361" s="43" t="n">
        <v>10617</v>
      </c>
      <c r="J1361" s="43" t="n">
        <v>16012</v>
      </c>
      <c r="K1361" s="42" t="inlineStr">
        <is>
          <t>US House</t>
        </is>
      </c>
      <c r="L1361" s="43" t="n">
        <v>7979</v>
      </c>
      <c r="M1361" s="43" t="n">
        <v>12198</v>
      </c>
      <c r="N1361" s="43" t="n">
        <v>20216</v>
      </c>
      <c r="O1361" s="44">
        <f>IFERROR((F1361-G1361)/(F1361+G1361),"")</f>
        <v/>
      </c>
      <c r="P1361" s="44">
        <f>IFERROR((I1361-J1361)/(I1361+J1361),"")</f>
        <v/>
      </c>
      <c r="Q1361" s="45">
        <f>IFERROR(O1361-P1361,"")</f>
        <v/>
      </c>
      <c r="R1361" s="44">
        <f>IFERROR((L1361-M1361)/(L1361+M1361),"")</f>
        <v/>
      </c>
      <c r="S1361" s="46">
        <f>H1361/SUMIFS(Counties!$H$2:$H$1583,Counties!$A$2:$A$1583,$A1361)</f>
        <v/>
      </c>
      <c r="T1361" s="44">
        <f>O1361+INDEX(Dashboard!$F$6:$F$22,MATCH($A1361,Dashboard!$A$6:$A$22,0))</f>
        <v/>
      </c>
      <c r="U1361" s="43">
        <f>AQ1361*INDEX(Dashboard!$G$6:$G$22,MATCH($A1361,Dashboard!$A$6:$A$22,0))</f>
        <v/>
      </c>
      <c r="V1361" s="47" t="n"/>
      <c r="W1361" s="47" t="n"/>
      <c r="X1361" s="47" t="n"/>
      <c r="Y1361" s="48" t="n"/>
      <c r="Z1361" s="49" t="n"/>
      <c r="AA1361" s="49" t="n"/>
      <c r="AB1361" s="49" t="n"/>
      <c r="AC1361" s="50" t="n"/>
      <c r="AD1361" s="43">
        <f>IF(Z1361&lt;&gt;"",Z1361,N(V1361))</f>
        <v/>
      </c>
      <c r="AE1361" s="43">
        <f>IF(AA1361&lt;&gt;"",AA1361,N(W1361))</f>
        <v/>
      </c>
      <c r="AF1361" s="43">
        <f>AD1361+AE1361</f>
        <v/>
      </c>
      <c r="AG1361" s="42">
        <f>IF(UPPER(AC1361)="Y",1,IF(AF1361=0,0,IF(AND(Z1361="",Y1361&lt;&gt;""),IF(Y1361&gt;=0.999,1,0),IF(AF1361&gt;=U1361,1,0))))</f>
        <v/>
      </c>
      <c r="AH1361" s="44">
        <f>IF(AF1361&gt;0,(AD1361-AE1361)/AF1361,"")</f>
        <v/>
      </c>
      <c r="AI1361" s="45">
        <f>IF(AG1361=1,AH1361-O1361,"")</f>
        <v/>
      </c>
      <c r="AJ1361" s="44">
        <f>IF(AG1361=1,AH1361,MAX(-1,MIN(1,O1361+INDEX(Types!$H:$H,MATCH($A1361&amp;"|"&amp;$D1361,Types!$A:$A,0)))))</f>
        <v/>
      </c>
      <c r="AK1361" s="43">
        <f>IF(AG1361=1,AF1361,MAX(AQ1361*AS1361,AF1361))</f>
        <v/>
      </c>
      <c r="AL1361" s="43">
        <f>IF(AG1361=1,AD1361,AK1361*(1+AJ1361)/2)</f>
        <v/>
      </c>
      <c r="AM1361" s="43">
        <f>IF(AG1361=1,AE1361,AK1361*(1-AJ1361)/2)</f>
        <v/>
      </c>
      <c r="AN1361" s="45">
        <f>IF(AH1361="","",AH1361-T1361)</f>
        <v/>
      </c>
      <c r="AO1361" s="51">
        <f>IF(AG1361=1,1,IF(U1361&gt;0,MIN(AF1361/U1361,0.99),0))</f>
        <v/>
      </c>
      <c r="AP1361" s="43">
        <f>IF(AG1361=1,AI1361*AF1361,0)</f>
        <v/>
      </c>
      <c r="AQ1361" s="43">
        <f>N1361*(F1361+G1361)/H1361</f>
        <v/>
      </c>
      <c r="AR1361" s="43">
        <f>O1361*AQ1361</f>
        <v/>
      </c>
      <c r="AS1361" s="52">
        <f>IF(AG1361=1,IF(AQ1361&gt;0,AF1361/AQ1361,1),IFERROR(INDEX(Types!$K:$K,MATCH($A1361&amp;"|"&amp;$D1361,Types!$A:$A,0)),INDEX(Dashboard!$X$6:$X$22,MATCH($A1361,Dashboard!$A$6:$A$22,0))))</f>
        <v/>
      </c>
      <c r="AT1361" s="43">
        <f>AQ1361*INDEX(Dashboard!$Y$6:$Y$22,MATCH($A1361,Dashboard!$A$6:$A$22,0))</f>
        <v/>
      </c>
      <c r="AU1361" s="53">
        <f>IF(AND(AG1361=1,AT1361&gt;0,AF1361&gt;0),100*AF1361/AT1361,"")</f>
        <v/>
      </c>
      <c r="AV1361" s="44">
        <f>IF(AU1361="","",T1361/(AU1361/100))</f>
        <v/>
      </c>
      <c r="AW1361" s="53">
        <f>IF(AU1361="","",IF(AND(ABS(AH1361)&gt;=0.1,ABS(T1361)&gt;=0.05,SIGN(AH1361)=SIGN(T1361)),100*T1361/AH1361,""))</f>
        <v/>
      </c>
      <c r="AX1361" s="45">
        <f>IF(AU1361="","",T1361-AV1361)</f>
        <v/>
      </c>
      <c r="AY1361" s="45">
        <f>IF(AU1361="","",AH1361-AV1361)</f>
        <v/>
      </c>
      <c r="AZ1361" s="54">
        <f>(AL1361-AM1361)-T1361*AT1361</f>
        <v/>
      </c>
      <c r="BA1361" s="43">
        <f>IF(AU1361="",0,(AH1361-T1361)*AF1361)</f>
        <v/>
      </c>
      <c r="BB1361" s="43">
        <f>IF(AU1361="",0,T1361*(AF1361-AT1361))</f>
        <v/>
      </c>
      <c r="BC1361" s="51" t="n">
        <v>0.1262074109108108</v>
      </c>
      <c r="BD1361" s="51" t="n">
        <v>0.1585505611845815</v>
      </c>
      <c r="BE1361" s="51" t="n">
        <v>0.2640533778148457</v>
      </c>
      <c r="BF1361" s="43" t="n">
        <v>54973</v>
      </c>
    </row>
    <row r="1362">
      <c r="A1362" s="42" t="inlineStr">
        <is>
          <t>VA</t>
        </is>
      </c>
      <c r="B1362" s="42" t="inlineStr">
        <is>
          <t>51049</t>
        </is>
      </c>
      <c r="C1362" s="42" t="inlineStr">
        <is>
          <t>Cumberland</t>
        </is>
      </c>
      <c r="D1362" s="42" t="inlineStr">
        <is>
          <t>Small town &amp; rural</t>
        </is>
      </c>
      <c r="E1362" s="42" t="inlineStr"/>
      <c r="F1362" s="43" t="n">
        <v>2117</v>
      </c>
      <c r="G1362" s="43" t="n">
        <v>3335</v>
      </c>
      <c r="H1362" s="43" t="n">
        <v>5486</v>
      </c>
      <c r="I1362" s="43" t="n">
        <v>2227</v>
      </c>
      <c r="J1362" s="43" t="n">
        <v>3019</v>
      </c>
      <c r="K1362" s="42" t="inlineStr">
        <is>
          <t>US House</t>
        </is>
      </c>
      <c r="L1362" s="43" t="n">
        <v>1307</v>
      </c>
      <c r="M1362" s="43" t="n">
        <v>2410</v>
      </c>
      <c r="N1362" s="43" t="n">
        <v>3722</v>
      </c>
      <c r="O1362" s="44">
        <f>IFERROR((F1362-G1362)/(F1362+G1362),"")</f>
        <v/>
      </c>
      <c r="P1362" s="44">
        <f>IFERROR((I1362-J1362)/(I1362+J1362),"")</f>
        <v/>
      </c>
      <c r="Q1362" s="45">
        <f>IFERROR(O1362-P1362,"")</f>
        <v/>
      </c>
      <c r="R1362" s="44">
        <f>IFERROR((L1362-M1362)/(L1362+M1362),"")</f>
        <v/>
      </c>
      <c r="S1362" s="46">
        <f>H1362/SUMIFS(Counties!$H$2:$H$1583,Counties!$A$2:$A$1583,$A1362)</f>
        <v/>
      </c>
      <c r="T1362" s="44">
        <f>O1362+INDEX(Dashboard!$F$6:$F$22,MATCH($A1362,Dashboard!$A$6:$A$22,0))</f>
        <v/>
      </c>
      <c r="U1362" s="43">
        <f>AQ1362*INDEX(Dashboard!$G$6:$G$22,MATCH($A1362,Dashboard!$A$6:$A$22,0))</f>
        <v/>
      </c>
      <c r="V1362" s="47" t="n"/>
      <c r="W1362" s="47" t="n"/>
      <c r="X1362" s="47" t="n"/>
      <c r="Y1362" s="48" t="n"/>
      <c r="Z1362" s="49" t="n"/>
      <c r="AA1362" s="49" t="n"/>
      <c r="AB1362" s="49" t="n"/>
      <c r="AC1362" s="50" t="n"/>
      <c r="AD1362" s="43">
        <f>IF(Z1362&lt;&gt;"",Z1362,N(V1362))</f>
        <v/>
      </c>
      <c r="AE1362" s="43">
        <f>IF(AA1362&lt;&gt;"",AA1362,N(W1362))</f>
        <v/>
      </c>
      <c r="AF1362" s="43">
        <f>AD1362+AE1362</f>
        <v/>
      </c>
      <c r="AG1362" s="42">
        <f>IF(UPPER(AC1362)="Y",1,IF(AF1362=0,0,IF(AND(Z1362="",Y1362&lt;&gt;""),IF(Y1362&gt;=0.999,1,0),IF(AF1362&gt;=U1362,1,0))))</f>
        <v/>
      </c>
      <c r="AH1362" s="44">
        <f>IF(AF1362&gt;0,(AD1362-AE1362)/AF1362,"")</f>
        <v/>
      </c>
      <c r="AI1362" s="45">
        <f>IF(AG1362=1,AH1362-O1362,"")</f>
        <v/>
      </c>
      <c r="AJ1362" s="44">
        <f>IF(AG1362=1,AH1362,MAX(-1,MIN(1,O1362+INDEX(Types!$H:$H,MATCH($A1362&amp;"|"&amp;$D1362,Types!$A:$A,0)))))</f>
        <v/>
      </c>
      <c r="AK1362" s="43">
        <f>IF(AG1362=1,AF1362,MAX(AQ1362*AS1362,AF1362))</f>
        <v/>
      </c>
      <c r="AL1362" s="43">
        <f>IF(AG1362=1,AD1362,AK1362*(1+AJ1362)/2)</f>
        <v/>
      </c>
      <c r="AM1362" s="43">
        <f>IF(AG1362=1,AE1362,AK1362*(1-AJ1362)/2)</f>
        <v/>
      </c>
      <c r="AN1362" s="45">
        <f>IF(AH1362="","",AH1362-T1362)</f>
        <v/>
      </c>
      <c r="AO1362" s="51">
        <f>IF(AG1362=1,1,IF(U1362&gt;0,MIN(AF1362/U1362,0.99),0))</f>
        <v/>
      </c>
      <c r="AP1362" s="43">
        <f>IF(AG1362=1,AI1362*AF1362,0)</f>
        <v/>
      </c>
      <c r="AQ1362" s="43">
        <f>N1362*(F1362+G1362)/H1362</f>
        <v/>
      </c>
      <c r="AR1362" s="43">
        <f>O1362*AQ1362</f>
        <v/>
      </c>
      <c r="AS1362" s="52">
        <f>IF(AG1362=1,IF(AQ1362&gt;0,AF1362/AQ1362,1),IFERROR(INDEX(Types!$K:$K,MATCH($A1362&amp;"|"&amp;$D1362,Types!$A:$A,0)),INDEX(Dashboard!$X$6:$X$22,MATCH($A1362,Dashboard!$A$6:$A$22,0))))</f>
        <v/>
      </c>
      <c r="AT1362" s="43">
        <f>AQ1362*INDEX(Dashboard!$Y$6:$Y$22,MATCH($A1362,Dashboard!$A$6:$A$22,0))</f>
        <v/>
      </c>
      <c r="AU1362" s="53">
        <f>IF(AND(AG1362=1,AT1362&gt;0,AF1362&gt;0),100*AF1362/AT1362,"")</f>
        <v/>
      </c>
      <c r="AV1362" s="44">
        <f>IF(AU1362="","",T1362/(AU1362/100))</f>
        <v/>
      </c>
      <c r="AW1362" s="53">
        <f>IF(AU1362="","",IF(AND(ABS(AH1362)&gt;=0.1,ABS(T1362)&gt;=0.05,SIGN(AH1362)=SIGN(T1362)),100*T1362/AH1362,""))</f>
        <v/>
      </c>
      <c r="AX1362" s="45">
        <f>IF(AU1362="","",T1362-AV1362)</f>
        <v/>
      </c>
      <c r="AY1362" s="45">
        <f>IF(AU1362="","",AH1362-AV1362)</f>
        <v/>
      </c>
      <c r="AZ1362" s="54">
        <f>(AL1362-AM1362)-T1362*AT1362</f>
        <v/>
      </c>
      <c r="BA1362" s="43">
        <f>IF(AU1362="",0,(AH1362-T1362)*AF1362)</f>
        <v/>
      </c>
      <c r="BB1362" s="43">
        <f>IF(AU1362="",0,T1362*(AF1362-AT1362))</f>
        <v/>
      </c>
      <c r="BC1362" s="51" t="n">
        <v>0.2882162381048795</v>
      </c>
      <c r="BD1362" s="51" t="n">
        <v>0.03067422555173112</v>
      </c>
      <c r="BE1362" s="51" t="n">
        <v>0.181693426650199</v>
      </c>
      <c r="BF1362" s="43" t="n">
        <v>9878</v>
      </c>
    </row>
    <row r="1363">
      <c r="A1363" s="42" t="inlineStr">
        <is>
          <t>VA</t>
        </is>
      </c>
      <c r="B1363" s="42" t="inlineStr">
        <is>
          <t>51590</t>
        </is>
      </c>
      <c r="C1363" s="42" t="inlineStr">
        <is>
          <t>Danville city</t>
        </is>
      </c>
      <c r="D1363" s="42" t="inlineStr">
        <is>
          <t>Black Belt</t>
        </is>
      </c>
      <c r="E1363" s="42" t="inlineStr"/>
      <c r="F1363" s="43" t="n">
        <v>10615</v>
      </c>
      <c r="G1363" s="43" t="n">
        <v>6894</v>
      </c>
      <c r="H1363" s="43" t="n">
        <v>17667</v>
      </c>
      <c r="I1363" s="43" t="n">
        <v>11710</v>
      </c>
      <c r="J1363" s="43" t="n">
        <v>7428</v>
      </c>
      <c r="K1363" s="42" t="inlineStr">
        <is>
          <t>US House</t>
        </is>
      </c>
      <c r="L1363" s="43" t="n">
        <v>6208</v>
      </c>
      <c r="M1363" s="43" t="n">
        <v>5421</v>
      </c>
      <c r="N1363" s="43" t="n">
        <v>11664</v>
      </c>
      <c r="O1363" s="44">
        <f>IFERROR((F1363-G1363)/(F1363+G1363),"")</f>
        <v/>
      </c>
      <c r="P1363" s="44">
        <f>IFERROR((I1363-J1363)/(I1363+J1363),"")</f>
        <v/>
      </c>
      <c r="Q1363" s="45">
        <f>IFERROR(O1363-P1363,"")</f>
        <v/>
      </c>
      <c r="R1363" s="44">
        <f>IFERROR((L1363-M1363)/(L1363+M1363),"")</f>
        <v/>
      </c>
      <c r="S1363" s="46">
        <f>H1363/SUMIFS(Counties!$H$2:$H$1583,Counties!$A$2:$A$1583,$A1363)</f>
        <v/>
      </c>
      <c r="T1363" s="44">
        <f>O1363+INDEX(Dashboard!$F$6:$F$22,MATCH($A1363,Dashboard!$A$6:$A$22,0))</f>
        <v/>
      </c>
      <c r="U1363" s="43">
        <f>AQ1363*INDEX(Dashboard!$G$6:$G$22,MATCH($A1363,Dashboard!$A$6:$A$22,0))</f>
        <v/>
      </c>
      <c r="V1363" s="47" t="n"/>
      <c r="W1363" s="47" t="n"/>
      <c r="X1363" s="47" t="n"/>
      <c r="Y1363" s="48" t="n"/>
      <c r="Z1363" s="49" t="n"/>
      <c r="AA1363" s="49" t="n"/>
      <c r="AB1363" s="49" t="n"/>
      <c r="AC1363" s="50" t="n"/>
      <c r="AD1363" s="43">
        <f>IF(Z1363&lt;&gt;"",Z1363,N(V1363))</f>
        <v/>
      </c>
      <c r="AE1363" s="43">
        <f>IF(AA1363&lt;&gt;"",AA1363,N(W1363))</f>
        <v/>
      </c>
      <c r="AF1363" s="43">
        <f>AD1363+AE1363</f>
        <v/>
      </c>
      <c r="AG1363" s="42">
        <f>IF(UPPER(AC1363)="Y",1,IF(AF1363=0,0,IF(AND(Z1363="",Y1363&lt;&gt;""),IF(Y1363&gt;=0.999,1,0),IF(AF1363&gt;=U1363,1,0))))</f>
        <v/>
      </c>
      <c r="AH1363" s="44">
        <f>IF(AF1363&gt;0,(AD1363-AE1363)/AF1363,"")</f>
        <v/>
      </c>
      <c r="AI1363" s="45">
        <f>IF(AG1363=1,AH1363-O1363,"")</f>
        <v/>
      </c>
      <c r="AJ1363" s="44">
        <f>IF(AG1363=1,AH1363,MAX(-1,MIN(1,O1363+INDEX(Types!$H:$H,MATCH($A1363&amp;"|"&amp;$D1363,Types!$A:$A,0)))))</f>
        <v/>
      </c>
      <c r="AK1363" s="43">
        <f>IF(AG1363=1,AF1363,MAX(AQ1363*AS1363,AF1363))</f>
        <v/>
      </c>
      <c r="AL1363" s="43">
        <f>IF(AG1363=1,AD1363,AK1363*(1+AJ1363)/2)</f>
        <v/>
      </c>
      <c r="AM1363" s="43">
        <f>IF(AG1363=1,AE1363,AK1363*(1-AJ1363)/2)</f>
        <v/>
      </c>
      <c r="AN1363" s="45">
        <f>IF(AH1363="","",AH1363-T1363)</f>
        <v/>
      </c>
      <c r="AO1363" s="51">
        <f>IF(AG1363=1,1,IF(U1363&gt;0,MIN(AF1363/U1363,0.99),0))</f>
        <v/>
      </c>
      <c r="AP1363" s="43">
        <f>IF(AG1363=1,AI1363*AF1363,0)</f>
        <v/>
      </c>
      <c r="AQ1363" s="43">
        <f>N1363*(F1363+G1363)/H1363</f>
        <v/>
      </c>
      <c r="AR1363" s="43">
        <f>O1363*AQ1363</f>
        <v/>
      </c>
      <c r="AS1363" s="52">
        <f>IF(AG1363=1,IF(AQ1363&gt;0,AF1363/AQ1363,1),IFERROR(INDEX(Types!$K:$K,MATCH($A1363&amp;"|"&amp;$D1363,Types!$A:$A,0)),INDEX(Dashboard!$X$6:$X$22,MATCH($A1363,Dashboard!$A$6:$A$22,0))))</f>
        <v/>
      </c>
      <c r="AT1363" s="43">
        <f>AQ1363*INDEX(Dashboard!$Y$6:$Y$22,MATCH($A1363,Dashboard!$A$6:$A$22,0))</f>
        <v/>
      </c>
      <c r="AU1363" s="53">
        <f>IF(AND(AG1363=1,AT1363&gt;0,AF1363&gt;0),100*AF1363/AT1363,"")</f>
        <v/>
      </c>
      <c r="AV1363" s="44">
        <f>IF(AU1363="","",T1363/(AU1363/100))</f>
        <v/>
      </c>
      <c r="AW1363" s="53">
        <f>IF(AU1363="","",IF(AND(ABS(AH1363)&gt;=0.1,ABS(T1363)&gt;=0.05,SIGN(AH1363)=SIGN(T1363)),100*T1363/AH1363,""))</f>
        <v/>
      </c>
      <c r="AX1363" s="45">
        <f>IF(AU1363="","",T1363-AV1363)</f>
        <v/>
      </c>
      <c r="AY1363" s="45">
        <f>IF(AU1363="","",AH1363-AV1363)</f>
        <v/>
      </c>
      <c r="AZ1363" s="54">
        <f>(AL1363-AM1363)-T1363*AT1363</f>
        <v/>
      </c>
      <c r="BA1363" s="43">
        <f>IF(AU1363="",0,(AH1363-T1363)*AF1363)</f>
        <v/>
      </c>
      <c r="BB1363" s="43">
        <f>IF(AU1363="",0,T1363*(AF1363-AT1363))</f>
        <v/>
      </c>
      <c r="BC1363" s="51" t="n">
        <v>0.5235557042808997</v>
      </c>
      <c r="BD1363" s="51" t="n">
        <v>0.0577240241891149</v>
      </c>
      <c r="BE1363" s="51" t="n">
        <v>0.1830123490575719</v>
      </c>
      <c r="BF1363" s="43" t="n">
        <v>41837</v>
      </c>
    </row>
    <row r="1364">
      <c r="A1364" s="42" t="inlineStr">
        <is>
          <t>VA</t>
        </is>
      </c>
      <c r="B1364" s="42" t="inlineStr">
        <is>
          <t>51051</t>
        </is>
      </c>
      <c r="C1364" s="42" t="inlineStr">
        <is>
          <t>Dickenson</t>
        </is>
      </c>
      <c r="D1364" s="42" t="inlineStr">
        <is>
          <t>Small town &amp; rural</t>
        </is>
      </c>
      <c r="E1364" s="42" t="inlineStr"/>
      <c r="F1364" s="43" t="n">
        <v>1316</v>
      </c>
      <c r="G1364" s="43" t="n">
        <v>5701</v>
      </c>
      <c r="H1364" s="43" t="n">
        <v>7047</v>
      </c>
      <c r="I1364" s="43" t="n">
        <v>1503</v>
      </c>
      <c r="J1364" s="43" t="n">
        <v>5748</v>
      </c>
      <c r="K1364" s="42" t="inlineStr">
        <is>
          <t>US House</t>
        </is>
      </c>
      <c r="L1364" s="43" t="n">
        <v>864</v>
      </c>
      <c r="M1364" s="43" t="n">
        <v>3018</v>
      </c>
      <c r="N1364" s="43" t="n">
        <v>3897</v>
      </c>
      <c r="O1364" s="44">
        <f>IFERROR((F1364-G1364)/(F1364+G1364),"")</f>
        <v/>
      </c>
      <c r="P1364" s="44">
        <f>IFERROR((I1364-J1364)/(I1364+J1364),"")</f>
        <v/>
      </c>
      <c r="Q1364" s="45">
        <f>IFERROR(O1364-P1364,"")</f>
        <v/>
      </c>
      <c r="R1364" s="44">
        <f>IFERROR((L1364-M1364)/(L1364+M1364),"")</f>
        <v/>
      </c>
      <c r="S1364" s="46">
        <f>H1364/SUMIFS(Counties!$H$2:$H$1583,Counties!$A$2:$A$1583,$A1364)</f>
        <v/>
      </c>
      <c r="T1364" s="44">
        <f>O1364+INDEX(Dashboard!$F$6:$F$22,MATCH($A1364,Dashboard!$A$6:$A$22,0))</f>
        <v/>
      </c>
      <c r="U1364" s="43">
        <f>AQ1364*INDEX(Dashboard!$G$6:$G$22,MATCH($A1364,Dashboard!$A$6:$A$22,0))</f>
        <v/>
      </c>
      <c r="V1364" s="47" t="n"/>
      <c r="W1364" s="47" t="n"/>
      <c r="X1364" s="47" t="n"/>
      <c r="Y1364" s="48" t="n"/>
      <c r="Z1364" s="49" t="n"/>
      <c r="AA1364" s="49" t="n"/>
      <c r="AB1364" s="49" t="n"/>
      <c r="AC1364" s="50" t="n"/>
      <c r="AD1364" s="43">
        <f>IF(Z1364&lt;&gt;"",Z1364,N(V1364))</f>
        <v/>
      </c>
      <c r="AE1364" s="43">
        <f>IF(AA1364&lt;&gt;"",AA1364,N(W1364))</f>
        <v/>
      </c>
      <c r="AF1364" s="43">
        <f>AD1364+AE1364</f>
        <v/>
      </c>
      <c r="AG1364" s="42">
        <f>IF(UPPER(AC1364)="Y",1,IF(AF1364=0,0,IF(AND(Z1364="",Y1364&lt;&gt;""),IF(Y1364&gt;=0.999,1,0),IF(AF1364&gt;=U1364,1,0))))</f>
        <v/>
      </c>
      <c r="AH1364" s="44">
        <f>IF(AF1364&gt;0,(AD1364-AE1364)/AF1364,"")</f>
        <v/>
      </c>
      <c r="AI1364" s="45">
        <f>IF(AG1364=1,AH1364-O1364,"")</f>
        <v/>
      </c>
      <c r="AJ1364" s="44">
        <f>IF(AG1364=1,AH1364,MAX(-1,MIN(1,O1364+INDEX(Types!$H:$H,MATCH($A1364&amp;"|"&amp;$D1364,Types!$A:$A,0)))))</f>
        <v/>
      </c>
      <c r="AK1364" s="43">
        <f>IF(AG1364=1,AF1364,MAX(AQ1364*AS1364,AF1364))</f>
        <v/>
      </c>
      <c r="AL1364" s="43">
        <f>IF(AG1364=1,AD1364,AK1364*(1+AJ1364)/2)</f>
        <v/>
      </c>
      <c r="AM1364" s="43">
        <f>IF(AG1364=1,AE1364,AK1364*(1-AJ1364)/2)</f>
        <v/>
      </c>
      <c r="AN1364" s="45">
        <f>IF(AH1364="","",AH1364-T1364)</f>
        <v/>
      </c>
      <c r="AO1364" s="51">
        <f>IF(AG1364=1,1,IF(U1364&gt;0,MIN(AF1364/U1364,0.99),0))</f>
        <v/>
      </c>
      <c r="AP1364" s="43">
        <f>IF(AG1364=1,AI1364*AF1364,0)</f>
        <v/>
      </c>
      <c r="AQ1364" s="43">
        <f>N1364*(F1364+G1364)/H1364</f>
        <v/>
      </c>
      <c r="AR1364" s="43">
        <f>O1364*AQ1364</f>
        <v/>
      </c>
      <c r="AS1364" s="52">
        <f>IF(AG1364=1,IF(AQ1364&gt;0,AF1364/AQ1364,1),IFERROR(INDEX(Types!$K:$K,MATCH($A1364&amp;"|"&amp;$D1364,Types!$A:$A,0)),INDEX(Dashboard!$X$6:$X$22,MATCH($A1364,Dashboard!$A$6:$A$22,0))))</f>
        <v/>
      </c>
      <c r="AT1364" s="43">
        <f>AQ1364*INDEX(Dashboard!$Y$6:$Y$22,MATCH($A1364,Dashboard!$A$6:$A$22,0))</f>
        <v/>
      </c>
      <c r="AU1364" s="53">
        <f>IF(AND(AG1364=1,AT1364&gt;0,AF1364&gt;0),100*AF1364/AT1364,"")</f>
        <v/>
      </c>
      <c r="AV1364" s="44">
        <f>IF(AU1364="","",T1364/(AU1364/100))</f>
        <v/>
      </c>
      <c r="AW1364" s="53">
        <f>IF(AU1364="","",IF(AND(ABS(AH1364)&gt;=0.1,ABS(T1364)&gt;=0.05,SIGN(AH1364)=SIGN(T1364)),100*T1364/AH1364,""))</f>
        <v/>
      </c>
      <c r="AX1364" s="45">
        <f>IF(AU1364="","",T1364-AV1364)</f>
        <v/>
      </c>
      <c r="AY1364" s="45">
        <f>IF(AU1364="","",AH1364-AV1364)</f>
        <v/>
      </c>
      <c r="AZ1364" s="54">
        <f>(AL1364-AM1364)-T1364*AT1364</f>
        <v/>
      </c>
      <c r="BA1364" s="43">
        <f>IF(AU1364="",0,(AH1364-T1364)*AF1364)</f>
        <v/>
      </c>
      <c r="BB1364" s="43">
        <f>IF(AU1364="",0,T1364*(AF1364-AT1364))</f>
        <v/>
      </c>
      <c r="BC1364" s="51" t="n">
        <v>0.006964809384164223</v>
      </c>
      <c r="BD1364" s="51" t="n">
        <v>0.007844574780058651</v>
      </c>
      <c r="BE1364" s="51" t="n">
        <v>0.1072015466408893</v>
      </c>
      <c r="BF1364" s="43" t="n">
        <v>13640</v>
      </c>
    </row>
    <row r="1365">
      <c r="A1365" s="42" t="inlineStr">
        <is>
          <t>VA</t>
        </is>
      </c>
      <c r="B1365" s="42" t="inlineStr">
        <is>
          <t>51053</t>
        </is>
      </c>
      <c r="C1365" s="42" t="inlineStr">
        <is>
          <t>Dinwiddie</t>
        </is>
      </c>
      <c r="D1365" s="42" t="inlineStr">
        <is>
          <t>Small town &amp; rural</t>
        </is>
      </c>
      <c r="E1365" s="42" t="inlineStr"/>
      <c r="F1365" s="43" t="n">
        <v>5942</v>
      </c>
      <c r="G1365" s="43" t="n">
        <v>9549</v>
      </c>
      <c r="H1365" s="43" t="n">
        <v>15589</v>
      </c>
      <c r="I1365" s="43" t="n">
        <v>6224</v>
      </c>
      <c r="J1365" s="43" t="n">
        <v>8695</v>
      </c>
      <c r="K1365" s="42" t="inlineStr">
        <is>
          <t>US House</t>
        </is>
      </c>
      <c r="L1365" s="43" t="n">
        <v>3639</v>
      </c>
      <c r="M1365" s="43" t="n">
        <v>5890</v>
      </c>
      <c r="N1365" s="43" t="n">
        <v>9535</v>
      </c>
      <c r="O1365" s="44">
        <f>IFERROR((F1365-G1365)/(F1365+G1365),"")</f>
        <v/>
      </c>
      <c r="P1365" s="44">
        <f>IFERROR((I1365-J1365)/(I1365+J1365),"")</f>
        <v/>
      </c>
      <c r="Q1365" s="45">
        <f>IFERROR(O1365-P1365,"")</f>
        <v/>
      </c>
      <c r="R1365" s="44">
        <f>IFERROR((L1365-M1365)/(L1365+M1365),"")</f>
        <v/>
      </c>
      <c r="S1365" s="46">
        <f>H1365/SUMIFS(Counties!$H$2:$H$1583,Counties!$A$2:$A$1583,$A1365)</f>
        <v/>
      </c>
      <c r="T1365" s="44">
        <f>O1365+INDEX(Dashboard!$F$6:$F$22,MATCH($A1365,Dashboard!$A$6:$A$22,0))</f>
        <v/>
      </c>
      <c r="U1365" s="43">
        <f>AQ1365*INDEX(Dashboard!$G$6:$G$22,MATCH($A1365,Dashboard!$A$6:$A$22,0))</f>
        <v/>
      </c>
      <c r="V1365" s="47" t="n"/>
      <c r="W1365" s="47" t="n"/>
      <c r="X1365" s="47" t="n"/>
      <c r="Y1365" s="48" t="n"/>
      <c r="Z1365" s="49" t="n"/>
      <c r="AA1365" s="49" t="n"/>
      <c r="AB1365" s="49" t="n"/>
      <c r="AC1365" s="50" t="n"/>
      <c r="AD1365" s="43">
        <f>IF(Z1365&lt;&gt;"",Z1365,N(V1365))</f>
        <v/>
      </c>
      <c r="AE1365" s="43">
        <f>IF(AA1365&lt;&gt;"",AA1365,N(W1365))</f>
        <v/>
      </c>
      <c r="AF1365" s="43">
        <f>AD1365+AE1365</f>
        <v/>
      </c>
      <c r="AG1365" s="42">
        <f>IF(UPPER(AC1365)="Y",1,IF(AF1365=0,0,IF(AND(Z1365="",Y1365&lt;&gt;""),IF(Y1365&gt;=0.999,1,0),IF(AF1365&gt;=U1365,1,0))))</f>
        <v/>
      </c>
      <c r="AH1365" s="44">
        <f>IF(AF1365&gt;0,(AD1365-AE1365)/AF1365,"")</f>
        <v/>
      </c>
      <c r="AI1365" s="45">
        <f>IF(AG1365=1,AH1365-O1365,"")</f>
        <v/>
      </c>
      <c r="AJ1365" s="44">
        <f>IF(AG1365=1,AH1365,MAX(-1,MIN(1,O1365+INDEX(Types!$H:$H,MATCH($A1365&amp;"|"&amp;$D1365,Types!$A:$A,0)))))</f>
        <v/>
      </c>
      <c r="AK1365" s="43">
        <f>IF(AG1365=1,AF1365,MAX(AQ1365*AS1365,AF1365))</f>
        <v/>
      </c>
      <c r="AL1365" s="43">
        <f>IF(AG1365=1,AD1365,AK1365*(1+AJ1365)/2)</f>
        <v/>
      </c>
      <c r="AM1365" s="43">
        <f>IF(AG1365=1,AE1365,AK1365*(1-AJ1365)/2)</f>
        <v/>
      </c>
      <c r="AN1365" s="45">
        <f>IF(AH1365="","",AH1365-T1365)</f>
        <v/>
      </c>
      <c r="AO1365" s="51">
        <f>IF(AG1365=1,1,IF(U1365&gt;0,MIN(AF1365/U1365,0.99),0))</f>
        <v/>
      </c>
      <c r="AP1365" s="43">
        <f>IF(AG1365=1,AI1365*AF1365,0)</f>
        <v/>
      </c>
      <c r="AQ1365" s="43">
        <f>N1365*(F1365+G1365)/H1365</f>
        <v/>
      </c>
      <c r="AR1365" s="43">
        <f>O1365*AQ1365</f>
        <v/>
      </c>
      <c r="AS1365" s="52">
        <f>IF(AG1365=1,IF(AQ1365&gt;0,AF1365/AQ1365,1),IFERROR(INDEX(Types!$K:$K,MATCH($A1365&amp;"|"&amp;$D1365,Types!$A:$A,0)),INDEX(Dashboard!$X$6:$X$22,MATCH($A1365,Dashboard!$A$6:$A$22,0))))</f>
        <v/>
      </c>
      <c r="AT1365" s="43">
        <f>AQ1365*INDEX(Dashboard!$Y$6:$Y$22,MATCH($A1365,Dashboard!$A$6:$A$22,0))</f>
        <v/>
      </c>
      <c r="AU1365" s="53">
        <f>IF(AND(AG1365=1,AT1365&gt;0,AF1365&gt;0),100*AF1365/AT1365,"")</f>
        <v/>
      </c>
      <c r="AV1365" s="44">
        <f>IF(AU1365="","",T1365/(AU1365/100))</f>
        <v/>
      </c>
      <c r="AW1365" s="53">
        <f>IF(AU1365="","",IF(AND(ABS(AH1365)&gt;=0.1,ABS(T1365)&gt;=0.05,SIGN(AH1365)=SIGN(T1365)),100*T1365/AH1365,""))</f>
        <v/>
      </c>
      <c r="AX1365" s="45">
        <f>IF(AU1365="","",T1365-AV1365)</f>
        <v/>
      </c>
      <c r="AY1365" s="45">
        <f>IF(AU1365="","",AH1365-AV1365)</f>
        <v/>
      </c>
      <c r="AZ1365" s="54">
        <f>(AL1365-AM1365)-T1365*AT1365</f>
        <v/>
      </c>
      <c r="BA1365" s="43">
        <f>IF(AU1365="",0,(AH1365-T1365)*AF1365)</f>
        <v/>
      </c>
      <c r="BB1365" s="43">
        <f>IF(AU1365="",0,T1365*(AF1365-AT1365))</f>
        <v/>
      </c>
      <c r="BC1365" s="51" t="n">
        <v>0.3019440426207529</v>
      </c>
      <c r="BD1365" s="51" t="n">
        <v>0.04544331933810818</v>
      </c>
      <c r="BE1365" s="51" t="n">
        <v>0.2045980406636144</v>
      </c>
      <c r="BF1365" s="43" t="n">
        <v>28343</v>
      </c>
    </row>
    <row r="1366">
      <c r="A1366" s="42" t="inlineStr">
        <is>
          <t>VA</t>
        </is>
      </c>
      <c r="B1366" s="42" t="inlineStr">
        <is>
          <t>51595</t>
        </is>
      </c>
      <c r="C1366" s="42" t="inlineStr">
        <is>
          <t>Emporia city</t>
        </is>
      </c>
      <c r="D1366" s="42" t="inlineStr">
        <is>
          <t>Black Belt</t>
        </is>
      </c>
      <c r="E1366" s="42" t="inlineStr"/>
      <c r="F1366" s="43" t="n">
        <v>1419</v>
      </c>
      <c r="G1366" s="43" t="n">
        <v>744</v>
      </c>
      <c r="H1366" s="43" t="n">
        <v>2178</v>
      </c>
      <c r="I1366" s="43" t="n">
        <v>1612</v>
      </c>
      <c r="J1366" s="43" t="n">
        <v>754</v>
      </c>
      <c r="K1366" s="42" t="inlineStr">
        <is>
          <t>US House</t>
        </is>
      </c>
      <c r="L1366" s="43" t="n">
        <v>840</v>
      </c>
      <c r="M1366" s="43" t="n">
        <v>542</v>
      </c>
      <c r="N1366" s="43" t="n">
        <v>1395</v>
      </c>
      <c r="O1366" s="44">
        <f>IFERROR((F1366-G1366)/(F1366+G1366),"")</f>
        <v/>
      </c>
      <c r="P1366" s="44">
        <f>IFERROR((I1366-J1366)/(I1366+J1366),"")</f>
        <v/>
      </c>
      <c r="Q1366" s="45">
        <f>IFERROR(O1366-P1366,"")</f>
        <v/>
      </c>
      <c r="R1366" s="44">
        <f>IFERROR((L1366-M1366)/(L1366+M1366),"")</f>
        <v/>
      </c>
      <c r="S1366" s="46">
        <f>H1366/SUMIFS(Counties!$H$2:$H$1583,Counties!$A$2:$A$1583,$A1366)</f>
        <v/>
      </c>
      <c r="T1366" s="44">
        <f>O1366+INDEX(Dashboard!$F$6:$F$22,MATCH($A1366,Dashboard!$A$6:$A$22,0))</f>
        <v/>
      </c>
      <c r="U1366" s="43">
        <f>AQ1366*INDEX(Dashboard!$G$6:$G$22,MATCH($A1366,Dashboard!$A$6:$A$22,0))</f>
        <v/>
      </c>
      <c r="V1366" s="47" t="n"/>
      <c r="W1366" s="47" t="n"/>
      <c r="X1366" s="47" t="n"/>
      <c r="Y1366" s="48" t="n"/>
      <c r="Z1366" s="49" t="n"/>
      <c r="AA1366" s="49" t="n"/>
      <c r="AB1366" s="49" t="n"/>
      <c r="AC1366" s="50" t="n"/>
      <c r="AD1366" s="43">
        <f>IF(Z1366&lt;&gt;"",Z1366,N(V1366))</f>
        <v/>
      </c>
      <c r="AE1366" s="43">
        <f>IF(AA1366&lt;&gt;"",AA1366,N(W1366))</f>
        <v/>
      </c>
      <c r="AF1366" s="43">
        <f>AD1366+AE1366</f>
        <v/>
      </c>
      <c r="AG1366" s="42">
        <f>IF(UPPER(AC1366)="Y",1,IF(AF1366=0,0,IF(AND(Z1366="",Y1366&lt;&gt;""),IF(Y1366&gt;=0.999,1,0),IF(AF1366&gt;=U1366,1,0))))</f>
        <v/>
      </c>
      <c r="AH1366" s="44">
        <f>IF(AF1366&gt;0,(AD1366-AE1366)/AF1366,"")</f>
        <v/>
      </c>
      <c r="AI1366" s="45">
        <f>IF(AG1366=1,AH1366-O1366,"")</f>
        <v/>
      </c>
      <c r="AJ1366" s="44">
        <f>IF(AG1366=1,AH1366,MAX(-1,MIN(1,O1366+INDEX(Types!$H:$H,MATCH($A1366&amp;"|"&amp;$D1366,Types!$A:$A,0)))))</f>
        <v/>
      </c>
      <c r="AK1366" s="43">
        <f>IF(AG1366=1,AF1366,MAX(AQ1366*AS1366,AF1366))</f>
        <v/>
      </c>
      <c r="AL1366" s="43">
        <f>IF(AG1366=1,AD1366,AK1366*(1+AJ1366)/2)</f>
        <v/>
      </c>
      <c r="AM1366" s="43">
        <f>IF(AG1366=1,AE1366,AK1366*(1-AJ1366)/2)</f>
        <v/>
      </c>
      <c r="AN1366" s="45">
        <f>IF(AH1366="","",AH1366-T1366)</f>
        <v/>
      </c>
      <c r="AO1366" s="51">
        <f>IF(AG1366=1,1,IF(U1366&gt;0,MIN(AF1366/U1366,0.99),0))</f>
        <v/>
      </c>
      <c r="AP1366" s="43">
        <f>IF(AG1366=1,AI1366*AF1366,0)</f>
        <v/>
      </c>
      <c r="AQ1366" s="43">
        <f>N1366*(F1366+G1366)/H1366</f>
        <v/>
      </c>
      <c r="AR1366" s="43">
        <f>O1366*AQ1366</f>
        <v/>
      </c>
      <c r="AS1366" s="52">
        <f>IF(AG1366=1,IF(AQ1366&gt;0,AF1366/AQ1366,1),IFERROR(INDEX(Types!$K:$K,MATCH($A1366&amp;"|"&amp;$D1366,Types!$A:$A,0)),INDEX(Dashboard!$X$6:$X$22,MATCH($A1366,Dashboard!$A$6:$A$22,0))))</f>
        <v/>
      </c>
      <c r="AT1366" s="43">
        <f>AQ1366*INDEX(Dashboard!$Y$6:$Y$22,MATCH($A1366,Dashboard!$A$6:$A$22,0))</f>
        <v/>
      </c>
      <c r="AU1366" s="53">
        <f>IF(AND(AG1366=1,AT1366&gt;0,AF1366&gt;0),100*AF1366/AT1366,"")</f>
        <v/>
      </c>
      <c r="AV1366" s="44">
        <f>IF(AU1366="","",T1366/(AU1366/100))</f>
        <v/>
      </c>
      <c r="AW1366" s="53">
        <f>IF(AU1366="","",IF(AND(ABS(AH1366)&gt;=0.1,ABS(T1366)&gt;=0.05,SIGN(AH1366)=SIGN(T1366)),100*T1366/AH1366,""))</f>
        <v/>
      </c>
      <c r="AX1366" s="45">
        <f>IF(AU1366="","",T1366-AV1366)</f>
        <v/>
      </c>
      <c r="AY1366" s="45">
        <f>IF(AU1366="","",AH1366-AV1366)</f>
        <v/>
      </c>
      <c r="AZ1366" s="54">
        <f>(AL1366-AM1366)-T1366*AT1366</f>
        <v/>
      </c>
      <c r="BA1366" s="43">
        <f>IF(AU1366="",0,(AH1366-T1366)*AF1366)</f>
        <v/>
      </c>
      <c r="BB1366" s="43">
        <f>IF(AU1366="",0,T1366*(AF1366-AT1366))</f>
        <v/>
      </c>
      <c r="BC1366" s="51" t="n">
        <v>0.6349990847519678</v>
      </c>
      <c r="BD1366" s="51" t="n">
        <v>0.06919275123558484</v>
      </c>
      <c r="BE1366" s="51" t="n">
        <v>0.1515234696678562</v>
      </c>
      <c r="BF1366" s="43" t="n">
        <v>5463</v>
      </c>
    </row>
    <row r="1367">
      <c r="A1367" s="42" t="inlineStr">
        <is>
          <t>VA</t>
        </is>
      </c>
      <c r="B1367" s="42" t="inlineStr">
        <is>
          <t>51057</t>
        </is>
      </c>
      <c r="C1367" s="42" t="inlineStr">
        <is>
          <t>Essex</t>
        </is>
      </c>
      <c r="D1367" s="42" t="inlineStr">
        <is>
          <t>Small town &amp; rural</t>
        </is>
      </c>
      <c r="E1367" s="42" t="inlineStr"/>
      <c r="F1367" s="43" t="n">
        <v>2775</v>
      </c>
      <c r="G1367" s="43" t="n">
        <v>3245</v>
      </c>
      <c r="H1367" s="43" t="n">
        <v>6064</v>
      </c>
      <c r="I1367" s="43" t="n">
        <v>3038</v>
      </c>
      <c r="J1367" s="43" t="n">
        <v>3075</v>
      </c>
      <c r="K1367" s="42" t="inlineStr">
        <is>
          <t>US House</t>
        </is>
      </c>
      <c r="L1367" s="43" t="n">
        <v>1696</v>
      </c>
      <c r="M1367" s="43" t="n">
        <v>2498</v>
      </c>
      <c r="N1367" s="43" t="n">
        <v>4220</v>
      </c>
      <c r="O1367" s="44">
        <f>IFERROR((F1367-G1367)/(F1367+G1367),"")</f>
        <v/>
      </c>
      <c r="P1367" s="44">
        <f>IFERROR((I1367-J1367)/(I1367+J1367),"")</f>
        <v/>
      </c>
      <c r="Q1367" s="45">
        <f>IFERROR(O1367-P1367,"")</f>
        <v/>
      </c>
      <c r="R1367" s="44">
        <f>IFERROR((L1367-M1367)/(L1367+M1367),"")</f>
        <v/>
      </c>
      <c r="S1367" s="46">
        <f>H1367/SUMIFS(Counties!$H$2:$H$1583,Counties!$A$2:$A$1583,$A1367)</f>
        <v/>
      </c>
      <c r="T1367" s="44">
        <f>O1367+INDEX(Dashboard!$F$6:$F$22,MATCH($A1367,Dashboard!$A$6:$A$22,0))</f>
        <v/>
      </c>
      <c r="U1367" s="43">
        <f>AQ1367*INDEX(Dashboard!$G$6:$G$22,MATCH($A1367,Dashboard!$A$6:$A$22,0))</f>
        <v/>
      </c>
      <c r="V1367" s="47" t="n"/>
      <c r="W1367" s="47" t="n"/>
      <c r="X1367" s="47" t="n"/>
      <c r="Y1367" s="48" t="n"/>
      <c r="Z1367" s="49" t="n"/>
      <c r="AA1367" s="49" t="n"/>
      <c r="AB1367" s="49" t="n"/>
      <c r="AC1367" s="50" t="n"/>
      <c r="AD1367" s="43">
        <f>IF(Z1367&lt;&gt;"",Z1367,N(V1367))</f>
        <v/>
      </c>
      <c r="AE1367" s="43">
        <f>IF(AA1367&lt;&gt;"",AA1367,N(W1367))</f>
        <v/>
      </c>
      <c r="AF1367" s="43">
        <f>AD1367+AE1367</f>
        <v/>
      </c>
      <c r="AG1367" s="42">
        <f>IF(UPPER(AC1367)="Y",1,IF(AF1367=0,0,IF(AND(Z1367="",Y1367&lt;&gt;""),IF(Y1367&gt;=0.999,1,0),IF(AF1367&gt;=U1367,1,0))))</f>
        <v/>
      </c>
      <c r="AH1367" s="44">
        <f>IF(AF1367&gt;0,(AD1367-AE1367)/AF1367,"")</f>
        <v/>
      </c>
      <c r="AI1367" s="45">
        <f>IF(AG1367=1,AH1367-O1367,"")</f>
        <v/>
      </c>
      <c r="AJ1367" s="44">
        <f>IF(AG1367=1,AH1367,MAX(-1,MIN(1,O1367+INDEX(Types!$H:$H,MATCH($A1367&amp;"|"&amp;$D1367,Types!$A:$A,0)))))</f>
        <v/>
      </c>
      <c r="AK1367" s="43">
        <f>IF(AG1367=1,AF1367,MAX(AQ1367*AS1367,AF1367))</f>
        <v/>
      </c>
      <c r="AL1367" s="43">
        <f>IF(AG1367=1,AD1367,AK1367*(1+AJ1367)/2)</f>
        <v/>
      </c>
      <c r="AM1367" s="43">
        <f>IF(AG1367=1,AE1367,AK1367*(1-AJ1367)/2)</f>
        <v/>
      </c>
      <c r="AN1367" s="45">
        <f>IF(AH1367="","",AH1367-T1367)</f>
        <v/>
      </c>
      <c r="AO1367" s="51">
        <f>IF(AG1367=1,1,IF(U1367&gt;0,MIN(AF1367/U1367,0.99),0))</f>
        <v/>
      </c>
      <c r="AP1367" s="43">
        <f>IF(AG1367=1,AI1367*AF1367,0)</f>
        <v/>
      </c>
      <c r="AQ1367" s="43">
        <f>N1367*(F1367+G1367)/H1367</f>
        <v/>
      </c>
      <c r="AR1367" s="43">
        <f>O1367*AQ1367</f>
        <v/>
      </c>
      <c r="AS1367" s="52">
        <f>IF(AG1367=1,IF(AQ1367&gt;0,AF1367/AQ1367,1),IFERROR(INDEX(Types!$K:$K,MATCH($A1367&amp;"|"&amp;$D1367,Types!$A:$A,0)),INDEX(Dashboard!$X$6:$X$22,MATCH($A1367,Dashboard!$A$6:$A$22,0))))</f>
        <v/>
      </c>
      <c r="AT1367" s="43">
        <f>AQ1367*INDEX(Dashboard!$Y$6:$Y$22,MATCH($A1367,Dashboard!$A$6:$A$22,0))</f>
        <v/>
      </c>
      <c r="AU1367" s="53">
        <f>IF(AND(AG1367=1,AT1367&gt;0,AF1367&gt;0),100*AF1367/AT1367,"")</f>
        <v/>
      </c>
      <c r="AV1367" s="44">
        <f>IF(AU1367="","",T1367/(AU1367/100))</f>
        <v/>
      </c>
      <c r="AW1367" s="53">
        <f>IF(AU1367="","",IF(AND(ABS(AH1367)&gt;=0.1,ABS(T1367)&gt;=0.05,SIGN(AH1367)=SIGN(T1367)),100*T1367/AH1367,""))</f>
        <v/>
      </c>
      <c r="AX1367" s="45">
        <f>IF(AU1367="","",T1367-AV1367)</f>
        <v/>
      </c>
      <c r="AY1367" s="45">
        <f>IF(AU1367="","",AH1367-AV1367)</f>
        <v/>
      </c>
      <c r="AZ1367" s="54">
        <f>(AL1367-AM1367)-T1367*AT1367</f>
        <v/>
      </c>
      <c r="BA1367" s="43">
        <f>IF(AU1367="",0,(AH1367-T1367)*AF1367)</f>
        <v/>
      </c>
      <c r="BB1367" s="43">
        <f>IF(AU1367="",0,T1367*(AF1367-AT1367))</f>
        <v/>
      </c>
      <c r="BC1367" s="51" t="n">
        <v>0.3579920739762219</v>
      </c>
      <c r="BD1367" s="51" t="n">
        <v>0.05048122287224004</v>
      </c>
      <c r="BE1367" s="51" t="n">
        <v>0.1751843705524647</v>
      </c>
      <c r="BF1367" s="43" t="n">
        <v>10598</v>
      </c>
    </row>
    <row r="1368">
      <c r="A1368" s="42" t="inlineStr">
        <is>
          <t>VA</t>
        </is>
      </c>
      <c r="B1368" s="42" t="inlineStr">
        <is>
          <t>51059</t>
        </is>
      </c>
      <c r="C1368" s="42" t="inlineStr">
        <is>
          <t>Fairfax</t>
        </is>
      </c>
      <c r="D1368" s="42" t="inlineStr">
        <is>
          <t>Big metro core</t>
        </is>
      </c>
      <c r="E1368" s="42" t="inlineStr">
        <is>
          <t>★</t>
        </is>
      </c>
      <c r="F1368" s="43" t="n">
        <v>386438</v>
      </c>
      <c r="G1368" s="43" t="n">
        <v>181895</v>
      </c>
      <c r="H1368" s="43" t="n">
        <v>584387</v>
      </c>
      <c r="I1368" s="43" t="n">
        <v>419943</v>
      </c>
      <c r="J1368" s="43" t="n">
        <v>168401</v>
      </c>
      <c r="K1368" s="42" t="inlineStr">
        <is>
          <t>US House</t>
        </is>
      </c>
      <c r="L1368" s="43" t="n">
        <v>271542</v>
      </c>
      <c r="M1368" s="43" t="n">
        <v>132601</v>
      </c>
      <c r="N1368" s="43" t="n">
        <v>406686</v>
      </c>
      <c r="O1368" s="44">
        <f>IFERROR((F1368-G1368)/(F1368+G1368),"")</f>
        <v/>
      </c>
      <c r="P1368" s="44">
        <f>IFERROR((I1368-J1368)/(I1368+J1368),"")</f>
        <v/>
      </c>
      <c r="Q1368" s="45">
        <f>IFERROR(O1368-P1368,"")</f>
        <v/>
      </c>
      <c r="R1368" s="44">
        <f>IFERROR((L1368-M1368)/(L1368+M1368),"")</f>
        <v/>
      </c>
      <c r="S1368" s="46">
        <f>H1368/SUMIFS(Counties!$H$2:$H$1583,Counties!$A$2:$A$1583,$A1368)</f>
        <v/>
      </c>
      <c r="T1368" s="44">
        <f>O1368+INDEX(Dashboard!$F$6:$F$22,MATCH($A1368,Dashboard!$A$6:$A$22,0))</f>
        <v/>
      </c>
      <c r="U1368" s="43">
        <f>AQ1368*INDEX(Dashboard!$G$6:$G$22,MATCH($A1368,Dashboard!$A$6:$A$22,0))</f>
        <v/>
      </c>
      <c r="V1368" s="47" t="n"/>
      <c r="W1368" s="47" t="n"/>
      <c r="X1368" s="47" t="n"/>
      <c r="Y1368" s="48" t="n"/>
      <c r="Z1368" s="49" t="n"/>
      <c r="AA1368" s="49" t="n"/>
      <c r="AB1368" s="49" t="n"/>
      <c r="AC1368" s="50" t="n"/>
      <c r="AD1368" s="43">
        <f>IF(Z1368&lt;&gt;"",Z1368,N(V1368))</f>
        <v/>
      </c>
      <c r="AE1368" s="43">
        <f>IF(AA1368&lt;&gt;"",AA1368,N(W1368))</f>
        <v/>
      </c>
      <c r="AF1368" s="43">
        <f>AD1368+AE1368</f>
        <v/>
      </c>
      <c r="AG1368" s="42">
        <f>IF(UPPER(AC1368)="Y",1,IF(AF1368=0,0,IF(AND(Z1368="",Y1368&lt;&gt;""),IF(Y1368&gt;=0.999,1,0),IF(AF1368&gt;=U1368,1,0))))</f>
        <v/>
      </c>
      <c r="AH1368" s="44">
        <f>IF(AF1368&gt;0,(AD1368-AE1368)/AF1368,"")</f>
        <v/>
      </c>
      <c r="AI1368" s="45">
        <f>IF(AG1368=1,AH1368-O1368,"")</f>
        <v/>
      </c>
      <c r="AJ1368" s="44">
        <f>IF(AG1368=1,AH1368,MAX(-1,MIN(1,O1368+INDEX(Types!$H:$H,MATCH($A1368&amp;"|"&amp;$D1368,Types!$A:$A,0)))))</f>
        <v/>
      </c>
      <c r="AK1368" s="43">
        <f>IF(AG1368=1,AF1368,MAX(AQ1368*AS1368,AF1368))</f>
        <v/>
      </c>
      <c r="AL1368" s="43">
        <f>IF(AG1368=1,AD1368,AK1368*(1+AJ1368)/2)</f>
        <v/>
      </c>
      <c r="AM1368" s="43">
        <f>IF(AG1368=1,AE1368,AK1368*(1-AJ1368)/2)</f>
        <v/>
      </c>
      <c r="AN1368" s="45">
        <f>IF(AH1368="","",AH1368-T1368)</f>
        <v/>
      </c>
      <c r="AO1368" s="51">
        <f>IF(AG1368=1,1,IF(U1368&gt;0,MIN(AF1368/U1368,0.99),0))</f>
        <v/>
      </c>
      <c r="AP1368" s="43">
        <f>IF(AG1368=1,AI1368*AF1368,0)</f>
        <v/>
      </c>
      <c r="AQ1368" s="43">
        <f>N1368*(F1368+G1368)/H1368</f>
        <v/>
      </c>
      <c r="AR1368" s="43">
        <f>O1368*AQ1368</f>
        <v/>
      </c>
      <c r="AS1368" s="52">
        <f>IF(AG1368=1,IF(AQ1368&gt;0,AF1368/AQ1368,1),IFERROR(INDEX(Types!$K:$K,MATCH($A1368&amp;"|"&amp;$D1368,Types!$A:$A,0)),INDEX(Dashboard!$X$6:$X$22,MATCH($A1368,Dashboard!$A$6:$A$22,0))))</f>
        <v/>
      </c>
      <c r="AT1368" s="43">
        <f>AQ1368*INDEX(Dashboard!$Y$6:$Y$22,MATCH($A1368,Dashboard!$A$6:$A$22,0))</f>
        <v/>
      </c>
      <c r="AU1368" s="53">
        <f>IF(AND(AG1368=1,AT1368&gt;0,AF1368&gt;0),100*AF1368/AT1368,"")</f>
        <v/>
      </c>
      <c r="AV1368" s="44">
        <f>IF(AU1368="","",T1368/(AU1368/100))</f>
        <v/>
      </c>
      <c r="AW1368" s="53">
        <f>IF(AU1368="","",IF(AND(ABS(AH1368)&gt;=0.1,ABS(T1368)&gt;=0.05,SIGN(AH1368)=SIGN(T1368)),100*T1368/AH1368,""))</f>
        <v/>
      </c>
      <c r="AX1368" s="45">
        <f>IF(AU1368="","",T1368-AV1368)</f>
        <v/>
      </c>
      <c r="AY1368" s="45">
        <f>IF(AU1368="","",AH1368-AV1368)</f>
        <v/>
      </c>
      <c r="AZ1368" s="54">
        <f>(AL1368-AM1368)-T1368*AT1368</f>
        <v/>
      </c>
      <c r="BA1368" s="43">
        <f>IF(AU1368="",0,(AH1368-T1368)*AF1368)</f>
        <v/>
      </c>
      <c r="BB1368" s="43">
        <f>IF(AU1368="",0,T1368*(AF1368-AT1368))</f>
        <v/>
      </c>
      <c r="BC1368" s="51" t="n">
        <v>0.1025197087604805</v>
      </c>
      <c r="BD1368" s="51" t="n">
        <v>0.1768560213963313</v>
      </c>
      <c r="BE1368" s="51" t="n">
        <v>0.6426699270240324</v>
      </c>
      <c r="BF1368" s="43" t="n">
        <v>1141878</v>
      </c>
    </row>
    <row r="1369">
      <c r="A1369" s="42" t="inlineStr">
        <is>
          <t>VA</t>
        </is>
      </c>
      <c r="B1369" s="42" t="inlineStr">
        <is>
          <t>51600</t>
        </is>
      </c>
      <c r="C1369" s="42" t="inlineStr">
        <is>
          <t>Fairfax city</t>
        </is>
      </c>
      <c r="D1369" s="42" t="inlineStr">
        <is>
          <t>Small town &amp; rural</t>
        </is>
      </c>
      <c r="E1369" s="42" t="inlineStr"/>
      <c r="F1369" s="43" t="n">
        <v>8797</v>
      </c>
      <c r="G1369" s="43" t="n">
        <v>4302</v>
      </c>
      <c r="H1369" s="43" t="n">
        <v>13445</v>
      </c>
      <c r="I1369" s="43" t="n">
        <v>9174</v>
      </c>
      <c r="J1369" s="43" t="n">
        <v>4007</v>
      </c>
      <c r="K1369" s="42" t="inlineStr">
        <is>
          <t>US House</t>
        </is>
      </c>
      <c r="L1369" s="43" t="n">
        <v>6384</v>
      </c>
      <c r="M1369" s="43" t="n">
        <v>3235</v>
      </c>
      <c r="N1369" s="43" t="n">
        <v>9641</v>
      </c>
      <c r="O1369" s="44">
        <f>IFERROR((F1369-G1369)/(F1369+G1369),"")</f>
        <v/>
      </c>
      <c r="P1369" s="44">
        <f>IFERROR((I1369-J1369)/(I1369+J1369),"")</f>
        <v/>
      </c>
      <c r="Q1369" s="45">
        <f>IFERROR(O1369-P1369,"")</f>
        <v/>
      </c>
      <c r="R1369" s="44">
        <f>IFERROR((L1369-M1369)/(L1369+M1369),"")</f>
        <v/>
      </c>
      <c r="S1369" s="46">
        <f>H1369/SUMIFS(Counties!$H$2:$H$1583,Counties!$A$2:$A$1583,$A1369)</f>
        <v/>
      </c>
      <c r="T1369" s="44">
        <f>O1369+INDEX(Dashboard!$F$6:$F$22,MATCH($A1369,Dashboard!$A$6:$A$22,0))</f>
        <v/>
      </c>
      <c r="U1369" s="43">
        <f>AQ1369*INDEX(Dashboard!$G$6:$G$22,MATCH($A1369,Dashboard!$A$6:$A$22,0))</f>
        <v/>
      </c>
      <c r="V1369" s="47" t="n"/>
      <c r="W1369" s="47" t="n"/>
      <c r="X1369" s="47" t="n"/>
      <c r="Y1369" s="48" t="n"/>
      <c r="Z1369" s="49" t="n"/>
      <c r="AA1369" s="49" t="n"/>
      <c r="AB1369" s="49" t="n"/>
      <c r="AC1369" s="50" t="n"/>
      <c r="AD1369" s="43">
        <f>IF(Z1369&lt;&gt;"",Z1369,N(V1369))</f>
        <v/>
      </c>
      <c r="AE1369" s="43">
        <f>IF(AA1369&lt;&gt;"",AA1369,N(W1369))</f>
        <v/>
      </c>
      <c r="AF1369" s="43">
        <f>AD1369+AE1369</f>
        <v/>
      </c>
      <c r="AG1369" s="42">
        <f>IF(UPPER(AC1369)="Y",1,IF(AF1369=0,0,IF(AND(Z1369="",Y1369&lt;&gt;""),IF(Y1369&gt;=0.999,1,0),IF(AF1369&gt;=U1369,1,0))))</f>
        <v/>
      </c>
      <c r="AH1369" s="44">
        <f>IF(AF1369&gt;0,(AD1369-AE1369)/AF1369,"")</f>
        <v/>
      </c>
      <c r="AI1369" s="45">
        <f>IF(AG1369=1,AH1369-O1369,"")</f>
        <v/>
      </c>
      <c r="AJ1369" s="44">
        <f>IF(AG1369=1,AH1369,MAX(-1,MIN(1,O1369+INDEX(Types!$H:$H,MATCH($A1369&amp;"|"&amp;$D1369,Types!$A:$A,0)))))</f>
        <v/>
      </c>
      <c r="AK1369" s="43">
        <f>IF(AG1369=1,AF1369,MAX(AQ1369*AS1369,AF1369))</f>
        <v/>
      </c>
      <c r="AL1369" s="43">
        <f>IF(AG1369=1,AD1369,AK1369*(1+AJ1369)/2)</f>
        <v/>
      </c>
      <c r="AM1369" s="43">
        <f>IF(AG1369=1,AE1369,AK1369*(1-AJ1369)/2)</f>
        <v/>
      </c>
      <c r="AN1369" s="45">
        <f>IF(AH1369="","",AH1369-T1369)</f>
        <v/>
      </c>
      <c r="AO1369" s="51">
        <f>IF(AG1369=1,1,IF(U1369&gt;0,MIN(AF1369/U1369,0.99),0))</f>
        <v/>
      </c>
      <c r="AP1369" s="43">
        <f>IF(AG1369=1,AI1369*AF1369,0)</f>
        <v/>
      </c>
      <c r="AQ1369" s="43">
        <f>N1369*(F1369+G1369)/H1369</f>
        <v/>
      </c>
      <c r="AR1369" s="43">
        <f>O1369*AQ1369</f>
        <v/>
      </c>
      <c r="AS1369" s="52">
        <f>IF(AG1369=1,IF(AQ1369&gt;0,AF1369/AQ1369,1),IFERROR(INDEX(Types!$K:$K,MATCH($A1369&amp;"|"&amp;$D1369,Types!$A:$A,0)),INDEX(Dashboard!$X$6:$X$22,MATCH($A1369,Dashboard!$A$6:$A$22,0))))</f>
        <v/>
      </c>
      <c r="AT1369" s="43">
        <f>AQ1369*INDEX(Dashboard!$Y$6:$Y$22,MATCH($A1369,Dashboard!$A$6:$A$22,0))</f>
        <v/>
      </c>
      <c r="AU1369" s="53">
        <f>IF(AND(AG1369=1,AT1369&gt;0,AF1369&gt;0),100*AF1369/AT1369,"")</f>
        <v/>
      </c>
      <c r="AV1369" s="44">
        <f>IF(AU1369="","",T1369/(AU1369/100))</f>
        <v/>
      </c>
      <c r="AW1369" s="53">
        <f>IF(AU1369="","",IF(AND(ABS(AH1369)&gt;=0.1,ABS(T1369)&gt;=0.05,SIGN(AH1369)=SIGN(T1369)),100*T1369/AH1369,""))</f>
        <v/>
      </c>
      <c r="AX1369" s="45">
        <f>IF(AU1369="","",T1369-AV1369)</f>
        <v/>
      </c>
      <c r="AY1369" s="45">
        <f>IF(AU1369="","",AH1369-AV1369)</f>
        <v/>
      </c>
      <c r="AZ1369" s="54">
        <f>(AL1369-AM1369)-T1369*AT1369</f>
        <v/>
      </c>
      <c r="BA1369" s="43">
        <f>IF(AU1369="",0,(AH1369-T1369)*AF1369)</f>
        <v/>
      </c>
      <c r="BB1369" s="43">
        <f>IF(AU1369="",0,T1369*(AF1369-AT1369))</f>
        <v/>
      </c>
      <c r="BC1369" s="51" t="n">
        <v>0.0639118676423799</v>
      </c>
      <c r="BD1369" s="51" t="n">
        <v>0.1926105631562202</v>
      </c>
      <c r="BE1369" s="51" t="n">
        <v>0.6234982441007948</v>
      </c>
      <c r="BF1369" s="43" t="n">
        <v>25144</v>
      </c>
    </row>
    <row r="1370">
      <c r="A1370" s="42" t="inlineStr">
        <is>
          <t>VA</t>
        </is>
      </c>
      <c r="B1370" s="42" t="inlineStr">
        <is>
          <t>51610</t>
        </is>
      </c>
      <c r="C1370" s="42" t="inlineStr">
        <is>
          <t>Falls Church city</t>
        </is>
      </c>
      <c r="D1370" s="42" t="inlineStr">
        <is>
          <t>Small town &amp; rural</t>
        </is>
      </c>
      <c r="E1370" s="42" t="inlineStr"/>
      <c r="F1370" s="43" t="n">
        <v>7200</v>
      </c>
      <c r="G1370" s="43" t="n">
        <v>1620</v>
      </c>
      <c r="H1370" s="43" t="n">
        <v>8969</v>
      </c>
      <c r="I1370" s="43" t="n">
        <v>7146</v>
      </c>
      <c r="J1370" s="43" t="n">
        <v>1490</v>
      </c>
      <c r="K1370" s="42" t="inlineStr">
        <is>
          <t>US House</t>
        </is>
      </c>
      <c r="L1370" s="43" t="n">
        <v>5134</v>
      </c>
      <c r="M1370" s="43" t="n">
        <v>1193</v>
      </c>
      <c r="N1370" s="43" t="n">
        <v>6437</v>
      </c>
      <c r="O1370" s="44">
        <f>IFERROR((F1370-G1370)/(F1370+G1370),"")</f>
        <v/>
      </c>
      <c r="P1370" s="44">
        <f>IFERROR((I1370-J1370)/(I1370+J1370),"")</f>
        <v/>
      </c>
      <c r="Q1370" s="45">
        <f>IFERROR(O1370-P1370,"")</f>
        <v/>
      </c>
      <c r="R1370" s="44">
        <f>IFERROR((L1370-M1370)/(L1370+M1370),"")</f>
        <v/>
      </c>
      <c r="S1370" s="46">
        <f>H1370/SUMIFS(Counties!$H$2:$H$1583,Counties!$A$2:$A$1583,$A1370)</f>
        <v/>
      </c>
      <c r="T1370" s="44">
        <f>O1370+INDEX(Dashboard!$F$6:$F$22,MATCH($A1370,Dashboard!$A$6:$A$22,0))</f>
        <v/>
      </c>
      <c r="U1370" s="43">
        <f>AQ1370*INDEX(Dashboard!$G$6:$G$22,MATCH($A1370,Dashboard!$A$6:$A$22,0))</f>
        <v/>
      </c>
      <c r="V1370" s="47" t="n"/>
      <c r="W1370" s="47" t="n"/>
      <c r="X1370" s="47" t="n"/>
      <c r="Y1370" s="48" t="n"/>
      <c r="Z1370" s="49" t="n"/>
      <c r="AA1370" s="49" t="n"/>
      <c r="AB1370" s="49" t="n"/>
      <c r="AC1370" s="50" t="n"/>
      <c r="AD1370" s="43">
        <f>IF(Z1370&lt;&gt;"",Z1370,N(V1370))</f>
        <v/>
      </c>
      <c r="AE1370" s="43">
        <f>IF(AA1370&lt;&gt;"",AA1370,N(W1370))</f>
        <v/>
      </c>
      <c r="AF1370" s="43">
        <f>AD1370+AE1370</f>
        <v/>
      </c>
      <c r="AG1370" s="42">
        <f>IF(UPPER(AC1370)="Y",1,IF(AF1370=0,0,IF(AND(Z1370="",Y1370&lt;&gt;""),IF(Y1370&gt;=0.999,1,0),IF(AF1370&gt;=U1370,1,0))))</f>
        <v/>
      </c>
      <c r="AH1370" s="44">
        <f>IF(AF1370&gt;0,(AD1370-AE1370)/AF1370,"")</f>
        <v/>
      </c>
      <c r="AI1370" s="45">
        <f>IF(AG1370=1,AH1370-O1370,"")</f>
        <v/>
      </c>
      <c r="AJ1370" s="44">
        <f>IF(AG1370=1,AH1370,MAX(-1,MIN(1,O1370+INDEX(Types!$H:$H,MATCH($A1370&amp;"|"&amp;$D1370,Types!$A:$A,0)))))</f>
        <v/>
      </c>
      <c r="AK1370" s="43">
        <f>IF(AG1370=1,AF1370,MAX(AQ1370*AS1370,AF1370))</f>
        <v/>
      </c>
      <c r="AL1370" s="43">
        <f>IF(AG1370=1,AD1370,AK1370*(1+AJ1370)/2)</f>
        <v/>
      </c>
      <c r="AM1370" s="43">
        <f>IF(AG1370=1,AE1370,AK1370*(1-AJ1370)/2)</f>
        <v/>
      </c>
      <c r="AN1370" s="45">
        <f>IF(AH1370="","",AH1370-T1370)</f>
        <v/>
      </c>
      <c r="AO1370" s="51">
        <f>IF(AG1370=1,1,IF(U1370&gt;0,MIN(AF1370/U1370,0.99),0))</f>
        <v/>
      </c>
      <c r="AP1370" s="43">
        <f>IF(AG1370=1,AI1370*AF1370,0)</f>
        <v/>
      </c>
      <c r="AQ1370" s="43">
        <f>N1370*(F1370+G1370)/H1370</f>
        <v/>
      </c>
      <c r="AR1370" s="43">
        <f>O1370*AQ1370</f>
        <v/>
      </c>
      <c r="AS1370" s="52">
        <f>IF(AG1370=1,IF(AQ1370&gt;0,AF1370/AQ1370,1),IFERROR(INDEX(Types!$K:$K,MATCH($A1370&amp;"|"&amp;$D1370,Types!$A:$A,0)),INDEX(Dashboard!$X$6:$X$22,MATCH($A1370,Dashboard!$A$6:$A$22,0))))</f>
        <v/>
      </c>
      <c r="AT1370" s="43">
        <f>AQ1370*INDEX(Dashboard!$Y$6:$Y$22,MATCH($A1370,Dashboard!$A$6:$A$22,0))</f>
        <v/>
      </c>
      <c r="AU1370" s="53">
        <f>IF(AND(AG1370=1,AT1370&gt;0,AF1370&gt;0),100*AF1370/AT1370,"")</f>
        <v/>
      </c>
      <c r="AV1370" s="44">
        <f>IF(AU1370="","",T1370/(AU1370/100))</f>
        <v/>
      </c>
      <c r="AW1370" s="53">
        <f>IF(AU1370="","",IF(AND(ABS(AH1370)&gt;=0.1,ABS(T1370)&gt;=0.05,SIGN(AH1370)=SIGN(T1370)),100*T1370/AH1370,""))</f>
        <v/>
      </c>
      <c r="AX1370" s="45">
        <f>IF(AU1370="","",T1370-AV1370)</f>
        <v/>
      </c>
      <c r="AY1370" s="45">
        <f>IF(AU1370="","",AH1370-AV1370)</f>
        <v/>
      </c>
      <c r="AZ1370" s="54">
        <f>(AL1370-AM1370)-T1370*AT1370</f>
        <v/>
      </c>
      <c r="BA1370" s="43">
        <f>IF(AU1370="",0,(AH1370-T1370)*AF1370)</f>
        <v/>
      </c>
      <c r="BB1370" s="43">
        <f>IF(AU1370="",0,T1370*(AF1370-AT1370))</f>
        <v/>
      </c>
      <c r="BC1370" s="51" t="n">
        <v>0.04746339802519578</v>
      </c>
      <c r="BD1370" s="51" t="n">
        <v>0.1056179775280899</v>
      </c>
      <c r="BE1370" s="51" t="n">
        <v>0.7972574911122398</v>
      </c>
      <c r="BF1370" s="43" t="n">
        <v>14685</v>
      </c>
    </row>
    <row r="1371">
      <c r="A1371" s="42" t="inlineStr">
        <is>
          <t>VA</t>
        </is>
      </c>
      <c r="B1371" s="42" t="inlineStr">
        <is>
          <t>51061</t>
        </is>
      </c>
      <c r="C1371" s="42" t="inlineStr">
        <is>
          <t>Fauquier</t>
        </is>
      </c>
      <c r="D1371" s="42" t="inlineStr">
        <is>
          <t>Small town &amp; rural</t>
        </is>
      </c>
      <c r="E1371" s="42" t="inlineStr"/>
      <c r="F1371" s="43" t="n">
        <v>17180</v>
      </c>
      <c r="G1371" s="43" t="n">
        <v>26825</v>
      </c>
      <c r="H1371" s="43" t="n">
        <v>44537</v>
      </c>
      <c r="I1371" s="43" t="n">
        <v>17565</v>
      </c>
      <c r="J1371" s="43" t="n">
        <v>25106</v>
      </c>
      <c r="K1371" s="42" t="inlineStr">
        <is>
          <t>US House</t>
        </is>
      </c>
      <c r="L1371" s="43" t="n">
        <v>12408</v>
      </c>
      <c r="M1371" s="43" t="n">
        <v>20704</v>
      </c>
      <c r="N1371" s="43" t="n">
        <v>33157</v>
      </c>
      <c r="O1371" s="44">
        <f>IFERROR((F1371-G1371)/(F1371+G1371),"")</f>
        <v/>
      </c>
      <c r="P1371" s="44">
        <f>IFERROR((I1371-J1371)/(I1371+J1371),"")</f>
        <v/>
      </c>
      <c r="Q1371" s="45">
        <f>IFERROR(O1371-P1371,"")</f>
        <v/>
      </c>
      <c r="R1371" s="44">
        <f>IFERROR((L1371-M1371)/(L1371+M1371),"")</f>
        <v/>
      </c>
      <c r="S1371" s="46">
        <f>H1371/SUMIFS(Counties!$H$2:$H$1583,Counties!$A$2:$A$1583,$A1371)</f>
        <v/>
      </c>
      <c r="T1371" s="44">
        <f>O1371+INDEX(Dashboard!$F$6:$F$22,MATCH($A1371,Dashboard!$A$6:$A$22,0))</f>
        <v/>
      </c>
      <c r="U1371" s="43">
        <f>AQ1371*INDEX(Dashboard!$G$6:$G$22,MATCH($A1371,Dashboard!$A$6:$A$22,0))</f>
        <v/>
      </c>
      <c r="V1371" s="47" t="n"/>
      <c r="W1371" s="47" t="n"/>
      <c r="X1371" s="47" t="n"/>
      <c r="Y1371" s="48" t="n"/>
      <c r="Z1371" s="49" t="n"/>
      <c r="AA1371" s="49" t="n"/>
      <c r="AB1371" s="49" t="n"/>
      <c r="AC1371" s="50" t="n"/>
      <c r="AD1371" s="43">
        <f>IF(Z1371&lt;&gt;"",Z1371,N(V1371))</f>
        <v/>
      </c>
      <c r="AE1371" s="43">
        <f>IF(AA1371&lt;&gt;"",AA1371,N(W1371))</f>
        <v/>
      </c>
      <c r="AF1371" s="43">
        <f>AD1371+AE1371</f>
        <v/>
      </c>
      <c r="AG1371" s="42">
        <f>IF(UPPER(AC1371)="Y",1,IF(AF1371=0,0,IF(AND(Z1371="",Y1371&lt;&gt;""),IF(Y1371&gt;=0.999,1,0),IF(AF1371&gt;=U1371,1,0))))</f>
        <v/>
      </c>
      <c r="AH1371" s="44">
        <f>IF(AF1371&gt;0,(AD1371-AE1371)/AF1371,"")</f>
        <v/>
      </c>
      <c r="AI1371" s="45">
        <f>IF(AG1371=1,AH1371-O1371,"")</f>
        <v/>
      </c>
      <c r="AJ1371" s="44">
        <f>IF(AG1371=1,AH1371,MAX(-1,MIN(1,O1371+INDEX(Types!$H:$H,MATCH($A1371&amp;"|"&amp;$D1371,Types!$A:$A,0)))))</f>
        <v/>
      </c>
      <c r="AK1371" s="43">
        <f>IF(AG1371=1,AF1371,MAX(AQ1371*AS1371,AF1371))</f>
        <v/>
      </c>
      <c r="AL1371" s="43">
        <f>IF(AG1371=1,AD1371,AK1371*(1+AJ1371)/2)</f>
        <v/>
      </c>
      <c r="AM1371" s="43">
        <f>IF(AG1371=1,AE1371,AK1371*(1-AJ1371)/2)</f>
        <v/>
      </c>
      <c r="AN1371" s="45">
        <f>IF(AH1371="","",AH1371-T1371)</f>
        <v/>
      </c>
      <c r="AO1371" s="51">
        <f>IF(AG1371=1,1,IF(U1371&gt;0,MIN(AF1371/U1371,0.99),0))</f>
        <v/>
      </c>
      <c r="AP1371" s="43">
        <f>IF(AG1371=1,AI1371*AF1371,0)</f>
        <v/>
      </c>
      <c r="AQ1371" s="43">
        <f>N1371*(F1371+G1371)/H1371</f>
        <v/>
      </c>
      <c r="AR1371" s="43">
        <f>O1371*AQ1371</f>
        <v/>
      </c>
      <c r="AS1371" s="52">
        <f>IF(AG1371=1,IF(AQ1371&gt;0,AF1371/AQ1371,1),IFERROR(INDEX(Types!$K:$K,MATCH($A1371&amp;"|"&amp;$D1371,Types!$A:$A,0)),INDEX(Dashboard!$X$6:$X$22,MATCH($A1371,Dashboard!$A$6:$A$22,0))))</f>
        <v/>
      </c>
      <c r="AT1371" s="43">
        <f>AQ1371*INDEX(Dashboard!$Y$6:$Y$22,MATCH($A1371,Dashboard!$A$6:$A$22,0))</f>
        <v/>
      </c>
      <c r="AU1371" s="53">
        <f>IF(AND(AG1371=1,AT1371&gt;0,AF1371&gt;0),100*AF1371/AT1371,"")</f>
        <v/>
      </c>
      <c r="AV1371" s="44">
        <f>IF(AU1371="","",T1371/(AU1371/100))</f>
        <v/>
      </c>
      <c r="AW1371" s="53">
        <f>IF(AU1371="","",IF(AND(ABS(AH1371)&gt;=0.1,ABS(T1371)&gt;=0.05,SIGN(AH1371)=SIGN(T1371)),100*T1371/AH1371,""))</f>
        <v/>
      </c>
      <c r="AX1371" s="45">
        <f>IF(AU1371="","",T1371-AV1371)</f>
        <v/>
      </c>
      <c r="AY1371" s="45">
        <f>IF(AU1371="","",AH1371-AV1371)</f>
        <v/>
      </c>
      <c r="AZ1371" s="54">
        <f>(AL1371-AM1371)-T1371*AT1371</f>
        <v/>
      </c>
      <c r="BA1371" s="43">
        <f>IF(AU1371="",0,(AH1371-T1371)*AF1371)</f>
        <v/>
      </c>
      <c r="BB1371" s="43">
        <f>IF(AU1371="",0,T1371*(AF1371-AT1371))</f>
        <v/>
      </c>
      <c r="BC1371" s="51" t="n">
        <v>0.07001929089336792</v>
      </c>
      <c r="BD1371" s="51" t="n">
        <v>0.1323488325683496</v>
      </c>
      <c r="BE1371" s="51" t="n">
        <v>0.3967638432314324</v>
      </c>
      <c r="BF1371" s="43" t="n">
        <v>75165</v>
      </c>
    </row>
    <row r="1372">
      <c r="A1372" s="42" t="inlineStr">
        <is>
          <t>VA</t>
        </is>
      </c>
      <c r="B1372" s="42" t="inlineStr">
        <is>
          <t>51063</t>
        </is>
      </c>
      <c r="C1372" s="42" t="inlineStr">
        <is>
          <t>Floyd</t>
        </is>
      </c>
      <c r="D1372" s="42" t="inlineStr">
        <is>
          <t>Small town &amp; rural</t>
        </is>
      </c>
      <c r="E1372" s="42" t="inlineStr"/>
      <c r="F1372" s="43" t="n">
        <v>2968</v>
      </c>
      <c r="G1372" s="43" t="n">
        <v>6551</v>
      </c>
      <c r="H1372" s="43" t="n">
        <v>9625</v>
      </c>
      <c r="I1372" s="43" t="n">
        <v>3004</v>
      </c>
      <c r="J1372" s="43" t="n">
        <v>6225</v>
      </c>
      <c r="K1372" s="42" t="inlineStr">
        <is>
          <t>US House</t>
        </is>
      </c>
      <c r="L1372" s="43" t="n">
        <v>2005</v>
      </c>
      <c r="M1372" s="43" t="n">
        <v>4208</v>
      </c>
      <c r="N1372" s="43" t="n">
        <v>6227</v>
      </c>
      <c r="O1372" s="44">
        <f>IFERROR((F1372-G1372)/(F1372+G1372),"")</f>
        <v/>
      </c>
      <c r="P1372" s="44">
        <f>IFERROR((I1372-J1372)/(I1372+J1372),"")</f>
        <v/>
      </c>
      <c r="Q1372" s="45">
        <f>IFERROR(O1372-P1372,"")</f>
        <v/>
      </c>
      <c r="R1372" s="44">
        <f>IFERROR((L1372-M1372)/(L1372+M1372),"")</f>
        <v/>
      </c>
      <c r="S1372" s="46">
        <f>H1372/SUMIFS(Counties!$H$2:$H$1583,Counties!$A$2:$A$1583,$A1372)</f>
        <v/>
      </c>
      <c r="T1372" s="44">
        <f>O1372+INDEX(Dashboard!$F$6:$F$22,MATCH($A1372,Dashboard!$A$6:$A$22,0))</f>
        <v/>
      </c>
      <c r="U1372" s="43">
        <f>AQ1372*INDEX(Dashboard!$G$6:$G$22,MATCH($A1372,Dashboard!$A$6:$A$22,0))</f>
        <v/>
      </c>
      <c r="V1372" s="47" t="n"/>
      <c r="W1372" s="47" t="n"/>
      <c r="X1372" s="47" t="n"/>
      <c r="Y1372" s="48" t="n"/>
      <c r="Z1372" s="49" t="n"/>
      <c r="AA1372" s="49" t="n"/>
      <c r="AB1372" s="49" t="n"/>
      <c r="AC1372" s="50" t="n"/>
      <c r="AD1372" s="43">
        <f>IF(Z1372&lt;&gt;"",Z1372,N(V1372))</f>
        <v/>
      </c>
      <c r="AE1372" s="43">
        <f>IF(AA1372&lt;&gt;"",AA1372,N(W1372))</f>
        <v/>
      </c>
      <c r="AF1372" s="43">
        <f>AD1372+AE1372</f>
        <v/>
      </c>
      <c r="AG1372" s="42">
        <f>IF(UPPER(AC1372)="Y",1,IF(AF1372=0,0,IF(AND(Z1372="",Y1372&lt;&gt;""),IF(Y1372&gt;=0.999,1,0),IF(AF1372&gt;=U1372,1,0))))</f>
        <v/>
      </c>
      <c r="AH1372" s="44">
        <f>IF(AF1372&gt;0,(AD1372-AE1372)/AF1372,"")</f>
        <v/>
      </c>
      <c r="AI1372" s="45">
        <f>IF(AG1372=1,AH1372-O1372,"")</f>
        <v/>
      </c>
      <c r="AJ1372" s="44">
        <f>IF(AG1372=1,AH1372,MAX(-1,MIN(1,O1372+INDEX(Types!$H:$H,MATCH($A1372&amp;"|"&amp;$D1372,Types!$A:$A,0)))))</f>
        <v/>
      </c>
      <c r="AK1372" s="43">
        <f>IF(AG1372=1,AF1372,MAX(AQ1372*AS1372,AF1372))</f>
        <v/>
      </c>
      <c r="AL1372" s="43">
        <f>IF(AG1372=1,AD1372,AK1372*(1+AJ1372)/2)</f>
        <v/>
      </c>
      <c r="AM1372" s="43">
        <f>IF(AG1372=1,AE1372,AK1372*(1-AJ1372)/2)</f>
        <v/>
      </c>
      <c r="AN1372" s="45">
        <f>IF(AH1372="","",AH1372-T1372)</f>
        <v/>
      </c>
      <c r="AO1372" s="51">
        <f>IF(AG1372=1,1,IF(U1372&gt;0,MIN(AF1372/U1372,0.99),0))</f>
        <v/>
      </c>
      <c r="AP1372" s="43">
        <f>IF(AG1372=1,AI1372*AF1372,0)</f>
        <v/>
      </c>
      <c r="AQ1372" s="43">
        <f>N1372*(F1372+G1372)/H1372</f>
        <v/>
      </c>
      <c r="AR1372" s="43">
        <f>O1372*AQ1372</f>
        <v/>
      </c>
      <c r="AS1372" s="52">
        <f>IF(AG1372=1,IF(AQ1372&gt;0,AF1372/AQ1372,1),IFERROR(INDEX(Types!$K:$K,MATCH($A1372&amp;"|"&amp;$D1372,Types!$A:$A,0)),INDEX(Dashboard!$X$6:$X$22,MATCH($A1372,Dashboard!$A$6:$A$22,0))))</f>
        <v/>
      </c>
      <c r="AT1372" s="43">
        <f>AQ1372*INDEX(Dashboard!$Y$6:$Y$22,MATCH($A1372,Dashboard!$A$6:$A$22,0))</f>
        <v/>
      </c>
      <c r="AU1372" s="53">
        <f>IF(AND(AG1372=1,AT1372&gt;0,AF1372&gt;0),100*AF1372/AT1372,"")</f>
        <v/>
      </c>
      <c r="AV1372" s="44">
        <f>IF(AU1372="","",T1372/(AU1372/100))</f>
        <v/>
      </c>
      <c r="AW1372" s="53">
        <f>IF(AU1372="","",IF(AND(ABS(AH1372)&gt;=0.1,ABS(T1372)&gt;=0.05,SIGN(AH1372)=SIGN(T1372)),100*T1372/AH1372,""))</f>
        <v/>
      </c>
      <c r="AX1372" s="45">
        <f>IF(AU1372="","",T1372-AV1372)</f>
        <v/>
      </c>
      <c r="AY1372" s="45">
        <f>IF(AU1372="","",AH1372-AV1372)</f>
        <v/>
      </c>
      <c r="AZ1372" s="54">
        <f>(AL1372-AM1372)-T1372*AT1372</f>
        <v/>
      </c>
      <c r="BA1372" s="43">
        <f>IF(AU1372="",0,(AH1372-T1372)*AF1372)</f>
        <v/>
      </c>
      <c r="BB1372" s="43">
        <f>IF(AU1372="",0,T1372*(AF1372-AT1372))</f>
        <v/>
      </c>
      <c r="BC1372" s="51" t="n">
        <v>0.02009056700044646</v>
      </c>
      <c r="BD1372" s="51" t="n">
        <v>0.03010396071178009</v>
      </c>
      <c r="BE1372" s="51" t="n">
        <v>0.2303341902313625</v>
      </c>
      <c r="BF1372" s="43" t="n">
        <v>15679</v>
      </c>
    </row>
    <row r="1373">
      <c r="A1373" s="42" t="inlineStr">
        <is>
          <t>VA</t>
        </is>
      </c>
      <c r="B1373" s="42" t="inlineStr">
        <is>
          <t>51065</t>
        </is>
      </c>
      <c r="C1373" s="42" t="inlineStr">
        <is>
          <t>Fluvanna</t>
        </is>
      </c>
      <c r="D1373" s="42" t="inlineStr">
        <is>
          <t>Small town &amp; rural</t>
        </is>
      </c>
      <c r="E1373" s="42" t="inlineStr"/>
      <c r="F1373" s="43" t="n">
        <v>7731</v>
      </c>
      <c r="G1373" s="43" t="n">
        <v>8777</v>
      </c>
      <c r="H1373" s="43" t="n">
        <v>16678</v>
      </c>
      <c r="I1373" s="43" t="n">
        <v>7414</v>
      </c>
      <c r="J1373" s="43" t="n">
        <v>8155</v>
      </c>
      <c r="K1373" s="42" t="inlineStr">
        <is>
          <t>US House</t>
        </is>
      </c>
      <c r="L1373" s="43" t="n">
        <v>5516</v>
      </c>
      <c r="M1373" s="43" t="n">
        <v>6299</v>
      </c>
      <c r="N1373" s="43" t="n">
        <v>11832</v>
      </c>
      <c r="O1373" s="44">
        <f>IFERROR((F1373-G1373)/(F1373+G1373),"")</f>
        <v/>
      </c>
      <c r="P1373" s="44">
        <f>IFERROR((I1373-J1373)/(I1373+J1373),"")</f>
        <v/>
      </c>
      <c r="Q1373" s="45">
        <f>IFERROR(O1373-P1373,"")</f>
        <v/>
      </c>
      <c r="R1373" s="44">
        <f>IFERROR((L1373-M1373)/(L1373+M1373),"")</f>
        <v/>
      </c>
      <c r="S1373" s="46">
        <f>H1373/SUMIFS(Counties!$H$2:$H$1583,Counties!$A$2:$A$1583,$A1373)</f>
        <v/>
      </c>
      <c r="T1373" s="44">
        <f>O1373+INDEX(Dashboard!$F$6:$F$22,MATCH($A1373,Dashboard!$A$6:$A$22,0))</f>
        <v/>
      </c>
      <c r="U1373" s="43">
        <f>AQ1373*INDEX(Dashboard!$G$6:$G$22,MATCH($A1373,Dashboard!$A$6:$A$22,0))</f>
        <v/>
      </c>
      <c r="V1373" s="47" t="n"/>
      <c r="W1373" s="47" t="n"/>
      <c r="X1373" s="47" t="n"/>
      <c r="Y1373" s="48" t="n"/>
      <c r="Z1373" s="49" t="n"/>
      <c r="AA1373" s="49" t="n"/>
      <c r="AB1373" s="49" t="n"/>
      <c r="AC1373" s="50" t="n"/>
      <c r="AD1373" s="43">
        <f>IF(Z1373&lt;&gt;"",Z1373,N(V1373))</f>
        <v/>
      </c>
      <c r="AE1373" s="43">
        <f>IF(AA1373&lt;&gt;"",AA1373,N(W1373))</f>
        <v/>
      </c>
      <c r="AF1373" s="43">
        <f>AD1373+AE1373</f>
        <v/>
      </c>
      <c r="AG1373" s="42">
        <f>IF(UPPER(AC1373)="Y",1,IF(AF1373=0,0,IF(AND(Z1373="",Y1373&lt;&gt;""),IF(Y1373&gt;=0.999,1,0),IF(AF1373&gt;=U1373,1,0))))</f>
        <v/>
      </c>
      <c r="AH1373" s="44">
        <f>IF(AF1373&gt;0,(AD1373-AE1373)/AF1373,"")</f>
        <v/>
      </c>
      <c r="AI1373" s="45">
        <f>IF(AG1373=1,AH1373-O1373,"")</f>
        <v/>
      </c>
      <c r="AJ1373" s="44">
        <f>IF(AG1373=1,AH1373,MAX(-1,MIN(1,O1373+INDEX(Types!$H:$H,MATCH($A1373&amp;"|"&amp;$D1373,Types!$A:$A,0)))))</f>
        <v/>
      </c>
      <c r="AK1373" s="43">
        <f>IF(AG1373=1,AF1373,MAX(AQ1373*AS1373,AF1373))</f>
        <v/>
      </c>
      <c r="AL1373" s="43">
        <f>IF(AG1373=1,AD1373,AK1373*(1+AJ1373)/2)</f>
        <v/>
      </c>
      <c r="AM1373" s="43">
        <f>IF(AG1373=1,AE1373,AK1373*(1-AJ1373)/2)</f>
        <v/>
      </c>
      <c r="AN1373" s="45">
        <f>IF(AH1373="","",AH1373-T1373)</f>
        <v/>
      </c>
      <c r="AO1373" s="51">
        <f>IF(AG1373=1,1,IF(U1373&gt;0,MIN(AF1373/U1373,0.99),0))</f>
        <v/>
      </c>
      <c r="AP1373" s="43">
        <f>IF(AG1373=1,AI1373*AF1373,0)</f>
        <v/>
      </c>
      <c r="AQ1373" s="43">
        <f>N1373*(F1373+G1373)/H1373</f>
        <v/>
      </c>
      <c r="AR1373" s="43">
        <f>O1373*AQ1373</f>
        <v/>
      </c>
      <c r="AS1373" s="52">
        <f>IF(AG1373=1,IF(AQ1373&gt;0,AF1373/AQ1373,1),IFERROR(INDEX(Types!$K:$K,MATCH($A1373&amp;"|"&amp;$D1373,Types!$A:$A,0)),INDEX(Dashboard!$X$6:$X$22,MATCH($A1373,Dashboard!$A$6:$A$22,0))))</f>
        <v/>
      </c>
      <c r="AT1373" s="43">
        <f>AQ1373*INDEX(Dashboard!$Y$6:$Y$22,MATCH($A1373,Dashboard!$A$6:$A$22,0))</f>
        <v/>
      </c>
      <c r="AU1373" s="53">
        <f>IF(AND(AG1373=1,AT1373&gt;0,AF1373&gt;0),100*AF1373/AT1373,"")</f>
        <v/>
      </c>
      <c r="AV1373" s="44">
        <f>IF(AU1373="","",T1373/(AU1373/100))</f>
        <v/>
      </c>
      <c r="AW1373" s="53">
        <f>IF(AU1373="","",IF(AND(ABS(AH1373)&gt;=0.1,ABS(T1373)&gt;=0.05,SIGN(AH1373)=SIGN(T1373)),100*T1373/AH1373,""))</f>
        <v/>
      </c>
      <c r="AX1373" s="45">
        <f>IF(AU1373="","",T1373-AV1373)</f>
        <v/>
      </c>
      <c r="AY1373" s="45">
        <f>IF(AU1373="","",AH1373-AV1373)</f>
        <v/>
      </c>
      <c r="AZ1373" s="54">
        <f>(AL1373-AM1373)-T1373*AT1373</f>
        <v/>
      </c>
      <c r="BA1373" s="43">
        <f>IF(AU1373="",0,(AH1373-T1373)*AF1373)</f>
        <v/>
      </c>
      <c r="BB1373" s="43">
        <f>IF(AU1373="",0,T1373*(AF1373-AT1373))</f>
        <v/>
      </c>
      <c r="BC1373" s="51" t="n">
        <v>0.1459489846110604</v>
      </c>
      <c r="BD1373" s="51" t="n">
        <v>0.04989108284730518</v>
      </c>
      <c r="BE1373" s="51" t="n">
        <v>0.3559843673668784</v>
      </c>
      <c r="BF1373" s="43" t="n">
        <v>28462</v>
      </c>
    </row>
    <row r="1374">
      <c r="A1374" s="42" t="inlineStr">
        <is>
          <t>VA</t>
        </is>
      </c>
      <c r="B1374" s="42" t="inlineStr">
        <is>
          <t>51067</t>
        </is>
      </c>
      <c r="C1374" s="42" t="inlineStr">
        <is>
          <t>Franklin</t>
        </is>
      </c>
      <c r="D1374" s="42" t="inlineStr">
        <is>
          <t>Small town &amp; rural</t>
        </is>
      </c>
      <c r="E1374" s="42" t="inlineStr"/>
      <c r="F1374" s="43" t="n">
        <v>8321</v>
      </c>
      <c r="G1374" s="43" t="n">
        <v>22319</v>
      </c>
      <c r="H1374" s="43" t="n">
        <v>30912</v>
      </c>
      <c r="I1374" s="43" t="n">
        <v>8381</v>
      </c>
      <c r="J1374" s="43" t="n">
        <v>20895</v>
      </c>
      <c r="K1374" s="42" t="inlineStr">
        <is>
          <t>US House</t>
        </is>
      </c>
      <c r="L1374" s="43" t="n">
        <v>5131</v>
      </c>
      <c r="M1374" s="43" t="n">
        <v>15259</v>
      </c>
      <c r="N1374" s="43" t="n">
        <v>20412</v>
      </c>
      <c r="O1374" s="44">
        <f>IFERROR((F1374-G1374)/(F1374+G1374),"")</f>
        <v/>
      </c>
      <c r="P1374" s="44">
        <f>IFERROR((I1374-J1374)/(I1374+J1374),"")</f>
        <v/>
      </c>
      <c r="Q1374" s="45">
        <f>IFERROR(O1374-P1374,"")</f>
        <v/>
      </c>
      <c r="R1374" s="44">
        <f>IFERROR((L1374-M1374)/(L1374+M1374),"")</f>
        <v/>
      </c>
      <c r="S1374" s="46">
        <f>H1374/SUMIFS(Counties!$H$2:$H$1583,Counties!$A$2:$A$1583,$A1374)</f>
        <v/>
      </c>
      <c r="T1374" s="44">
        <f>O1374+INDEX(Dashboard!$F$6:$F$22,MATCH($A1374,Dashboard!$A$6:$A$22,0))</f>
        <v/>
      </c>
      <c r="U1374" s="43">
        <f>AQ1374*INDEX(Dashboard!$G$6:$G$22,MATCH($A1374,Dashboard!$A$6:$A$22,0))</f>
        <v/>
      </c>
      <c r="V1374" s="47" t="n"/>
      <c r="W1374" s="47" t="n"/>
      <c r="X1374" s="47" t="n"/>
      <c r="Y1374" s="48" t="n"/>
      <c r="Z1374" s="49" t="n"/>
      <c r="AA1374" s="49" t="n"/>
      <c r="AB1374" s="49" t="n"/>
      <c r="AC1374" s="50" t="n"/>
      <c r="AD1374" s="43">
        <f>IF(Z1374&lt;&gt;"",Z1374,N(V1374))</f>
        <v/>
      </c>
      <c r="AE1374" s="43">
        <f>IF(AA1374&lt;&gt;"",AA1374,N(W1374))</f>
        <v/>
      </c>
      <c r="AF1374" s="43">
        <f>AD1374+AE1374</f>
        <v/>
      </c>
      <c r="AG1374" s="42">
        <f>IF(UPPER(AC1374)="Y",1,IF(AF1374=0,0,IF(AND(Z1374="",Y1374&lt;&gt;""),IF(Y1374&gt;=0.999,1,0),IF(AF1374&gt;=U1374,1,0))))</f>
        <v/>
      </c>
      <c r="AH1374" s="44">
        <f>IF(AF1374&gt;0,(AD1374-AE1374)/AF1374,"")</f>
        <v/>
      </c>
      <c r="AI1374" s="45">
        <f>IF(AG1374=1,AH1374-O1374,"")</f>
        <v/>
      </c>
      <c r="AJ1374" s="44">
        <f>IF(AG1374=1,AH1374,MAX(-1,MIN(1,O1374+INDEX(Types!$H:$H,MATCH($A1374&amp;"|"&amp;$D1374,Types!$A:$A,0)))))</f>
        <v/>
      </c>
      <c r="AK1374" s="43">
        <f>IF(AG1374=1,AF1374,MAX(AQ1374*AS1374,AF1374))</f>
        <v/>
      </c>
      <c r="AL1374" s="43">
        <f>IF(AG1374=1,AD1374,AK1374*(1+AJ1374)/2)</f>
        <v/>
      </c>
      <c r="AM1374" s="43">
        <f>IF(AG1374=1,AE1374,AK1374*(1-AJ1374)/2)</f>
        <v/>
      </c>
      <c r="AN1374" s="45">
        <f>IF(AH1374="","",AH1374-T1374)</f>
        <v/>
      </c>
      <c r="AO1374" s="51">
        <f>IF(AG1374=1,1,IF(U1374&gt;0,MIN(AF1374/U1374,0.99),0))</f>
        <v/>
      </c>
      <c r="AP1374" s="43">
        <f>IF(AG1374=1,AI1374*AF1374,0)</f>
        <v/>
      </c>
      <c r="AQ1374" s="43">
        <f>N1374*(F1374+G1374)/H1374</f>
        <v/>
      </c>
      <c r="AR1374" s="43">
        <f>O1374*AQ1374</f>
        <v/>
      </c>
      <c r="AS1374" s="52">
        <f>IF(AG1374=1,IF(AQ1374&gt;0,AF1374/AQ1374,1),IFERROR(INDEX(Types!$K:$K,MATCH($A1374&amp;"|"&amp;$D1374,Types!$A:$A,0)),INDEX(Dashboard!$X$6:$X$22,MATCH($A1374,Dashboard!$A$6:$A$22,0))))</f>
        <v/>
      </c>
      <c r="AT1374" s="43">
        <f>AQ1374*INDEX(Dashboard!$Y$6:$Y$22,MATCH($A1374,Dashboard!$A$6:$A$22,0))</f>
        <v/>
      </c>
      <c r="AU1374" s="53">
        <f>IF(AND(AG1374=1,AT1374&gt;0,AF1374&gt;0),100*AF1374/AT1374,"")</f>
        <v/>
      </c>
      <c r="AV1374" s="44">
        <f>IF(AU1374="","",T1374/(AU1374/100))</f>
        <v/>
      </c>
      <c r="AW1374" s="53">
        <f>IF(AU1374="","",IF(AND(ABS(AH1374)&gt;=0.1,ABS(T1374)&gt;=0.05,SIGN(AH1374)=SIGN(T1374)),100*T1374/AH1374,""))</f>
        <v/>
      </c>
      <c r="AX1374" s="45">
        <f>IF(AU1374="","",T1374-AV1374)</f>
        <v/>
      </c>
      <c r="AY1374" s="45">
        <f>IF(AU1374="","",AH1374-AV1374)</f>
        <v/>
      </c>
      <c r="AZ1374" s="54">
        <f>(AL1374-AM1374)-T1374*AT1374</f>
        <v/>
      </c>
      <c r="BA1374" s="43">
        <f>IF(AU1374="",0,(AH1374-T1374)*AF1374)</f>
        <v/>
      </c>
      <c r="BB1374" s="43">
        <f>IF(AU1374="",0,T1374*(AF1374-AT1374))</f>
        <v/>
      </c>
      <c r="BC1374" s="51" t="n">
        <v>0.07802120650236728</v>
      </c>
      <c r="BD1374" s="51" t="n">
        <v>0.0385605501449171</v>
      </c>
      <c r="BE1374" s="51" t="n">
        <v>0.2432702143053165</v>
      </c>
      <c r="BF1374" s="43" t="n">
        <v>55549</v>
      </c>
    </row>
    <row r="1375">
      <c r="A1375" s="42" t="inlineStr">
        <is>
          <t>VA</t>
        </is>
      </c>
      <c r="B1375" s="42" t="inlineStr">
        <is>
          <t>51620</t>
        </is>
      </c>
      <c r="C1375" s="42" t="inlineStr">
        <is>
          <t>Franklin city</t>
        </is>
      </c>
      <c r="D1375" s="42" t="inlineStr">
        <is>
          <t>Black Belt</t>
        </is>
      </c>
      <c r="E1375" s="42" t="inlineStr"/>
      <c r="F1375" s="43" t="n">
        <v>2359</v>
      </c>
      <c r="G1375" s="43" t="n">
        <v>1476</v>
      </c>
      <c r="H1375" s="43" t="n">
        <v>3876</v>
      </c>
      <c r="I1375" s="43" t="n">
        <v>2525</v>
      </c>
      <c r="J1375" s="43" t="n">
        <v>1487</v>
      </c>
      <c r="K1375" s="42" t="inlineStr">
        <is>
          <t>US House</t>
        </is>
      </c>
      <c r="L1375" s="43" t="n">
        <v>1730</v>
      </c>
      <c r="M1375" s="43" t="n">
        <v>1179</v>
      </c>
      <c r="N1375" s="43" t="n">
        <v>2913</v>
      </c>
      <c r="O1375" s="44">
        <f>IFERROR((F1375-G1375)/(F1375+G1375),"")</f>
        <v/>
      </c>
      <c r="P1375" s="44">
        <f>IFERROR((I1375-J1375)/(I1375+J1375),"")</f>
        <v/>
      </c>
      <c r="Q1375" s="45">
        <f>IFERROR(O1375-P1375,"")</f>
        <v/>
      </c>
      <c r="R1375" s="44">
        <f>IFERROR((L1375-M1375)/(L1375+M1375),"")</f>
        <v/>
      </c>
      <c r="S1375" s="46">
        <f>H1375/SUMIFS(Counties!$H$2:$H$1583,Counties!$A$2:$A$1583,$A1375)</f>
        <v/>
      </c>
      <c r="T1375" s="44">
        <f>O1375+INDEX(Dashboard!$F$6:$F$22,MATCH($A1375,Dashboard!$A$6:$A$22,0))</f>
        <v/>
      </c>
      <c r="U1375" s="43">
        <f>AQ1375*INDEX(Dashboard!$G$6:$G$22,MATCH($A1375,Dashboard!$A$6:$A$22,0))</f>
        <v/>
      </c>
      <c r="V1375" s="47" t="n"/>
      <c r="W1375" s="47" t="n"/>
      <c r="X1375" s="47" t="n"/>
      <c r="Y1375" s="48" t="n"/>
      <c r="Z1375" s="49" t="n"/>
      <c r="AA1375" s="49" t="n"/>
      <c r="AB1375" s="49" t="n"/>
      <c r="AC1375" s="50" t="n"/>
      <c r="AD1375" s="43">
        <f>IF(Z1375&lt;&gt;"",Z1375,N(V1375))</f>
        <v/>
      </c>
      <c r="AE1375" s="43">
        <f>IF(AA1375&lt;&gt;"",AA1375,N(W1375))</f>
        <v/>
      </c>
      <c r="AF1375" s="43">
        <f>AD1375+AE1375</f>
        <v/>
      </c>
      <c r="AG1375" s="42">
        <f>IF(UPPER(AC1375)="Y",1,IF(AF1375=0,0,IF(AND(Z1375="",Y1375&lt;&gt;""),IF(Y1375&gt;=0.999,1,0),IF(AF1375&gt;=U1375,1,0))))</f>
        <v/>
      </c>
      <c r="AH1375" s="44">
        <f>IF(AF1375&gt;0,(AD1375-AE1375)/AF1375,"")</f>
        <v/>
      </c>
      <c r="AI1375" s="45">
        <f>IF(AG1375=1,AH1375-O1375,"")</f>
        <v/>
      </c>
      <c r="AJ1375" s="44">
        <f>IF(AG1375=1,AH1375,MAX(-1,MIN(1,O1375+INDEX(Types!$H:$H,MATCH($A1375&amp;"|"&amp;$D1375,Types!$A:$A,0)))))</f>
        <v/>
      </c>
      <c r="AK1375" s="43">
        <f>IF(AG1375=1,AF1375,MAX(AQ1375*AS1375,AF1375))</f>
        <v/>
      </c>
      <c r="AL1375" s="43">
        <f>IF(AG1375=1,AD1375,AK1375*(1+AJ1375)/2)</f>
        <v/>
      </c>
      <c r="AM1375" s="43">
        <f>IF(AG1375=1,AE1375,AK1375*(1-AJ1375)/2)</f>
        <v/>
      </c>
      <c r="AN1375" s="45">
        <f>IF(AH1375="","",AH1375-T1375)</f>
        <v/>
      </c>
      <c r="AO1375" s="51">
        <f>IF(AG1375=1,1,IF(U1375&gt;0,MIN(AF1375/U1375,0.99),0))</f>
        <v/>
      </c>
      <c r="AP1375" s="43">
        <f>IF(AG1375=1,AI1375*AF1375,0)</f>
        <v/>
      </c>
      <c r="AQ1375" s="43">
        <f>N1375*(F1375+G1375)/H1375</f>
        <v/>
      </c>
      <c r="AR1375" s="43">
        <f>O1375*AQ1375</f>
        <v/>
      </c>
      <c r="AS1375" s="52">
        <f>IF(AG1375=1,IF(AQ1375&gt;0,AF1375/AQ1375,1),IFERROR(INDEX(Types!$K:$K,MATCH($A1375&amp;"|"&amp;$D1375,Types!$A:$A,0)),INDEX(Dashboard!$X$6:$X$22,MATCH($A1375,Dashboard!$A$6:$A$22,0))))</f>
        <v/>
      </c>
      <c r="AT1375" s="43">
        <f>AQ1375*INDEX(Dashboard!$Y$6:$Y$22,MATCH($A1375,Dashboard!$A$6:$A$22,0))</f>
        <v/>
      </c>
      <c r="AU1375" s="53">
        <f>IF(AND(AG1375=1,AT1375&gt;0,AF1375&gt;0),100*AF1375/AT1375,"")</f>
        <v/>
      </c>
      <c r="AV1375" s="44">
        <f>IF(AU1375="","",T1375/(AU1375/100))</f>
        <v/>
      </c>
      <c r="AW1375" s="53">
        <f>IF(AU1375="","",IF(AND(ABS(AH1375)&gt;=0.1,ABS(T1375)&gt;=0.05,SIGN(AH1375)=SIGN(T1375)),100*T1375/AH1375,""))</f>
        <v/>
      </c>
      <c r="AX1375" s="45">
        <f>IF(AU1375="","",T1375-AV1375)</f>
        <v/>
      </c>
      <c r="AY1375" s="45">
        <f>IF(AU1375="","",AH1375-AV1375)</f>
        <v/>
      </c>
      <c r="AZ1375" s="54">
        <f>(AL1375-AM1375)-T1375*AT1375</f>
        <v/>
      </c>
      <c r="BA1375" s="43">
        <f>IF(AU1375="",0,(AH1375-T1375)*AF1375)</f>
        <v/>
      </c>
      <c r="BB1375" s="43">
        <f>IF(AU1375="",0,T1375*(AF1375-AT1375))</f>
        <v/>
      </c>
      <c r="BC1375" s="51" t="n">
        <v>0.5447895431106847</v>
      </c>
      <c r="BD1375" s="51" t="n">
        <v>0.03273773833793021</v>
      </c>
      <c r="BE1375" s="51" t="n">
        <v>0.2643163922691482</v>
      </c>
      <c r="BF1375" s="43" t="n">
        <v>8339</v>
      </c>
    </row>
    <row r="1376">
      <c r="A1376" s="42" t="inlineStr">
        <is>
          <t>VA</t>
        </is>
      </c>
      <c r="B1376" s="42" t="inlineStr">
        <is>
          <t>51069</t>
        </is>
      </c>
      <c r="C1376" s="42" t="inlineStr">
        <is>
          <t>Frederick</t>
        </is>
      </c>
      <c r="D1376" s="42" t="inlineStr">
        <is>
          <t>Small town &amp; rural</t>
        </is>
      </c>
      <c r="E1376" s="42" t="inlineStr"/>
      <c r="F1376" s="43" t="n">
        <v>18331</v>
      </c>
      <c r="G1376" s="43" t="n">
        <v>33117</v>
      </c>
      <c r="H1376" s="43" t="n">
        <v>52040</v>
      </c>
      <c r="I1376" s="43" t="n">
        <v>17207</v>
      </c>
      <c r="J1376" s="43" t="n">
        <v>30558</v>
      </c>
      <c r="K1376" s="42" t="inlineStr">
        <is>
          <t>US House</t>
        </is>
      </c>
      <c r="L1376" s="43" t="n">
        <v>11302</v>
      </c>
      <c r="M1376" s="43" t="n">
        <v>22317</v>
      </c>
      <c r="N1376" s="43" t="n">
        <v>33693</v>
      </c>
      <c r="O1376" s="44">
        <f>IFERROR((F1376-G1376)/(F1376+G1376),"")</f>
        <v/>
      </c>
      <c r="P1376" s="44">
        <f>IFERROR((I1376-J1376)/(I1376+J1376),"")</f>
        <v/>
      </c>
      <c r="Q1376" s="45">
        <f>IFERROR(O1376-P1376,"")</f>
        <v/>
      </c>
      <c r="R1376" s="44">
        <f>IFERROR((L1376-M1376)/(L1376+M1376),"")</f>
        <v/>
      </c>
      <c r="S1376" s="46">
        <f>H1376/SUMIFS(Counties!$H$2:$H$1583,Counties!$A$2:$A$1583,$A1376)</f>
        <v/>
      </c>
      <c r="T1376" s="44">
        <f>O1376+INDEX(Dashboard!$F$6:$F$22,MATCH($A1376,Dashboard!$A$6:$A$22,0))</f>
        <v/>
      </c>
      <c r="U1376" s="43">
        <f>AQ1376*INDEX(Dashboard!$G$6:$G$22,MATCH($A1376,Dashboard!$A$6:$A$22,0))</f>
        <v/>
      </c>
      <c r="V1376" s="47" t="n"/>
      <c r="W1376" s="47" t="n"/>
      <c r="X1376" s="47" t="n"/>
      <c r="Y1376" s="48" t="n"/>
      <c r="Z1376" s="49" t="n"/>
      <c r="AA1376" s="49" t="n"/>
      <c r="AB1376" s="49" t="n"/>
      <c r="AC1376" s="50" t="n"/>
      <c r="AD1376" s="43">
        <f>IF(Z1376&lt;&gt;"",Z1376,N(V1376))</f>
        <v/>
      </c>
      <c r="AE1376" s="43">
        <f>IF(AA1376&lt;&gt;"",AA1376,N(W1376))</f>
        <v/>
      </c>
      <c r="AF1376" s="43">
        <f>AD1376+AE1376</f>
        <v/>
      </c>
      <c r="AG1376" s="42">
        <f>IF(UPPER(AC1376)="Y",1,IF(AF1376=0,0,IF(AND(Z1376="",Y1376&lt;&gt;""),IF(Y1376&gt;=0.999,1,0),IF(AF1376&gt;=U1376,1,0))))</f>
        <v/>
      </c>
      <c r="AH1376" s="44">
        <f>IF(AF1376&gt;0,(AD1376-AE1376)/AF1376,"")</f>
        <v/>
      </c>
      <c r="AI1376" s="45">
        <f>IF(AG1376=1,AH1376-O1376,"")</f>
        <v/>
      </c>
      <c r="AJ1376" s="44">
        <f>IF(AG1376=1,AH1376,MAX(-1,MIN(1,O1376+INDEX(Types!$H:$H,MATCH($A1376&amp;"|"&amp;$D1376,Types!$A:$A,0)))))</f>
        <v/>
      </c>
      <c r="AK1376" s="43">
        <f>IF(AG1376=1,AF1376,MAX(AQ1376*AS1376,AF1376))</f>
        <v/>
      </c>
      <c r="AL1376" s="43">
        <f>IF(AG1376=1,AD1376,AK1376*(1+AJ1376)/2)</f>
        <v/>
      </c>
      <c r="AM1376" s="43">
        <f>IF(AG1376=1,AE1376,AK1376*(1-AJ1376)/2)</f>
        <v/>
      </c>
      <c r="AN1376" s="45">
        <f>IF(AH1376="","",AH1376-T1376)</f>
        <v/>
      </c>
      <c r="AO1376" s="51">
        <f>IF(AG1376=1,1,IF(U1376&gt;0,MIN(AF1376/U1376,0.99),0))</f>
        <v/>
      </c>
      <c r="AP1376" s="43">
        <f>IF(AG1376=1,AI1376*AF1376,0)</f>
        <v/>
      </c>
      <c r="AQ1376" s="43">
        <f>N1376*(F1376+G1376)/H1376</f>
        <v/>
      </c>
      <c r="AR1376" s="43">
        <f>O1376*AQ1376</f>
        <v/>
      </c>
      <c r="AS1376" s="52">
        <f>IF(AG1376=1,IF(AQ1376&gt;0,AF1376/AQ1376,1),IFERROR(INDEX(Types!$K:$K,MATCH($A1376&amp;"|"&amp;$D1376,Types!$A:$A,0)),INDEX(Dashboard!$X$6:$X$22,MATCH($A1376,Dashboard!$A$6:$A$22,0))))</f>
        <v/>
      </c>
      <c r="AT1376" s="43">
        <f>AQ1376*INDEX(Dashboard!$Y$6:$Y$22,MATCH($A1376,Dashboard!$A$6:$A$22,0))</f>
        <v/>
      </c>
      <c r="AU1376" s="53">
        <f>IF(AND(AG1376=1,AT1376&gt;0,AF1376&gt;0),100*AF1376/AT1376,"")</f>
        <v/>
      </c>
      <c r="AV1376" s="44">
        <f>IF(AU1376="","",T1376/(AU1376/100))</f>
        <v/>
      </c>
      <c r="AW1376" s="53">
        <f>IF(AU1376="","",IF(AND(ABS(AH1376)&gt;=0.1,ABS(T1376)&gt;=0.05,SIGN(AH1376)=SIGN(T1376)),100*T1376/AH1376,""))</f>
        <v/>
      </c>
      <c r="AX1376" s="45">
        <f>IF(AU1376="","",T1376-AV1376)</f>
        <v/>
      </c>
      <c r="AY1376" s="45">
        <f>IF(AU1376="","",AH1376-AV1376)</f>
        <v/>
      </c>
      <c r="AZ1376" s="54">
        <f>(AL1376-AM1376)-T1376*AT1376</f>
        <v/>
      </c>
      <c r="BA1376" s="43">
        <f>IF(AU1376="",0,(AH1376-T1376)*AF1376)</f>
        <v/>
      </c>
      <c r="BB1376" s="43">
        <f>IF(AU1376="",0,T1376*(AF1376-AT1376))</f>
        <v/>
      </c>
      <c r="BC1376" s="51" t="n">
        <v>0.04669041815113444</v>
      </c>
      <c r="BD1376" s="51" t="n">
        <v>0.131091526553743</v>
      </c>
      <c r="BE1376" s="51" t="n">
        <v>0.3030899005884793</v>
      </c>
      <c r="BF1376" s="43" t="n">
        <v>95994</v>
      </c>
    </row>
    <row r="1377">
      <c r="A1377" s="42" t="inlineStr">
        <is>
          <t>VA</t>
        </is>
      </c>
      <c r="B1377" s="42" t="inlineStr">
        <is>
          <t>51630</t>
        </is>
      </c>
      <c r="C1377" s="42" t="inlineStr">
        <is>
          <t>Fredericksburg city</t>
        </is>
      </c>
      <c r="D1377" s="42" t="inlineStr">
        <is>
          <t>Small town &amp; rural</t>
        </is>
      </c>
      <c r="E1377" s="42" t="inlineStr"/>
      <c r="F1377" s="43" t="n">
        <v>8760</v>
      </c>
      <c r="G1377" s="43" t="n">
        <v>4480</v>
      </c>
      <c r="H1377" s="43" t="n">
        <v>13495</v>
      </c>
      <c r="I1377" s="43" t="n">
        <v>8517</v>
      </c>
      <c r="J1377" s="43" t="n">
        <v>4037</v>
      </c>
      <c r="K1377" s="42" t="inlineStr">
        <is>
          <t>US House</t>
        </is>
      </c>
      <c r="L1377" s="43" t="n">
        <v>6082</v>
      </c>
      <c r="M1377" s="43" t="n">
        <v>3066</v>
      </c>
      <c r="N1377" s="43" t="n">
        <v>9168</v>
      </c>
      <c r="O1377" s="44">
        <f>IFERROR((F1377-G1377)/(F1377+G1377),"")</f>
        <v/>
      </c>
      <c r="P1377" s="44">
        <f>IFERROR((I1377-J1377)/(I1377+J1377),"")</f>
        <v/>
      </c>
      <c r="Q1377" s="45">
        <f>IFERROR(O1377-P1377,"")</f>
        <v/>
      </c>
      <c r="R1377" s="44">
        <f>IFERROR((L1377-M1377)/(L1377+M1377),"")</f>
        <v/>
      </c>
      <c r="S1377" s="46">
        <f>H1377/SUMIFS(Counties!$H$2:$H$1583,Counties!$A$2:$A$1583,$A1377)</f>
        <v/>
      </c>
      <c r="T1377" s="44">
        <f>O1377+INDEX(Dashboard!$F$6:$F$22,MATCH($A1377,Dashboard!$A$6:$A$22,0))</f>
        <v/>
      </c>
      <c r="U1377" s="43">
        <f>AQ1377*INDEX(Dashboard!$G$6:$G$22,MATCH($A1377,Dashboard!$A$6:$A$22,0))</f>
        <v/>
      </c>
      <c r="V1377" s="47" t="n"/>
      <c r="W1377" s="47" t="n"/>
      <c r="X1377" s="47" t="n"/>
      <c r="Y1377" s="48" t="n"/>
      <c r="Z1377" s="49" t="n"/>
      <c r="AA1377" s="49" t="n"/>
      <c r="AB1377" s="49" t="n"/>
      <c r="AC1377" s="50" t="n"/>
      <c r="AD1377" s="43">
        <f>IF(Z1377&lt;&gt;"",Z1377,N(V1377))</f>
        <v/>
      </c>
      <c r="AE1377" s="43">
        <f>IF(AA1377&lt;&gt;"",AA1377,N(W1377))</f>
        <v/>
      </c>
      <c r="AF1377" s="43">
        <f>AD1377+AE1377</f>
        <v/>
      </c>
      <c r="AG1377" s="42">
        <f>IF(UPPER(AC1377)="Y",1,IF(AF1377=0,0,IF(AND(Z1377="",Y1377&lt;&gt;""),IF(Y1377&gt;=0.999,1,0),IF(AF1377&gt;=U1377,1,0))))</f>
        <v/>
      </c>
      <c r="AH1377" s="44">
        <f>IF(AF1377&gt;0,(AD1377-AE1377)/AF1377,"")</f>
        <v/>
      </c>
      <c r="AI1377" s="45">
        <f>IF(AG1377=1,AH1377-O1377,"")</f>
        <v/>
      </c>
      <c r="AJ1377" s="44">
        <f>IF(AG1377=1,AH1377,MAX(-1,MIN(1,O1377+INDEX(Types!$H:$H,MATCH($A1377&amp;"|"&amp;$D1377,Types!$A:$A,0)))))</f>
        <v/>
      </c>
      <c r="AK1377" s="43">
        <f>IF(AG1377=1,AF1377,MAX(AQ1377*AS1377,AF1377))</f>
        <v/>
      </c>
      <c r="AL1377" s="43">
        <f>IF(AG1377=1,AD1377,AK1377*(1+AJ1377)/2)</f>
        <v/>
      </c>
      <c r="AM1377" s="43">
        <f>IF(AG1377=1,AE1377,AK1377*(1-AJ1377)/2)</f>
        <v/>
      </c>
      <c r="AN1377" s="45">
        <f>IF(AH1377="","",AH1377-T1377)</f>
        <v/>
      </c>
      <c r="AO1377" s="51">
        <f>IF(AG1377=1,1,IF(U1377&gt;0,MIN(AF1377/U1377,0.99),0))</f>
        <v/>
      </c>
      <c r="AP1377" s="43">
        <f>IF(AG1377=1,AI1377*AF1377,0)</f>
        <v/>
      </c>
      <c r="AQ1377" s="43">
        <f>N1377*(F1377+G1377)/H1377</f>
        <v/>
      </c>
      <c r="AR1377" s="43">
        <f>O1377*AQ1377</f>
        <v/>
      </c>
      <c r="AS1377" s="52">
        <f>IF(AG1377=1,IF(AQ1377&gt;0,AF1377/AQ1377,1),IFERROR(INDEX(Types!$K:$K,MATCH($A1377&amp;"|"&amp;$D1377,Types!$A:$A,0)),INDEX(Dashboard!$X$6:$X$22,MATCH($A1377,Dashboard!$A$6:$A$22,0))))</f>
        <v/>
      </c>
      <c r="AT1377" s="43">
        <f>AQ1377*INDEX(Dashboard!$Y$6:$Y$22,MATCH($A1377,Dashboard!$A$6:$A$22,0))</f>
        <v/>
      </c>
      <c r="AU1377" s="53">
        <f>IF(AND(AG1377=1,AT1377&gt;0,AF1377&gt;0),100*AF1377/AT1377,"")</f>
        <v/>
      </c>
      <c r="AV1377" s="44">
        <f>IF(AU1377="","",T1377/(AU1377/100))</f>
        <v/>
      </c>
      <c r="AW1377" s="53">
        <f>IF(AU1377="","",IF(AND(ABS(AH1377)&gt;=0.1,ABS(T1377)&gt;=0.05,SIGN(AH1377)=SIGN(T1377)),100*T1377/AH1377,""))</f>
        <v/>
      </c>
      <c r="AX1377" s="45">
        <f>IF(AU1377="","",T1377-AV1377)</f>
        <v/>
      </c>
      <c r="AY1377" s="45">
        <f>IF(AU1377="","",AH1377-AV1377)</f>
        <v/>
      </c>
      <c r="AZ1377" s="54">
        <f>(AL1377-AM1377)-T1377*AT1377</f>
        <v/>
      </c>
      <c r="BA1377" s="43">
        <f>IF(AU1377="",0,(AH1377-T1377)*AF1377)</f>
        <v/>
      </c>
      <c r="BB1377" s="43">
        <f>IF(AU1377="",0,T1377*(AF1377-AT1377))</f>
        <v/>
      </c>
      <c r="BC1377" s="51" t="n">
        <v>0.2297773783185841</v>
      </c>
      <c r="BD1377" s="51" t="n">
        <v>0.1268321349557522</v>
      </c>
      <c r="BE1377" s="51" t="n">
        <v>0.4678909952606635</v>
      </c>
      <c r="BF1377" s="43" t="n">
        <v>28928</v>
      </c>
    </row>
    <row r="1378">
      <c r="A1378" s="42" t="inlineStr">
        <is>
          <t>VA</t>
        </is>
      </c>
      <c r="B1378" s="42" t="inlineStr">
        <is>
          <t>51640</t>
        </is>
      </c>
      <c r="C1378" s="42" t="inlineStr">
        <is>
          <t>Galax city</t>
        </is>
      </c>
      <c r="D1378" s="42" t="inlineStr">
        <is>
          <t>Small town &amp; rural</t>
        </is>
      </c>
      <c r="E1378" s="42" t="inlineStr"/>
      <c r="F1378" s="43" t="n">
        <v>753</v>
      </c>
      <c r="G1378" s="43" t="n">
        <v>1946</v>
      </c>
      <c r="H1378" s="43" t="n">
        <v>2717</v>
      </c>
      <c r="I1378" s="43" t="n">
        <v>777</v>
      </c>
      <c r="J1378" s="43" t="n">
        <v>1838</v>
      </c>
      <c r="K1378" s="42" t="inlineStr">
        <is>
          <t>US House</t>
        </is>
      </c>
      <c r="L1378" s="43" t="n">
        <v>395</v>
      </c>
      <c r="M1378" s="43" t="n">
        <v>1208</v>
      </c>
      <c r="N1378" s="43" t="n">
        <v>1605</v>
      </c>
      <c r="O1378" s="44">
        <f>IFERROR((F1378-G1378)/(F1378+G1378),"")</f>
        <v/>
      </c>
      <c r="P1378" s="44">
        <f>IFERROR((I1378-J1378)/(I1378+J1378),"")</f>
        <v/>
      </c>
      <c r="Q1378" s="45">
        <f>IFERROR(O1378-P1378,"")</f>
        <v/>
      </c>
      <c r="R1378" s="44">
        <f>IFERROR((L1378-M1378)/(L1378+M1378),"")</f>
        <v/>
      </c>
      <c r="S1378" s="46">
        <f>H1378/SUMIFS(Counties!$H$2:$H$1583,Counties!$A$2:$A$1583,$A1378)</f>
        <v/>
      </c>
      <c r="T1378" s="44">
        <f>O1378+INDEX(Dashboard!$F$6:$F$22,MATCH($A1378,Dashboard!$A$6:$A$22,0))</f>
        <v/>
      </c>
      <c r="U1378" s="43">
        <f>AQ1378*INDEX(Dashboard!$G$6:$G$22,MATCH($A1378,Dashboard!$A$6:$A$22,0))</f>
        <v/>
      </c>
      <c r="V1378" s="47" t="n"/>
      <c r="W1378" s="47" t="n"/>
      <c r="X1378" s="47" t="n"/>
      <c r="Y1378" s="48" t="n"/>
      <c r="Z1378" s="49" t="n"/>
      <c r="AA1378" s="49" t="n"/>
      <c r="AB1378" s="49" t="n"/>
      <c r="AC1378" s="50" t="n"/>
      <c r="AD1378" s="43">
        <f>IF(Z1378&lt;&gt;"",Z1378,N(V1378))</f>
        <v/>
      </c>
      <c r="AE1378" s="43">
        <f>IF(AA1378&lt;&gt;"",AA1378,N(W1378))</f>
        <v/>
      </c>
      <c r="AF1378" s="43">
        <f>AD1378+AE1378</f>
        <v/>
      </c>
      <c r="AG1378" s="42">
        <f>IF(UPPER(AC1378)="Y",1,IF(AF1378=0,0,IF(AND(Z1378="",Y1378&lt;&gt;""),IF(Y1378&gt;=0.999,1,0),IF(AF1378&gt;=U1378,1,0))))</f>
        <v/>
      </c>
      <c r="AH1378" s="44">
        <f>IF(AF1378&gt;0,(AD1378-AE1378)/AF1378,"")</f>
        <v/>
      </c>
      <c r="AI1378" s="45">
        <f>IF(AG1378=1,AH1378-O1378,"")</f>
        <v/>
      </c>
      <c r="AJ1378" s="44">
        <f>IF(AG1378=1,AH1378,MAX(-1,MIN(1,O1378+INDEX(Types!$H:$H,MATCH($A1378&amp;"|"&amp;$D1378,Types!$A:$A,0)))))</f>
        <v/>
      </c>
      <c r="AK1378" s="43">
        <f>IF(AG1378=1,AF1378,MAX(AQ1378*AS1378,AF1378))</f>
        <v/>
      </c>
      <c r="AL1378" s="43">
        <f>IF(AG1378=1,AD1378,AK1378*(1+AJ1378)/2)</f>
        <v/>
      </c>
      <c r="AM1378" s="43">
        <f>IF(AG1378=1,AE1378,AK1378*(1-AJ1378)/2)</f>
        <v/>
      </c>
      <c r="AN1378" s="45">
        <f>IF(AH1378="","",AH1378-T1378)</f>
        <v/>
      </c>
      <c r="AO1378" s="51">
        <f>IF(AG1378=1,1,IF(U1378&gt;0,MIN(AF1378/U1378,0.99),0))</f>
        <v/>
      </c>
      <c r="AP1378" s="43">
        <f>IF(AG1378=1,AI1378*AF1378,0)</f>
        <v/>
      </c>
      <c r="AQ1378" s="43">
        <f>N1378*(F1378+G1378)/H1378</f>
        <v/>
      </c>
      <c r="AR1378" s="43">
        <f>O1378*AQ1378</f>
        <v/>
      </c>
      <c r="AS1378" s="52">
        <f>IF(AG1378=1,IF(AQ1378&gt;0,AF1378/AQ1378,1),IFERROR(INDEX(Types!$K:$K,MATCH($A1378&amp;"|"&amp;$D1378,Types!$A:$A,0)),INDEX(Dashboard!$X$6:$X$22,MATCH($A1378,Dashboard!$A$6:$A$22,0))))</f>
        <v/>
      </c>
      <c r="AT1378" s="43">
        <f>AQ1378*INDEX(Dashboard!$Y$6:$Y$22,MATCH($A1378,Dashboard!$A$6:$A$22,0))</f>
        <v/>
      </c>
      <c r="AU1378" s="53">
        <f>IF(AND(AG1378=1,AT1378&gt;0,AF1378&gt;0),100*AF1378/AT1378,"")</f>
        <v/>
      </c>
      <c r="AV1378" s="44">
        <f>IF(AU1378="","",T1378/(AU1378/100))</f>
        <v/>
      </c>
      <c r="AW1378" s="53">
        <f>IF(AU1378="","",IF(AND(ABS(AH1378)&gt;=0.1,ABS(T1378)&gt;=0.05,SIGN(AH1378)=SIGN(T1378)),100*T1378/AH1378,""))</f>
        <v/>
      </c>
      <c r="AX1378" s="45">
        <f>IF(AU1378="","",T1378-AV1378)</f>
        <v/>
      </c>
      <c r="AY1378" s="45">
        <f>IF(AU1378="","",AH1378-AV1378)</f>
        <v/>
      </c>
      <c r="AZ1378" s="54">
        <f>(AL1378-AM1378)-T1378*AT1378</f>
        <v/>
      </c>
      <c r="BA1378" s="43">
        <f>IF(AU1378="",0,(AH1378-T1378)*AF1378)</f>
        <v/>
      </c>
      <c r="BB1378" s="43">
        <f>IF(AU1378="",0,T1378*(AF1378-AT1378))</f>
        <v/>
      </c>
      <c r="BC1378" s="51" t="n">
        <v>0.05731725472681257</v>
      </c>
      <c r="BD1378" s="51" t="n">
        <v>0.1749292839065059</v>
      </c>
      <c r="BE1378" s="51" t="n">
        <v>0.1828776333482743</v>
      </c>
      <c r="BF1378" s="43" t="n">
        <v>6717</v>
      </c>
    </row>
    <row r="1379">
      <c r="A1379" s="42" t="inlineStr">
        <is>
          <t>VA</t>
        </is>
      </c>
      <c r="B1379" s="42" t="inlineStr">
        <is>
          <t>51071</t>
        </is>
      </c>
      <c r="C1379" s="42" t="inlineStr">
        <is>
          <t>Giles</t>
        </is>
      </c>
      <c r="D1379" s="42" t="inlineStr">
        <is>
          <t>Small town &amp; rural</t>
        </is>
      </c>
      <c r="E1379" s="42" t="inlineStr"/>
      <c r="F1379" s="43" t="n">
        <v>2069</v>
      </c>
      <c r="G1379" s="43" t="n">
        <v>7102</v>
      </c>
      <c r="H1379" s="43" t="n">
        <v>9234</v>
      </c>
      <c r="I1379" s="43" t="n">
        <v>2156</v>
      </c>
      <c r="J1379" s="43" t="n">
        <v>6876</v>
      </c>
      <c r="K1379" s="42" t="inlineStr">
        <is>
          <t>US House</t>
        </is>
      </c>
      <c r="L1379" s="43" t="n">
        <v>1337</v>
      </c>
      <c r="M1379" s="43" t="n">
        <v>4436</v>
      </c>
      <c r="N1379" s="43" t="n">
        <v>5785</v>
      </c>
      <c r="O1379" s="44">
        <f>IFERROR((F1379-G1379)/(F1379+G1379),"")</f>
        <v/>
      </c>
      <c r="P1379" s="44">
        <f>IFERROR((I1379-J1379)/(I1379+J1379),"")</f>
        <v/>
      </c>
      <c r="Q1379" s="45">
        <f>IFERROR(O1379-P1379,"")</f>
        <v/>
      </c>
      <c r="R1379" s="44">
        <f>IFERROR((L1379-M1379)/(L1379+M1379),"")</f>
        <v/>
      </c>
      <c r="S1379" s="46">
        <f>H1379/SUMIFS(Counties!$H$2:$H$1583,Counties!$A$2:$A$1583,$A1379)</f>
        <v/>
      </c>
      <c r="T1379" s="44">
        <f>O1379+INDEX(Dashboard!$F$6:$F$22,MATCH($A1379,Dashboard!$A$6:$A$22,0))</f>
        <v/>
      </c>
      <c r="U1379" s="43">
        <f>AQ1379*INDEX(Dashboard!$G$6:$G$22,MATCH($A1379,Dashboard!$A$6:$A$22,0))</f>
        <v/>
      </c>
      <c r="V1379" s="47" t="n"/>
      <c r="W1379" s="47" t="n"/>
      <c r="X1379" s="47" t="n"/>
      <c r="Y1379" s="48" t="n"/>
      <c r="Z1379" s="49" t="n"/>
      <c r="AA1379" s="49" t="n"/>
      <c r="AB1379" s="49" t="n"/>
      <c r="AC1379" s="50" t="n"/>
      <c r="AD1379" s="43">
        <f>IF(Z1379&lt;&gt;"",Z1379,N(V1379))</f>
        <v/>
      </c>
      <c r="AE1379" s="43">
        <f>IF(AA1379&lt;&gt;"",AA1379,N(W1379))</f>
        <v/>
      </c>
      <c r="AF1379" s="43">
        <f>AD1379+AE1379</f>
        <v/>
      </c>
      <c r="AG1379" s="42">
        <f>IF(UPPER(AC1379)="Y",1,IF(AF1379=0,0,IF(AND(Z1379="",Y1379&lt;&gt;""),IF(Y1379&gt;=0.999,1,0),IF(AF1379&gt;=U1379,1,0))))</f>
        <v/>
      </c>
      <c r="AH1379" s="44">
        <f>IF(AF1379&gt;0,(AD1379-AE1379)/AF1379,"")</f>
        <v/>
      </c>
      <c r="AI1379" s="45">
        <f>IF(AG1379=1,AH1379-O1379,"")</f>
        <v/>
      </c>
      <c r="AJ1379" s="44">
        <f>IF(AG1379=1,AH1379,MAX(-1,MIN(1,O1379+INDEX(Types!$H:$H,MATCH($A1379&amp;"|"&amp;$D1379,Types!$A:$A,0)))))</f>
        <v/>
      </c>
      <c r="AK1379" s="43">
        <f>IF(AG1379=1,AF1379,MAX(AQ1379*AS1379,AF1379))</f>
        <v/>
      </c>
      <c r="AL1379" s="43">
        <f>IF(AG1379=1,AD1379,AK1379*(1+AJ1379)/2)</f>
        <v/>
      </c>
      <c r="AM1379" s="43">
        <f>IF(AG1379=1,AE1379,AK1379*(1-AJ1379)/2)</f>
        <v/>
      </c>
      <c r="AN1379" s="45">
        <f>IF(AH1379="","",AH1379-T1379)</f>
        <v/>
      </c>
      <c r="AO1379" s="51">
        <f>IF(AG1379=1,1,IF(U1379&gt;0,MIN(AF1379/U1379,0.99),0))</f>
        <v/>
      </c>
      <c r="AP1379" s="43">
        <f>IF(AG1379=1,AI1379*AF1379,0)</f>
        <v/>
      </c>
      <c r="AQ1379" s="43">
        <f>N1379*(F1379+G1379)/H1379</f>
        <v/>
      </c>
      <c r="AR1379" s="43">
        <f>O1379*AQ1379</f>
        <v/>
      </c>
      <c r="AS1379" s="52">
        <f>IF(AG1379=1,IF(AQ1379&gt;0,AF1379/AQ1379,1),IFERROR(INDEX(Types!$K:$K,MATCH($A1379&amp;"|"&amp;$D1379,Types!$A:$A,0)),INDEX(Dashboard!$X$6:$X$22,MATCH($A1379,Dashboard!$A$6:$A$22,0))))</f>
        <v/>
      </c>
      <c r="AT1379" s="43">
        <f>AQ1379*INDEX(Dashboard!$Y$6:$Y$22,MATCH($A1379,Dashboard!$A$6:$A$22,0))</f>
        <v/>
      </c>
      <c r="AU1379" s="53">
        <f>IF(AND(AG1379=1,AT1379&gt;0,AF1379&gt;0),100*AF1379/AT1379,"")</f>
        <v/>
      </c>
      <c r="AV1379" s="44">
        <f>IF(AU1379="","",T1379/(AU1379/100))</f>
        <v/>
      </c>
      <c r="AW1379" s="53">
        <f>IF(AU1379="","",IF(AND(ABS(AH1379)&gt;=0.1,ABS(T1379)&gt;=0.05,SIGN(AH1379)=SIGN(T1379)),100*T1379/AH1379,""))</f>
        <v/>
      </c>
      <c r="AX1379" s="45">
        <f>IF(AU1379="","",T1379-AV1379)</f>
        <v/>
      </c>
      <c r="AY1379" s="45">
        <f>IF(AU1379="","",AH1379-AV1379)</f>
        <v/>
      </c>
      <c r="AZ1379" s="54">
        <f>(AL1379-AM1379)-T1379*AT1379</f>
        <v/>
      </c>
      <c r="BA1379" s="43">
        <f>IF(AU1379="",0,(AH1379-T1379)*AF1379)</f>
        <v/>
      </c>
      <c r="BB1379" s="43">
        <f>IF(AU1379="",0,T1379*(AF1379-AT1379))</f>
        <v/>
      </c>
      <c r="BC1379" s="51" t="n">
        <v>0.01768244516011424</v>
      </c>
      <c r="BD1379" s="51" t="n">
        <v>0.01835085374004983</v>
      </c>
      <c r="BE1379" s="51" t="n">
        <v>0.1801927988794595</v>
      </c>
      <c r="BF1379" s="43" t="n">
        <v>16457</v>
      </c>
    </row>
    <row r="1380">
      <c r="A1380" s="42" t="inlineStr">
        <is>
          <t>VA</t>
        </is>
      </c>
      <c r="B1380" s="42" t="inlineStr">
        <is>
          <t>51073</t>
        </is>
      </c>
      <c r="C1380" s="42" t="inlineStr">
        <is>
          <t>Gloucester</t>
        </is>
      </c>
      <c r="D1380" s="42" t="inlineStr">
        <is>
          <t>Small town &amp; rural</t>
        </is>
      </c>
      <c r="E1380" s="42" t="inlineStr"/>
      <c r="F1380" s="43" t="n">
        <v>7034</v>
      </c>
      <c r="G1380" s="43" t="n">
        <v>15918</v>
      </c>
      <c r="H1380" s="43" t="n">
        <v>23149</v>
      </c>
      <c r="I1380" s="43" t="n">
        <v>6964</v>
      </c>
      <c r="J1380" s="43" t="n">
        <v>14875</v>
      </c>
      <c r="K1380" s="42" t="inlineStr">
        <is>
          <t>US House</t>
        </is>
      </c>
      <c r="L1380" s="43" t="n">
        <v>4306</v>
      </c>
      <c r="M1380" s="43" t="n">
        <v>10921</v>
      </c>
      <c r="N1380" s="43" t="n">
        <v>15458</v>
      </c>
      <c r="O1380" s="44">
        <f>IFERROR((F1380-G1380)/(F1380+G1380),"")</f>
        <v/>
      </c>
      <c r="P1380" s="44">
        <f>IFERROR((I1380-J1380)/(I1380+J1380),"")</f>
        <v/>
      </c>
      <c r="Q1380" s="45">
        <f>IFERROR(O1380-P1380,"")</f>
        <v/>
      </c>
      <c r="R1380" s="44">
        <f>IFERROR((L1380-M1380)/(L1380+M1380),"")</f>
        <v/>
      </c>
      <c r="S1380" s="46">
        <f>H1380/SUMIFS(Counties!$H$2:$H$1583,Counties!$A$2:$A$1583,$A1380)</f>
        <v/>
      </c>
      <c r="T1380" s="44">
        <f>O1380+INDEX(Dashboard!$F$6:$F$22,MATCH($A1380,Dashboard!$A$6:$A$22,0))</f>
        <v/>
      </c>
      <c r="U1380" s="43">
        <f>AQ1380*INDEX(Dashboard!$G$6:$G$22,MATCH($A1380,Dashboard!$A$6:$A$22,0))</f>
        <v/>
      </c>
      <c r="V1380" s="47" t="n"/>
      <c r="W1380" s="47" t="n"/>
      <c r="X1380" s="47" t="n"/>
      <c r="Y1380" s="48" t="n"/>
      <c r="Z1380" s="49" t="n"/>
      <c r="AA1380" s="49" t="n"/>
      <c r="AB1380" s="49" t="n"/>
      <c r="AC1380" s="50" t="n"/>
      <c r="AD1380" s="43">
        <f>IF(Z1380&lt;&gt;"",Z1380,N(V1380))</f>
        <v/>
      </c>
      <c r="AE1380" s="43">
        <f>IF(AA1380&lt;&gt;"",AA1380,N(W1380))</f>
        <v/>
      </c>
      <c r="AF1380" s="43">
        <f>AD1380+AE1380</f>
        <v/>
      </c>
      <c r="AG1380" s="42">
        <f>IF(UPPER(AC1380)="Y",1,IF(AF1380=0,0,IF(AND(Z1380="",Y1380&lt;&gt;""),IF(Y1380&gt;=0.999,1,0),IF(AF1380&gt;=U1380,1,0))))</f>
        <v/>
      </c>
      <c r="AH1380" s="44">
        <f>IF(AF1380&gt;0,(AD1380-AE1380)/AF1380,"")</f>
        <v/>
      </c>
      <c r="AI1380" s="45">
        <f>IF(AG1380=1,AH1380-O1380,"")</f>
        <v/>
      </c>
      <c r="AJ1380" s="44">
        <f>IF(AG1380=1,AH1380,MAX(-1,MIN(1,O1380+INDEX(Types!$H:$H,MATCH($A1380&amp;"|"&amp;$D1380,Types!$A:$A,0)))))</f>
        <v/>
      </c>
      <c r="AK1380" s="43">
        <f>IF(AG1380=1,AF1380,MAX(AQ1380*AS1380,AF1380))</f>
        <v/>
      </c>
      <c r="AL1380" s="43">
        <f>IF(AG1380=1,AD1380,AK1380*(1+AJ1380)/2)</f>
        <v/>
      </c>
      <c r="AM1380" s="43">
        <f>IF(AG1380=1,AE1380,AK1380*(1-AJ1380)/2)</f>
        <v/>
      </c>
      <c r="AN1380" s="45">
        <f>IF(AH1380="","",AH1380-T1380)</f>
        <v/>
      </c>
      <c r="AO1380" s="51">
        <f>IF(AG1380=1,1,IF(U1380&gt;0,MIN(AF1380/U1380,0.99),0))</f>
        <v/>
      </c>
      <c r="AP1380" s="43">
        <f>IF(AG1380=1,AI1380*AF1380,0)</f>
        <v/>
      </c>
      <c r="AQ1380" s="43">
        <f>N1380*(F1380+G1380)/H1380</f>
        <v/>
      </c>
      <c r="AR1380" s="43">
        <f>O1380*AQ1380</f>
        <v/>
      </c>
      <c r="AS1380" s="52">
        <f>IF(AG1380=1,IF(AQ1380&gt;0,AF1380/AQ1380,1),IFERROR(INDEX(Types!$K:$K,MATCH($A1380&amp;"|"&amp;$D1380,Types!$A:$A,0)),INDEX(Dashboard!$X$6:$X$22,MATCH($A1380,Dashboard!$A$6:$A$22,0))))</f>
        <v/>
      </c>
      <c r="AT1380" s="43">
        <f>AQ1380*INDEX(Dashboard!$Y$6:$Y$22,MATCH($A1380,Dashboard!$A$6:$A$22,0))</f>
        <v/>
      </c>
      <c r="AU1380" s="53">
        <f>IF(AND(AG1380=1,AT1380&gt;0,AF1380&gt;0),100*AF1380/AT1380,"")</f>
        <v/>
      </c>
      <c r="AV1380" s="44">
        <f>IF(AU1380="","",T1380/(AU1380/100))</f>
        <v/>
      </c>
      <c r="AW1380" s="53">
        <f>IF(AU1380="","",IF(AND(ABS(AH1380)&gt;=0.1,ABS(T1380)&gt;=0.05,SIGN(AH1380)=SIGN(T1380)),100*T1380/AH1380,""))</f>
        <v/>
      </c>
      <c r="AX1380" s="45">
        <f>IF(AU1380="","",T1380-AV1380)</f>
        <v/>
      </c>
      <c r="AY1380" s="45">
        <f>IF(AU1380="","",AH1380-AV1380)</f>
        <v/>
      </c>
      <c r="AZ1380" s="54">
        <f>(AL1380-AM1380)-T1380*AT1380</f>
        <v/>
      </c>
      <c r="BA1380" s="43">
        <f>IF(AU1380="",0,(AH1380-T1380)*AF1380)</f>
        <v/>
      </c>
      <c r="BB1380" s="43">
        <f>IF(AU1380="",0,T1380*(AF1380-AT1380))</f>
        <v/>
      </c>
      <c r="BC1380" s="51" t="n">
        <v>0.07591681853358963</v>
      </c>
      <c r="BD1380" s="51" t="n">
        <v>0.0450607883765634</v>
      </c>
      <c r="BE1380" s="51" t="n">
        <v>0.2585655709222323</v>
      </c>
      <c r="BF1380" s="43" t="n">
        <v>40057</v>
      </c>
    </row>
    <row r="1381">
      <c r="A1381" s="42" t="inlineStr">
        <is>
          <t>VA</t>
        </is>
      </c>
      <c r="B1381" s="42" t="inlineStr">
        <is>
          <t>51075</t>
        </is>
      </c>
      <c r="C1381" s="42" t="inlineStr">
        <is>
          <t>Goochland</t>
        </is>
      </c>
      <c r="D1381" s="42" t="inlineStr">
        <is>
          <t>Small town &amp; rural</t>
        </is>
      </c>
      <c r="E1381" s="42" t="inlineStr"/>
      <c r="F1381" s="43" t="n">
        <v>7875</v>
      </c>
      <c r="G1381" s="43" t="n">
        <v>11521</v>
      </c>
      <c r="H1381" s="43" t="n">
        <v>19616</v>
      </c>
      <c r="I1381" s="43" t="n">
        <v>6685</v>
      </c>
      <c r="J1381" s="43" t="n">
        <v>9966</v>
      </c>
      <c r="K1381" s="42" t="inlineStr">
        <is>
          <t>US House</t>
        </is>
      </c>
      <c r="L1381" s="43" t="n">
        <v>5028</v>
      </c>
      <c r="M1381" s="43" t="n">
        <v>8706</v>
      </c>
      <c r="N1381" s="43" t="n">
        <v>13756</v>
      </c>
      <c r="O1381" s="44">
        <f>IFERROR((F1381-G1381)/(F1381+G1381),"")</f>
        <v/>
      </c>
      <c r="P1381" s="44">
        <f>IFERROR((I1381-J1381)/(I1381+J1381),"")</f>
        <v/>
      </c>
      <c r="Q1381" s="45">
        <f>IFERROR(O1381-P1381,"")</f>
        <v/>
      </c>
      <c r="R1381" s="44">
        <f>IFERROR((L1381-M1381)/(L1381+M1381),"")</f>
        <v/>
      </c>
      <c r="S1381" s="46">
        <f>H1381/SUMIFS(Counties!$H$2:$H$1583,Counties!$A$2:$A$1583,$A1381)</f>
        <v/>
      </c>
      <c r="T1381" s="44">
        <f>O1381+INDEX(Dashboard!$F$6:$F$22,MATCH($A1381,Dashboard!$A$6:$A$22,0))</f>
        <v/>
      </c>
      <c r="U1381" s="43">
        <f>AQ1381*INDEX(Dashboard!$G$6:$G$22,MATCH($A1381,Dashboard!$A$6:$A$22,0))</f>
        <v/>
      </c>
      <c r="V1381" s="47" t="n"/>
      <c r="W1381" s="47" t="n"/>
      <c r="X1381" s="47" t="n"/>
      <c r="Y1381" s="48" t="n"/>
      <c r="Z1381" s="49" t="n"/>
      <c r="AA1381" s="49" t="n"/>
      <c r="AB1381" s="49" t="n"/>
      <c r="AC1381" s="50" t="n"/>
      <c r="AD1381" s="43">
        <f>IF(Z1381&lt;&gt;"",Z1381,N(V1381))</f>
        <v/>
      </c>
      <c r="AE1381" s="43">
        <f>IF(AA1381&lt;&gt;"",AA1381,N(W1381))</f>
        <v/>
      </c>
      <c r="AF1381" s="43">
        <f>AD1381+AE1381</f>
        <v/>
      </c>
      <c r="AG1381" s="42">
        <f>IF(UPPER(AC1381)="Y",1,IF(AF1381=0,0,IF(AND(Z1381="",Y1381&lt;&gt;""),IF(Y1381&gt;=0.999,1,0),IF(AF1381&gt;=U1381,1,0))))</f>
        <v/>
      </c>
      <c r="AH1381" s="44">
        <f>IF(AF1381&gt;0,(AD1381-AE1381)/AF1381,"")</f>
        <v/>
      </c>
      <c r="AI1381" s="45">
        <f>IF(AG1381=1,AH1381-O1381,"")</f>
        <v/>
      </c>
      <c r="AJ1381" s="44">
        <f>IF(AG1381=1,AH1381,MAX(-1,MIN(1,O1381+INDEX(Types!$H:$H,MATCH($A1381&amp;"|"&amp;$D1381,Types!$A:$A,0)))))</f>
        <v/>
      </c>
      <c r="AK1381" s="43">
        <f>IF(AG1381=1,AF1381,MAX(AQ1381*AS1381,AF1381))</f>
        <v/>
      </c>
      <c r="AL1381" s="43">
        <f>IF(AG1381=1,AD1381,AK1381*(1+AJ1381)/2)</f>
        <v/>
      </c>
      <c r="AM1381" s="43">
        <f>IF(AG1381=1,AE1381,AK1381*(1-AJ1381)/2)</f>
        <v/>
      </c>
      <c r="AN1381" s="45">
        <f>IF(AH1381="","",AH1381-T1381)</f>
        <v/>
      </c>
      <c r="AO1381" s="51">
        <f>IF(AG1381=1,1,IF(U1381&gt;0,MIN(AF1381/U1381,0.99),0))</f>
        <v/>
      </c>
      <c r="AP1381" s="43">
        <f>IF(AG1381=1,AI1381*AF1381,0)</f>
        <v/>
      </c>
      <c r="AQ1381" s="43">
        <f>N1381*(F1381+G1381)/H1381</f>
        <v/>
      </c>
      <c r="AR1381" s="43">
        <f>O1381*AQ1381</f>
        <v/>
      </c>
      <c r="AS1381" s="52">
        <f>IF(AG1381=1,IF(AQ1381&gt;0,AF1381/AQ1381,1),IFERROR(INDEX(Types!$K:$K,MATCH($A1381&amp;"|"&amp;$D1381,Types!$A:$A,0)),INDEX(Dashboard!$X$6:$X$22,MATCH($A1381,Dashboard!$A$6:$A$22,0))))</f>
        <v/>
      </c>
      <c r="AT1381" s="43">
        <f>AQ1381*INDEX(Dashboard!$Y$6:$Y$22,MATCH($A1381,Dashboard!$A$6:$A$22,0))</f>
        <v/>
      </c>
      <c r="AU1381" s="53">
        <f>IF(AND(AG1381=1,AT1381&gt;0,AF1381&gt;0),100*AF1381/AT1381,"")</f>
        <v/>
      </c>
      <c r="AV1381" s="44">
        <f>IF(AU1381="","",T1381/(AU1381/100))</f>
        <v/>
      </c>
      <c r="AW1381" s="53">
        <f>IF(AU1381="","",IF(AND(ABS(AH1381)&gt;=0.1,ABS(T1381)&gt;=0.05,SIGN(AH1381)=SIGN(T1381)),100*T1381/AH1381,""))</f>
        <v/>
      </c>
      <c r="AX1381" s="45">
        <f>IF(AU1381="","",T1381-AV1381)</f>
        <v/>
      </c>
      <c r="AY1381" s="45">
        <f>IF(AU1381="","",AH1381-AV1381)</f>
        <v/>
      </c>
      <c r="AZ1381" s="54">
        <f>(AL1381-AM1381)-T1381*AT1381</f>
        <v/>
      </c>
      <c r="BA1381" s="43">
        <f>IF(AU1381="",0,(AH1381-T1381)*AF1381)</f>
        <v/>
      </c>
      <c r="BB1381" s="43">
        <f>IF(AU1381="",0,T1381*(AF1381-AT1381))</f>
        <v/>
      </c>
      <c r="BC1381" s="51" t="n">
        <v>0.1343162848843623</v>
      </c>
      <c r="BD1381" s="51" t="n">
        <v>0.03879104312975696</v>
      </c>
      <c r="BE1381" s="51" t="n">
        <v>0.4699248120300752</v>
      </c>
      <c r="BF1381" s="43" t="n">
        <v>27197</v>
      </c>
    </row>
    <row r="1382">
      <c r="A1382" s="42" t="inlineStr">
        <is>
          <t>VA</t>
        </is>
      </c>
      <c r="B1382" s="42" t="inlineStr">
        <is>
          <t>51077</t>
        </is>
      </c>
      <c r="C1382" s="42" t="inlineStr">
        <is>
          <t>Grayson</t>
        </is>
      </c>
      <c r="D1382" s="42" t="inlineStr">
        <is>
          <t>Small town &amp; rural</t>
        </is>
      </c>
      <c r="E1382" s="42" t="inlineStr"/>
      <c r="F1382" s="43" t="n">
        <v>1503</v>
      </c>
      <c r="G1382" s="43" t="n">
        <v>6544</v>
      </c>
      <c r="H1382" s="43" t="n">
        <v>8104</v>
      </c>
      <c r="I1382" s="43" t="n">
        <v>1535</v>
      </c>
      <c r="J1382" s="43" t="n">
        <v>6529</v>
      </c>
      <c r="K1382" s="42" t="inlineStr">
        <is>
          <t>US House</t>
        </is>
      </c>
      <c r="L1382" s="43" t="n">
        <v>985</v>
      </c>
      <c r="M1382" s="43" t="n">
        <v>4393</v>
      </c>
      <c r="N1382" s="43" t="n">
        <v>5384</v>
      </c>
      <c r="O1382" s="44">
        <f>IFERROR((F1382-G1382)/(F1382+G1382),"")</f>
        <v/>
      </c>
      <c r="P1382" s="44">
        <f>IFERROR((I1382-J1382)/(I1382+J1382),"")</f>
        <v/>
      </c>
      <c r="Q1382" s="45">
        <f>IFERROR(O1382-P1382,"")</f>
        <v/>
      </c>
      <c r="R1382" s="44">
        <f>IFERROR((L1382-M1382)/(L1382+M1382),"")</f>
        <v/>
      </c>
      <c r="S1382" s="46">
        <f>H1382/SUMIFS(Counties!$H$2:$H$1583,Counties!$A$2:$A$1583,$A1382)</f>
        <v/>
      </c>
      <c r="T1382" s="44">
        <f>O1382+INDEX(Dashboard!$F$6:$F$22,MATCH($A1382,Dashboard!$A$6:$A$22,0))</f>
        <v/>
      </c>
      <c r="U1382" s="43">
        <f>AQ1382*INDEX(Dashboard!$G$6:$G$22,MATCH($A1382,Dashboard!$A$6:$A$22,0))</f>
        <v/>
      </c>
      <c r="V1382" s="47" t="n"/>
      <c r="W1382" s="47" t="n"/>
      <c r="X1382" s="47" t="n"/>
      <c r="Y1382" s="48" t="n"/>
      <c r="Z1382" s="49" t="n"/>
      <c r="AA1382" s="49" t="n"/>
      <c r="AB1382" s="49" t="n"/>
      <c r="AC1382" s="50" t="n"/>
      <c r="AD1382" s="43">
        <f>IF(Z1382&lt;&gt;"",Z1382,N(V1382))</f>
        <v/>
      </c>
      <c r="AE1382" s="43">
        <f>IF(AA1382&lt;&gt;"",AA1382,N(W1382))</f>
        <v/>
      </c>
      <c r="AF1382" s="43">
        <f>AD1382+AE1382</f>
        <v/>
      </c>
      <c r="AG1382" s="42">
        <f>IF(UPPER(AC1382)="Y",1,IF(AF1382=0,0,IF(AND(Z1382="",Y1382&lt;&gt;""),IF(Y1382&gt;=0.999,1,0),IF(AF1382&gt;=U1382,1,0))))</f>
        <v/>
      </c>
      <c r="AH1382" s="44">
        <f>IF(AF1382&gt;0,(AD1382-AE1382)/AF1382,"")</f>
        <v/>
      </c>
      <c r="AI1382" s="45">
        <f>IF(AG1382=1,AH1382-O1382,"")</f>
        <v/>
      </c>
      <c r="AJ1382" s="44">
        <f>IF(AG1382=1,AH1382,MAX(-1,MIN(1,O1382+INDEX(Types!$H:$H,MATCH($A1382&amp;"|"&amp;$D1382,Types!$A:$A,0)))))</f>
        <v/>
      </c>
      <c r="AK1382" s="43">
        <f>IF(AG1382=1,AF1382,MAX(AQ1382*AS1382,AF1382))</f>
        <v/>
      </c>
      <c r="AL1382" s="43">
        <f>IF(AG1382=1,AD1382,AK1382*(1+AJ1382)/2)</f>
        <v/>
      </c>
      <c r="AM1382" s="43">
        <f>IF(AG1382=1,AE1382,AK1382*(1-AJ1382)/2)</f>
        <v/>
      </c>
      <c r="AN1382" s="45">
        <f>IF(AH1382="","",AH1382-T1382)</f>
        <v/>
      </c>
      <c r="AO1382" s="51">
        <f>IF(AG1382=1,1,IF(U1382&gt;0,MIN(AF1382/U1382,0.99),0))</f>
        <v/>
      </c>
      <c r="AP1382" s="43">
        <f>IF(AG1382=1,AI1382*AF1382,0)</f>
        <v/>
      </c>
      <c r="AQ1382" s="43">
        <f>N1382*(F1382+G1382)/H1382</f>
        <v/>
      </c>
      <c r="AR1382" s="43">
        <f>O1382*AQ1382</f>
        <v/>
      </c>
      <c r="AS1382" s="52">
        <f>IF(AG1382=1,IF(AQ1382&gt;0,AF1382/AQ1382,1),IFERROR(INDEX(Types!$K:$K,MATCH($A1382&amp;"|"&amp;$D1382,Types!$A:$A,0)),INDEX(Dashboard!$X$6:$X$22,MATCH($A1382,Dashboard!$A$6:$A$22,0))))</f>
        <v/>
      </c>
      <c r="AT1382" s="43">
        <f>AQ1382*INDEX(Dashboard!$Y$6:$Y$22,MATCH($A1382,Dashboard!$A$6:$A$22,0))</f>
        <v/>
      </c>
      <c r="AU1382" s="53">
        <f>IF(AND(AG1382=1,AT1382&gt;0,AF1382&gt;0),100*AF1382/AT1382,"")</f>
        <v/>
      </c>
      <c r="AV1382" s="44">
        <f>IF(AU1382="","",T1382/(AU1382/100))</f>
        <v/>
      </c>
      <c r="AW1382" s="53">
        <f>IF(AU1382="","",IF(AND(ABS(AH1382)&gt;=0.1,ABS(T1382)&gt;=0.05,SIGN(AH1382)=SIGN(T1382)),100*T1382/AH1382,""))</f>
        <v/>
      </c>
      <c r="AX1382" s="45">
        <f>IF(AU1382="","",T1382-AV1382)</f>
        <v/>
      </c>
      <c r="AY1382" s="45">
        <f>IF(AU1382="","",AH1382-AV1382)</f>
        <v/>
      </c>
      <c r="AZ1382" s="54">
        <f>(AL1382-AM1382)-T1382*AT1382</f>
        <v/>
      </c>
      <c r="BA1382" s="43">
        <f>IF(AU1382="",0,(AH1382-T1382)*AF1382)</f>
        <v/>
      </c>
      <c r="BB1382" s="43">
        <f>IF(AU1382="",0,T1382*(AF1382-AT1382))</f>
        <v/>
      </c>
      <c r="BC1382" s="51" t="n">
        <v>0.06189074255806346</v>
      </c>
      <c r="BD1382" s="51" t="n">
        <v>0.04501144913313707</v>
      </c>
      <c r="BE1382" s="51" t="n">
        <v>0.1394316921239014</v>
      </c>
      <c r="BF1382" s="43" t="n">
        <v>15285</v>
      </c>
    </row>
    <row r="1383">
      <c r="A1383" s="42" t="inlineStr">
        <is>
          <t>VA</t>
        </is>
      </c>
      <c r="B1383" s="42" t="inlineStr">
        <is>
          <t>51079</t>
        </is>
      </c>
      <c r="C1383" s="42" t="inlineStr">
        <is>
          <t>Greene</t>
        </is>
      </c>
      <c r="D1383" s="42" t="inlineStr">
        <is>
          <t>Small town &amp; rural</t>
        </is>
      </c>
      <c r="E1383" s="42" t="inlineStr"/>
      <c r="F1383" s="43" t="n">
        <v>4456</v>
      </c>
      <c r="G1383" s="43" t="n">
        <v>7432</v>
      </c>
      <c r="H1383" s="43" t="n">
        <v>12038</v>
      </c>
      <c r="I1383" s="43" t="n">
        <v>4163</v>
      </c>
      <c r="J1383" s="43" t="n">
        <v>6866</v>
      </c>
      <c r="K1383" s="42" t="inlineStr">
        <is>
          <t>US House</t>
        </is>
      </c>
      <c r="L1383" s="43" t="n">
        <v>3307</v>
      </c>
      <c r="M1383" s="43" t="n">
        <v>5114</v>
      </c>
      <c r="N1383" s="43" t="n">
        <v>8436</v>
      </c>
      <c r="O1383" s="44">
        <f>IFERROR((F1383-G1383)/(F1383+G1383),"")</f>
        <v/>
      </c>
      <c r="P1383" s="44">
        <f>IFERROR((I1383-J1383)/(I1383+J1383),"")</f>
        <v/>
      </c>
      <c r="Q1383" s="45">
        <f>IFERROR(O1383-P1383,"")</f>
        <v/>
      </c>
      <c r="R1383" s="44">
        <f>IFERROR((L1383-M1383)/(L1383+M1383),"")</f>
        <v/>
      </c>
      <c r="S1383" s="46">
        <f>H1383/SUMIFS(Counties!$H$2:$H$1583,Counties!$A$2:$A$1583,$A1383)</f>
        <v/>
      </c>
      <c r="T1383" s="44">
        <f>O1383+INDEX(Dashboard!$F$6:$F$22,MATCH($A1383,Dashboard!$A$6:$A$22,0))</f>
        <v/>
      </c>
      <c r="U1383" s="43">
        <f>AQ1383*INDEX(Dashboard!$G$6:$G$22,MATCH($A1383,Dashboard!$A$6:$A$22,0))</f>
        <v/>
      </c>
      <c r="V1383" s="47" t="n"/>
      <c r="W1383" s="47" t="n"/>
      <c r="X1383" s="47" t="n"/>
      <c r="Y1383" s="48" t="n"/>
      <c r="Z1383" s="49" t="n"/>
      <c r="AA1383" s="49" t="n"/>
      <c r="AB1383" s="49" t="n"/>
      <c r="AC1383" s="50" t="n"/>
      <c r="AD1383" s="43">
        <f>IF(Z1383&lt;&gt;"",Z1383,N(V1383))</f>
        <v/>
      </c>
      <c r="AE1383" s="43">
        <f>IF(AA1383&lt;&gt;"",AA1383,N(W1383))</f>
        <v/>
      </c>
      <c r="AF1383" s="43">
        <f>AD1383+AE1383</f>
        <v/>
      </c>
      <c r="AG1383" s="42">
        <f>IF(UPPER(AC1383)="Y",1,IF(AF1383=0,0,IF(AND(Z1383="",Y1383&lt;&gt;""),IF(Y1383&gt;=0.999,1,0),IF(AF1383&gt;=U1383,1,0))))</f>
        <v/>
      </c>
      <c r="AH1383" s="44">
        <f>IF(AF1383&gt;0,(AD1383-AE1383)/AF1383,"")</f>
        <v/>
      </c>
      <c r="AI1383" s="45">
        <f>IF(AG1383=1,AH1383-O1383,"")</f>
        <v/>
      </c>
      <c r="AJ1383" s="44">
        <f>IF(AG1383=1,AH1383,MAX(-1,MIN(1,O1383+INDEX(Types!$H:$H,MATCH($A1383&amp;"|"&amp;$D1383,Types!$A:$A,0)))))</f>
        <v/>
      </c>
      <c r="AK1383" s="43">
        <f>IF(AG1383=1,AF1383,MAX(AQ1383*AS1383,AF1383))</f>
        <v/>
      </c>
      <c r="AL1383" s="43">
        <f>IF(AG1383=1,AD1383,AK1383*(1+AJ1383)/2)</f>
        <v/>
      </c>
      <c r="AM1383" s="43">
        <f>IF(AG1383=1,AE1383,AK1383*(1-AJ1383)/2)</f>
        <v/>
      </c>
      <c r="AN1383" s="45">
        <f>IF(AH1383="","",AH1383-T1383)</f>
        <v/>
      </c>
      <c r="AO1383" s="51">
        <f>IF(AG1383=1,1,IF(U1383&gt;0,MIN(AF1383/U1383,0.99),0))</f>
        <v/>
      </c>
      <c r="AP1383" s="43">
        <f>IF(AG1383=1,AI1383*AF1383,0)</f>
        <v/>
      </c>
      <c r="AQ1383" s="43">
        <f>N1383*(F1383+G1383)/H1383</f>
        <v/>
      </c>
      <c r="AR1383" s="43">
        <f>O1383*AQ1383</f>
        <v/>
      </c>
      <c r="AS1383" s="52">
        <f>IF(AG1383=1,IF(AQ1383&gt;0,AF1383/AQ1383,1),IFERROR(INDEX(Types!$K:$K,MATCH($A1383&amp;"|"&amp;$D1383,Types!$A:$A,0)),INDEX(Dashboard!$X$6:$X$22,MATCH($A1383,Dashboard!$A$6:$A$22,0))))</f>
        <v/>
      </c>
      <c r="AT1383" s="43">
        <f>AQ1383*INDEX(Dashboard!$Y$6:$Y$22,MATCH($A1383,Dashboard!$A$6:$A$22,0))</f>
        <v/>
      </c>
      <c r="AU1383" s="53">
        <f>IF(AND(AG1383=1,AT1383&gt;0,AF1383&gt;0),100*AF1383/AT1383,"")</f>
        <v/>
      </c>
      <c r="AV1383" s="44">
        <f>IF(AU1383="","",T1383/(AU1383/100))</f>
        <v/>
      </c>
      <c r="AW1383" s="53">
        <f>IF(AU1383="","",IF(AND(ABS(AH1383)&gt;=0.1,ABS(T1383)&gt;=0.05,SIGN(AH1383)=SIGN(T1383)),100*T1383/AH1383,""))</f>
        <v/>
      </c>
      <c r="AX1383" s="45">
        <f>IF(AU1383="","",T1383-AV1383)</f>
        <v/>
      </c>
      <c r="AY1383" s="45">
        <f>IF(AU1383="","",AH1383-AV1383)</f>
        <v/>
      </c>
      <c r="AZ1383" s="54">
        <f>(AL1383-AM1383)-T1383*AT1383</f>
        <v/>
      </c>
      <c r="BA1383" s="43">
        <f>IF(AU1383="",0,(AH1383-T1383)*AF1383)</f>
        <v/>
      </c>
      <c r="BB1383" s="43">
        <f>IF(AU1383="",0,T1383*(AF1383-AT1383))</f>
        <v/>
      </c>
      <c r="BC1383" s="51" t="n">
        <v>0.07412797521243134</v>
      </c>
      <c r="BD1383" s="51" t="n">
        <v>0.07717947514201211</v>
      </c>
      <c r="BE1383" s="51" t="n">
        <v>0.2850171821305842</v>
      </c>
      <c r="BF1383" s="43" t="n">
        <v>21301</v>
      </c>
    </row>
    <row r="1384">
      <c r="A1384" s="42" t="inlineStr">
        <is>
          <t>VA</t>
        </is>
      </c>
      <c r="B1384" s="42" t="inlineStr">
        <is>
          <t>51081</t>
        </is>
      </c>
      <c r="C1384" s="42" t="inlineStr">
        <is>
          <t>Greensville</t>
        </is>
      </c>
      <c r="D1384" s="42" t="inlineStr">
        <is>
          <t>Black Belt</t>
        </is>
      </c>
      <c r="E1384" s="42" t="inlineStr"/>
      <c r="F1384" s="43" t="n">
        <v>2334</v>
      </c>
      <c r="G1384" s="43" t="n">
        <v>1936</v>
      </c>
      <c r="H1384" s="43" t="n">
        <v>4296</v>
      </c>
      <c r="I1384" s="43" t="n">
        <v>2627</v>
      </c>
      <c r="J1384" s="43" t="n">
        <v>1914</v>
      </c>
      <c r="K1384" s="42" t="inlineStr">
        <is>
          <t>US House</t>
        </is>
      </c>
      <c r="L1384" s="43" t="n">
        <v>1527</v>
      </c>
      <c r="M1384" s="43" t="n">
        <v>1397</v>
      </c>
      <c r="N1384" s="43" t="n">
        <v>2933</v>
      </c>
      <c r="O1384" s="44">
        <f>IFERROR((F1384-G1384)/(F1384+G1384),"")</f>
        <v/>
      </c>
      <c r="P1384" s="44">
        <f>IFERROR((I1384-J1384)/(I1384+J1384),"")</f>
        <v/>
      </c>
      <c r="Q1384" s="45">
        <f>IFERROR(O1384-P1384,"")</f>
        <v/>
      </c>
      <c r="R1384" s="44">
        <f>IFERROR((L1384-M1384)/(L1384+M1384),"")</f>
        <v/>
      </c>
      <c r="S1384" s="46">
        <f>H1384/SUMIFS(Counties!$H$2:$H$1583,Counties!$A$2:$A$1583,$A1384)</f>
        <v/>
      </c>
      <c r="T1384" s="44">
        <f>O1384+INDEX(Dashboard!$F$6:$F$22,MATCH($A1384,Dashboard!$A$6:$A$22,0))</f>
        <v/>
      </c>
      <c r="U1384" s="43">
        <f>AQ1384*INDEX(Dashboard!$G$6:$G$22,MATCH($A1384,Dashboard!$A$6:$A$22,0))</f>
        <v/>
      </c>
      <c r="V1384" s="47" t="n"/>
      <c r="W1384" s="47" t="n"/>
      <c r="X1384" s="47" t="n"/>
      <c r="Y1384" s="48" t="n"/>
      <c r="Z1384" s="49" t="n"/>
      <c r="AA1384" s="49" t="n"/>
      <c r="AB1384" s="49" t="n"/>
      <c r="AC1384" s="50" t="n"/>
      <c r="AD1384" s="43">
        <f>IF(Z1384&lt;&gt;"",Z1384,N(V1384))</f>
        <v/>
      </c>
      <c r="AE1384" s="43">
        <f>IF(AA1384&lt;&gt;"",AA1384,N(W1384))</f>
        <v/>
      </c>
      <c r="AF1384" s="43">
        <f>AD1384+AE1384</f>
        <v/>
      </c>
      <c r="AG1384" s="42">
        <f>IF(UPPER(AC1384)="Y",1,IF(AF1384=0,0,IF(AND(Z1384="",Y1384&lt;&gt;""),IF(Y1384&gt;=0.999,1,0),IF(AF1384&gt;=U1384,1,0))))</f>
        <v/>
      </c>
      <c r="AH1384" s="44">
        <f>IF(AF1384&gt;0,(AD1384-AE1384)/AF1384,"")</f>
        <v/>
      </c>
      <c r="AI1384" s="45">
        <f>IF(AG1384=1,AH1384-O1384,"")</f>
        <v/>
      </c>
      <c r="AJ1384" s="44">
        <f>IF(AG1384=1,AH1384,MAX(-1,MIN(1,O1384+INDEX(Types!$H:$H,MATCH($A1384&amp;"|"&amp;$D1384,Types!$A:$A,0)))))</f>
        <v/>
      </c>
      <c r="AK1384" s="43">
        <f>IF(AG1384=1,AF1384,MAX(AQ1384*AS1384,AF1384))</f>
        <v/>
      </c>
      <c r="AL1384" s="43">
        <f>IF(AG1384=1,AD1384,AK1384*(1+AJ1384)/2)</f>
        <v/>
      </c>
      <c r="AM1384" s="43">
        <f>IF(AG1384=1,AE1384,AK1384*(1-AJ1384)/2)</f>
        <v/>
      </c>
      <c r="AN1384" s="45">
        <f>IF(AH1384="","",AH1384-T1384)</f>
        <v/>
      </c>
      <c r="AO1384" s="51">
        <f>IF(AG1384=1,1,IF(U1384&gt;0,MIN(AF1384/U1384,0.99),0))</f>
        <v/>
      </c>
      <c r="AP1384" s="43">
        <f>IF(AG1384=1,AI1384*AF1384,0)</f>
        <v/>
      </c>
      <c r="AQ1384" s="43">
        <f>N1384*(F1384+G1384)/H1384</f>
        <v/>
      </c>
      <c r="AR1384" s="43">
        <f>O1384*AQ1384</f>
        <v/>
      </c>
      <c r="AS1384" s="52">
        <f>IF(AG1384=1,IF(AQ1384&gt;0,AF1384/AQ1384,1),IFERROR(INDEX(Types!$K:$K,MATCH($A1384&amp;"|"&amp;$D1384,Types!$A:$A,0)),INDEX(Dashboard!$X$6:$X$22,MATCH($A1384,Dashboard!$A$6:$A$22,0))))</f>
        <v/>
      </c>
      <c r="AT1384" s="43">
        <f>AQ1384*INDEX(Dashboard!$Y$6:$Y$22,MATCH($A1384,Dashboard!$A$6:$A$22,0))</f>
        <v/>
      </c>
      <c r="AU1384" s="53">
        <f>IF(AND(AG1384=1,AT1384&gt;0,AF1384&gt;0),100*AF1384/AT1384,"")</f>
        <v/>
      </c>
      <c r="AV1384" s="44">
        <f>IF(AU1384="","",T1384/(AU1384/100))</f>
        <v/>
      </c>
      <c r="AW1384" s="53">
        <f>IF(AU1384="","",IF(AND(ABS(AH1384)&gt;=0.1,ABS(T1384)&gt;=0.05,SIGN(AH1384)=SIGN(T1384)),100*T1384/AH1384,""))</f>
        <v/>
      </c>
      <c r="AX1384" s="45">
        <f>IF(AU1384="","",T1384-AV1384)</f>
        <v/>
      </c>
      <c r="AY1384" s="45">
        <f>IF(AU1384="","",AH1384-AV1384)</f>
        <v/>
      </c>
      <c r="AZ1384" s="54">
        <f>(AL1384-AM1384)-T1384*AT1384</f>
        <v/>
      </c>
      <c r="BA1384" s="43">
        <f>IF(AU1384="",0,(AH1384-T1384)*AF1384)</f>
        <v/>
      </c>
      <c r="BB1384" s="43">
        <f>IF(AU1384="",0,T1384*(AF1384-AT1384))</f>
        <v/>
      </c>
      <c r="BC1384" s="51" t="n">
        <v>0.5969639809575137</v>
      </c>
      <c r="BD1384" s="51" t="n">
        <v>0.03000089823048594</v>
      </c>
      <c r="BE1384" s="51" t="n">
        <v>0.1378182667601028</v>
      </c>
      <c r="BF1384" s="43" t="n">
        <v>11133</v>
      </c>
    </row>
    <row r="1385">
      <c r="A1385" s="42" t="inlineStr">
        <is>
          <t>VA</t>
        </is>
      </c>
      <c r="B1385" s="42" t="inlineStr">
        <is>
          <t>51083</t>
        </is>
      </c>
      <c r="C1385" s="42" t="inlineStr">
        <is>
          <t>Halifax</t>
        </is>
      </c>
      <c r="D1385" s="42" t="inlineStr">
        <is>
          <t>Small town &amp; rural</t>
        </is>
      </c>
      <c r="E1385" s="42" t="inlineStr"/>
      <c r="F1385" s="43" t="n">
        <v>6984</v>
      </c>
      <c r="G1385" s="43" t="n">
        <v>10741</v>
      </c>
      <c r="H1385" s="43" t="n">
        <v>17844</v>
      </c>
      <c r="I1385" s="43" t="n">
        <v>7666</v>
      </c>
      <c r="J1385" s="43" t="n">
        <v>10418</v>
      </c>
      <c r="K1385" s="42" t="inlineStr">
        <is>
          <t>US House</t>
        </is>
      </c>
      <c r="L1385" s="43" t="n">
        <v>4374</v>
      </c>
      <c r="M1385" s="43" t="n">
        <v>7677</v>
      </c>
      <c r="N1385" s="43" t="n">
        <v>12071</v>
      </c>
      <c r="O1385" s="44">
        <f>IFERROR((F1385-G1385)/(F1385+G1385),"")</f>
        <v/>
      </c>
      <c r="P1385" s="44">
        <f>IFERROR((I1385-J1385)/(I1385+J1385),"")</f>
        <v/>
      </c>
      <c r="Q1385" s="45">
        <f>IFERROR(O1385-P1385,"")</f>
        <v/>
      </c>
      <c r="R1385" s="44">
        <f>IFERROR((L1385-M1385)/(L1385+M1385),"")</f>
        <v/>
      </c>
      <c r="S1385" s="46">
        <f>H1385/SUMIFS(Counties!$H$2:$H$1583,Counties!$A$2:$A$1583,$A1385)</f>
        <v/>
      </c>
      <c r="T1385" s="44">
        <f>O1385+INDEX(Dashboard!$F$6:$F$22,MATCH($A1385,Dashboard!$A$6:$A$22,0))</f>
        <v/>
      </c>
      <c r="U1385" s="43">
        <f>AQ1385*INDEX(Dashboard!$G$6:$G$22,MATCH($A1385,Dashboard!$A$6:$A$22,0))</f>
        <v/>
      </c>
      <c r="V1385" s="47" t="n"/>
      <c r="W1385" s="47" t="n"/>
      <c r="X1385" s="47" t="n"/>
      <c r="Y1385" s="48" t="n"/>
      <c r="Z1385" s="49" t="n"/>
      <c r="AA1385" s="49" t="n"/>
      <c r="AB1385" s="49" t="n"/>
      <c r="AC1385" s="50" t="n"/>
      <c r="AD1385" s="43">
        <f>IF(Z1385&lt;&gt;"",Z1385,N(V1385))</f>
        <v/>
      </c>
      <c r="AE1385" s="43">
        <f>IF(AA1385&lt;&gt;"",AA1385,N(W1385))</f>
        <v/>
      </c>
      <c r="AF1385" s="43">
        <f>AD1385+AE1385</f>
        <v/>
      </c>
      <c r="AG1385" s="42">
        <f>IF(UPPER(AC1385)="Y",1,IF(AF1385=0,0,IF(AND(Z1385="",Y1385&lt;&gt;""),IF(Y1385&gt;=0.999,1,0),IF(AF1385&gt;=U1385,1,0))))</f>
        <v/>
      </c>
      <c r="AH1385" s="44">
        <f>IF(AF1385&gt;0,(AD1385-AE1385)/AF1385,"")</f>
        <v/>
      </c>
      <c r="AI1385" s="45">
        <f>IF(AG1385=1,AH1385-O1385,"")</f>
        <v/>
      </c>
      <c r="AJ1385" s="44">
        <f>IF(AG1385=1,AH1385,MAX(-1,MIN(1,O1385+INDEX(Types!$H:$H,MATCH($A1385&amp;"|"&amp;$D1385,Types!$A:$A,0)))))</f>
        <v/>
      </c>
      <c r="AK1385" s="43">
        <f>IF(AG1385=1,AF1385,MAX(AQ1385*AS1385,AF1385))</f>
        <v/>
      </c>
      <c r="AL1385" s="43">
        <f>IF(AG1385=1,AD1385,AK1385*(1+AJ1385)/2)</f>
        <v/>
      </c>
      <c r="AM1385" s="43">
        <f>IF(AG1385=1,AE1385,AK1385*(1-AJ1385)/2)</f>
        <v/>
      </c>
      <c r="AN1385" s="45">
        <f>IF(AH1385="","",AH1385-T1385)</f>
        <v/>
      </c>
      <c r="AO1385" s="51">
        <f>IF(AG1385=1,1,IF(U1385&gt;0,MIN(AF1385/U1385,0.99),0))</f>
        <v/>
      </c>
      <c r="AP1385" s="43">
        <f>IF(AG1385=1,AI1385*AF1385,0)</f>
        <v/>
      </c>
      <c r="AQ1385" s="43">
        <f>N1385*(F1385+G1385)/H1385</f>
        <v/>
      </c>
      <c r="AR1385" s="43">
        <f>O1385*AQ1385</f>
        <v/>
      </c>
      <c r="AS1385" s="52">
        <f>IF(AG1385=1,IF(AQ1385&gt;0,AF1385/AQ1385,1),IFERROR(INDEX(Types!$K:$K,MATCH($A1385&amp;"|"&amp;$D1385,Types!$A:$A,0)),INDEX(Dashboard!$X$6:$X$22,MATCH($A1385,Dashboard!$A$6:$A$22,0))))</f>
        <v/>
      </c>
      <c r="AT1385" s="43">
        <f>AQ1385*INDEX(Dashboard!$Y$6:$Y$22,MATCH($A1385,Dashboard!$A$6:$A$22,0))</f>
        <v/>
      </c>
      <c r="AU1385" s="53">
        <f>IF(AND(AG1385=1,AT1385&gt;0,AF1385&gt;0),100*AF1385/AT1385,"")</f>
        <v/>
      </c>
      <c r="AV1385" s="44">
        <f>IF(AU1385="","",T1385/(AU1385/100))</f>
        <v/>
      </c>
      <c r="AW1385" s="53">
        <f>IF(AU1385="","",IF(AND(ABS(AH1385)&gt;=0.1,ABS(T1385)&gt;=0.05,SIGN(AH1385)=SIGN(T1385)),100*T1385/AH1385,""))</f>
        <v/>
      </c>
      <c r="AX1385" s="45">
        <f>IF(AU1385="","",T1385-AV1385)</f>
        <v/>
      </c>
      <c r="AY1385" s="45">
        <f>IF(AU1385="","",AH1385-AV1385)</f>
        <v/>
      </c>
      <c r="AZ1385" s="54">
        <f>(AL1385-AM1385)-T1385*AT1385</f>
        <v/>
      </c>
      <c r="BA1385" s="43">
        <f>IF(AU1385="",0,(AH1385-T1385)*AF1385)</f>
        <v/>
      </c>
      <c r="BB1385" s="43">
        <f>IF(AU1385="",0,T1385*(AF1385-AT1385))</f>
        <v/>
      </c>
      <c r="BC1385" s="51" t="n">
        <v>0.3455372098588179</v>
      </c>
      <c r="BD1385" s="51" t="n">
        <v>0.02814668581000239</v>
      </c>
      <c r="BE1385" s="51" t="n">
        <v>0.1819293312140849</v>
      </c>
      <c r="BF1385" s="43" t="n">
        <v>33432</v>
      </c>
    </row>
    <row r="1386">
      <c r="A1386" s="42" t="inlineStr">
        <is>
          <t>VA</t>
        </is>
      </c>
      <c r="B1386" s="42" t="inlineStr">
        <is>
          <t>51650</t>
        </is>
      </c>
      <c r="C1386" s="42" t="inlineStr">
        <is>
          <t>Hampton city</t>
        </is>
      </c>
      <c r="D1386" s="42" t="inlineStr">
        <is>
          <t>Black Belt</t>
        </is>
      </c>
      <c r="E1386" s="42" t="inlineStr"/>
      <c r="F1386" s="43" t="n">
        <v>43357</v>
      </c>
      <c r="G1386" s="43" t="n">
        <v>18383</v>
      </c>
      <c r="H1386" s="43" t="n">
        <v>62632</v>
      </c>
      <c r="I1386" s="43" t="n">
        <v>46220</v>
      </c>
      <c r="J1386" s="43" t="n">
        <v>18430</v>
      </c>
      <c r="K1386" s="42" t="inlineStr">
        <is>
          <t>US House</t>
        </is>
      </c>
      <c r="L1386" s="43" t="n">
        <v>28593</v>
      </c>
      <c r="M1386" s="43" t="n">
        <v>11994</v>
      </c>
      <c r="N1386" s="43" t="n">
        <v>40654</v>
      </c>
      <c r="O1386" s="44">
        <f>IFERROR((F1386-G1386)/(F1386+G1386),"")</f>
        <v/>
      </c>
      <c r="P1386" s="44">
        <f>IFERROR((I1386-J1386)/(I1386+J1386),"")</f>
        <v/>
      </c>
      <c r="Q1386" s="45">
        <f>IFERROR(O1386-P1386,"")</f>
        <v/>
      </c>
      <c r="R1386" s="44">
        <f>IFERROR((L1386-M1386)/(L1386+M1386),"")</f>
        <v/>
      </c>
      <c r="S1386" s="46">
        <f>H1386/SUMIFS(Counties!$H$2:$H$1583,Counties!$A$2:$A$1583,$A1386)</f>
        <v/>
      </c>
      <c r="T1386" s="44">
        <f>O1386+INDEX(Dashboard!$F$6:$F$22,MATCH($A1386,Dashboard!$A$6:$A$22,0))</f>
        <v/>
      </c>
      <c r="U1386" s="43">
        <f>AQ1386*INDEX(Dashboard!$G$6:$G$22,MATCH($A1386,Dashboard!$A$6:$A$22,0))</f>
        <v/>
      </c>
      <c r="V1386" s="47" t="n"/>
      <c r="W1386" s="47" t="n"/>
      <c r="X1386" s="47" t="n"/>
      <c r="Y1386" s="48" t="n"/>
      <c r="Z1386" s="49" t="n"/>
      <c r="AA1386" s="49" t="n"/>
      <c r="AB1386" s="49" t="n"/>
      <c r="AC1386" s="50" t="n"/>
      <c r="AD1386" s="43">
        <f>IF(Z1386&lt;&gt;"",Z1386,N(V1386))</f>
        <v/>
      </c>
      <c r="AE1386" s="43">
        <f>IF(AA1386&lt;&gt;"",AA1386,N(W1386))</f>
        <v/>
      </c>
      <c r="AF1386" s="43">
        <f>AD1386+AE1386</f>
        <v/>
      </c>
      <c r="AG1386" s="42">
        <f>IF(UPPER(AC1386)="Y",1,IF(AF1386=0,0,IF(AND(Z1386="",Y1386&lt;&gt;""),IF(Y1386&gt;=0.999,1,0),IF(AF1386&gt;=U1386,1,0))))</f>
        <v/>
      </c>
      <c r="AH1386" s="44">
        <f>IF(AF1386&gt;0,(AD1386-AE1386)/AF1386,"")</f>
        <v/>
      </c>
      <c r="AI1386" s="45">
        <f>IF(AG1386=1,AH1386-O1386,"")</f>
        <v/>
      </c>
      <c r="AJ1386" s="44">
        <f>IF(AG1386=1,AH1386,MAX(-1,MIN(1,O1386+INDEX(Types!$H:$H,MATCH($A1386&amp;"|"&amp;$D1386,Types!$A:$A,0)))))</f>
        <v/>
      </c>
      <c r="AK1386" s="43">
        <f>IF(AG1386=1,AF1386,MAX(AQ1386*AS1386,AF1386))</f>
        <v/>
      </c>
      <c r="AL1386" s="43">
        <f>IF(AG1386=1,AD1386,AK1386*(1+AJ1386)/2)</f>
        <v/>
      </c>
      <c r="AM1386" s="43">
        <f>IF(AG1386=1,AE1386,AK1386*(1-AJ1386)/2)</f>
        <v/>
      </c>
      <c r="AN1386" s="45">
        <f>IF(AH1386="","",AH1386-T1386)</f>
        <v/>
      </c>
      <c r="AO1386" s="51">
        <f>IF(AG1386=1,1,IF(U1386&gt;0,MIN(AF1386/U1386,0.99),0))</f>
        <v/>
      </c>
      <c r="AP1386" s="43">
        <f>IF(AG1386=1,AI1386*AF1386,0)</f>
        <v/>
      </c>
      <c r="AQ1386" s="43">
        <f>N1386*(F1386+G1386)/H1386</f>
        <v/>
      </c>
      <c r="AR1386" s="43">
        <f>O1386*AQ1386</f>
        <v/>
      </c>
      <c r="AS1386" s="52">
        <f>IF(AG1386=1,IF(AQ1386&gt;0,AF1386/AQ1386,1),IFERROR(INDEX(Types!$K:$K,MATCH($A1386&amp;"|"&amp;$D1386,Types!$A:$A,0)),INDEX(Dashboard!$X$6:$X$22,MATCH($A1386,Dashboard!$A$6:$A$22,0))))</f>
        <v/>
      </c>
      <c r="AT1386" s="43">
        <f>AQ1386*INDEX(Dashboard!$Y$6:$Y$22,MATCH($A1386,Dashboard!$A$6:$A$22,0))</f>
        <v/>
      </c>
      <c r="AU1386" s="53">
        <f>IF(AND(AG1386=1,AT1386&gt;0,AF1386&gt;0),100*AF1386/AT1386,"")</f>
        <v/>
      </c>
      <c r="AV1386" s="44">
        <f>IF(AU1386="","",T1386/(AU1386/100))</f>
        <v/>
      </c>
      <c r="AW1386" s="53">
        <f>IF(AU1386="","",IF(AND(ABS(AH1386)&gt;=0.1,ABS(T1386)&gt;=0.05,SIGN(AH1386)=SIGN(T1386)),100*T1386/AH1386,""))</f>
        <v/>
      </c>
      <c r="AX1386" s="45">
        <f>IF(AU1386="","",T1386-AV1386)</f>
        <v/>
      </c>
      <c r="AY1386" s="45">
        <f>IF(AU1386="","",AH1386-AV1386)</f>
        <v/>
      </c>
      <c r="AZ1386" s="54">
        <f>(AL1386-AM1386)-T1386*AT1386</f>
        <v/>
      </c>
      <c r="BA1386" s="43">
        <f>IF(AU1386="",0,(AH1386-T1386)*AF1386)</f>
        <v/>
      </c>
      <c r="BB1386" s="43">
        <f>IF(AU1386="",0,T1386*(AF1386-AT1386))</f>
        <v/>
      </c>
      <c r="BC1386" s="51" t="n">
        <v>0.5041284336751812</v>
      </c>
      <c r="BD1386" s="51" t="n">
        <v>0.07232782389239814</v>
      </c>
      <c r="BE1386" s="51" t="n">
        <v>0.2747944763849337</v>
      </c>
      <c r="BF1386" s="43" t="n">
        <v>137098</v>
      </c>
    </row>
    <row r="1387">
      <c r="A1387" s="42" t="inlineStr">
        <is>
          <t>VA</t>
        </is>
      </c>
      <c r="B1387" s="42" t="inlineStr">
        <is>
          <t>51085</t>
        </is>
      </c>
      <c r="C1387" s="42" t="inlineStr">
        <is>
          <t>Hanover</t>
        </is>
      </c>
      <c r="D1387" s="42" t="inlineStr">
        <is>
          <t>College suburb/metro</t>
        </is>
      </c>
      <c r="E1387" s="42" t="inlineStr">
        <is>
          <t>★</t>
        </is>
      </c>
      <c r="F1387" s="43" t="n">
        <v>26733</v>
      </c>
      <c r="G1387" s="43" t="n">
        <v>45569</v>
      </c>
      <c r="H1387" s="43" t="n">
        <v>73087</v>
      </c>
      <c r="I1387" s="43" t="n">
        <v>25307</v>
      </c>
      <c r="J1387" s="43" t="n">
        <v>44318</v>
      </c>
      <c r="K1387" s="42" t="inlineStr">
        <is>
          <t>US House</t>
        </is>
      </c>
      <c r="L1387" s="43" t="n">
        <v>17054</v>
      </c>
      <c r="M1387" s="43" t="n">
        <v>34465</v>
      </c>
      <c r="N1387" s="43" t="n">
        <v>51937</v>
      </c>
      <c r="O1387" s="44">
        <f>IFERROR((F1387-G1387)/(F1387+G1387),"")</f>
        <v/>
      </c>
      <c r="P1387" s="44">
        <f>IFERROR((I1387-J1387)/(I1387+J1387),"")</f>
        <v/>
      </c>
      <c r="Q1387" s="45">
        <f>IFERROR(O1387-P1387,"")</f>
        <v/>
      </c>
      <c r="R1387" s="44">
        <f>IFERROR((L1387-M1387)/(L1387+M1387),"")</f>
        <v/>
      </c>
      <c r="S1387" s="46">
        <f>H1387/SUMIFS(Counties!$H$2:$H$1583,Counties!$A$2:$A$1583,$A1387)</f>
        <v/>
      </c>
      <c r="T1387" s="44">
        <f>O1387+INDEX(Dashboard!$F$6:$F$22,MATCH($A1387,Dashboard!$A$6:$A$22,0))</f>
        <v/>
      </c>
      <c r="U1387" s="43">
        <f>AQ1387*INDEX(Dashboard!$G$6:$G$22,MATCH($A1387,Dashboard!$A$6:$A$22,0))</f>
        <v/>
      </c>
      <c r="V1387" s="47" t="n"/>
      <c r="W1387" s="47" t="n"/>
      <c r="X1387" s="47" t="n"/>
      <c r="Y1387" s="48" t="n"/>
      <c r="Z1387" s="49" t="n"/>
      <c r="AA1387" s="49" t="n"/>
      <c r="AB1387" s="49" t="n"/>
      <c r="AC1387" s="50" t="n"/>
      <c r="AD1387" s="43">
        <f>IF(Z1387&lt;&gt;"",Z1387,N(V1387))</f>
        <v/>
      </c>
      <c r="AE1387" s="43">
        <f>IF(AA1387&lt;&gt;"",AA1387,N(W1387))</f>
        <v/>
      </c>
      <c r="AF1387" s="43">
        <f>AD1387+AE1387</f>
        <v/>
      </c>
      <c r="AG1387" s="42">
        <f>IF(UPPER(AC1387)="Y",1,IF(AF1387=0,0,IF(AND(Z1387="",Y1387&lt;&gt;""),IF(Y1387&gt;=0.999,1,0),IF(AF1387&gt;=U1387,1,0))))</f>
        <v/>
      </c>
      <c r="AH1387" s="44">
        <f>IF(AF1387&gt;0,(AD1387-AE1387)/AF1387,"")</f>
        <v/>
      </c>
      <c r="AI1387" s="45">
        <f>IF(AG1387=1,AH1387-O1387,"")</f>
        <v/>
      </c>
      <c r="AJ1387" s="44">
        <f>IF(AG1387=1,AH1387,MAX(-1,MIN(1,O1387+INDEX(Types!$H:$H,MATCH($A1387&amp;"|"&amp;$D1387,Types!$A:$A,0)))))</f>
        <v/>
      </c>
      <c r="AK1387" s="43">
        <f>IF(AG1387=1,AF1387,MAX(AQ1387*AS1387,AF1387))</f>
        <v/>
      </c>
      <c r="AL1387" s="43">
        <f>IF(AG1387=1,AD1387,AK1387*(1+AJ1387)/2)</f>
        <v/>
      </c>
      <c r="AM1387" s="43">
        <f>IF(AG1387=1,AE1387,AK1387*(1-AJ1387)/2)</f>
        <v/>
      </c>
      <c r="AN1387" s="45">
        <f>IF(AH1387="","",AH1387-T1387)</f>
        <v/>
      </c>
      <c r="AO1387" s="51">
        <f>IF(AG1387=1,1,IF(U1387&gt;0,MIN(AF1387/U1387,0.99),0))</f>
        <v/>
      </c>
      <c r="AP1387" s="43">
        <f>IF(AG1387=1,AI1387*AF1387,0)</f>
        <v/>
      </c>
      <c r="AQ1387" s="43">
        <f>N1387*(F1387+G1387)/H1387</f>
        <v/>
      </c>
      <c r="AR1387" s="43">
        <f>O1387*AQ1387</f>
        <v/>
      </c>
      <c r="AS1387" s="52">
        <f>IF(AG1387=1,IF(AQ1387&gt;0,AF1387/AQ1387,1),IFERROR(INDEX(Types!$K:$K,MATCH($A1387&amp;"|"&amp;$D1387,Types!$A:$A,0)),INDEX(Dashboard!$X$6:$X$22,MATCH($A1387,Dashboard!$A$6:$A$22,0))))</f>
        <v/>
      </c>
      <c r="AT1387" s="43">
        <f>AQ1387*INDEX(Dashboard!$Y$6:$Y$22,MATCH($A1387,Dashboard!$A$6:$A$22,0))</f>
        <v/>
      </c>
      <c r="AU1387" s="53">
        <f>IF(AND(AG1387=1,AT1387&gt;0,AF1387&gt;0),100*AF1387/AT1387,"")</f>
        <v/>
      </c>
      <c r="AV1387" s="44">
        <f>IF(AU1387="","",T1387/(AU1387/100))</f>
        <v/>
      </c>
      <c r="AW1387" s="53">
        <f>IF(AU1387="","",IF(AND(ABS(AH1387)&gt;=0.1,ABS(T1387)&gt;=0.05,SIGN(AH1387)=SIGN(T1387)),100*T1387/AH1387,""))</f>
        <v/>
      </c>
      <c r="AX1387" s="45">
        <f>IF(AU1387="","",T1387-AV1387)</f>
        <v/>
      </c>
      <c r="AY1387" s="45">
        <f>IF(AU1387="","",AH1387-AV1387)</f>
        <v/>
      </c>
      <c r="AZ1387" s="54">
        <f>(AL1387-AM1387)-T1387*AT1387</f>
        <v/>
      </c>
      <c r="BA1387" s="43">
        <f>IF(AU1387="",0,(AH1387-T1387)*AF1387)</f>
        <v/>
      </c>
      <c r="BB1387" s="43">
        <f>IF(AU1387="",0,T1387*(AF1387-AT1387))</f>
        <v/>
      </c>
      <c r="BC1387" s="51" t="n">
        <v>0.09187195570662648</v>
      </c>
      <c r="BD1387" s="51" t="n">
        <v>0.04127098153274696</v>
      </c>
      <c r="BE1387" s="51" t="n">
        <v>0.4236427298028704</v>
      </c>
      <c r="BF1387" s="43" t="n">
        <v>114148</v>
      </c>
    </row>
    <row r="1388">
      <c r="A1388" s="42" t="inlineStr">
        <is>
          <t>VA</t>
        </is>
      </c>
      <c r="B1388" s="42" t="inlineStr">
        <is>
          <t>51660</t>
        </is>
      </c>
      <c r="C1388" s="42" t="inlineStr">
        <is>
          <t>Harrisonburg city</t>
        </is>
      </c>
      <c r="D1388" s="42" t="inlineStr">
        <is>
          <t>Small town &amp; rural</t>
        </is>
      </c>
      <c r="E1388" s="42" t="inlineStr"/>
      <c r="F1388" s="43" t="n">
        <v>10641</v>
      </c>
      <c r="G1388" s="43" t="n">
        <v>6266</v>
      </c>
      <c r="H1388" s="43" t="n">
        <v>17245</v>
      </c>
      <c r="I1388" s="43" t="n">
        <v>11022</v>
      </c>
      <c r="J1388" s="43" t="n">
        <v>5591</v>
      </c>
      <c r="K1388" s="42" t="inlineStr">
        <is>
          <t>US House</t>
        </is>
      </c>
      <c r="L1388" s="43" t="n">
        <v>6526</v>
      </c>
      <c r="M1388" s="43" t="n">
        <v>3819</v>
      </c>
      <c r="N1388" s="43" t="n">
        <v>10368</v>
      </c>
      <c r="O1388" s="44">
        <f>IFERROR((F1388-G1388)/(F1388+G1388),"")</f>
        <v/>
      </c>
      <c r="P1388" s="44">
        <f>IFERROR((I1388-J1388)/(I1388+J1388),"")</f>
        <v/>
      </c>
      <c r="Q1388" s="45">
        <f>IFERROR(O1388-P1388,"")</f>
        <v/>
      </c>
      <c r="R1388" s="44">
        <f>IFERROR((L1388-M1388)/(L1388+M1388),"")</f>
        <v/>
      </c>
      <c r="S1388" s="46">
        <f>H1388/SUMIFS(Counties!$H$2:$H$1583,Counties!$A$2:$A$1583,$A1388)</f>
        <v/>
      </c>
      <c r="T1388" s="44">
        <f>O1388+INDEX(Dashboard!$F$6:$F$22,MATCH($A1388,Dashboard!$A$6:$A$22,0))</f>
        <v/>
      </c>
      <c r="U1388" s="43">
        <f>AQ1388*INDEX(Dashboard!$G$6:$G$22,MATCH($A1388,Dashboard!$A$6:$A$22,0))</f>
        <v/>
      </c>
      <c r="V1388" s="47" t="n"/>
      <c r="W1388" s="47" t="n"/>
      <c r="X1388" s="47" t="n"/>
      <c r="Y1388" s="48" t="n"/>
      <c r="Z1388" s="49" t="n"/>
      <c r="AA1388" s="49" t="n"/>
      <c r="AB1388" s="49" t="n"/>
      <c r="AC1388" s="50" t="n"/>
      <c r="AD1388" s="43">
        <f>IF(Z1388&lt;&gt;"",Z1388,N(V1388))</f>
        <v/>
      </c>
      <c r="AE1388" s="43">
        <f>IF(AA1388&lt;&gt;"",AA1388,N(W1388))</f>
        <v/>
      </c>
      <c r="AF1388" s="43">
        <f>AD1388+AE1388</f>
        <v/>
      </c>
      <c r="AG1388" s="42">
        <f>IF(UPPER(AC1388)="Y",1,IF(AF1388=0,0,IF(AND(Z1388="",Y1388&lt;&gt;""),IF(Y1388&gt;=0.999,1,0),IF(AF1388&gt;=U1388,1,0))))</f>
        <v/>
      </c>
      <c r="AH1388" s="44">
        <f>IF(AF1388&gt;0,(AD1388-AE1388)/AF1388,"")</f>
        <v/>
      </c>
      <c r="AI1388" s="45">
        <f>IF(AG1388=1,AH1388-O1388,"")</f>
        <v/>
      </c>
      <c r="AJ1388" s="44">
        <f>IF(AG1388=1,AH1388,MAX(-1,MIN(1,O1388+INDEX(Types!$H:$H,MATCH($A1388&amp;"|"&amp;$D1388,Types!$A:$A,0)))))</f>
        <v/>
      </c>
      <c r="AK1388" s="43">
        <f>IF(AG1388=1,AF1388,MAX(AQ1388*AS1388,AF1388))</f>
        <v/>
      </c>
      <c r="AL1388" s="43">
        <f>IF(AG1388=1,AD1388,AK1388*(1+AJ1388)/2)</f>
        <v/>
      </c>
      <c r="AM1388" s="43">
        <f>IF(AG1388=1,AE1388,AK1388*(1-AJ1388)/2)</f>
        <v/>
      </c>
      <c r="AN1388" s="45">
        <f>IF(AH1388="","",AH1388-T1388)</f>
        <v/>
      </c>
      <c r="AO1388" s="51">
        <f>IF(AG1388=1,1,IF(U1388&gt;0,MIN(AF1388/U1388,0.99),0))</f>
        <v/>
      </c>
      <c r="AP1388" s="43">
        <f>IF(AG1388=1,AI1388*AF1388,0)</f>
        <v/>
      </c>
      <c r="AQ1388" s="43">
        <f>N1388*(F1388+G1388)/H1388</f>
        <v/>
      </c>
      <c r="AR1388" s="43">
        <f>O1388*AQ1388</f>
        <v/>
      </c>
      <c r="AS1388" s="52">
        <f>IF(AG1388=1,IF(AQ1388&gt;0,AF1388/AQ1388,1),IFERROR(INDEX(Types!$K:$K,MATCH($A1388&amp;"|"&amp;$D1388,Types!$A:$A,0)),INDEX(Dashboard!$X$6:$X$22,MATCH($A1388,Dashboard!$A$6:$A$22,0))))</f>
        <v/>
      </c>
      <c r="AT1388" s="43">
        <f>AQ1388*INDEX(Dashboard!$Y$6:$Y$22,MATCH($A1388,Dashboard!$A$6:$A$22,0))</f>
        <v/>
      </c>
      <c r="AU1388" s="53">
        <f>IF(AND(AG1388=1,AT1388&gt;0,AF1388&gt;0),100*AF1388/AT1388,"")</f>
        <v/>
      </c>
      <c r="AV1388" s="44">
        <f>IF(AU1388="","",T1388/(AU1388/100))</f>
        <v/>
      </c>
      <c r="AW1388" s="53">
        <f>IF(AU1388="","",IF(AND(ABS(AH1388)&gt;=0.1,ABS(T1388)&gt;=0.05,SIGN(AH1388)=SIGN(T1388)),100*T1388/AH1388,""))</f>
        <v/>
      </c>
      <c r="AX1388" s="45">
        <f>IF(AU1388="","",T1388-AV1388)</f>
        <v/>
      </c>
      <c r="AY1388" s="45">
        <f>IF(AU1388="","",AH1388-AV1388)</f>
        <v/>
      </c>
      <c r="AZ1388" s="54">
        <f>(AL1388-AM1388)-T1388*AT1388</f>
        <v/>
      </c>
      <c r="BA1388" s="43">
        <f>IF(AU1388="",0,(AH1388-T1388)*AF1388)</f>
        <v/>
      </c>
      <c r="BB1388" s="43">
        <f>IF(AU1388="",0,T1388*(AF1388-AT1388))</f>
        <v/>
      </c>
      <c r="BC1388" s="51" t="n">
        <v>0.08165302846403821</v>
      </c>
      <c r="BD1388" s="51" t="n">
        <v>0.2360322618534905</v>
      </c>
      <c r="BE1388" s="51" t="n">
        <v>0.3674367015987149</v>
      </c>
      <c r="BF1388" s="43" t="n">
        <v>51082</v>
      </c>
    </row>
    <row r="1389">
      <c r="A1389" s="42" t="inlineStr">
        <is>
          <t>VA</t>
        </is>
      </c>
      <c r="B1389" s="42" t="inlineStr">
        <is>
          <t>51087</t>
        </is>
      </c>
      <c r="C1389" s="42" t="inlineStr">
        <is>
          <t>Henrico</t>
        </is>
      </c>
      <c r="D1389" s="42" t="inlineStr">
        <is>
          <t>College suburb/metro</t>
        </is>
      </c>
      <c r="E1389" s="42" t="inlineStr">
        <is>
          <t>★</t>
        </is>
      </c>
      <c r="F1389" s="43" t="n">
        <v>115040</v>
      </c>
      <c r="G1389" s="43" t="n">
        <v>62882</v>
      </c>
      <c r="H1389" s="43" t="n">
        <v>180642</v>
      </c>
      <c r="I1389" s="43" t="n">
        <v>116572</v>
      </c>
      <c r="J1389" s="43" t="n">
        <v>63440</v>
      </c>
      <c r="K1389" s="42" t="inlineStr">
        <is>
          <t>US House</t>
        </is>
      </c>
      <c r="L1389" s="43" t="n">
        <v>76319</v>
      </c>
      <c r="M1389" s="43" t="n">
        <v>47987</v>
      </c>
      <c r="N1389" s="43" t="n">
        <v>125184</v>
      </c>
      <c r="O1389" s="44">
        <f>IFERROR((F1389-G1389)/(F1389+G1389),"")</f>
        <v/>
      </c>
      <c r="P1389" s="44">
        <f>IFERROR((I1389-J1389)/(I1389+J1389),"")</f>
        <v/>
      </c>
      <c r="Q1389" s="45">
        <f>IFERROR(O1389-P1389,"")</f>
        <v/>
      </c>
      <c r="R1389" s="44">
        <f>IFERROR((L1389-M1389)/(L1389+M1389),"")</f>
        <v/>
      </c>
      <c r="S1389" s="46">
        <f>H1389/SUMIFS(Counties!$H$2:$H$1583,Counties!$A$2:$A$1583,$A1389)</f>
        <v/>
      </c>
      <c r="T1389" s="44">
        <f>O1389+INDEX(Dashboard!$F$6:$F$22,MATCH($A1389,Dashboard!$A$6:$A$22,0))</f>
        <v/>
      </c>
      <c r="U1389" s="43">
        <f>AQ1389*INDEX(Dashboard!$G$6:$G$22,MATCH($A1389,Dashboard!$A$6:$A$22,0))</f>
        <v/>
      </c>
      <c r="V1389" s="47" t="n"/>
      <c r="W1389" s="47" t="n"/>
      <c r="X1389" s="47" t="n"/>
      <c r="Y1389" s="48" t="n"/>
      <c r="Z1389" s="49" t="n"/>
      <c r="AA1389" s="49" t="n"/>
      <c r="AB1389" s="49" t="n"/>
      <c r="AC1389" s="50" t="n"/>
      <c r="AD1389" s="43">
        <f>IF(Z1389&lt;&gt;"",Z1389,N(V1389))</f>
        <v/>
      </c>
      <c r="AE1389" s="43">
        <f>IF(AA1389&lt;&gt;"",AA1389,N(W1389))</f>
        <v/>
      </c>
      <c r="AF1389" s="43">
        <f>AD1389+AE1389</f>
        <v/>
      </c>
      <c r="AG1389" s="42">
        <f>IF(UPPER(AC1389)="Y",1,IF(AF1389=0,0,IF(AND(Z1389="",Y1389&lt;&gt;""),IF(Y1389&gt;=0.999,1,0),IF(AF1389&gt;=U1389,1,0))))</f>
        <v/>
      </c>
      <c r="AH1389" s="44">
        <f>IF(AF1389&gt;0,(AD1389-AE1389)/AF1389,"")</f>
        <v/>
      </c>
      <c r="AI1389" s="45">
        <f>IF(AG1389=1,AH1389-O1389,"")</f>
        <v/>
      </c>
      <c r="AJ1389" s="44">
        <f>IF(AG1389=1,AH1389,MAX(-1,MIN(1,O1389+INDEX(Types!$H:$H,MATCH($A1389&amp;"|"&amp;$D1389,Types!$A:$A,0)))))</f>
        <v/>
      </c>
      <c r="AK1389" s="43">
        <f>IF(AG1389=1,AF1389,MAX(AQ1389*AS1389,AF1389))</f>
        <v/>
      </c>
      <c r="AL1389" s="43">
        <f>IF(AG1389=1,AD1389,AK1389*(1+AJ1389)/2)</f>
        <v/>
      </c>
      <c r="AM1389" s="43">
        <f>IF(AG1389=1,AE1389,AK1389*(1-AJ1389)/2)</f>
        <v/>
      </c>
      <c r="AN1389" s="45">
        <f>IF(AH1389="","",AH1389-T1389)</f>
        <v/>
      </c>
      <c r="AO1389" s="51">
        <f>IF(AG1389=1,1,IF(U1389&gt;0,MIN(AF1389/U1389,0.99),0))</f>
        <v/>
      </c>
      <c r="AP1389" s="43">
        <f>IF(AG1389=1,AI1389*AF1389,0)</f>
        <v/>
      </c>
      <c r="AQ1389" s="43">
        <f>N1389*(F1389+G1389)/H1389</f>
        <v/>
      </c>
      <c r="AR1389" s="43">
        <f>O1389*AQ1389</f>
        <v/>
      </c>
      <c r="AS1389" s="52">
        <f>IF(AG1389=1,IF(AQ1389&gt;0,AF1389/AQ1389,1),IFERROR(INDEX(Types!$K:$K,MATCH($A1389&amp;"|"&amp;$D1389,Types!$A:$A,0)),INDEX(Dashboard!$X$6:$X$22,MATCH($A1389,Dashboard!$A$6:$A$22,0))))</f>
        <v/>
      </c>
      <c r="AT1389" s="43">
        <f>AQ1389*INDEX(Dashboard!$Y$6:$Y$22,MATCH($A1389,Dashboard!$A$6:$A$22,0))</f>
        <v/>
      </c>
      <c r="AU1389" s="53">
        <f>IF(AND(AG1389=1,AT1389&gt;0,AF1389&gt;0),100*AF1389/AT1389,"")</f>
        <v/>
      </c>
      <c r="AV1389" s="44">
        <f>IF(AU1389="","",T1389/(AU1389/100))</f>
        <v/>
      </c>
      <c r="AW1389" s="53">
        <f>IF(AU1389="","",IF(AND(ABS(AH1389)&gt;=0.1,ABS(T1389)&gt;=0.05,SIGN(AH1389)=SIGN(T1389)),100*T1389/AH1389,""))</f>
        <v/>
      </c>
      <c r="AX1389" s="45">
        <f>IF(AU1389="","",T1389-AV1389)</f>
        <v/>
      </c>
      <c r="AY1389" s="45">
        <f>IF(AU1389="","",AH1389-AV1389)</f>
        <v/>
      </c>
      <c r="AZ1389" s="54">
        <f>(AL1389-AM1389)-T1389*AT1389</f>
        <v/>
      </c>
      <c r="BA1389" s="43">
        <f>IF(AU1389="",0,(AH1389-T1389)*AF1389)</f>
        <v/>
      </c>
      <c r="BB1389" s="43">
        <f>IF(AU1389="",0,T1389*(AF1389-AT1389))</f>
        <v/>
      </c>
      <c r="BC1389" s="51" t="n">
        <v>0.3002867726132155</v>
      </c>
      <c r="BD1389" s="51" t="n">
        <v>0.06982614410323815</v>
      </c>
      <c r="BE1389" s="51" t="n">
        <v>0.4574147975842421</v>
      </c>
      <c r="BF1389" s="43" t="n">
        <v>334760</v>
      </c>
    </row>
    <row r="1390">
      <c r="A1390" s="42" t="inlineStr">
        <is>
          <t>VA</t>
        </is>
      </c>
      <c r="B1390" s="42" t="inlineStr">
        <is>
          <t>51089</t>
        </is>
      </c>
      <c r="C1390" s="42" t="inlineStr">
        <is>
          <t>Henry</t>
        </is>
      </c>
      <c r="D1390" s="42" t="inlineStr">
        <is>
          <t>Small town &amp; rural</t>
        </is>
      </c>
      <c r="E1390" s="42" t="inlineStr"/>
      <c r="F1390" s="43" t="n">
        <v>8457</v>
      </c>
      <c r="G1390" s="43" t="n">
        <v>16800</v>
      </c>
      <c r="H1390" s="43" t="n">
        <v>25413</v>
      </c>
      <c r="I1390" s="43" t="n">
        <v>9127</v>
      </c>
      <c r="J1390" s="43" t="n">
        <v>16725</v>
      </c>
      <c r="K1390" s="42" t="inlineStr">
        <is>
          <t>US House</t>
        </is>
      </c>
      <c r="L1390" s="43" t="n">
        <v>4486</v>
      </c>
      <c r="M1390" s="43" t="n">
        <v>10984</v>
      </c>
      <c r="N1390" s="43" t="n">
        <v>15486</v>
      </c>
      <c r="O1390" s="44">
        <f>IFERROR((F1390-G1390)/(F1390+G1390),"")</f>
        <v/>
      </c>
      <c r="P1390" s="44">
        <f>IFERROR((I1390-J1390)/(I1390+J1390),"")</f>
        <v/>
      </c>
      <c r="Q1390" s="45">
        <f>IFERROR(O1390-P1390,"")</f>
        <v/>
      </c>
      <c r="R1390" s="44">
        <f>IFERROR((L1390-M1390)/(L1390+M1390),"")</f>
        <v/>
      </c>
      <c r="S1390" s="46">
        <f>H1390/SUMIFS(Counties!$H$2:$H$1583,Counties!$A$2:$A$1583,$A1390)</f>
        <v/>
      </c>
      <c r="T1390" s="44">
        <f>O1390+INDEX(Dashboard!$F$6:$F$22,MATCH($A1390,Dashboard!$A$6:$A$22,0))</f>
        <v/>
      </c>
      <c r="U1390" s="43">
        <f>AQ1390*INDEX(Dashboard!$G$6:$G$22,MATCH($A1390,Dashboard!$A$6:$A$22,0))</f>
        <v/>
      </c>
      <c r="V1390" s="47" t="n"/>
      <c r="W1390" s="47" t="n"/>
      <c r="X1390" s="47" t="n"/>
      <c r="Y1390" s="48" t="n"/>
      <c r="Z1390" s="49" t="n"/>
      <c r="AA1390" s="49" t="n"/>
      <c r="AB1390" s="49" t="n"/>
      <c r="AC1390" s="50" t="n"/>
      <c r="AD1390" s="43">
        <f>IF(Z1390&lt;&gt;"",Z1390,N(V1390))</f>
        <v/>
      </c>
      <c r="AE1390" s="43">
        <f>IF(AA1390&lt;&gt;"",AA1390,N(W1390))</f>
        <v/>
      </c>
      <c r="AF1390" s="43">
        <f>AD1390+AE1390</f>
        <v/>
      </c>
      <c r="AG1390" s="42">
        <f>IF(UPPER(AC1390)="Y",1,IF(AF1390=0,0,IF(AND(Z1390="",Y1390&lt;&gt;""),IF(Y1390&gt;=0.999,1,0),IF(AF1390&gt;=U1390,1,0))))</f>
        <v/>
      </c>
      <c r="AH1390" s="44">
        <f>IF(AF1390&gt;0,(AD1390-AE1390)/AF1390,"")</f>
        <v/>
      </c>
      <c r="AI1390" s="45">
        <f>IF(AG1390=1,AH1390-O1390,"")</f>
        <v/>
      </c>
      <c r="AJ1390" s="44">
        <f>IF(AG1390=1,AH1390,MAX(-1,MIN(1,O1390+INDEX(Types!$H:$H,MATCH($A1390&amp;"|"&amp;$D1390,Types!$A:$A,0)))))</f>
        <v/>
      </c>
      <c r="AK1390" s="43">
        <f>IF(AG1390=1,AF1390,MAX(AQ1390*AS1390,AF1390))</f>
        <v/>
      </c>
      <c r="AL1390" s="43">
        <f>IF(AG1390=1,AD1390,AK1390*(1+AJ1390)/2)</f>
        <v/>
      </c>
      <c r="AM1390" s="43">
        <f>IF(AG1390=1,AE1390,AK1390*(1-AJ1390)/2)</f>
        <v/>
      </c>
      <c r="AN1390" s="45">
        <f>IF(AH1390="","",AH1390-T1390)</f>
        <v/>
      </c>
      <c r="AO1390" s="51">
        <f>IF(AG1390=1,1,IF(U1390&gt;0,MIN(AF1390/U1390,0.99),0))</f>
        <v/>
      </c>
      <c r="AP1390" s="43">
        <f>IF(AG1390=1,AI1390*AF1390,0)</f>
        <v/>
      </c>
      <c r="AQ1390" s="43">
        <f>N1390*(F1390+G1390)/H1390</f>
        <v/>
      </c>
      <c r="AR1390" s="43">
        <f>O1390*AQ1390</f>
        <v/>
      </c>
      <c r="AS1390" s="52">
        <f>IF(AG1390=1,IF(AQ1390&gt;0,AF1390/AQ1390,1),IFERROR(INDEX(Types!$K:$K,MATCH($A1390&amp;"|"&amp;$D1390,Types!$A:$A,0)),INDEX(Dashboard!$X$6:$X$22,MATCH($A1390,Dashboard!$A$6:$A$22,0))))</f>
        <v/>
      </c>
      <c r="AT1390" s="43">
        <f>AQ1390*INDEX(Dashboard!$Y$6:$Y$22,MATCH($A1390,Dashboard!$A$6:$A$22,0))</f>
        <v/>
      </c>
      <c r="AU1390" s="53">
        <f>IF(AND(AG1390=1,AT1390&gt;0,AF1390&gt;0),100*AF1390/AT1390,"")</f>
        <v/>
      </c>
      <c r="AV1390" s="44">
        <f>IF(AU1390="","",T1390/(AU1390/100))</f>
        <v/>
      </c>
      <c r="AW1390" s="53">
        <f>IF(AU1390="","",IF(AND(ABS(AH1390)&gt;=0.1,ABS(T1390)&gt;=0.05,SIGN(AH1390)=SIGN(T1390)),100*T1390/AH1390,""))</f>
        <v/>
      </c>
      <c r="AX1390" s="45">
        <f>IF(AU1390="","",T1390-AV1390)</f>
        <v/>
      </c>
      <c r="AY1390" s="45">
        <f>IF(AU1390="","",AH1390-AV1390)</f>
        <v/>
      </c>
      <c r="AZ1390" s="54">
        <f>(AL1390-AM1390)-T1390*AT1390</f>
        <v/>
      </c>
      <c r="BA1390" s="43">
        <f>IF(AU1390="",0,(AH1390-T1390)*AF1390)</f>
        <v/>
      </c>
      <c r="BB1390" s="43">
        <f>IF(AU1390="",0,T1390*(AF1390-AT1390))</f>
        <v/>
      </c>
      <c r="BC1390" s="51" t="n">
        <v>0.2220634984507666</v>
      </c>
      <c r="BD1390" s="51" t="n">
        <v>0.0719890547664078</v>
      </c>
      <c r="BE1390" s="51" t="n">
        <v>0.156715007156553</v>
      </c>
      <c r="BF1390" s="43" t="n">
        <v>49702</v>
      </c>
    </row>
    <row r="1391">
      <c r="A1391" s="42" t="inlineStr">
        <is>
          <t>VA</t>
        </is>
      </c>
      <c r="B1391" s="42" t="inlineStr">
        <is>
          <t>51091</t>
        </is>
      </c>
      <c r="C1391" s="42" t="inlineStr">
        <is>
          <t>Highland</t>
        </is>
      </c>
      <c r="D1391" s="42" t="inlineStr">
        <is>
          <t>Small town &amp; rural</t>
        </is>
      </c>
      <c r="E1391" s="42" t="inlineStr"/>
      <c r="F1391" s="43" t="n">
        <v>416</v>
      </c>
      <c r="G1391" s="43" t="n">
        <v>1095</v>
      </c>
      <c r="H1391" s="43" t="n">
        <v>1529</v>
      </c>
      <c r="I1391" s="43" t="n">
        <v>417</v>
      </c>
      <c r="J1391" s="43" t="n">
        <v>1092</v>
      </c>
      <c r="K1391" s="42" t="inlineStr">
        <is>
          <t>US House</t>
        </is>
      </c>
      <c r="L1391" s="43" t="n">
        <v>297</v>
      </c>
      <c r="M1391" s="43" t="n">
        <v>891</v>
      </c>
      <c r="N1391" s="43" t="n">
        <v>1191</v>
      </c>
      <c r="O1391" s="44">
        <f>IFERROR((F1391-G1391)/(F1391+G1391),"")</f>
        <v/>
      </c>
      <c r="P1391" s="44">
        <f>IFERROR((I1391-J1391)/(I1391+J1391),"")</f>
        <v/>
      </c>
      <c r="Q1391" s="45">
        <f>IFERROR(O1391-P1391,"")</f>
        <v/>
      </c>
      <c r="R1391" s="44">
        <f>IFERROR((L1391-M1391)/(L1391+M1391),"")</f>
        <v/>
      </c>
      <c r="S1391" s="46">
        <f>H1391/SUMIFS(Counties!$H$2:$H$1583,Counties!$A$2:$A$1583,$A1391)</f>
        <v/>
      </c>
      <c r="T1391" s="44">
        <f>O1391+INDEX(Dashboard!$F$6:$F$22,MATCH($A1391,Dashboard!$A$6:$A$22,0))</f>
        <v/>
      </c>
      <c r="U1391" s="43">
        <f>AQ1391*INDEX(Dashboard!$G$6:$G$22,MATCH($A1391,Dashboard!$A$6:$A$22,0))</f>
        <v/>
      </c>
      <c r="V1391" s="47" t="n"/>
      <c r="W1391" s="47" t="n"/>
      <c r="X1391" s="47" t="n"/>
      <c r="Y1391" s="48" t="n"/>
      <c r="Z1391" s="49" t="n"/>
      <c r="AA1391" s="49" t="n"/>
      <c r="AB1391" s="49" t="n"/>
      <c r="AC1391" s="50" t="n"/>
      <c r="AD1391" s="43">
        <f>IF(Z1391&lt;&gt;"",Z1391,N(V1391))</f>
        <v/>
      </c>
      <c r="AE1391" s="43">
        <f>IF(AA1391&lt;&gt;"",AA1391,N(W1391))</f>
        <v/>
      </c>
      <c r="AF1391" s="43">
        <f>AD1391+AE1391</f>
        <v/>
      </c>
      <c r="AG1391" s="42">
        <f>IF(UPPER(AC1391)="Y",1,IF(AF1391=0,0,IF(AND(Z1391="",Y1391&lt;&gt;""),IF(Y1391&gt;=0.999,1,0),IF(AF1391&gt;=U1391,1,0))))</f>
        <v/>
      </c>
      <c r="AH1391" s="44">
        <f>IF(AF1391&gt;0,(AD1391-AE1391)/AF1391,"")</f>
        <v/>
      </c>
      <c r="AI1391" s="45">
        <f>IF(AG1391=1,AH1391-O1391,"")</f>
        <v/>
      </c>
      <c r="AJ1391" s="44">
        <f>IF(AG1391=1,AH1391,MAX(-1,MIN(1,O1391+INDEX(Types!$H:$H,MATCH($A1391&amp;"|"&amp;$D1391,Types!$A:$A,0)))))</f>
        <v/>
      </c>
      <c r="AK1391" s="43">
        <f>IF(AG1391=1,AF1391,MAX(AQ1391*AS1391,AF1391))</f>
        <v/>
      </c>
      <c r="AL1391" s="43">
        <f>IF(AG1391=1,AD1391,AK1391*(1+AJ1391)/2)</f>
        <v/>
      </c>
      <c r="AM1391" s="43">
        <f>IF(AG1391=1,AE1391,AK1391*(1-AJ1391)/2)</f>
        <v/>
      </c>
      <c r="AN1391" s="45">
        <f>IF(AH1391="","",AH1391-T1391)</f>
        <v/>
      </c>
      <c r="AO1391" s="51">
        <f>IF(AG1391=1,1,IF(U1391&gt;0,MIN(AF1391/U1391,0.99),0))</f>
        <v/>
      </c>
      <c r="AP1391" s="43">
        <f>IF(AG1391=1,AI1391*AF1391,0)</f>
        <v/>
      </c>
      <c r="AQ1391" s="43">
        <f>N1391*(F1391+G1391)/H1391</f>
        <v/>
      </c>
      <c r="AR1391" s="43">
        <f>O1391*AQ1391</f>
        <v/>
      </c>
      <c r="AS1391" s="52">
        <f>IF(AG1391=1,IF(AQ1391&gt;0,AF1391/AQ1391,1),IFERROR(INDEX(Types!$K:$K,MATCH($A1391&amp;"|"&amp;$D1391,Types!$A:$A,0)),INDEX(Dashboard!$X$6:$X$22,MATCH($A1391,Dashboard!$A$6:$A$22,0))))</f>
        <v/>
      </c>
      <c r="AT1391" s="43">
        <f>AQ1391*INDEX(Dashboard!$Y$6:$Y$22,MATCH($A1391,Dashboard!$A$6:$A$22,0))</f>
        <v/>
      </c>
      <c r="AU1391" s="53">
        <f>IF(AND(AG1391=1,AT1391&gt;0,AF1391&gt;0),100*AF1391/AT1391,"")</f>
        <v/>
      </c>
      <c r="AV1391" s="44">
        <f>IF(AU1391="","",T1391/(AU1391/100))</f>
        <v/>
      </c>
      <c r="AW1391" s="53">
        <f>IF(AU1391="","",IF(AND(ABS(AH1391)&gt;=0.1,ABS(T1391)&gt;=0.05,SIGN(AH1391)=SIGN(T1391)),100*T1391/AH1391,""))</f>
        <v/>
      </c>
      <c r="AX1391" s="45">
        <f>IF(AU1391="","",T1391-AV1391)</f>
        <v/>
      </c>
      <c r="AY1391" s="45">
        <f>IF(AU1391="","",AH1391-AV1391)</f>
        <v/>
      </c>
      <c r="AZ1391" s="54">
        <f>(AL1391-AM1391)-T1391*AT1391</f>
        <v/>
      </c>
      <c r="BA1391" s="43">
        <f>IF(AU1391="",0,(AH1391-T1391)*AF1391)</f>
        <v/>
      </c>
      <c r="BB1391" s="43">
        <f>IF(AU1391="",0,T1391*(AF1391-AT1391))</f>
        <v/>
      </c>
      <c r="BC1391" s="51" t="n">
        <v>0.008978195810175289</v>
      </c>
      <c r="BD1391" s="51" t="n">
        <v>0.01581872595126122</v>
      </c>
      <c r="BE1391" s="51" t="n">
        <v>0.3547257876312719</v>
      </c>
      <c r="BF1391" s="43" t="n">
        <v>2339</v>
      </c>
    </row>
    <row r="1392">
      <c r="A1392" s="42" t="inlineStr">
        <is>
          <t>VA</t>
        </is>
      </c>
      <c r="B1392" s="42" t="inlineStr">
        <is>
          <t>51670</t>
        </is>
      </c>
      <c r="C1392" s="42" t="inlineStr">
        <is>
          <t>Hopewell city</t>
        </is>
      </c>
      <c r="D1392" s="42" t="inlineStr">
        <is>
          <t>Black Belt</t>
        </is>
      </c>
      <c r="E1392" s="42" t="inlineStr"/>
      <c r="F1392" s="43" t="n">
        <v>5078</v>
      </c>
      <c r="G1392" s="43" t="n">
        <v>3838</v>
      </c>
      <c r="H1392" s="43" t="n">
        <v>9006</v>
      </c>
      <c r="I1392" s="43" t="n">
        <v>5430</v>
      </c>
      <c r="J1392" s="43" t="n">
        <v>4020</v>
      </c>
      <c r="K1392" s="42" t="inlineStr">
        <is>
          <t>US House</t>
        </is>
      </c>
      <c r="L1392" s="43" t="n">
        <v>2692</v>
      </c>
      <c r="M1392" s="43" t="n">
        <v>2493</v>
      </c>
      <c r="N1392" s="43" t="n">
        <v>5197</v>
      </c>
      <c r="O1392" s="44">
        <f>IFERROR((F1392-G1392)/(F1392+G1392),"")</f>
        <v/>
      </c>
      <c r="P1392" s="44">
        <f>IFERROR((I1392-J1392)/(I1392+J1392),"")</f>
        <v/>
      </c>
      <c r="Q1392" s="45">
        <f>IFERROR(O1392-P1392,"")</f>
        <v/>
      </c>
      <c r="R1392" s="44">
        <f>IFERROR((L1392-M1392)/(L1392+M1392),"")</f>
        <v/>
      </c>
      <c r="S1392" s="46">
        <f>H1392/SUMIFS(Counties!$H$2:$H$1583,Counties!$A$2:$A$1583,$A1392)</f>
        <v/>
      </c>
      <c r="T1392" s="44">
        <f>O1392+INDEX(Dashboard!$F$6:$F$22,MATCH($A1392,Dashboard!$A$6:$A$22,0))</f>
        <v/>
      </c>
      <c r="U1392" s="43">
        <f>AQ1392*INDEX(Dashboard!$G$6:$G$22,MATCH($A1392,Dashboard!$A$6:$A$22,0))</f>
        <v/>
      </c>
      <c r="V1392" s="47" t="n"/>
      <c r="W1392" s="47" t="n"/>
      <c r="X1392" s="47" t="n"/>
      <c r="Y1392" s="48" t="n"/>
      <c r="Z1392" s="49" t="n"/>
      <c r="AA1392" s="49" t="n"/>
      <c r="AB1392" s="49" t="n"/>
      <c r="AC1392" s="50" t="n"/>
      <c r="AD1392" s="43">
        <f>IF(Z1392&lt;&gt;"",Z1392,N(V1392))</f>
        <v/>
      </c>
      <c r="AE1392" s="43">
        <f>IF(AA1392&lt;&gt;"",AA1392,N(W1392))</f>
        <v/>
      </c>
      <c r="AF1392" s="43">
        <f>AD1392+AE1392</f>
        <v/>
      </c>
      <c r="AG1392" s="42">
        <f>IF(UPPER(AC1392)="Y",1,IF(AF1392=0,0,IF(AND(Z1392="",Y1392&lt;&gt;""),IF(Y1392&gt;=0.999,1,0),IF(AF1392&gt;=U1392,1,0))))</f>
        <v/>
      </c>
      <c r="AH1392" s="44">
        <f>IF(AF1392&gt;0,(AD1392-AE1392)/AF1392,"")</f>
        <v/>
      </c>
      <c r="AI1392" s="45">
        <f>IF(AG1392=1,AH1392-O1392,"")</f>
        <v/>
      </c>
      <c r="AJ1392" s="44">
        <f>IF(AG1392=1,AH1392,MAX(-1,MIN(1,O1392+INDEX(Types!$H:$H,MATCH($A1392&amp;"|"&amp;$D1392,Types!$A:$A,0)))))</f>
        <v/>
      </c>
      <c r="AK1392" s="43">
        <f>IF(AG1392=1,AF1392,MAX(AQ1392*AS1392,AF1392))</f>
        <v/>
      </c>
      <c r="AL1392" s="43">
        <f>IF(AG1392=1,AD1392,AK1392*(1+AJ1392)/2)</f>
        <v/>
      </c>
      <c r="AM1392" s="43">
        <f>IF(AG1392=1,AE1392,AK1392*(1-AJ1392)/2)</f>
        <v/>
      </c>
      <c r="AN1392" s="45">
        <f>IF(AH1392="","",AH1392-T1392)</f>
        <v/>
      </c>
      <c r="AO1392" s="51">
        <f>IF(AG1392=1,1,IF(U1392&gt;0,MIN(AF1392/U1392,0.99),0))</f>
        <v/>
      </c>
      <c r="AP1392" s="43">
        <f>IF(AG1392=1,AI1392*AF1392,0)</f>
        <v/>
      </c>
      <c r="AQ1392" s="43">
        <f>N1392*(F1392+G1392)/H1392</f>
        <v/>
      </c>
      <c r="AR1392" s="43">
        <f>O1392*AQ1392</f>
        <v/>
      </c>
      <c r="AS1392" s="52">
        <f>IF(AG1392=1,IF(AQ1392&gt;0,AF1392/AQ1392,1),IFERROR(INDEX(Types!$K:$K,MATCH($A1392&amp;"|"&amp;$D1392,Types!$A:$A,0)),INDEX(Dashboard!$X$6:$X$22,MATCH($A1392,Dashboard!$A$6:$A$22,0))))</f>
        <v/>
      </c>
      <c r="AT1392" s="43">
        <f>AQ1392*INDEX(Dashboard!$Y$6:$Y$22,MATCH($A1392,Dashboard!$A$6:$A$22,0))</f>
        <v/>
      </c>
      <c r="AU1392" s="53">
        <f>IF(AND(AG1392=1,AT1392&gt;0,AF1392&gt;0),100*AF1392/AT1392,"")</f>
        <v/>
      </c>
      <c r="AV1392" s="44">
        <f>IF(AU1392="","",T1392/(AU1392/100))</f>
        <v/>
      </c>
      <c r="AW1392" s="53">
        <f>IF(AU1392="","",IF(AND(ABS(AH1392)&gt;=0.1,ABS(T1392)&gt;=0.05,SIGN(AH1392)=SIGN(T1392)),100*T1392/AH1392,""))</f>
        <v/>
      </c>
      <c r="AX1392" s="45">
        <f>IF(AU1392="","",T1392-AV1392)</f>
        <v/>
      </c>
      <c r="AY1392" s="45">
        <f>IF(AU1392="","",AH1392-AV1392)</f>
        <v/>
      </c>
      <c r="AZ1392" s="54">
        <f>(AL1392-AM1392)-T1392*AT1392</f>
        <v/>
      </c>
      <c r="BA1392" s="43">
        <f>IF(AU1392="",0,(AH1392-T1392)*AF1392)</f>
        <v/>
      </c>
      <c r="BB1392" s="43">
        <f>IF(AU1392="",0,T1392*(AF1392-AT1392))</f>
        <v/>
      </c>
      <c r="BC1392" s="51" t="n">
        <v>0.4440928270042194</v>
      </c>
      <c r="BD1392" s="51" t="n">
        <v>0.09238748241912799</v>
      </c>
      <c r="BE1392" s="51" t="n">
        <v>0.1247991430101767</v>
      </c>
      <c r="BF1392" s="43" t="n">
        <v>22752</v>
      </c>
    </row>
    <row r="1393">
      <c r="A1393" s="42" t="inlineStr">
        <is>
          <t>VA</t>
        </is>
      </c>
      <c r="B1393" s="42" t="inlineStr">
        <is>
          <t>51093</t>
        </is>
      </c>
      <c r="C1393" s="42" t="inlineStr">
        <is>
          <t>Isle of Wight</t>
        </is>
      </c>
      <c r="D1393" s="42" t="inlineStr">
        <is>
          <t>Small town &amp; rural</t>
        </is>
      </c>
      <c r="E1393" s="42" t="inlineStr"/>
      <c r="F1393" s="43" t="n">
        <v>9779</v>
      </c>
      <c r="G1393" s="43" t="n">
        <v>14659</v>
      </c>
      <c r="H1393" s="43" t="n">
        <v>24672</v>
      </c>
      <c r="I1393" s="43" t="n">
        <v>9399</v>
      </c>
      <c r="J1393" s="43" t="n">
        <v>13707</v>
      </c>
      <c r="K1393" s="42" t="inlineStr">
        <is>
          <t>US House</t>
        </is>
      </c>
      <c r="L1393" s="43" t="n">
        <v>7158</v>
      </c>
      <c r="M1393" s="43" t="n">
        <v>11346</v>
      </c>
      <c r="N1393" s="43" t="n">
        <v>18533</v>
      </c>
      <c r="O1393" s="44">
        <f>IFERROR((F1393-G1393)/(F1393+G1393),"")</f>
        <v/>
      </c>
      <c r="P1393" s="44">
        <f>IFERROR((I1393-J1393)/(I1393+J1393),"")</f>
        <v/>
      </c>
      <c r="Q1393" s="45">
        <f>IFERROR(O1393-P1393,"")</f>
        <v/>
      </c>
      <c r="R1393" s="44">
        <f>IFERROR((L1393-M1393)/(L1393+M1393),"")</f>
        <v/>
      </c>
      <c r="S1393" s="46">
        <f>H1393/SUMIFS(Counties!$H$2:$H$1583,Counties!$A$2:$A$1583,$A1393)</f>
        <v/>
      </c>
      <c r="T1393" s="44">
        <f>O1393+INDEX(Dashboard!$F$6:$F$22,MATCH($A1393,Dashboard!$A$6:$A$22,0))</f>
        <v/>
      </c>
      <c r="U1393" s="43">
        <f>AQ1393*INDEX(Dashboard!$G$6:$G$22,MATCH($A1393,Dashboard!$A$6:$A$22,0))</f>
        <v/>
      </c>
      <c r="V1393" s="47" t="n"/>
      <c r="W1393" s="47" t="n"/>
      <c r="X1393" s="47" t="n"/>
      <c r="Y1393" s="48" t="n"/>
      <c r="Z1393" s="49" t="n"/>
      <c r="AA1393" s="49" t="n"/>
      <c r="AB1393" s="49" t="n"/>
      <c r="AC1393" s="50" t="n"/>
      <c r="AD1393" s="43">
        <f>IF(Z1393&lt;&gt;"",Z1393,N(V1393))</f>
        <v/>
      </c>
      <c r="AE1393" s="43">
        <f>IF(AA1393&lt;&gt;"",AA1393,N(W1393))</f>
        <v/>
      </c>
      <c r="AF1393" s="43">
        <f>AD1393+AE1393</f>
        <v/>
      </c>
      <c r="AG1393" s="42">
        <f>IF(UPPER(AC1393)="Y",1,IF(AF1393=0,0,IF(AND(Z1393="",Y1393&lt;&gt;""),IF(Y1393&gt;=0.999,1,0),IF(AF1393&gt;=U1393,1,0))))</f>
        <v/>
      </c>
      <c r="AH1393" s="44">
        <f>IF(AF1393&gt;0,(AD1393-AE1393)/AF1393,"")</f>
        <v/>
      </c>
      <c r="AI1393" s="45">
        <f>IF(AG1393=1,AH1393-O1393,"")</f>
        <v/>
      </c>
      <c r="AJ1393" s="44">
        <f>IF(AG1393=1,AH1393,MAX(-1,MIN(1,O1393+INDEX(Types!$H:$H,MATCH($A1393&amp;"|"&amp;$D1393,Types!$A:$A,0)))))</f>
        <v/>
      </c>
      <c r="AK1393" s="43">
        <f>IF(AG1393=1,AF1393,MAX(AQ1393*AS1393,AF1393))</f>
        <v/>
      </c>
      <c r="AL1393" s="43">
        <f>IF(AG1393=1,AD1393,AK1393*(1+AJ1393)/2)</f>
        <v/>
      </c>
      <c r="AM1393" s="43">
        <f>IF(AG1393=1,AE1393,AK1393*(1-AJ1393)/2)</f>
        <v/>
      </c>
      <c r="AN1393" s="45">
        <f>IF(AH1393="","",AH1393-T1393)</f>
        <v/>
      </c>
      <c r="AO1393" s="51">
        <f>IF(AG1393=1,1,IF(U1393&gt;0,MIN(AF1393/U1393,0.99),0))</f>
        <v/>
      </c>
      <c r="AP1393" s="43">
        <f>IF(AG1393=1,AI1393*AF1393,0)</f>
        <v/>
      </c>
      <c r="AQ1393" s="43">
        <f>N1393*(F1393+G1393)/H1393</f>
        <v/>
      </c>
      <c r="AR1393" s="43">
        <f>O1393*AQ1393</f>
        <v/>
      </c>
      <c r="AS1393" s="52">
        <f>IF(AG1393=1,IF(AQ1393&gt;0,AF1393/AQ1393,1),IFERROR(INDEX(Types!$K:$K,MATCH($A1393&amp;"|"&amp;$D1393,Types!$A:$A,0)),INDEX(Dashboard!$X$6:$X$22,MATCH($A1393,Dashboard!$A$6:$A$22,0))))</f>
        <v/>
      </c>
      <c r="AT1393" s="43">
        <f>AQ1393*INDEX(Dashboard!$Y$6:$Y$22,MATCH($A1393,Dashboard!$A$6:$A$22,0))</f>
        <v/>
      </c>
      <c r="AU1393" s="53">
        <f>IF(AND(AG1393=1,AT1393&gt;0,AF1393&gt;0),100*AF1393/AT1393,"")</f>
        <v/>
      </c>
      <c r="AV1393" s="44">
        <f>IF(AU1393="","",T1393/(AU1393/100))</f>
        <v/>
      </c>
      <c r="AW1393" s="53">
        <f>IF(AU1393="","",IF(AND(ABS(AH1393)&gt;=0.1,ABS(T1393)&gt;=0.05,SIGN(AH1393)=SIGN(T1393)),100*T1393/AH1393,""))</f>
        <v/>
      </c>
      <c r="AX1393" s="45">
        <f>IF(AU1393="","",T1393-AV1393)</f>
        <v/>
      </c>
      <c r="AY1393" s="45">
        <f>IF(AU1393="","",AH1393-AV1393)</f>
        <v/>
      </c>
      <c r="AZ1393" s="54">
        <f>(AL1393-AM1393)-T1393*AT1393</f>
        <v/>
      </c>
      <c r="BA1393" s="43">
        <f>IF(AU1393="",0,(AH1393-T1393)*AF1393)</f>
        <v/>
      </c>
      <c r="BB1393" s="43">
        <f>IF(AU1393="",0,T1393*(AF1393-AT1393))</f>
        <v/>
      </c>
      <c r="BC1393" s="51" t="n">
        <v>0.2238215715654246</v>
      </c>
      <c r="BD1393" s="51" t="n">
        <v>0.04595809486379603</v>
      </c>
      <c r="BE1393" s="51" t="n">
        <v>0.2994414197836385</v>
      </c>
      <c r="BF1393" s="43" t="n">
        <v>40711</v>
      </c>
    </row>
    <row r="1394">
      <c r="A1394" s="42" t="inlineStr">
        <is>
          <t>VA</t>
        </is>
      </c>
      <c r="B1394" s="42" t="inlineStr">
        <is>
          <t>51095</t>
        </is>
      </c>
      <c r="C1394" s="42" t="inlineStr">
        <is>
          <t>James City</t>
        </is>
      </c>
      <c r="D1394" s="42" t="inlineStr">
        <is>
          <t>Small town &amp; rural</t>
        </is>
      </c>
      <c r="E1394" s="42" t="inlineStr"/>
      <c r="F1394" s="43" t="n">
        <v>26742</v>
      </c>
      <c r="G1394" s="43" t="n">
        <v>23575</v>
      </c>
      <c r="H1394" s="43" t="n">
        <v>50892</v>
      </c>
      <c r="I1394" s="43" t="n">
        <v>25553</v>
      </c>
      <c r="J1394" s="43" t="n">
        <v>23153</v>
      </c>
      <c r="K1394" s="42" t="inlineStr">
        <is>
          <t>US House</t>
        </is>
      </c>
      <c r="L1394" s="43" t="n">
        <v>18090</v>
      </c>
      <c r="M1394" s="43" t="n">
        <v>19342</v>
      </c>
      <c r="N1394" s="43" t="n">
        <v>37803</v>
      </c>
      <c r="O1394" s="44">
        <f>IFERROR((F1394-G1394)/(F1394+G1394),"")</f>
        <v/>
      </c>
      <c r="P1394" s="44">
        <f>IFERROR((I1394-J1394)/(I1394+J1394),"")</f>
        <v/>
      </c>
      <c r="Q1394" s="45">
        <f>IFERROR(O1394-P1394,"")</f>
        <v/>
      </c>
      <c r="R1394" s="44">
        <f>IFERROR((L1394-M1394)/(L1394+M1394),"")</f>
        <v/>
      </c>
      <c r="S1394" s="46">
        <f>H1394/SUMIFS(Counties!$H$2:$H$1583,Counties!$A$2:$A$1583,$A1394)</f>
        <v/>
      </c>
      <c r="T1394" s="44">
        <f>O1394+INDEX(Dashboard!$F$6:$F$22,MATCH($A1394,Dashboard!$A$6:$A$22,0))</f>
        <v/>
      </c>
      <c r="U1394" s="43">
        <f>AQ1394*INDEX(Dashboard!$G$6:$G$22,MATCH($A1394,Dashboard!$A$6:$A$22,0))</f>
        <v/>
      </c>
      <c r="V1394" s="47" t="n"/>
      <c r="W1394" s="47" t="n"/>
      <c r="X1394" s="47" t="n"/>
      <c r="Y1394" s="48" t="n"/>
      <c r="Z1394" s="49" t="n"/>
      <c r="AA1394" s="49" t="n"/>
      <c r="AB1394" s="49" t="n"/>
      <c r="AC1394" s="50" t="n"/>
      <c r="AD1394" s="43">
        <f>IF(Z1394&lt;&gt;"",Z1394,N(V1394))</f>
        <v/>
      </c>
      <c r="AE1394" s="43">
        <f>IF(AA1394&lt;&gt;"",AA1394,N(W1394))</f>
        <v/>
      </c>
      <c r="AF1394" s="43">
        <f>AD1394+AE1394</f>
        <v/>
      </c>
      <c r="AG1394" s="42">
        <f>IF(UPPER(AC1394)="Y",1,IF(AF1394=0,0,IF(AND(Z1394="",Y1394&lt;&gt;""),IF(Y1394&gt;=0.999,1,0),IF(AF1394&gt;=U1394,1,0))))</f>
        <v/>
      </c>
      <c r="AH1394" s="44">
        <f>IF(AF1394&gt;0,(AD1394-AE1394)/AF1394,"")</f>
        <v/>
      </c>
      <c r="AI1394" s="45">
        <f>IF(AG1394=1,AH1394-O1394,"")</f>
        <v/>
      </c>
      <c r="AJ1394" s="44">
        <f>IF(AG1394=1,AH1394,MAX(-1,MIN(1,O1394+INDEX(Types!$H:$H,MATCH($A1394&amp;"|"&amp;$D1394,Types!$A:$A,0)))))</f>
        <v/>
      </c>
      <c r="AK1394" s="43">
        <f>IF(AG1394=1,AF1394,MAX(AQ1394*AS1394,AF1394))</f>
        <v/>
      </c>
      <c r="AL1394" s="43">
        <f>IF(AG1394=1,AD1394,AK1394*(1+AJ1394)/2)</f>
        <v/>
      </c>
      <c r="AM1394" s="43">
        <f>IF(AG1394=1,AE1394,AK1394*(1-AJ1394)/2)</f>
        <v/>
      </c>
      <c r="AN1394" s="45">
        <f>IF(AH1394="","",AH1394-T1394)</f>
        <v/>
      </c>
      <c r="AO1394" s="51">
        <f>IF(AG1394=1,1,IF(U1394&gt;0,MIN(AF1394/U1394,0.99),0))</f>
        <v/>
      </c>
      <c r="AP1394" s="43">
        <f>IF(AG1394=1,AI1394*AF1394,0)</f>
        <v/>
      </c>
      <c r="AQ1394" s="43">
        <f>N1394*(F1394+G1394)/H1394</f>
        <v/>
      </c>
      <c r="AR1394" s="43">
        <f>O1394*AQ1394</f>
        <v/>
      </c>
      <c r="AS1394" s="52">
        <f>IF(AG1394=1,IF(AQ1394&gt;0,AF1394/AQ1394,1),IFERROR(INDEX(Types!$K:$K,MATCH($A1394&amp;"|"&amp;$D1394,Types!$A:$A,0)),INDEX(Dashboard!$X$6:$X$22,MATCH($A1394,Dashboard!$A$6:$A$22,0))))</f>
        <v/>
      </c>
      <c r="AT1394" s="43">
        <f>AQ1394*INDEX(Dashboard!$Y$6:$Y$22,MATCH($A1394,Dashboard!$A$6:$A$22,0))</f>
        <v/>
      </c>
      <c r="AU1394" s="53">
        <f>IF(AND(AG1394=1,AT1394&gt;0,AF1394&gt;0),100*AF1394/AT1394,"")</f>
        <v/>
      </c>
      <c r="AV1394" s="44">
        <f>IF(AU1394="","",T1394/(AU1394/100))</f>
        <v/>
      </c>
      <c r="AW1394" s="53">
        <f>IF(AU1394="","",IF(AND(ABS(AH1394)&gt;=0.1,ABS(T1394)&gt;=0.05,SIGN(AH1394)=SIGN(T1394)),100*T1394/AH1394,""))</f>
        <v/>
      </c>
      <c r="AX1394" s="45">
        <f>IF(AU1394="","",T1394-AV1394)</f>
        <v/>
      </c>
      <c r="AY1394" s="45">
        <f>IF(AU1394="","",AH1394-AV1394)</f>
        <v/>
      </c>
      <c r="AZ1394" s="54">
        <f>(AL1394-AM1394)-T1394*AT1394</f>
        <v/>
      </c>
      <c r="BA1394" s="43">
        <f>IF(AU1394="",0,(AH1394-T1394)*AF1394)</f>
        <v/>
      </c>
      <c r="BB1394" s="43">
        <f>IF(AU1394="",0,T1394*(AF1394-AT1394))</f>
        <v/>
      </c>
      <c r="BC1394" s="51" t="n">
        <v>0.138202627822005</v>
      </c>
      <c r="BD1394" s="51" t="n">
        <v>0.07405570208338375</v>
      </c>
      <c r="BE1394" s="51" t="n">
        <v>0.5018457089393553</v>
      </c>
      <c r="BF1394" s="43" t="n">
        <v>82654</v>
      </c>
    </row>
    <row r="1395">
      <c r="A1395" s="42" t="inlineStr">
        <is>
          <t>VA</t>
        </is>
      </c>
      <c r="B1395" s="42" t="inlineStr">
        <is>
          <t>51099</t>
        </is>
      </c>
      <c r="C1395" s="42" t="inlineStr">
        <is>
          <t>King George</t>
        </is>
      </c>
      <c r="D1395" s="42" t="inlineStr">
        <is>
          <t>Small town &amp; rural</t>
        </is>
      </c>
      <c r="E1395" s="42" t="inlineStr"/>
      <c r="F1395" s="43" t="n">
        <v>5657</v>
      </c>
      <c r="G1395" s="43" t="n">
        <v>9500</v>
      </c>
      <c r="H1395" s="43" t="n">
        <v>15362</v>
      </c>
      <c r="I1395" s="43" t="n">
        <v>5404</v>
      </c>
      <c r="J1395" s="43" t="n">
        <v>8446</v>
      </c>
      <c r="K1395" s="42" t="inlineStr">
        <is>
          <t>US House</t>
        </is>
      </c>
      <c r="L1395" s="43" t="n">
        <v>3913</v>
      </c>
      <c r="M1395" s="43" t="n">
        <v>6590</v>
      </c>
      <c r="N1395" s="43" t="n">
        <v>10529</v>
      </c>
      <c r="O1395" s="44">
        <f>IFERROR((F1395-G1395)/(F1395+G1395),"")</f>
        <v/>
      </c>
      <c r="P1395" s="44">
        <f>IFERROR((I1395-J1395)/(I1395+J1395),"")</f>
        <v/>
      </c>
      <c r="Q1395" s="45">
        <f>IFERROR(O1395-P1395,"")</f>
        <v/>
      </c>
      <c r="R1395" s="44">
        <f>IFERROR((L1395-M1395)/(L1395+M1395),"")</f>
        <v/>
      </c>
      <c r="S1395" s="46">
        <f>H1395/SUMIFS(Counties!$H$2:$H$1583,Counties!$A$2:$A$1583,$A1395)</f>
        <v/>
      </c>
      <c r="T1395" s="44">
        <f>O1395+INDEX(Dashboard!$F$6:$F$22,MATCH($A1395,Dashboard!$A$6:$A$22,0))</f>
        <v/>
      </c>
      <c r="U1395" s="43">
        <f>AQ1395*INDEX(Dashboard!$G$6:$G$22,MATCH($A1395,Dashboard!$A$6:$A$22,0))</f>
        <v/>
      </c>
      <c r="V1395" s="47" t="n"/>
      <c r="W1395" s="47" t="n"/>
      <c r="X1395" s="47" t="n"/>
      <c r="Y1395" s="48" t="n"/>
      <c r="Z1395" s="49" t="n"/>
      <c r="AA1395" s="49" t="n"/>
      <c r="AB1395" s="49" t="n"/>
      <c r="AC1395" s="50" t="n"/>
      <c r="AD1395" s="43">
        <f>IF(Z1395&lt;&gt;"",Z1395,N(V1395))</f>
        <v/>
      </c>
      <c r="AE1395" s="43">
        <f>IF(AA1395&lt;&gt;"",AA1395,N(W1395))</f>
        <v/>
      </c>
      <c r="AF1395" s="43">
        <f>AD1395+AE1395</f>
        <v/>
      </c>
      <c r="AG1395" s="42">
        <f>IF(UPPER(AC1395)="Y",1,IF(AF1395=0,0,IF(AND(Z1395="",Y1395&lt;&gt;""),IF(Y1395&gt;=0.999,1,0),IF(AF1395&gt;=U1395,1,0))))</f>
        <v/>
      </c>
      <c r="AH1395" s="44">
        <f>IF(AF1395&gt;0,(AD1395-AE1395)/AF1395,"")</f>
        <v/>
      </c>
      <c r="AI1395" s="45">
        <f>IF(AG1395=1,AH1395-O1395,"")</f>
        <v/>
      </c>
      <c r="AJ1395" s="44">
        <f>IF(AG1395=1,AH1395,MAX(-1,MIN(1,O1395+INDEX(Types!$H:$H,MATCH($A1395&amp;"|"&amp;$D1395,Types!$A:$A,0)))))</f>
        <v/>
      </c>
      <c r="AK1395" s="43">
        <f>IF(AG1395=1,AF1395,MAX(AQ1395*AS1395,AF1395))</f>
        <v/>
      </c>
      <c r="AL1395" s="43">
        <f>IF(AG1395=1,AD1395,AK1395*(1+AJ1395)/2)</f>
        <v/>
      </c>
      <c r="AM1395" s="43">
        <f>IF(AG1395=1,AE1395,AK1395*(1-AJ1395)/2)</f>
        <v/>
      </c>
      <c r="AN1395" s="45">
        <f>IF(AH1395="","",AH1395-T1395)</f>
        <v/>
      </c>
      <c r="AO1395" s="51">
        <f>IF(AG1395=1,1,IF(U1395&gt;0,MIN(AF1395/U1395,0.99),0))</f>
        <v/>
      </c>
      <c r="AP1395" s="43">
        <f>IF(AG1395=1,AI1395*AF1395,0)</f>
        <v/>
      </c>
      <c r="AQ1395" s="43">
        <f>N1395*(F1395+G1395)/H1395</f>
        <v/>
      </c>
      <c r="AR1395" s="43">
        <f>O1395*AQ1395</f>
        <v/>
      </c>
      <c r="AS1395" s="52">
        <f>IF(AG1395=1,IF(AQ1395&gt;0,AF1395/AQ1395,1),IFERROR(INDEX(Types!$K:$K,MATCH($A1395&amp;"|"&amp;$D1395,Types!$A:$A,0)),INDEX(Dashboard!$X$6:$X$22,MATCH($A1395,Dashboard!$A$6:$A$22,0))))</f>
        <v/>
      </c>
      <c r="AT1395" s="43">
        <f>AQ1395*INDEX(Dashboard!$Y$6:$Y$22,MATCH($A1395,Dashboard!$A$6:$A$22,0))</f>
        <v/>
      </c>
      <c r="AU1395" s="53">
        <f>IF(AND(AG1395=1,AT1395&gt;0,AF1395&gt;0),100*AF1395/AT1395,"")</f>
        <v/>
      </c>
      <c r="AV1395" s="44">
        <f>IF(AU1395="","",T1395/(AU1395/100))</f>
        <v/>
      </c>
      <c r="AW1395" s="53">
        <f>IF(AU1395="","",IF(AND(ABS(AH1395)&gt;=0.1,ABS(T1395)&gt;=0.05,SIGN(AH1395)=SIGN(T1395)),100*T1395/AH1395,""))</f>
        <v/>
      </c>
      <c r="AX1395" s="45">
        <f>IF(AU1395="","",T1395-AV1395)</f>
        <v/>
      </c>
      <c r="AY1395" s="45">
        <f>IF(AU1395="","",AH1395-AV1395)</f>
        <v/>
      </c>
      <c r="AZ1395" s="54">
        <f>(AL1395-AM1395)-T1395*AT1395</f>
        <v/>
      </c>
      <c r="BA1395" s="43">
        <f>IF(AU1395="",0,(AH1395-T1395)*AF1395)</f>
        <v/>
      </c>
      <c r="BB1395" s="43">
        <f>IF(AU1395="",0,T1395*(AF1395-AT1395))</f>
        <v/>
      </c>
      <c r="BC1395" s="51" t="n">
        <v>0.1580089610753291</v>
      </c>
      <c r="BD1395" s="51" t="n">
        <v>0.07329879585550265</v>
      </c>
      <c r="BE1395" s="51" t="n">
        <v>0.3583148318622408</v>
      </c>
      <c r="BF1395" s="43" t="n">
        <v>28568</v>
      </c>
    </row>
    <row r="1396">
      <c r="A1396" s="42" t="inlineStr">
        <is>
          <t>VA</t>
        </is>
      </c>
      <c r="B1396" s="42" t="inlineStr">
        <is>
          <t>51101</t>
        </is>
      </c>
      <c r="C1396" s="42" t="inlineStr">
        <is>
          <t>King William</t>
        </is>
      </c>
      <c r="D1396" s="42" t="inlineStr">
        <is>
          <t>Small town &amp; rural</t>
        </is>
      </c>
      <c r="E1396" s="42" t="inlineStr"/>
      <c r="F1396" s="43" t="n">
        <v>3388</v>
      </c>
      <c r="G1396" s="43" t="n">
        <v>8080</v>
      </c>
      <c r="H1396" s="43" t="n">
        <v>11561</v>
      </c>
      <c r="I1396" s="43" t="n">
        <v>3260</v>
      </c>
      <c r="J1396" s="43" t="n">
        <v>7320</v>
      </c>
      <c r="K1396" s="42" t="inlineStr">
        <is>
          <t>US House</t>
        </is>
      </c>
      <c r="L1396" s="43" t="n">
        <v>2074</v>
      </c>
      <c r="M1396" s="43" t="n">
        <v>5411</v>
      </c>
      <c r="N1396" s="43" t="n">
        <v>7549</v>
      </c>
      <c r="O1396" s="44">
        <f>IFERROR((F1396-G1396)/(F1396+G1396),"")</f>
        <v/>
      </c>
      <c r="P1396" s="44">
        <f>IFERROR((I1396-J1396)/(I1396+J1396),"")</f>
        <v/>
      </c>
      <c r="Q1396" s="45">
        <f>IFERROR(O1396-P1396,"")</f>
        <v/>
      </c>
      <c r="R1396" s="44">
        <f>IFERROR((L1396-M1396)/(L1396+M1396),"")</f>
        <v/>
      </c>
      <c r="S1396" s="46">
        <f>H1396/SUMIFS(Counties!$H$2:$H$1583,Counties!$A$2:$A$1583,$A1396)</f>
        <v/>
      </c>
      <c r="T1396" s="44">
        <f>O1396+INDEX(Dashboard!$F$6:$F$22,MATCH($A1396,Dashboard!$A$6:$A$22,0))</f>
        <v/>
      </c>
      <c r="U1396" s="43">
        <f>AQ1396*INDEX(Dashboard!$G$6:$G$22,MATCH($A1396,Dashboard!$A$6:$A$22,0))</f>
        <v/>
      </c>
      <c r="V1396" s="47" t="n"/>
      <c r="W1396" s="47" t="n"/>
      <c r="X1396" s="47" t="n"/>
      <c r="Y1396" s="48" t="n"/>
      <c r="Z1396" s="49" t="n"/>
      <c r="AA1396" s="49" t="n"/>
      <c r="AB1396" s="49" t="n"/>
      <c r="AC1396" s="50" t="n"/>
      <c r="AD1396" s="43">
        <f>IF(Z1396&lt;&gt;"",Z1396,N(V1396))</f>
        <v/>
      </c>
      <c r="AE1396" s="43">
        <f>IF(AA1396&lt;&gt;"",AA1396,N(W1396))</f>
        <v/>
      </c>
      <c r="AF1396" s="43">
        <f>AD1396+AE1396</f>
        <v/>
      </c>
      <c r="AG1396" s="42">
        <f>IF(UPPER(AC1396)="Y",1,IF(AF1396=0,0,IF(AND(Z1396="",Y1396&lt;&gt;""),IF(Y1396&gt;=0.999,1,0),IF(AF1396&gt;=U1396,1,0))))</f>
        <v/>
      </c>
      <c r="AH1396" s="44">
        <f>IF(AF1396&gt;0,(AD1396-AE1396)/AF1396,"")</f>
        <v/>
      </c>
      <c r="AI1396" s="45">
        <f>IF(AG1396=1,AH1396-O1396,"")</f>
        <v/>
      </c>
      <c r="AJ1396" s="44">
        <f>IF(AG1396=1,AH1396,MAX(-1,MIN(1,O1396+INDEX(Types!$H:$H,MATCH($A1396&amp;"|"&amp;$D1396,Types!$A:$A,0)))))</f>
        <v/>
      </c>
      <c r="AK1396" s="43">
        <f>IF(AG1396=1,AF1396,MAX(AQ1396*AS1396,AF1396))</f>
        <v/>
      </c>
      <c r="AL1396" s="43">
        <f>IF(AG1396=1,AD1396,AK1396*(1+AJ1396)/2)</f>
        <v/>
      </c>
      <c r="AM1396" s="43">
        <f>IF(AG1396=1,AE1396,AK1396*(1-AJ1396)/2)</f>
        <v/>
      </c>
      <c r="AN1396" s="45">
        <f>IF(AH1396="","",AH1396-T1396)</f>
        <v/>
      </c>
      <c r="AO1396" s="51">
        <f>IF(AG1396=1,1,IF(U1396&gt;0,MIN(AF1396/U1396,0.99),0))</f>
        <v/>
      </c>
      <c r="AP1396" s="43">
        <f>IF(AG1396=1,AI1396*AF1396,0)</f>
        <v/>
      </c>
      <c r="AQ1396" s="43">
        <f>N1396*(F1396+G1396)/H1396</f>
        <v/>
      </c>
      <c r="AR1396" s="43">
        <f>O1396*AQ1396</f>
        <v/>
      </c>
      <c r="AS1396" s="52">
        <f>IF(AG1396=1,IF(AQ1396&gt;0,AF1396/AQ1396,1),IFERROR(INDEX(Types!$K:$K,MATCH($A1396&amp;"|"&amp;$D1396,Types!$A:$A,0)),INDEX(Dashboard!$X$6:$X$22,MATCH($A1396,Dashboard!$A$6:$A$22,0))))</f>
        <v/>
      </c>
      <c r="AT1396" s="43">
        <f>AQ1396*INDEX(Dashboard!$Y$6:$Y$22,MATCH($A1396,Dashboard!$A$6:$A$22,0))</f>
        <v/>
      </c>
      <c r="AU1396" s="53">
        <f>IF(AND(AG1396=1,AT1396&gt;0,AF1396&gt;0),100*AF1396/AT1396,"")</f>
        <v/>
      </c>
      <c r="AV1396" s="44">
        <f>IF(AU1396="","",T1396/(AU1396/100))</f>
        <v/>
      </c>
      <c r="AW1396" s="53">
        <f>IF(AU1396="","",IF(AND(ABS(AH1396)&gt;=0.1,ABS(T1396)&gt;=0.05,SIGN(AH1396)=SIGN(T1396)),100*T1396/AH1396,""))</f>
        <v/>
      </c>
      <c r="AX1396" s="45">
        <f>IF(AU1396="","",T1396-AV1396)</f>
        <v/>
      </c>
      <c r="AY1396" s="45">
        <f>IF(AU1396="","",AH1396-AV1396)</f>
        <v/>
      </c>
      <c r="AZ1396" s="54">
        <f>(AL1396-AM1396)-T1396*AT1396</f>
        <v/>
      </c>
      <c r="BA1396" s="43">
        <f>IF(AU1396="",0,(AH1396-T1396)*AF1396)</f>
        <v/>
      </c>
      <c r="BB1396" s="43">
        <f>IF(AU1396="",0,T1396*(AF1396-AT1396))</f>
        <v/>
      </c>
      <c r="BC1396" s="51" t="n">
        <v>0.1451918024172359</v>
      </c>
      <c r="BD1396" s="51" t="n">
        <v>0.03573305307409354</v>
      </c>
      <c r="BE1396" s="51" t="n">
        <v>0.2426239799121155</v>
      </c>
      <c r="BF1396" s="43" t="n">
        <v>19030</v>
      </c>
    </row>
    <row r="1397">
      <c r="A1397" s="42" t="inlineStr">
        <is>
          <t>VA</t>
        </is>
      </c>
      <c r="B1397" s="42" t="inlineStr">
        <is>
          <t>51097</t>
        </is>
      </c>
      <c r="C1397" s="42" t="inlineStr">
        <is>
          <t>King and Queen</t>
        </is>
      </c>
      <c r="D1397" s="42" t="inlineStr">
        <is>
          <t>Small town &amp; rural</t>
        </is>
      </c>
      <c r="E1397" s="42" t="inlineStr"/>
      <c r="F1397" s="43" t="n">
        <v>1536</v>
      </c>
      <c r="G1397" s="43" t="n">
        <v>2608</v>
      </c>
      <c r="H1397" s="43" t="n">
        <v>4173</v>
      </c>
      <c r="I1397" s="43" t="n">
        <v>1590</v>
      </c>
      <c r="J1397" s="43" t="n">
        <v>2450</v>
      </c>
      <c r="K1397" s="42" t="inlineStr">
        <is>
          <t>US House</t>
        </is>
      </c>
      <c r="L1397" s="43" t="n">
        <v>1023</v>
      </c>
      <c r="M1397" s="43" t="n">
        <v>1869</v>
      </c>
      <c r="N1397" s="43" t="n">
        <v>2928</v>
      </c>
      <c r="O1397" s="44">
        <f>IFERROR((F1397-G1397)/(F1397+G1397),"")</f>
        <v/>
      </c>
      <c r="P1397" s="44">
        <f>IFERROR((I1397-J1397)/(I1397+J1397),"")</f>
        <v/>
      </c>
      <c r="Q1397" s="45">
        <f>IFERROR(O1397-P1397,"")</f>
        <v/>
      </c>
      <c r="R1397" s="44">
        <f>IFERROR((L1397-M1397)/(L1397+M1397),"")</f>
        <v/>
      </c>
      <c r="S1397" s="46">
        <f>H1397/SUMIFS(Counties!$H$2:$H$1583,Counties!$A$2:$A$1583,$A1397)</f>
        <v/>
      </c>
      <c r="T1397" s="44">
        <f>O1397+INDEX(Dashboard!$F$6:$F$22,MATCH($A1397,Dashboard!$A$6:$A$22,0))</f>
        <v/>
      </c>
      <c r="U1397" s="43">
        <f>AQ1397*INDEX(Dashboard!$G$6:$G$22,MATCH($A1397,Dashboard!$A$6:$A$22,0))</f>
        <v/>
      </c>
      <c r="V1397" s="47" t="n"/>
      <c r="W1397" s="47" t="n"/>
      <c r="X1397" s="47" t="n"/>
      <c r="Y1397" s="48" t="n"/>
      <c r="Z1397" s="49" t="n"/>
      <c r="AA1397" s="49" t="n"/>
      <c r="AB1397" s="49" t="n"/>
      <c r="AC1397" s="50" t="n"/>
      <c r="AD1397" s="43">
        <f>IF(Z1397&lt;&gt;"",Z1397,N(V1397))</f>
        <v/>
      </c>
      <c r="AE1397" s="43">
        <f>IF(AA1397&lt;&gt;"",AA1397,N(W1397))</f>
        <v/>
      </c>
      <c r="AF1397" s="43">
        <f>AD1397+AE1397</f>
        <v/>
      </c>
      <c r="AG1397" s="42">
        <f>IF(UPPER(AC1397)="Y",1,IF(AF1397=0,0,IF(AND(Z1397="",Y1397&lt;&gt;""),IF(Y1397&gt;=0.999,1,0),IF(AF1397&gt;=U1397,1,0))))</f>
        <v/>
      </c>
      <c r="AH1397" s="44">
        <f>IF(AF1397&gt;0,(AD1397-AE1397)/AF1397,"")</f>
        <v/>
      </c>
      <c r="AI1397" s="45">
        <f>IF(AG1397=1,AH1397-O1397,"")</f>
        <v/>
      </c>
      <c r="AJ1397" s="44">
        <f>IF(AG1397=1,AH1397,MAX(-1,MIN(1,O1397+INDEX(Types!$H:$H,MATCH($A1397&amp;"|"&amp;$D1397,Types!$A:$A,0)))))</f>
        <v/>
      </c>
      <c r="AK1397" s="43">
        <f>IF(AG1397=1,AF1397,MAX(AQ1397*AS1397,AF1397))</f>
        <v/>
      </c>
      <c r="AL1397" s="43">
        <f>IF(AG1397=1,AD1397,AK1397*(1+AJ1397)/2)</f>
        <v/>
      </c>
      <c r="AM1397" s="43">
        <f>IF(AG1397=1,AE1397,AK1397*(1-AJ1397)/2)</f>
        <v/>
      </c>
      <c r="AN1397" s="45">
        <f>IF(AH1397="","",AH1397-T1397)</f>
        <v/>
      </c>
      <c r="AO1397" s="51">
        <f>IF(AG1397=1,1,IF(U1397&gt;0,MIN(AF1397/U1397,0.99),0))</f>
        <v/>
      </c>
      <c r="AP1397" s="43">
        <f>IF(AG1397=1,AI1397*AF1397,0)</f>
        <v/>
      </c>
      <c r="AQ1397" s="43">
        <f>N1397*(F1397+G1397)/H1397</f>
        <v/>
      </c>
      <c r="AR1397" s="43">
        <f>O1397*AQ1397</f>
        <v/>
      </c>
      <c r="AS1397" s="52">
        <f>IF(AG1397=1,IF(AQ1397&gt;0,AF1397/AQ1397,1),IFERROR(INDEX(Types!$K:$K,MATCH($A1397&amp;"|"&amp;$D1397,Types!$A:$A,0)),INDEX(Dashboard!$X$6:$X$22,MATCH($A1397,Dashboard!$A$6:$A$22,0))))</f>
        <v/>
      </c>
      <c r="AT1397" s="43">
        <f>AQ1397*INDEX(Dashboard!$Y$6:$Y$22,MATCH($A1397,Dashboard!$A$6:$A$22,0))</f>
        <v/>
      </c>
      <c r="AU1397" s="53">
        <f>IF(AND(AG1397=1,AT1397&gt;0,AF1397&gt;0),100*AF1397/AT1397,"")</f>
        <v/>
      </c>
      <c r="AV1397" s="44">
        <f>IF(AU1397="","",T1397/(AU1397/100))</f>
        <v/>
      </c>
      <c r="AW1397" s="53">
        <f>IF(AU1397="","",IF(AND(ABS(AH1397)&gt;=0.1,ABS(T1397)&gt;=0.05,SIGN(AH1397)=SIGN(T1397)),100*T1397/AH1397,""))</f>
        <v/>
      </c>
      <c r="AX1397" s="45">
        <f>IF(AU1397="","",T1397-AV1397)</f>
        <v/>
      </c>
      <c r="AY1397" s="45">
        <f>IF(AU1397="","",AH1397-AV1397)</f>
        <v/>
      </c>
      <c r="AZ1397" s="54">
        <f>(AL1397-AM1397)-T1397*AT1397</f>
        <v/>
      </c>
      <c r="BA1397" s="43">
        <f>IF(AU1397="",0,(AH1397-T1397)*AF1397)</f>
        <v/>
      </c>
      <c r="BB1397" s="43">
        <f>IF(AU1397="",0,T1397*(AF1397-AT1397))</f>
        <v/>
      </c>
      <c r="BC1397" s="51" t="n">
        <v>0.2367559523809524</v>
      </c>
      <c r="BD1397" s="51" t="n">
        <v>0.03601190476190476</v>
      </c>
      <c r="BE1397" s="51" t="n">
        <v>0.1946360153256705</v>
      </c>
      <c r="BF1397" s="43" t="n">
        <v>6720</v>
      </c>
    </row>
    <row r="1398">
      <c r="A1398" s="42" t="inlineStr">
        <is>
          <t>VA</t>
        </is>
      </c>
      <c r="B1398" s="42" t="inlineStr">
        <is>
          <t>51103</t>
        </is>
      </c>
      <c r="C1398" s="42" t="inlineStr">
        <is>
          <t>Lancaster</t>
        </is>
      </c>
      <c r="D1398" s="42" t="inlineStr">
        <is>
          <t>Small town &amp; rural</t>
        </is>
      </c>
      <c r="E1398" s="42" t="inlineStr"/>
      <c r="F1398" s="43" t="n">
        <v>3355</v>
      </c>
      <c r="G1398" s="43" t="n">
        <v>3866</v>
      </c>
      <c r="H1398" s="43" t="n">
        <v>7279</v>
      </c>
      <c r="I1398" s="43" t="n">
        <v>3368</v>
      </c>
      <c r="J1398" s="43" t="n">
        <v>3697</v>
      </c>
      <c r="K1398" s="42" t="inlineStr">
        <is>
          <t>US House</t>
        </is>
      </c>
      <c r="L1398" s="43" t="n">
        <v>2188</v>
      </c>
      <c r="M1398" s="43" t="n">
        <v>3211</v>
      </c>
      <c r="N1398" s="43" t="n">
        <v>5457</v>
      </c>
      <c r="O1398" s="44">
        <f>IFERROR((F1398-G1398)/(F1398+G1398),"")</f>
        <v/>
      </c>
      <c r="P1398" s="44">
        <f>IFERROR((I1398-J1398)/(I1398+J1398),"")</f>
        <v/>
      </c>
      <c r="Q1398" s="45">
        <f>IFERROR(O1398-P1398,"")</f>
        <v/>
      </c>
      <c r="R1398" s="44">
        <f>IFERROR((L1398-M1398)/(L1398+M1398),"")</f>
        <v/>
      </c>
      <c r="S1398" s="46">
        <f>H1398/SUMIFS(Counties!$H$2:$H$1583,Counties!$A$2:$A$1583,$A1398)</f>
        <v/>
      </c>
      <c r="T1398" s="44">
        <f>O1398+INDEX(Dashboard!$F$6:$F$22,MATCH($A1398,Dashboard!$A$6:$A$22,0))</f>
        <v/>
      </c>
      <c r="U1398" s="43">
        <f>AQ1398*INDEX(Dashboard!$G$6:$G$22,MATCH($A1398,Dashboard!$A$6:$A$22,0))</f>
        <v/>
      </c>
      <c r="V1398" s="47" t="n"/>
      <c r="W1398" s="47" t="n"/>
      <c r="X1398" s="47" t="n"/>
      <c r="Y1398" s="48" t="n"/>
      <c r="Z1398" s="49" t="n"/>
      <c r="AA1398" s="49" t="n"/>
      <c r="AB1398" s="49" t="n"/>
      <c r="AC1398" s="50" t="n"/>
      <c r="AD1398" s="43">
        <f>IF(Z1398&lt;&gt;"",Z1398,N(V1398))</f>
        <v/>
      </c>
      <c r="AE1398" s="43">
        <f>IF(AA1398&lt;&gt;"",AA1398,N(W1398))</f>
        <v/>
      </c>
      <c r="AF1398" s="43">
        <f>AD1398+AE1398</f>
        <v/>
      </c>
      <c r="AG1398" s="42">
        <f>IF(UPPER(AC1398)="Y",1,IF(AF1398=0,0,IF(AND(Z1398="",Y1398&lt;&gt;""),IF(Y1398&gt;=0.999,1,0),IF(AF1398&gt;=U1398,1,0))))</f>
        <v/>
      </c>
      <c r="AH1398" s="44">
        <f>IF(AF1398&gt;0,(AD1398-AE1398)/AF1398,"")</f>
        <v/>
      </c>
      <c r="AI1398" s="45">
        <f>IF(AG1398=1,AH1398-O1398,"")</f>
        <v/>
      </c>
      <c r="AJ1398" s="44">
        <f>IF(AG1398=1,AH1398,MAX(-1,MIN(1,O1398+INDEX(Types!$H:$H,MATCH($A1398&amp;"|"&amp;$D1398,Types!$A:$A,0)))))</f>
        <v/>
      </c>
      <c r="AK1398" s="43">
        <f>IF(AG1398=1,AF1398,MAX(AQ1398*AS1398,AF1398))</f>
        <v/>
      </c>
      <c r="AL1398" s="43">
        <f>IF(AG1398=1,AD1398,AK1398*(1+AJ1398)/2)</f>
        <v/>
      </c>
      <c r="AM1398" s="43">
        <f>IF(AG1398=1,AE1398,AK1398*(1-AJ1398)/2)</f>
        <v/>
      </c>
      <c r="AN1398" s="45">
        <f>IF(AH1398="","",AH1398-T1398)</f>
        <v/>
      </c>
      <c r="AO1398" s="51">
        <f>IF(AG1398=1,1,IF(U1398&gt;0,MIN(AF1398/U1398,0.99),0))</f>
        <v/>
      </c>
      <c r="AP1398" s="43">
        <f>IF(AG1398=1,AI1398*AF1398,0)</f>
        <v/>
      </c>
      <c r="AQ1398" s="43">
        <f>N1398*(F1398+G1398)/H1398</f>
        <v/>
      </c>
      <c r="AR1398" s="43">
        <f>O1398*AQ1398</f>
        <v/>
      </c>
      <c r="AS1398" s="52">
        <f>IF(AG1398=1,IF(AQ1398&gt;0,AF1398/AQ1398,1),IFERROR(INDEX(Types!$K:$K,MATCH($A1398&amp;"|"&amp;$D1398,Types!$A:$A,0)),INDEX(Dashboard!$X$6:$X$22,MATCH($A1398,Dashboard!$A$6:$A$22,0))))</f>
        <v/>
      </c>
      <c r="AT1398" s="43">
        <f>AQ1398*INDEX(Dashboard!$Y$6:$Y$22,MATCH($A1398,Dashboard!$A$6:$A$22,0))</f>
        <v/>
      </c>
      <c r="AU1398" s="53">
        <f>IF(AND(AG1398=1,AT1398&gt;0,AF1398&gt;0),100*AF1398/AT1398,"")</f>
        <v/>
      </c>
      <c r="AV1398" s="44">
        <f>IF(AU1398="","",T1398/(AU1398/100))</f>
        <v/>
      </c>
      <c r="AW1398" s="53">
        <f>IF(AU1398="","",IF(AND(ABS(AH1398)&gt;=0.1,ABS(T1398)&gt;=0.05,SIGN(AH1398)=SIGN(T1398)),100*T1398/AH1398,""))</f>
        <v/>
      </c>
      <c r="AX1398" s="45">
        <f>IF(AU1398="","",T1398-AV1398)</f>
        <v/>
      </c>
      <c r="AY1398" s="45">
        <f>IF(AU1398="","",AH1398-AV1398)</f>
        <v/>
      </c>
      <c r="AZ1398" s="54">
        <f>(AL1398-AM1398)-T1398*AT1398</f>
        <v/>
      </c>
      <c r="BA1398" s="43">
        <f>IF(AU1398="",0,(AH1398-T1398)*AF1398)</f>
        <v/>
      </c>
      <c r="BB1398" s="43">
        <f>IF(AU1398="",0,T1398*(AF1398-AT1398))</f>
        <v/>
      </c>
      <c r="BC1398" s="51" t="n">
        <v>0.2688092826227093</v>
      </c>
      <c r="BD1398" s="51" t="n">
        <v>0.02118058753108021</v>
      </c>
      <c r="BE1398" s="51" t="n">
        <v>0.3739586899463654</v>
      </c>
      <c r="BF1398" s="43" t="n">
        <v>10859</v>
      </c>
    </row>
    <row r="1399">
      <c r="A1399" s="42" t="inlineStr">
        <is>
          <t>VA</t>
        </is>
      </c>
      <c r="B1399" s="42" t="inlineStr">
        <is>
          <t>51105</t>
        </is>
      </c>
      <c r="C1399" s="42" t="inlineStr">
        <is>
          <t>Lee</t>
        </is>
      </c>
      <c r="D1399" s="42" t="inlineStr">
        <is>
          <t>Small town &amp; rural</t>
        </is>
      </c>
      <c r="E1399" s="42" t="inlineStr"/>
      <c r="F1399" s="43" t="n">
        <v>1391</v>
      </c>
      <c r="G1399" s="43" t="n">
        <v>8674</v>
      </c>
      <c r="H1399" s="43" t="n">
        <v>10108</v>
      </c>
      <c r="I1399" s="43" t="n">
        <v>1489</v>
      </c>
      <c r="J1399" s="43" t="n">
        <v>8365</v>
      </c>
      <c r="K1399" s="42" t="inlineStr">
        <is>
          <t>US House</t>
        </is>
      </c>
      <c r="L1399" s="43" t="n">
        <v>842</v>
      </c>
      <c r="M1399" s="43" t="n">
        <v>4806</v>
      </c>
      <c r="N1399" s="43" t="n">
        <v>5664</v>
      </c>
      <c r="O1399" s="44">
        <f>IFERROR((F1399-G1399)/(F1399+G1399),"")</f>
        <v/>
      </c>
      <c r="P1399" s="44">
        <f>IFERROR((I1399-J1399)/(I1399+J1399),"")</f>
        <v/>
      </c>
      <c r="Q1399" s="45">
        <f>IFERROR(O1399-P1399,"")</f>
        <v/>
      </c>
      <c r="R1399" s="44">
        <f>IFERROR((L1399-M1399)/(L1399+M1399),"")</f>
        <v/>
      </c>
      <c r="S1399" s="46">
        <f>H1399/SUMIFS(Counties!$H$2:$H$1583,Counties!$A$2:$A$1583,$A1399)</f>
        <v/>
      </c>
      <c r="T1399" s="44">
        <f>O1399+INDEX(Dashboard!$F$6:$F$22,MATCH($A1399,Dashboard!$A$6:$A$22,0))</f>
        <v/>
      </c>
      <c r="U1399" s="43">
        <f>AQ1399*INDEX(Dashboard!$G$6:$G$22,MATCH($A1399,Dashboard!$A$6:$A$22,0))</f>
        <v/>
      </c>
      <c r="V1399" s="47" t="n"/>
      <c r="W1399" s="47" t="n"/>
      <c r="X1399" s="47" t="n"/>
      <c r="Y1399" s="48" t="n"/>
      <c r="Z1399" s="49" t="n"/>
      <c r="AA1399" s="49" t="n"/>
      <c r="AB1399" s="49" t="n"/>
      <c r="AC1399" s="50" t="n"/>
      <c r="AD1399" s="43">
        <f>IF(Z1399&lt;&gt;"",Z1399,N(V1399))</f>
        <v/>
      </c>
      <c r="AE1399" s="43">
        <f>IF(AA1399&lt;&gt;"",AA1399,N(W1399))</f>
        <v/>
      </c>
      <c r="AF1399" s="43">
        <f>AD1399+AE1399</f>
        <v/>
      </c>
      <c r="AG1399" s="42">
        <f>IF(UPPER(AC1399)="Y",1,IF(AF1399=0,0,IF(AND(Z1399="",Y1399&lt;&gt;""),IF(Y1399&gt;=0.999,1,0),IF(AF1399&gt;=U1399,1,0))))</f>
        <v/>
      </c>
      <c r="AH1399" s="44">
        <f>IF(AF1399&gt;0,(AD1399-AE1399)/AF1399,"")</f>
        <v/>
      </c>
      <c r="AI1399" s="45">
        <f>IF(AG1399=1,AH1399-O1399,"")</f>
        <v/>
      </c>
      <c r="AJ1399" s="44">
        <f>IF(AG1399=1,AH1399,MAX(-1,MIN(1,O1399+INDEX(Types!$H:$H,MATCH($A1399&amp;"|"&amp;$D1399,Types!$A:$A,0)))))</f>
        <v/>
      </c>
      <c r="AK1399" s="43">
        <f>IF(AG1399=1,AF1399,MAX(AQ1399*AS1399,AF1399))</f>
        <v/>
      </c>
      <c r="AL1399" s="43">
        <f>IF(AG1399=1,AD1399,AK1399*(1+AJ1399)/2)</f>
        <v/>
      </c>
      <c r="AM1399" s="43">
        <f>IF(AG1399=1,AE1399,AK1399*(1-AJ1399)/2)</f>
        <v/>
      </c>
      <c r="AN1399" s="45">
        <f>IF(AH1399="","",AH1399-T1399)</f>
        <v/>
      </c>
      <c r="AO1399" s="51">
        <f>IF(AG1399=1,1,IF(U1399&gt;0,MIN(AF1399/U1399,0.99),0))</f>
        <v/>
      </c>
      <c r="AP1399" s="43">
        <f>IF(AG1399=1,AI1399*AF1399,0)</f>
        <v/>
      </c>
      <c r="AQ1399" s="43">
        <f>N1399*(F1399+G1399)/H1399</f>
        <v/>
      </c>
      <c r="AR1399" s="43">
        <f>O1399*AQ1399</f>
        <v/>
      </c>
      <c r="AS1399" s="52">
        <f>IF(AG1399=1,IF(AQ1399&gt;0,AF1399/AQ1399,1),IFERROR(INDEX(Types!$K:$K,MATCH($A1399&amp;"|"&amp;$D1399,Types!$A:$A,0)),INDEX(Dashboard!$X$6:$X$22,MATCH($A1399,Dashboard!$A$6:$A$22,0))))</f>
        <v/>
      </c>
      <c r="AT1399" s="43">
        <f>AQ1399*INDEX(Dashboard!$Y$6:$Y$22,MATCH($A1399,Dashboard!$A$6:$A$22,0))</f>
        <v/>
      </c>
      <c r="AU1399" s="53">
        <f>IF(AND(AG1399=1,AT1399&gt;0,AF1399&gt;0),100*AF1399/AT1399,"")</f>
        <v/>
      </c>
      <c r="AV1399" s="44">
        <f>IF(AU1399="","",T1399/(AU1399/100))</f>
        <v/>
      </c>
      <c r="AW1399" s="53">
        <f>IF(AU1399="","",IF(AND(ABS(AH1399)&gt;=0.1,ABS(T1399)&gt;=0.05,SIGN(AH1399)=SIGN(T1399)),100*T1399/AH1399,""))</f>
        <v/>
      </c>
      <c r="AX1399" s="45">
        <f>IF(AU1399="","",T1399-AV1399)</f>
        <v/>
      </c>
      <c r="AY1399" s="45">
        <f>IF(AU1399="","",AH1399-AV1399)</f>
        <v/>
      </c>
      <c r="AZ1399" s="54">
        <f>(AL1399-AM1399)-T1399*AT1399</f>
        <v/>
      </c>
      <c r="BA1399" s="43">
        <f>IF(AU1399="",0,(AH1399-T1399)*AF1399)</f>
        <v/>
      </c>
      <c r="BB1399" s="43">
        <f>IF(AU1399="",0,T1399*(AF1399-AT1399))</f>
        <v/>
      </c>
      <c r="BC1399" s="51" t="n">
        <v>0.04111289951713037</v>
      </c>
      <c r="BD1399" s="51" t="n">
        <v>0.0248792825936997</v>
      </c>
      <c r="BE1399" s="51" t="n">
        <v>0.1267164538665382</v>
      </c>
      <c r="BF1399" s="43" t="n">
        <v>21745</v>
      </c>
    </row>
    <row r="1400">
      <c r="A1400" s="42" t="inlineStr">
        <is>
          <t>VA</t>
        </is>
      </c>
      <c r="B1400" s="42" t="inlineStr">
        <is>
          <t>51678</t>
        </is>
      </c>
      <c r="C1400" s="42" t="inlineStr">
        <is>
          <t>Lexington city</t>
        </is>
      </c>
      <c r="D1400" s="42" t="inlineStr">
        <is>
          <t>Small town &amp; rural</t>
        </is>
      </c>
      <c r="E1400" s="42" t="inlineStr"/>
      <c r="F1400" s="43" t="n">
        <v>1795</v>
      </c>
      <c r="G1400" s="43" t="n">
        <v>1030</v>
      </c>
      <c r="H1400" s="43" t="n">
        <v>2863</v>
      </c>
      <c r="I1400" s="43" t="n">
        <v>1791</v>
      </c>
      <c r="J1400" s="43" t="n">
        <v>906</v>
      </c>
      <c r="K1400" s="42" t="inlineStr">
        <is>
          <t>US House</t>
        </is>
      </c>
      <c r="L1400" s="43" t="n">
        <v>1312</v>
      </c>
      <c r="M1400" s="43" t="n">
        <v>700</v>
      </c>
      <c r="N1400" s="43" t="n">
        <v>2021</v>
      </c>
      <c r="O1400" s="44">
        <f>IFERROR((F1400-G1400)/(F1400+G1400),"")</f>
        <v/>
      </c>
      <c r="P1400" s="44">
        <f>IFERROR((I1400-J1400)/(I1400+J1400),"")</f>
        <v/>
      </c>
      <c r="Q1400" s="45">
        <f>IFERROR(O1400-P1400,"")</f>
        <v/>
      </c>
      <c r="R1400" s="44">
        <f>IFERROR((L1400-M1400)/(L1400+M1400),"")</f>
        <v/>
      </c>
      <c r="S1400" s="46">
        <f>H1400/SUMIFS(Counties!$H$2:$H$1583,Counties!$A$2:$A$1583,$A1400)</f>
        <v/>
      </c>
      <c r="T1400" s="44">
        <f>O1400+INDEX(Dashboard!$F$6:$F$22,MATCH($A1400,Dashboard!$A$6:$A$22,0))</f>
        <v/>
      </c>
      <c r="U1400" s="43">
        <f>AQ1400*INDEX(Dashboard!$G$6:$G$22,MATCH($A1400,Dashboard!$A$6:$A$22,0))</f>
        <v/>
      </c>
      <c r="V1400" s="47" t="n"/>
      <c r="W1400" s="47" t="n"/>
      <c r="X1400" s="47" t="n"/>
      <c r="Y1400" s="48" t="n"/>
      <c r="Z1400" s="49" t="n"/>
      <c r="AA1400" s="49" t="n"/>
      <c r="AB1400" s="49" t="n"/>
      <c r="AC1400" s="50" t="n"/>
      <c r="AD1400" s="43">
        <f>IF(Z1400&lt;&gt;"",Z1400,N(V1400))</f>
        <v/>
      </c>
      <c r="AE1400" s="43">
        <f>IF(AA1400&lt;&gt;"",AA1400,N(W1400))</f>
        <v/>
      </c>
      <c r="AF1400" s="43">
        <f>AD1400+AE1400</f>
        <v/>
      </c>
      <c r="AG1400" s="42">
        <f>IF(UPPER(AC1400)="Y",1,IF(AF1400=0,0,IF(AND(Z1400="",Y1400&lt;&gt;""),IF(Y1400&gt;=0.999,1,0),IF(AF1400&gt;=U1400,1,0))))</f>
        <v/>
      </c>
      <c r="AH1400" s="44">
        <f>IF(AF1400&gt;0,(AD1400-AE1400)/AF1400,"")</f>
        <v/>
      </c>
      <c r="AI1400" s="45">
        <f>IF(AG1400=1,AH1400-O1400,"")</f>
        <v/>
      </c>
      <c r="AJ1400" s="44">
        <f>IF(AG1400=1,AH1400,MAX(-1,MIN(1,O1400+INDEX(Types!$H:$H,MATCH($A1400&amp;"|"&amp;$D1400,Types!$A:$A,0)))))</f>
        <v/>
      </c>
      <c r="AK1400" s="43">
        <f>IF(AG1400=1,AF1400,MAX(AQ1400*AS1400,AF1400))</f>
        <v/>
      </c>
      <c r="AL1400" s="43">
        <f>IF(AG1400=1,AD1400,AK1400*(1+AJ1400)/2)</f>
        <v/>
      </c>
      <c r="AM1400" s="43">
        <f>IF(AG1400=1,AE1400,AK1400*(1-AJ1400)/2)</f>
        <v/>
      </c>
      <c r="AN1400" s="45">
        <f>IF(AH1400="","",AH1400-T1400)</f>
        <v/>
      </c>
      <c r="AO1400" s="51">
        <f>IF(AG1400=1,1,IF(U1400&gt;0,MIN(AF1400/U1400,0.99),0))</f>
        <v/>
      </c>
      <c r="AP1400" s="43">
        <f>IF(AG1400=1,AI1400*AF1400,0)</f>
        <v/>
      </c>
      <c r="AQ1400" s="43">
        <f>N1400*(F1400+G1400)/H1400</f>
        <v/>
      </c>
      <c r="AR1400" s="43">
        <f>O1400*AQ1400</f>
        <v/>
      </c>
      <c r="AS1400" s="52">
        <f>IF(AG1400=1,IF(AQ1400&gt;0,AF1400/AQ1400,1),IFERROR(INDEX(Types!$K:$K,MATCH($A1400&amp;"|"&amp;$D1400,Types!$A:$A,0)),INDEX(Dashboard!$X$6:$X$22,MATCH($A1400,Dashboard!$A$6:$A$22,0))))</f>
        <v/>
      </c>
      <c r="AT1400" s="43">
        <f>AQ1400*INDEX(Dashboard!$Y$6:$Y$22,MATCH($A1400,Dashboard!$A$6:$A$22,0))</f>
        <v/>
      </c>
      <c r="AU1400" s="53">
        <f>IF(AND(AG1400=1,AT1400&gt;0,AF1400&gt;0),100*AF1400/AT1400,"")</f>
        <v/>
      </c>
      <c r="AV1400" s="44">
        <f>IF(AU1400="","",T1400/(AU1400/100))</f>
        <v/>
      </c>
      <c r="AW1400" s="53">
        <f>IF(AU1400="","",IF(AND(ABS(AH1400)&gt;=0.1,ABS(T1400)&gt;=0.05,SIGN(AH1400)=SIGN(T1400)),100*T1400/AH1400,""))</f>
        <v/>
      </c>
      <c r="AX1400" s="45">
        <f>IF(AU1400="","",T1400-AV1400)</f>
        <v/>
      </c>
      <c r="AY1400" s="45">
        <f>IF(AU1400="","",AH1400-AV1400)</f>
        <v/>
      </c>
      <c r="AZ1400" s="54">
        <f>(AL1400-AM1400)-T1400*AT1400</f>
        <v/>
      </c>
      <c r="BA1400" s="43">
        <f>IF(AU1400="",0,(AH1400-T1400)*AF1400)</f>
        <v/>
      </c>
      <c r="BB1400" s="43">
        <f>IF(AU1400="",0,T1400*(AF1400-AT1400))</f>
        <v/>
      </c>
      <c r="BC1400" s="51" t="n">
        <v>0.08607863974495218</v>
      </c>
      <c r="BD1400" s="51" t="n">
        <v>0.05154091392136025</v>
      </c>
      <c r="BE1400" s="51" t="n">
        <v>0.5730544447862196</v>
      </c>
      <c r="BF1400" s="43" t="n">
        <v>7528</v>
      </c>
    </row>
    <row r="1401">
      <c r="A1401" s="42" t="inlineStr">
        <is>
          <t>VA</t>
        </is>
      </c>
      <c r="B1401" s="42" t="inlineStr">
        <is>
          <t>51107</t>
        </is>
      </c>
      <c r="C1401" s="42" t="inlineStr">
        <is>
          <t>Loudoun</t>
        </is>
      </c>
      <c r="D1401" s="42" t="inlineStr">
        <is>
          <t>College suburb/metro</t>
        </is>
      </c>
      <c r="E1401" s="42" t="inlineStr">
        <is>
          <t>★</t>
        </is>
      </c>
      <c r="F1401" s="43" t="n">
        <v>129280</v>
      </c>
      <c r="G1401" s="43" t="n">
        <v>92107</v>
      </c>
      <c r="H1401" s="43" t="n">
        <v>228208</v>
      </c>
      <c r="I1401" s="43" t="n">
        <v>138372</v>
      </c>
      <c r="J1401" s="43" t="n">
        <v>82088</v>
      </c>
      <c r="K1401" s="42" t="inlineStr">
        <is>
          <t>US House</t>
        </is>
      </c>
      <c r="L1401" s="43" t="n">
        <v>94116</v>
      </c>
      <c r="M1401" s="43" t="n">
        <v>68505</v>
      </c>
      <c r="N1401" s="43" t="n">
        <v>162976</v>
      </c>
      <c r="O1401" s="44">
        <f>IFERROR((F1401-G1401)/(F1401+G1401),"")</f>
        <v/>
      </c>
      <c r="P1401" s="44">
        <f>IFERROR((I1401-J1401)/(I1401+J1401),"")</f>
        <v/>
      </c>
      <c r="Q1401" s="45">
        <f>IFERROR(O1401-P1401,"")</f>
        <v/>
      </c>
      <c r="R1401" s="44">
        <f>IFERROR((L1401-M1401)/(L1401+M1401),"")</f>
        <v/>
      </c>
      <c r="S1401" s="46">
        <f>H1401/SUMIFS(Counties!$H$2:$H$1583,Counties!$A$2:$A$1583,$A1401)</f>
        <v/>
      </c>
      <c r="T1401" s="44">
        <f>O1401+INDEX(Dashboard!$F$6:$F$22,MATCH($A1401,Dashboard!$A$6:$A$22,0))</f>
        <v/>
      </c>
      <c r="U1401" s="43">
        <f>AQ1401*INDEX(Dashboard!$G$6:$G$22,MATCH($A1401,Dashboard!$A$6:$A$22,0))</f>
        <v/>
      </c>
      <c r="V1401" s="47" t="n"/>
      <c r="W1401" s="47" t="n"/>
      <c r="X1401" s="47" t="n"/>
      <c r="Y1401" s="48" t="n"/>
      <c r="Z1401" s="49" t="n"/>
      <c r="AA1401" s="49" t="n"/>
      <c r="AB1401" s="49" t="n"/>
      <c r="AC1401" s="50" t="n"/>
      <c r="AD1401" s="43">
        <f>IF(Z1401&lt;&gt;"",Z1401,N(V1401))</f>
        <v/>
      </c>
      <c r="AE1401" s="43">
        <f>IF(AA1401&lt;&gt;"",AA1401,N(W1401))</f>
        <v/>
      </c>
      <c r="AF1401" s="43">
        <f>AD1401+AE1401</f>
        <v/>
      </c>
      <c r="AG1401" s="42">
        <f>IF(UPPER(AC1401)="Y",1,IF(AF1401=0,0,IF(AND(Z1401="",Y1401&lt;&gt;""),IF(Y1401&gt;=0.999,1,0),IF(AF1401&gt;=U1401,1,0))))</f>
        <v/>
      </c>
      <c r="AH1401" s="44">
        <f>IF(AF1401&gt;0,(AD1401-AE1401)/AF1401,"")</f>
        <v/>
      </c>
      <c r="AI1401" s="45">
        <f>IF(AG1401=1,AH1401-O1401,"")</f>
        <v/>
      </c>
      <c r="AJ1401" s="44">
        <f>IF(AG1401=1,AH1401,MAX(-1,MIN(1,O1401+INDEX(Types!$H:$H,MATCH($A1401&amp;"|"&amp;$D1401,Types!$A:$A,0)))))</f>
        <v/>
      </c>
      <c r="AK1401" s="43">
        <f>IF(AG1401=1,AF1401,MAX(AQ1401*AS1401,AF1401))</f>
        <v/>
      </c>
      <c r="AL1401" s="43">
        <f>IF(AG1401=1,AD1401,AK1401*(1+AJ1401)/2)</f>
        <v/>
      </c>
      <c r="AM1401" s="43">
        <f>IF(AG1401=1,AE1401,AK1401*(1-AJ1401)/2)</f>
        <v/>
      </c>
      <c r="AN1401" s="45">
        <f>IF(AH1401="","",AH1401-T1401)</f>
        <v/>
      </c>
      <c r="AO1401" s="51">
        <f>IF(AG1401=1,1,IF(U1401&gt;0,MIN(AF1401/U1401,0.99),0))</f>
        <v/>
      </c>
      <c r="AP1401" s="43">
        <f>IF(AG1401=1,AI1401*AF1401,0)</f>
        <v/>
      </c>
      <c r="AQ1401" s="43">
        <f>N1401*(F1401+G1401)/H1401</f>
        <v/>
      </c>
      <c r="AR1401" s="43">
        <f>O1401*AQ1401</f>
        <v/>
      </c>
      <c r="AS1401" s="52">
        <f>IF(AG1401=1,IF(AQ1401&gt;0,AF1401/AQ1401,1),IFERROR(INDEX(Types!$K:$K,MATCH($A1401&amp;"|"&amp;$D1401,Types!$A:$A,0)),INDEX(Dashboard!$X$6:$X$22,MATCH($A1401,Dashboard!$A$6:$A$22,0))))</f>
        <v/>
      </c>
      <c r="AT1401" s="43">
        <f>AQ1401*INDEX(Dashboard!$Y$6:$Y$22,MATCH($A1401,Dashboard!$A$6:$A$22,0))</f>
        <v/>
      </c>
      <c r="AU1401" s="53">
        <f>IF(AND(AG1401=1,AT1401&gt;0,AF1401&gt;0),100*AF1401/AT1401,"")</f>
        <v/>
      </c>
      <c r="AV1401" s="44">
        <f>IF(AU1401="","",T1401/(AU1401/100))</f>
        <v/>
      </c>
      <c r="AW1401" s="53">
        <f>IF(AU1401="","",IF(AND(ABS(AH1401)&gt;=0.1,ABS(T1401)&gt;=0.05,SIGN(AH1401)=SIGN(T1401)),100*T1401/AH1401,""))</f>
        <v/>
      </c>
      <c r="AX1401" s="45">
        <f>IF(AU1401="","",T1401-AV1401)</f>
        <v/>
      </c>
      <c r="AY1401" s="45">
        <f>IF(AU1401="","",AH1401-AV1401)</f>
        <v/>
      </c>
      <c r="AZ1401" s="54">
        <f>(AL1401-AM1401)-T1401*AT1401</f>
        <v/>
      </c>
      <c r="BA1401" s="43">
        <f>IF(AU1401="",0,(AH1401-T1401)*AF1401)</f>
        <v/>
      </c>
      <c r="BB1401" s="43">
        <f>IF(AU1401="",0,T1401*(AF1401-AT1401))</f>
        <v/>
      </c>
      <c r="BC1401" s="51" t="n">
        <v>0.07716106676567044</v>
      </c>
      <c r="BD1401" s="51" t="n">
        <v>0.1421391690558202</v>
      </c>
      <c r="BE1401" s="51" t="n">
        <v>0.6401374639552129</v>
      </c>
      <c r="BF1401" s="43" t="n">
        <v>436347</v>
      </c>
    </row>
    <row r="1402">
      <c r="A1402" s="42" t="inlineStr">
        <is>
          <t>VA</t>
        </is>
      </c>
      <c r="B1402" s="42" t="inlineStr">
        <is>
          <t>51109</t>
        </is>
      </c>
      <c r="C1402" s="42" t="inlineStr">
        <is>
          <t>Louisa</t>
        </is>
      </c>
      <c r="D1402" s="42" t="inlineStr">
        <is>
          <t>Small town &amp; rural</t>
        </is>
      </c>
      <c r="E1402" s="42" t="inlineStr"/>
      <c r="F1402" s="43" t="n">
        <v>8779</v>
      </c>
      <c r="G1402" s="43" t="n">
        <v>15084</v>
      </c>
      <c r="H1402" s="43" t="n">
        <v>24067</v>
      </c>
      <c r="I1402" s="43" t="n">
        <v>8269</v>
      </c>
      <c r="J1402" s="43" t="n">
        <v>13294</v>
      </c>
      <c r="K1402" s="42" t="inlineStr">
        <is>
          <t>US House</t>
        </is>
      </c>
      <c r="L1402" s="43" t="n">
        <v>5762</v>
      </c>
      <c r="M1402" s="43" t="n">
        <v>10511</v>
      </c>
      <c r="N1402" s="43" t="n">
        <v>16297</v>
      </c>
      <c r="O1402" s="44">
        <f>IFERROR((F1402-G1402)/(F1402+G1402),"")</f>
        <v/>
      </c>
      <c r="P1402" s="44">
        <f>IFERROR((I1402-J1402)/(I1402+J1402),"")</f>
        <v/>
      </c>
      <c r="Q1402" s="45">
        <f>IFERROR(O1402-P1402,"")</f>
        <v/>
      </c>
      <c r="R1402" s="44">
        <f>IFERROR((L1402-M1402)/(L1402+M1402),"")</f>
        <v/>
      </c>
      <c r="S1402" s="46">
        <f>H1402/SUMIFS(Counties!$H$2:$H$1583,Counties!$A$2:$A$1583,$A1402)</f>
        <v/>
      </c>
      <c r="T1402" s="44">
        <f>O1402+INDEX(Dashboard!$F$6:$F$22,MATCH($A1402,Dashboard!$A$6:$A$22,0))</f>
        <v/>
      </c>
      <c r="U1402" s="43">
        <f>AQ1402*INDEX(Dashboard!$G$6:$G$22,MATCH($A1402,Dashboard!$A$6:$A$22,0))</f>
        <v/>
      </c>
      <c r="V1402" s="47" t="n"/>
      <c r="W1402" s="47" t="n"/>
      <c r="X1402" s="47" t="n"/>
      <c r="Y1402" s="48" t="n"/>
      <c r="Z1402" s="49" t="n"/>
      <c r="AA1402" s="49" t="n"/>
      <c r="AB1402" s="49" t="n"/>
      <c r="AC1402" s="50" t="n"/>
      <c r="AD1402" s="43">
        <f>IF(Z1402&lt;&gt;"",Z1402,N(V1402))</f>
        <v/>
      </c>
      <c r="AE1402" s="43">
        <f>IF(AA1402&lt;&gt;"",AA1402,N(W1402))</f>
        <v/>
      </c>
      <c r="AF1402" s="43">
        <f>AD1402+AE1402</f>
        <v/>
      </c>
      <c r="AG1402" s="42">
        <f>IF(UPPER(AC1402)="Y",1,IF(AF1402=0,0,IF(AND(Z1402="",Y1402&lt;&gt;""),IF(Y1402&gt;=0.999,1,0),IF(AF1402&gt;=U1402,1,0))))</f>
        <v/>
      </c>
      <c r="AH1402" s="44">
        <f>IF(AF1402&gt;0,(AD1402-AE1402)/AF1402,"")</f>
        <v/>
      </c>
      <c r="AI1402" s="45">
        <f>IF(AG1402=1,AH1402-O1402,"")</f>
        <v/>
      </c>
      <c r="AJ1402" s="44">
        <f>IF(AG1402=1,AH1402,MAX(-1,MIN(1,O1402+INDEX(Types!$H:$H,MATCH($A1402&amp;"|"&amp;$D1402,Types!$A:$A,0)))))</f>
        <v/>
      </c>
      <c r="AK1402" s="43">
        <f>IF(AG1402=1,AF1402,MAX(AQ1402*AS1402,AF1402))</f>
        <v/>
      </c>
      <c r="AL1402" s="43">
        <f>IF(AG1402=1,AD1402,AK1402*(1+AJ1402)/2)</f>
        <v/>
      </c>
      <c r="AM1402" s="43">
        <f>IF(AG1402=1,AE1402,AK1402*(1-AJ1402)/2)</f>
        <v/>
      </c>
      <c r="AN1402" s="45">
        <f>IF(AH1402="","",AH1402-T1402)</f>
        <v/>
      </c>
      <c r="AO1402" s="51">
        <f>IF(AG1402=1,1,IF(U1402&gt;0,MIN(AF1402/U1402,0.99),0))</f>
        <v/>
      </c>
      <c r="AP1402" s="43">
        <f>IF(AG1402=1,AI1402*AF1402,0)</f>
        <v/>
      </c>
      <c r="AQ1402" s="43">
        <f>N1402*(F1402+G1402)/H1402</f>
        <v/>
      </c>
      <c r="AR1402" s="43">
        <f>O1402*AQ1402</f>
        <v/>
      </c>
      <c r="AS1402" s="52">
        <f>IF(AG1402=1,IF(AQ1402&gt;0,AF1402/AQ1402,1),IFERROR(INDEX(Types!$K:$K,MATCH($A1402&amp;"|"&amp;$D1402,Types!$A:$A,0)),INDEX(Dashboard!$X$6:$X$22,MATCH($A1402,Dashboard!$A$6:$A$22,0))))</f>
        <v/>
      </c>
      <c r="AT1402" s="43">
        <f>AQ1402*INDEX(Dashboard!$Y$6:$Y$22,MATCH($A1402,Dashboard!$A$6:$A$22,0))</f>
        <v/>
      </c>
      <c r="AU1402" s="53">
        <f>IF(AND(AG1402=1,AT1402&gt;0,AF1402&gt;0),100*AF1402/AT1402,"")</f>
        <v/>
      </c>
      <c r="AV1402" s="44">
        <f>IF(AU1402="","",T1402/(AU1402/100))</f>
        <v/>
      </c>
      <c r="AW1402" s="53">
        <f>IF(AU1402="","",IF(AND(ABS(AH1402)&gt;=0.1,ABS(T1402)&gt;=0.05,SIGN(AH1402)=SIGN(T1402)),100*T1402/AH1402,""))</f>
        <v/>
      </c>
      <c r="AX1402" s="45">
        <f>IF(AU1402="","",T1402-AV1402)</f>
        <v/>
      </c>
      <c r="AY1402" s="45">
        <f>IF(AU1402="","",AH1402-AV1402)</f>
        <v/>
      </c>
      <c r="AZ1402" s="54">
        <f>(AL1402-AM1402)-T1402*AT1402</f>
        <v/>
      </c>
      <c r="BA1402" s="43">
        <f>IF(AU1402="",0,(AH1402-T1402)*AF1402)</f>
        <v/>
      </c>
      <c r="BB1402" s="43">
        <f>IF(AU1402="",0,T1402*(AF1402-AT1402))</f>
        <v/>
      </c>
      <c r="BC1402" s="51" t="n">
        <v>0.1436752199234837</v>
      </c>
      <c r="BD1402" s="51" t="n">
        <v>0.04354606818237201</v>
      </c>
      <c r="BE1402" s="51" t="n">
        <v>0.2765369962601796</v>
      </c>
      <c r="BF1402" s="43" t="n">
        <v>41037</v>
      </c>
    </row>
    <row r="1403">
      <c r="A1403" s="42" t="inlineStr">
        <is>
          <t>VA</t>
        </is>
      </c>
      <c r="B1403" s="42" t="inlineStr">
        <is>
          <t>51111</t>
        </is>
      </c>
      <c r="C1403" s="42" t="inlineStr">
        <is>
          <t>Lunenburg</t>
        </is>
      </c>
      <c r="D1403" s="42" t="inlineStr">
        <is>
          <t>Small town &amp; rural</t>
        </is>
      </c>
      <c r="E1403" s="42" t="inlineStr"/>
      <c r="F1403" s="43" t="n">
        <v>2253</v>
      </c>
      <c r="G1403" s="43" t="n">
        <v>3594</v>
      </c>
      <c r="H1403" s="43" t="n">
        <v>5879</v>
      </c>
      <c r="I1403" s="43" t="n">
        <v>2418</v>
      </c>
      <c r="J1403" s="43" t="n">
        <v>3537</v>
      </c>
      <c r="K1403" s="42" t="inlineStr">
        <is>
          <t>US House</t>
        </is>
      </c>
      <c r="L1403" s="43" t="n">
        <v>1440</v>
      </c>
      <c r="M1403" s="43" t="n">
        <v>2658</v>
      </c>
      <c r="N1403" s="43" t="n">
        <v>4100</v>
      </c>
      <c r="O1403" s="44">
        <f>IFERROR((F1403-G1403)/(F1403+G1403),"")</f>
        <v/>
      </c>
      <c r="P1403" s="44">
        <f>IFERROR((I1403-J1403)/(I1403+J1403),"")</f>
        <v/>
      </c>
      <c r="Q1403" s="45">
        <f>IFERROR(O1403-P1403,"")</f>
        <v/>
      </c>
      <c r="R1403" s="44">
        <f>IFERROR((L1403-M1403)/(L1403+M1403),"")</f>
        <v/>
      </c>
      <c r="S1403" s="46">
        <f>H1403/SUMIFS(Counties!$H$2:$H$1583,Counties!$A$2:$A$1583,$A1403)</f>
        <v/>
      </c>
      <c r="T1403" s="44">
        <f>O1403+INDEX(Dashboard!$F$6:$F$22,MATCH($A1403,Dashboard!$A$6:$A$22,0))</f>
        <v/>
      </c>
      <c r="U1403" s="43">
        <f>AQ1403*INDEX(Dashboard!$G$6:$G$22,MATCH($A1403,Dashboard!$A$6:$A$22,0))</f>
        <v/>
      </c>
      <c r="V1403" s="47" t="n"/>
      <c r="W1403" s="47" t="n"/>
      <c r="X1403" s="47" t="n"/>
      <c r="Y1403" s="48" t="n"/>
      <c r="Z1403" s="49" t="n"/>
      <c r="AA1403" s="49" t="n"/>
      <c r="AB1403" s="49" t="n"/>
      <c r="AC1403" s="50" t="n"/>
      <c r="AD1403" s="43">
        <f>IF(Z1403&lt;&gt;"",Z1403,N(V1403))</f>
        <v/>
      </c>
      <c r="AE1403" s="43">
        <f>IF(AA1403&lt;&gt;"",AA1403,N(W1403))</f>
        <v/>
      </c>
      <c r="AF1403" s="43">
        <f>AD1403+AE1403</f>
        <v/>
      </c>
      <c r="AG1403" s="42">
        <f>IF(UPPER(AC1403)="Y",1,IF(AF1403=0,0,IF(AND(Z1403="",Y1403&lt;&gt;""),IF(Y1403&gt;=0.999,1,0),IF(AF1403&gt;=U1403,1,0))))</f>
        <v/>
      </c>
      <c r="AH1403" s="44">
        <f>IF(AF1403&gt;0,(AD1403-AE1403)/AF1403,"")</f>
        <v/>
      </c>
      <c r="AI1403" s="45">
        <f>IF(AG1403=1,AH1403-O1403,"")</f>
        <v/>
      </c>
      <c r="AJ1403" s="44">
        <f>IF(AG1403=1,AH1403,MAX(-1,MIN(1,O1403+INDEX(Types!$H:$H,MATCH($A1403&amp;"|"&amp;$D1403,Types!$A:$A,0)))))</f>
        <v/>
      </c>
      <c r="AK1403" s="43">
        <f>IF(AG1403=1,AF1403,MAX(AQ1403*AS1403,AF1403))</f>
        <v/>
      </c>
      <c r="AL1403" s="43">
        <f>IF(AG1403=1,AD1403,AK1403*(1+AJ1403)/2)</f>
        <v/>
      </c>
      <c r="AM1403" s="43">
        <f>IF(AG1403=1,AE1403,AK1403*(1-AJ1403)/2)</f>
        <v/>
      </c>
      <c r="AN1403" s="45">
        <f>IF(AH1403="","",AH1403-T1403)</f>
        <v/>
      </c>
      <c r="AO1403" s="51">
        <f>IF(AG1403=1,1,IF(U1403&gt;0,MIN(AF1403/U1403,0.99),0))</f>
        <v/>
      </c>
      <c r="AP1403" s="43">
        <f>IF(AG1403=1,AI1403*AF1403,0)</f>
        <v/>
      </c>
      <c r="AQ1403" s="43">
        <f>N1403*(F1403+G1403)/H1403</f>
        <v/>
      </c>
      <c r="AR1403" s="43">
        <f>O1403*AQ1403</f>
        <v/>
      </c>
      <c r="AS1403" s="52">
        <f>IF(AG1403=1,IF(AQ1403&gt;0,AF1403/AQ1403,1),IFERROR(INDEX(Types!$K:$K,MATCH($A1403&amp;"|"&amp;$D1403,Types!$A:$A,0)),INDEX(Dashboard!$X$6:$X$22,MATCH($A1403,Dashboard!$A$6:$A$22,0))))</f>
        <v/>
      </c>
      <c r="AT1403" s="43">
        <f>AQ1403*INDEX(Dashboard!$Y$6:$Y$22,MATCH($A1403,Dashboard!$A$6:$A$22,0))</f>
        <v/>
      </c>
      <c r="AU1403" s="53">
        <f>IF(AND(AG1403=1,AT1403&gt;0,AF1403&gt;0),100*AF1403/AT1403,"")</f>
        <v/>
      </c>
      <c r="AV1403" s="44">
        <f>IF(AU1403="","",T1403/(AU1403/100))</f>
        <v/>
      </c>
      <c r="AW1403" s="53">
        <f>IF(AU1403="","",IF(AND(ABS(AH1403)&gt;=0.1,ABS(T1403)&gt;=0.05,SIGN(AH1403)=SIGN(T1403)),100*T1403/AH1403,""))</f>
        <v/>
      </c>
      <c r="AX1403" s="45">
        <f>IF(AU1403="","",T1403-AV1403)</f>
        <v/>
      </c>
      <c r="AY1403" s="45">
        <f>IF(AU1403="","",AH1403-AV1403)</f>
        <v/>
      </c>
      <c r="AZ1403" s="54">
        <f>(AL1403-AM1403)-T1403*AT1403</f>
        <v/>
      </c>
      <c r="BA1403" s="43">
        <f>IF(AU1403="",0,(AH1403-T1403)*AF1403)</f>
        <v/>
      </c>
      <c r="BB1403" s="43">
        <f>IF(AU1403="",0,T1403*(AF1403-AT1403))</f>
        <v/>
      </c>
      <c r="BC1403" s="51" t="n">
        <v>0.3178268815417843</v>
      </c>
      <c r="BD1403" s="51" t="n">
        <v>0.06537630835686992</v>
      </c>
      <c r="BE1403" s="51" t="n">
        <v>0.1119235095613048</v>
      </c>
      <c r="BF1403" s="43" t="n">
        <v>12038</v>
      </c>
    </row>
    <row r="1404">
      <c r="A1404" s="42" t="inlineStr">
        <is>
          <t>VA</t>
        </is>
      </c>
      <c r="B1404" s="42" t="inlineStr">
        <is>
          <t>51680</t>
        </is>
      </c>
      <c r="C1404" s="42" t="inlineStr">
        <is>
          <t>Lynchburg city</t>
        </is>
      </c>
      <c r="D1404" s="42" t="inlineStr">
        <is>
          <t>Small town &amp; rural</t>
        </is>
      </c>
      <c r="E1404" s="42" t="inlineStr"/>
      <c r="F1404" s="43" t="n">
        <v>16664</v>
      </c>
      <c r="G1404" s="43" t="n">
        <v>19574</v>
      </c>
      <c r="H1404" s="43" t="n">
        <v>36715</v>
      </c>
      <c r="I1404" s="43" t="n">
        <v>18048</v>
      </c>
      <c r="J1404" s="43" t="n">
        <v>17097</v>
      </c>
      <c r="K1404" s="42" t="inlineStr">
        <is>
          <t>US House</t>
        </is>
      </c>
      <c r="L1404" s="43" t="n">
        <v>10840</v>
      </c>
      <c r="M1404" s="43" t="n">
        <v>12508</v>
      </c>
      <c r="N1404" s="43" t="n">
        <v>23419</v>
      </c>
      <c r="O1404" s="44">
        <f>IFERROR((F1404-G1404)/(F1404+G1404),"")</f>
        <v/>
      </c>
      <c r="P1404" s="44">
        <f>IFERROR((I1404-J1404)/(I1404+J1404),"")</f>
        <v/>
      </c>
      <c r="Q1404" s="45">
        <f>IFERROR(O1404-P1404,"")</f>
        <v/>
      </c>
      <c r="R1404" s="44">
        <f>IFERROR((L1404-M1404)/(L1404+M1404),"")</f>
        <v/>
      </c>
      <c r="S1404" s="46">
        <f>H1404/SUMIFS(Counties!$H$2:$H$1583,Counties!$A$2:$A$1583,$A1404)</f>
        <v/>
      </c>
      <c r="T1404" s="44">
        <f>O1404+INDEX(Dashboard!$F$6:$F$22,MATCH($A1404,Dashboard!$A$6:$A$22,0))</f>
        <v/>
      </c>
      <c r="U1404" s="43">
        <f>AQ1404*INDEX(Dashboard!$G$6:$G$22,MATCH($A1404,Dashboard!$A$6:$A$22,0))</f>
        <v/>
      </c>
      <c r="V1404" s="47" t="n"/>
      <c r="W1404" s="47" t="n"/>
      <c r="X1404" s="47" t="n"/>
      <c r="Y1404" s="48" t="n"/>
      <c r="Z1404" s="49" t="n"/>
      <c r="AA1404" s="49" t="n"/>
      <c r="AB1404" s="49" t="n"/>
      <c r="AC1404" s="50" t="n"/>
      <c r="AD1404" s="43">
        <f>IF(Z1404&lt;&gt;"",Z1404,N(V1404))</f>
        <v/>
      </c>
      <c r="AE1404" s="43">
        <f>IF(AA1404&lt;&gt;"",AA1404,N(W1404))</f>
        <v/>
      </c>
      <c r="AF1404" s="43">
        <f>AD1404+AE1404</f>
        <v/>
      </c>
      <c r="AG1404" s="42">
        <f>IF(UPPER(AC1404)="Y",1,IF(AF1404=0,0,IF(AND(Z1404="",Y1404&lt;&gt;""),IF(Y1404&gt;=0.999,1,0),IF(AF1404&gt;=U1404,1,0))))</f>
        <v/>
      </c>
      <c r="AH1404" s="44">
        <f>IF(AF1404&gt;0,(AD1404-AE1404)/AF1404,"")</f>
        <v/>
      </c>
      <c r="AI1404" s="45">
        <f>IF(AG1404=1,AH1404-O1404,"")</f>
        <v/>
      </c>
      <c r="AJ1404" s="44">
        <f>IF(AG1404=1,AH1404,MAX(-1,MIN(1,O1404+INDEX(Types!$H:$H,MATCH($A1404&amp;"|"&amp;$D1404,Types!$A:$A,0)))))</f>
        <v/>
      </c>
      <c r="AK1404" s="43">
        <f>IF(AG1404=1,AF1404,MAX(AQ1404*AS1404,AF1404))</f>
        <v/>
      </c>
      <c r="AL1404" s="43">
        <f>IF(AG1404=1,AD1404,AK1404*(1+AJ1404)/2)</f>
        <v/>
      </c>
      <c r="AM1404" s="43">
        <f>IF(AG1404=1,AE1404,AK1404*(1-AJ1404)/2)</f>
        <v/>
      </c>
      <c r="AN1404" s="45">
        <f>IF(AH1404="","",AH1404-T1404)</f>
        <v/>
      </c>
      <c r="AO1404" s="51">
        <f>IF(AG1404=1,1,IF(U1404&gt;0,MIN(AF1404/U1404,0.99),0))</f>
        <v/>
      </c>
      <c r="AP1404" s="43">
        <f>IF(AG1404=1,AI1404*AF1404,0)</f>
        <v/>
      </c>
      <c r="AQ1404" s="43">
        <f>N1404*(F1404+G1404)/H1404</f>
        <v/>
      </c>
      <c r="AR1404" s="43">
        <f>O1404*AQ1404</f>
        <v/>
      </c>
      <c r="AS1404" s="52">
        <f>IF(AG1404=1,IF(AQ1404&gt;0,AF1404/AQ1404,1),IFERROR(INDEX(Types!$K:$K,MATCH($A1404&amp;"|"&amp;$D1404,Types!$A:$A,0)),INDEX(Dashboard!$X$6:$X$22,MATCH($A1404,Dashboard!$A$6:$A$22,0))))</f>
        <v/>
      </c>
      <c r="AT1404" s="43">
        <f>AQ1404*INDEX(Dashboard!$Y$6:$Y$22,MATCH($A1404,Dashboard!$A$6:$A$22,0))</f>
        <v/>
      </c>
      <c r="AU1404" s="53">
        <f>IF(AND(AG1404=1,AT1404&gt;0,AF1404&gt;0),100*AF1404/AT1404,"")</f>
        <v/>
      </c>
      <c r="AV1404" s="44">
        <f>IF(AU1404="","",T1404/(AU1404/100))</f>
        <v/>
      </c>
      <c r="AW1404" s="53">
        <f>IF(AU1404="","",IF(AND(ABS(AH1404)&gt;=0.1,ABS(T1404)&gt;=0.05,SIGN(AH1404)=SIGN(T1404)),100*T1404/AH1404,""))</f>
        <v/>
      </c>
      <c r="AX1404" s="45">
        <f>IF(AU1404="","",T1404-AV1404)</f>
        <v/>
      </c>
      <c r="AY1404" s="45">
        <f>IF(AU1404="","",AH1404-AV1404)</f>
        <v/>
      </c>
      <c r="AZ1404" s="54">
        <f>(AL1404-AM1404)-T1404*AT1404</f>
        <v/>
      </c>
      <c r="BA1404" s="43">
        <f>IF(AU1404="",0,(AH1404-T1404)*AF1404)</f>
        <v/>
      </c>
      <c r="BB1404" s="43">
        <f>IF(AU1404="",0,T1404*(AF1404-AT1404))</f>
        <v/>
      </c>
      <c r="BC1404" s="51" t="n">
        <v>0.2739800088011567</v>
      </c>
      <c r="BD1404" s="51" t="n">
        <v>0.05124787829257559</v>
      </c>
      <c r="BE1404" s="51" t="n">
        <v>0.3853511765762529</v>
      </c>
      <c r="BF1404" s="43" t="n">
        <v>79535</v>
      </c>
    </row>
    <row r="1405">
      <c r="A1405" s="42" t="inlineStr">
        <is>
          <t>VA</t>
        </is>
      </c>
      <c r="B1405" s="42" t="inlineStr">
        <is>
          <t>51113</t>
        </is>
      </c>
      <c r="C1405" s="42" t="inlineStr">
        <is>
          <t>Madison</t>
        </is>
      </c>
      <c r="D1405" s="42" t="inlineStr">
        <is>
          <t>Small town &amp; rural</t>
        </is>
      </c>
      <c r="E1405" s="42" t="inlineStr"/>
      <c r="F1405" s="43" t="n">
        <v>2700</v>
      </c>
      <c r="G1405" s="43" t="n">
        <v>5671</v>
      </c>
      <c r="H1405" s="43" t="n">
        <v>8439</v>
      </c>
      <c r="I1405" s="43" t="n">
        <v>2698</v>
      </c>
      <c r="J1405" s="43" t="n">
        <v>5300</v>
      </c>
      <c r="K1405" s="42" t="inlineStr">
        <is>
          <t>US House</t>
        </is>
      </c>
      <c r="L1405" s="43" t="n">
        <v>2320</v>
      </c>
      <c r="M1405" s="43" t="n">
        <v>4143</v>
      </c>
      <c r="N1405" s="43" t="n">
        <v>6471</v>
      </c>
      <c r="O1405" s="44">
        <f>IFERROR((F1405-G1405)/(F1405+G1405),"")</f>
        <v/>
      </c>
      <c r="P1405" s="44">
        <f>IFERROR((I1405-J1405)/(I1405+J1405),"")</f>
        <v/>
      </c>
      <c r="Q1405" s="45">
        <f>IFERROR(O1405-P1405,"")</f>
        <v/>
      </c>
      <c r="R1405" s="44">
        <f>IFERROR((L1405-M1405)/(L1405+M1405),"")</f>
        <v/>
      </c>
      <c r="S1405" s="46">
        <f>H1405/SUMIFS(Counties!$H$2:$H$1583,Counties!$A$2:$A$1583,$A1405)</f>
        <v/>
      </c>
      <c r="T1405" s="44">
        <f>O1405+INDEX(Dashboard!$F$6:$F$22,MATCH($A1405,Dashboard!$A$6:$A$22,0))</f>
        <v/>
      </c>
      <c r="U1405" s="43">
        <f>AQ1405*INDEX(Dashboard!$G$6:$G$22,MATCH($A1405,Dashboard!$A$6:$A$22,0))</f>
        <v/>
      </c>
      <c r="V1405" s="47" t="n"/>
      <c r="W1405" s="47" t="n"/>
      <c r="X1405" s="47" t="n"/>
      <c r="Y1405" s="48" t="n"/>
      <c r="Z1405" s="49" t="n"/>
      <c r="AA1405" s="49" t="n"/>
      <c r="AB1405" s="49" t="n"/>
      <c r="AC1405" s="50" t="n"/>
      <c r="AD1405" s="43">
        <f>IF(Z1405&lt;&gt;"",Z1405,N(V1405))</f>
        <v/>
      </c>
      <c r="AE1405" s="43">
        <f>IF(AA1405&lt;&gt;"",AA1405,N(W1405))</f>
        <v/>
      </c>
      <c r="AF1405" s="43">
        <f>AD1405+AE1405</f>
        <v/>
      </c>
      <c r="AG1405" s="42">
        <f>IF(UPPER(AC1405)="Y",1,IF(AF1405=0,0,IF(AND(Z1405="",Y1405&lt;&gt;""),IF(Y1405&gt;=0.999,1,0),IF(AF1405&gt;=U1405,1,0))))</f>
        <v/>
      </c>
      <c r="AH1405" s="44">
        <f>IF(AF1405&gt;0,(AD1405-AE1405)/AF1405,"")</f>
        <v/>
      </c>
      <c r="AI1405" s="45">
        <f>IF(AG1405=1,AH1405-O1405,"")</f>
        <v/>
      </c>
      <c r="AJ1405" s="44">
        <f>IF(AG1405=1,AH1405,MAX(-1,MIN(1,O1405+INDEX(Types!$H:$H,MATCH($A1405&amp;"|"&amp;$D1405,Types!$A:$A,0)))))</f>
        <v/>
      </c>
      <c r="AK1405" s="43">
        <f>IF(AG1405=1,AF1405,MAX(AQ1405*AS1405,AF1405))</f>
        <v/>
      </c>
      <c r="AL1405" s="43">
        <f>IF(AG1405=1,AD1405,AK1405*(1+AJ1405)/2)</f>
        <v/>
      </c>
      <c r="AM1405" s="43">
        <f>IF(AG1405=1,AE1405,AK1405*(1-AJ1405)/2)</f>
        <v/>
      </c>
      <c r="AN1405" s="45">
        <f>IF(AH1405="","",AH1405-T1405)</f>
        <v/>
      </c>
      <c r="AO1405" s="51">
        <f>IF(AG1405=1,1,IF(U1405&gt;0,MIN(AF1405/U1405,0.99),0))</f>
        <v/>
      </c>
      <c r="AP1405" s="43">
        <f>IF(AG1405=1,AI1405*AF1405,0)</f>
        <v/>
      </c>
      <c r="AQ1405" s="43">
        <f>N1405*(F1405+G1405)/H1405</f>
        <v/>
      </c>
      <c r="AR1405" s="43">
        <f>O1405*AQ1405</f>
        <v/>
      </c>
      <c r="AS1405" s="52">
        <f>IF(AG1405=1,IF(AQ1405&gt;0,AF1405/AQ1405,1),IFERROR(INDEX(Types!$K:$K,MATCH($A1405&amp;"|"&amp;$D1405,Types!$A:$A,0)),INDEX(Dashboard!$X$6:$X$22,MATCH($A1405,Dashboard!$A$6:$A$22,0))))</f>
        <v/>
      </c>
      <c r="AT1405" s="43">
        <f>AQ1405*INDEX(Dashboard!$Y$6:$Y$22,MATCH($A1405,Dashboard!$A$6:$A$22,0))</f>
        <v/>
      </c>
      <c r="AU1405" s="53">
        <f>IF(AND(AG1405=1,AT1405&gt;0,AF1405&gt;0),100*AF1405/AT1405,"")</f>
        <v/>
      </c>
      <c r="AV1405" s="44">
        <f>IF(AU1405="","",T1405/(AU1405/100))</f>
        <v/>
      </c>
      <c r="AW1405" s="53">
        <f>IF(AU1405="","",IF(AND(ABS(AH1405)&gt;=0.1,ABS(T1405)&gt;=0.05,SIGN(AH1405)=SIGN(T1405)),100*T1405/AH1405,""))</f>
        <v/>
      </c>
      <c r="AX1405" s="45">
        <f>IF(AU1405="","",T1405-AV1405)</f>
        <v/>
      </c>
      <c r="AY1405" s="45">
        <f>IF(AU1405="","",AH1405-AV1405)</f>
        <v/>
      </c>
      <c r="AZ1405" s="54">
        <f>(AL1405-AM1405)-T1405*AT1405</f>
        <v/>
      </c>
      <c r="BA1405" s="43">
        <f>IF(AU1405="",0,(AH1405-T1405)*AF1405)</f>
        <v/>
      </c>
      <c r="BB1405" s="43">
        <f>IF(AU1405="",0,T1405*(AF1405-AT1405))</f>
        <v/>
      </c>
      <c r="BC1405" s="51" t="n">
        <v>0.08359286523216308</v>
      </c>
      <c r="BD1405" s="51" t="n">
        <v>0.04253963759909399</v>
      </c>
      <c r="BE1405" s="51" t="n">
        <v>0.2761135199054001</v>
      </c>
      <c r="BF1405" s="43" t="n">
        <v>14128</v>
      </c>
    </row>
    <row r="1406">
      <c r="A1406" s="42" t="inlineStr">
        <is>
          <t>VA</t>
        </is>
      </c>
      <c r="B1406" s="42" t="inlineStr">
        <is>
          <t>51685</t>
        </is>
      </c>
      <c r="C1406" s="42" t="inlineStr">
        <is>
          <t>Manassas Park city</t>
        </is>
      </c>
      <c r="D1406" s="42" t="inlineStr">
        <is>
          <t>Hispanic</t>
        </is>
      </c>
      <c r="E1406" s="42" t="inlineStr"/>
      <c r="F1406" s="43" t="n">
        <v>3506</v>
      </c>
      <c r="G1406" s="43" t="n">
        <v>2314</v>
      </c>
      <c r="H1406" s="43" t="n">
        <v>5967</v>
      </c>
      <c r="I1406" s="43" t="n">
        <v>3992</v>
      </c>
      <c r="J1406" s="43" t="n">
        <v>1979</v>
      </c>
      <c r="K1406" s="42" t="inlineStr">
        <is>
          <t>US House</t>
        </is>
      </c>
      <c r="L1406" s="43" t="n">
        <v>2041</v>
      </c>
      <c r="M1406" s="43" t="n">
        <v>1304</v>
      </c>
      <c r="N1406" s="43" t="n">
        <v>3352</v>
      </c>
      <c r="O1406" s="44">
        <f>IFERROR((F1406-G1406)/(F1406+G1406),"")</f>
        <v/>
      </c>
      <c r="P1406" s="44">
        <f>IFERROR((I1406-J1406)/(I1406+J1406),"")</f>
        <v/>
      </c>
      <c r="Q1406" s="45">
        <f>IFERROR(O1406-P1406,"")</f>
        <v/>
      </c>
      <c r="R1406" s="44">
        <f>IFERROR((L1406-M1406)/(L1406+M1406),"")</f>
        <v/>
      </c>
      <c r="S1406" s="46">
        <f>H1406/SUMIFS(Counties!$H$2:$H$1583,Counties!$A$2:$A$1583,$A1406)</f>
        <v/>
      </c>
      <c r="T1406" s="44">
        <f>O1406+INDEX(Dashboard!$F$6:$F$22,MATCH($A1406,Dashboard!$A$6:$A$22,0))</f>
        <v/>
      </c>
      <c r="U1406" s="43">
        <f>AQ1406*INDEX(Dashboard!$G$6:$G$22,MATCH($A1406,Dashboard!$A$6:$A$22,0))</f>
        <v/>
      </c>
      <c r="V1406" s="47" t="n"/>
      <c r="W1406" s="47" t="n"/>
      <c r="X1406" s="47" t="n"/>
      <c r="Y1406" s="48" t="n"/>
      <c r="Z1406" s="49" t="n"/>
      <c r="AA1406" s="49" t="n"/>
      <c r="AB1406" s="49" t="n"/>
      <c r="AC1406" s="50" t="n"/>
      <c r="AD1406" s="43">
        <f>IF(Z1406&lt;&gt;"",Z1406,N(V1406))</f>
        <v/>
      </c>
      <c r="AE1406" s="43">
        <f>IF(AA1406&lt;&gt;"",AA1406,N(W1406))</f>
        <v/>
      </c>
      <c r="AF1406" s="43">
        <f>AD1406+AE1406</f>
        <v/>
      </c>
      <c r="AG1406" s="42">
        <f>IF(UPPER(AC1406)="Y",1,IF(AF1406=0,0,IF(AND(Z1406="",Y1406&lt;&gt;""),IF(Y1406&gt;=0.999,1,0),IF(AF1406&gt;=U1406,1,0))))</f>
        <v/>
      </c>
      <c r="AH1406" s="44">
        <f>IF(AF1406&gt;0,(AD1406-AE1406)/AF1406,"")</f>
        <v/>
      </c>
      <c r="AI1406" s="45">
        <f>IF(AG1406=1,AH1406-O1406,"")</f>
        <v/>
      </c>
      <c r="AJ1406" s="44">
        <f>IF(AG1406=1,AH1406,MAX(-1,MIN(1,O1406+INDEX(Types!$H:$H,MATCH($A1406&amp;"|"&amp;$D1406,Types!$A:$A,0)))))</f>
        <v/>
      </c>
      <c r="AK1406" s="43">
        <f>IF(AG1406=1,AF1406,MAX(AQ1406*AS1406,AF1406))</f>
        <v/>
      </c>
      <c r="AL1406" s="43">
        <f>IF(AG1406=1,AD1406,AK1406*(1+AJ1406)/2)</f>
        <v/>
      </c>
      <c r="AM1406" s="43">
        <f>IF(AG1406=1,AE1406,AK1406*(1-AJ1406)/2)</f>
        <v/>
      </c>
      <c r="AN1406" s="45">
        <f>IF(AH1406="","",AH1406-T1406)</f>
        <v/>
      </c>
      <c r="AO1406" s="51">
        <f>IF(AG1406=1,1,IF(U1406&gt;0,MIN(AF1406/U1406,0.99),0))</f>
        <v/>
      </c>
      <c r="AP1406" s="43">
        <f>IF(AG1406=1,AI1406*AF1406,0)</f>
        <v/>
      </c>
      <c r="AQ1406" s="43">
        <f>N1406*(F1406+G1406)/H1406</f>
        <v/>
      </c>
      <c r="AR1406" s="43">
        <f>O1406*AQ1406</f>
        <v/>
      </c>
      <c r="AS1406" s="52">
        <f>IF(AG1406=1,IF(AQ1406&gt;0,AF1406/AQ1406,1),IFERROR(INDEX(Types!$K:$K,MATCH($A1406&amp;"|"&amp;$D1406,Types!$A:$A,0)),INDEX(Dashboard!$X$6:$X$22,MATCH($A1406,Dashboard!$A$6:$A$22,0))))</f>
        <v/>
      </c>
      <c r="AT1406" s="43">
        <f>AQ1406*INDEX(Dashboard!$Y$6:$Y$22,MATCH($A1406,Dashboard!$A$6:$A$22,0))</f>
        <v/>
      </c>
      <c r="AU1406" s="53">
        <f>IF(AND(AG1406=1,AT1406&gt;0,AF1406&gt;0),100*AF1406/AT1406,"")</f>
        <v/>
      </c>
      <c r="AV1406" s="44">
        <f>IF(AU1406="","",T1406/(AU1406/100))</f>
        <v/>
      </c>
      <c r="AW1406" s="53">
        <f>IF(AU1406="","",IF(AND(ABS(AH1406)&gt;=0.1,ABS(T1406)&gt;=0.05,SIGN(AH1406)=SIGN(T1406)),100*T1406/AH1406,""))</f>
        <v/>
      </c>
      <c r="AX1406" s="45">
        <f>IF(AU1406="","",T1406-AV1406)</f>
        <v/>
      </c>
      <c r="AY1406" s="45">
        <f>IF(AU1406="","",AH1406-AV1406)</f>
        <v/>
      </c>
      <c r="AZ1406" s="54">
        <f>(AL1406-AM1406)-T1406*AT1406</f>
        <v/>
      </c>
      <c r="BA1406" s="43">
        <f>IF(AU1406="",0,(AH1406-T1406)*AF1406)</f>
        <v/>
      </c>
      <c r="BB1406" s="43">
        <f>IF(AU1406="",0,T1406*(AF1406-AT1406))</f>
        <v/>
      </c>
      <c r="BC1406" s="51" t="n">
        <v>0.1260314161726056</v>
      </c>
      <c r="BD1406" s="51" t="n">
        <v>0.4770490801295764</v>
      </c>
      <c r="BE1406" s="51" t="n">
        <v>0.2547861871533369</v>
      </c>
      <c r="BF1406" s="43" t="n">
        <v>16361</v>
      </c>
    </row>
    <row r="1407">
      <c r="A1407" s="42" t="inlineStr">
        <is>
          <t>VA</t>
        </is>
      </c>
      <c r="B1407" s="42" t="inlineStr">
        <is>
          <t>51683</t>
        </is>
      </c>
      <c r="C1407" s="42" t="inlineStr">
        <is>
          <t>Manassas city</t>
        </is>
      </c>
      <c r="D1407" s="42" t="inlineStr">
        <is>
          <t>Hispanic</t>
        </is>
      </c>
      <c r="E1407" s="42" t="inlineStr"/>
      <c r="F1407" s="43" t="n">
        <v>9048</v>
      </c>
      <c r="G1407" s="43" t="n">
        <v>6670</v>
      </c>
      <c r="H1407" s="43" t="n">
        <v>16021</v>
      </c>
      <c r="I1407" s="43" t="n">
        <v>10356</v>
      </c>
      <c r="J1407" s="43" t="n">
        <v>6256</v>
      </c>
      <c r="K1407" s="42" t="inlineStr">
        <is>
          <t>US House</t>
        </is>
      </c>
      <c r="L1407" s="43" t="n">
        <v>6029</v>
      </c>
      <c r="M1407" s="43" t="n">
        <v>4609</v>
      </c>
      <c r="N1407" s="43" t="n">
        <v>10653</v>
      </c>
      <c r="O1407" s="44">
        <f>IFERROR((F1407-G1407)/(F1407+G1407),"")</f>
        <v/>
      </c>
      <c r="P1407" s="44">
        <f>IFERROR((I1407-J1407)/(I1407+J1407),"")</f>
        <v/>
      </c>
      <c r="Q1407" s="45">
        <f>IFERROR(O1407-P1407,"")</f>
        <v/>
      </c>
      <c r="R1407" s="44">
        <f>IFERROR((L1407-M1407)/(L1407+M1407),"")</f>
        <v/>
      </c>
      <c r="S1407" s="46">
        <f>H1407/SUMIFS(Counties!$H$2:$H$1583,Counties!$A$2:$A$1583,$A1407)</f>
        <v/>
      </c>
      <c r="T1407" s="44">
        <f>O1407+INDEX(Dashboard!$F$6:$F$22,MATCH($A1407,Dashboard!$A$6:$A$22,0))</f>
        <v/>
      </c>
      <c r="U1407" s="43">
        <f>AQ1407*INDEX(Dashboard!$G$6:$G$22,MATCH($A1407,Dashboard!$A$6:$A$22,0))</f>
        <v/>
      </c>
      <c r="V1407" s="47" t="n"/>
      <c r="W1407" s="47" t="n"/>
      <c r="X1407" s="47" t="n"/>
      <c r="Y1407" s="48" t="n"/>
      <c r="Z1407" s="49" t="n"/>
      <c r="AA1407" s="49" t="n"/>
      <c r="AB1407" s="49" t="n"/>
      <c r="AC1407" s="50" t="n"/>
      <c r="AD1407" s="43">
        <f>IF(Z1407&lt;&gt;"",Z1407,N(V1407))</f>
        <v/>
      </c>
      <c r="AE1407" s="43">
        <f>IF(AA1407&lt;&gt;"",AA1407,N(W1407))</f>
        <v/>
      </c>
      <c r="AF1407" s="43">
        <f>AD1407+AE1407</f>
        <v/>
      </c>
      <c r="AG1407" s="42">
        <f>IF(UPPER(AC1407)="Y",1,IF(AF1407=0,0,IF(AND(Z1407="",Y1407&lt;&gt;""),IF(Y1407&gt;=0.999,1,0),IF(AF1407&gt;=U1407,1,0))))</f>
        <v/>
      </c>
      <c r="AH1407" s="44">
        <f>IF(AF1407&gt;0,(AD1407-AE1407)/AF1407,"")</f>
        <v/>
      </c>
      <c r="AI1407" s="45">
        <f>IF(AG1407=1,AH1407-O1407,"")</f>
        <v/>
      </c>
      <c r="AJ1407" s="44">
        <f>IF(AG1407=1,AH1407,MAX(-1,MIN(1,O1407+INDEX(Types!$H:$H,MATCH($A1407&amp;"|"&amp;$D1407,Types!$A:$A,0)))))</f>
        <v/>
      </c>
      <c r="AK1407" s="43">
        <f>IF(AG1407=1,AF1407,MAX(AQ1407*AS1407,AF1407))</f>
        <v/>
      </c>
      <c r="AL1407" s="43">
        <f>IF(AG1407=1,AD1407,AK1407*(1+AJ1407)/2)</f>
        <v/>
      </c>
      <c r="AM1407" s="43">
        <f>IF(AG1407=1,AE1407,AK1407*(1-AJ1407)/2)</f>
        <v/>
      </c>
      <c r="AN1407" s="45">
        <f>IF(AH1407="","",AH1407-T1407)</f>
        <v/>
      </c>
      <c r="AO1407" s="51">
        <f>IF(AG1407=1,1,IF(U1407&gt;0,MIN(AF1407/U1407,0.99),0))</f>
        <v/>
      </c>
      <c r="AP1407" s="43">
        <f>IF(AG1407=1,AI1407*AF1407,0)</f>
        <v/>
      </c>
      <c r="AQ1407" s="43">
        <f>N1407*(F1407+G1407)/H1407</f>
        <v/>
      </c>
      <c r="AR1407" s="43">
        <f>O1407*AQ1407</f>
        <v/>
      </c>
      <c r="AS1407" s="52">
        <f>IF(AG1407=1,IF(AQ1407&gt;0,AF1407/AQ1407,1),IFERROR(INDEX(Types!$K:$K,MATCH($A1407&amp;"|"&amp;$D1407,Types!$A:$A,0)),INDEX(Dashboard!$X$6:$X$22,MATCH($A1407,Dashboard!$A$6:$A$22,0))))</f>
        <v/>
      </c>
      <c r="AT1407" s="43">
        <f>AQ1407*INDEX(Dashboard!$Y$6:$Y$22,MATCH($A1407,Dashboard!$A$6:$A$22,0))</f>
        <v/>
      </c>
      <c r="AU1407" s="53">
        <f>IF(AND(AG1407=1,AT1407&gt;0,AF1407&gt;0),100*AF1407/AT1407,"")</f>
        <v/>
      </c>
      <c r="AV1407" s="44">
        <f>IF(AU1407="","",T1407/(AU1407/100))</f>
        <v/>
      </c>
      <c r="AW1407" s="53">
        <f>IF(AU1407="","",IF(AND(ABS(AH1407)&gt;=0.1,ABS(T1407)&gt;=0.05,SIGN(AH1407)=SIGN(T1407)),100*T1407/AH1407,""))</f>
        <v/>
      </c>
      <c r="AX1407" s="45">
        <f>IF(AU1407="","",T1407-AV1407)</f>
        <v/>
      </c>
      <c r="AY1407" s="45">
        <f>IF(AU1407="","",AH1407-AV1407)</f>
        <v/>
      </c>
      <c r="AZ1407" s="54">
        <f>(AL1407-AM1407)-T1407*AT1407</f>
        <v/>
      </c>
      <c r="BA1407" s="43">
        <f>IF(AU1407="",0,(AH1407-T1407)*AF1407)</f>
        <v/>
      </c>
      <c r="BB1407" s="43">
        <f>IF(AU1407="",0,T1407*(AF1407-AT1407))</f>
        <v/>
      </c>
      <c r="BC1407" s="51" t="n">
        <v>0.1258197489226157</v>
      </c>
      <c r="BD1407" s="51" t="n">
        <v>0.4435778527262507</v>
      </c>
      <c r="BE1407" s="51" t="n">
        <v>0.3324767454486228</v>
      </c>
      <c r="BF1407" s="43" t="n">
        <v>42696</v>
      </c>
    </row>
    <row r="1408">
      <c r="A1408" s="42" t="inlineStr">
        <is>
          <t>VA</t>
        </is>
      </c>
      <c r="B1408" s="42" t="inlineStr">
        <is>
          <t>51690</t>
        </is>
      </c>
      <c r="C1408" s="42" t="inlineStr">
        <is>
          <t>Martinsville city</t>
        </is>
      </c>
      <c r="D1408" s="42" t="inlineStr">
        <is>
          <t>Black Belt</t>
        </is>
      </c>
      <c r="E1408" s="42" t="inlineStr"/>
      <c r="F1408" s="43" t="n">
        <v>3435</v>
      </c>
      <c r="G1408" s="43" t="n">
        <v>2155</v>
      </c>
      <c r="H1408" s="43" t="n">
        <v>5658</v>
      </c>
      <c r="I1408" s="43" t="n">
        <v>3766</v>
      </c>
      <c r="J1408" s="43" t="n">
        <v>2165</v>
      </c>
      <c r="K1408" s="42" t="inlineStr">
        <is>
          <t>US House</t>
        </is>
      </c>
      <c r="L1408" s="43" t="n">
        <v>2032</v>
      </c>
      <c r="M1408" s="43" t="n">
        <v>1642</v>
      </c>
      <c r="N1408" s="43" t="n">
        <v>3683</v>
      </c>
      <c r="O1408" s="44">
        <f>IFERROR((F1408-G1408)/(F1408+G1408),"")</f>
        <v/>
      </c>
      <c r="P1408" s="44">
        <f>IFERROR((I1408-J1408)/(I1408+J1408),"")</f>
        <v/>
      </c>
      <c r="Q1408" s="45">
        <f>IFERROR(O1408-P1408,"")</f>
        <v/>
      </c>
      <c r="R1408" s="44">
        <f>IFERROR((L1408-M1408)/(L1408+M1408),"")</f>
        <v/>
      </c>
      <c r="S1408" s="46">
        <f>H1408/SUMIFS(Counties!$H$2:$H$1583,Counties!$A$2:$A$1583,$A1408)</f>
        <v/>
      </c>
      <c r="T1408" s="44">
        <f>O1408+INDEX(Dashboard!$F$6:$F$22,MATCH($A1408,Dashboard!$A$6:$A$22,0))</f>
        <v/>
      </c>
      <c r="U1408" s="43">
        <f>AQ1408*INDEX(Dashboard!$G$6:$G$22,MATCH($A1408,Dashboard!$A$6:$A$22,0))</f>
        <v/>
      </c>
      <c r="V1408" s="47" t="n"/>
      <c r="W1408" s="47" t="n"/>
      <c r="X1408" s="47" t="n"/>
      <c r="Y1408" s="48" t="n"/>
      <c r="Z1408" s="49" t="n"/>
      <c r="AA1408" s="49" t="n"/>
      <c r="AB1408" s="49" t="n"/>
      <c r="AC1408" s="50" t="n"/>
      <c r="AD1408" s="43">
        <f>IF(Z1408&lt;&gt;"",Z1408,N(V1408))</f>
        <v/>
      </c>
      <c r="AE1408" s="43">
        <f>IF(AA1408&lt;&gt;"",AA1408,N(W1408))</f>
        <v/>
      </c>
      <c r="AF1408" s="43">
        <f>AD1408+AE1408</f>
        <v/>
      </c>
      <c r="AG1408" s="42">
        <f>IF(UPPER(AC1408)="Y",1,IF(AF1408=0,0,IF(AND(Z1408="",Y1408&lt;&gt;""),IF(Y1408&gt;=0.999,1,0),IF(AF1408&gt;=U1408,1,0))))</f>
        <v/>
      </c>
      <c r="AH1408" s="44">
        <f>IF(AF1408&gt;0,(AD1408-AE1408)/AF1408,"")</f>
        <v/>
      </c>
      <c r="AI1408" s="45">
        <f>IF(AG1408=1,AH1408-O1408,"")</f>
        <v/>
      </c>
      <c r="AJ1408" s="44">
        <f>IF(AG1408=1,AH1408,MAX(-1,MIN(1,O1408+INDEX(Types!$H:$H,MATCH($A1408&amp;"|"&amp;$D1408,Types!$A:$A,0)))))</f>
        <v/>
      </c>
      <c r="AK1408" s="43">
        <f>IF(AG1408=1,AF1408,MAX(AQ1408*AS1408,AF1408))</f>
        <v/>
      </c>
      <c r="AL1408" s="43">
        <f>IF(AG1408=1,AD1408,AK1408*(1+AJ1408)/2)</f>
        <v/>
      </c>
      <c r="AM1408" s="43">
        <f>IF(AG1408=1,AE1408,AK1408*(1-AJ1408)/2)</f>
        <v/>
      </c>
      <c r="AN1408" s="45">
        <f>IF(AH1408="","",AH1408-T1408)</f>
        <v/>
      </c>
      <c r="AO1408" s="51">
        <f>IF(AG1408=1,1,IF(U1408&gt;0,MIN(AF1408/U1408,0.99),0))</f>
        <v/>
      </c>
      <c r="AP1408" s="43">
        <f>IF(AG1408=1,AI1408*AF1408,0)</f>
        <v/>
      </c>
      <c r="AQ1408" s="43">
        <f>N1408*(F1408+G1408)/H1408</f>
        <v/>
      </c>
      <c r="AR1408" s="43">
        <f>O1408*AQ1408</f>
        <v/>
      </c>
      <c r="AS1408" s="52">
        <f>IF(AG1408=1,IF(AQ1408&gt;0,AF1408/AQ1408,1),IFERROR(INDEX(Types!$K:$K,MATCH($A1408&amp;"|"&amp;$D1408,Types!$A:$A,0)),INDEX(Dashboard!$X$6:$X$22,MATCH($A1408,Dashboard!$A$6:$A$22,0))))</f>
        <v/>
      </c>
      <c r="AT1408" s="43">
        <f>AQ1408*INDEX(Dashboard!$Y$6:$Y$22,MATCH($A1408,Dashboard!$A$6:$A$22,0))</f>
        <v/>
      </c>
      <c r="AU1408" s="53">
        <f>IF(AND(AG1408=1,AT1408&gt;0,AF1408&gt;0),100*AF1408/AT1408,"")</f>
        <v/>
      </c>
      <c r="AV1408" s="44">
        <f>IF(AU1408="","",T1408/(AU1408/100))</f>
        <v/>
      </c>
      <c r="AW1408" s="53">
        <f>IF(AU1408="","",IF(AND(ABS(AH1408)&gt;=0.1,ABS(T1408)&gt;=0.05,SIGN(AH1408)=SIGN(T1408)),100*T1408/AH1408,""))</f>
        <v/>
      </c>
      <c r="AX1408" s="45">
        <f>IF(AU1408="","",T1408-AV1408)</f>
        <v/>
      </c>
      <c r="AY1408" s="45">
        <f>IF(AU1408="","",AH1408-AV1408)</f>
        <v/>
      </c>
      <c r="AZ1408" s="54">
        <f>(AL1408-AM1408)-T1408*AT1408</f>
        <v/>
      </c>
      <c r="BA1408" s="43">
        <f>IF(AU1408="",0,(AH1408-T1408)*AF1408)</f>
        <v/>
      </c>
      <c r="BB1408" s="43">
        <f>IF(AU1408="",0,T1408*(AF1408-AT1408))</f>
        <v/>
      </c>
      <c r="BC1408" s="51" t="n">
        <v>0.4526629368596963</v>
      </c>
      <c r="BD1408" s="51" t="n">
        <v>0.08610041415389087</v>
      </c>
      <c r="BE1408" s="51" t="n">
        <v>0.212481426448737</v>
      </c>
      <c r="BF1408" s="43" t="n">
        <v>13763</v>
      </c>
    </row>
    <row r="1409">
      <c r="A1409" s="42" t="inlineStr">
        <is>
          <t>VA</t>
        </is>
      </c>
      <c r="B1409" s="42" t="inlineStr">
        <is>
          <t>51115</t>
        </is>
      </c>
      <c r="C1409" s="42" t="inlineStr">
        <is>
          <t>Mathews</t>
        </is>
      </c>
      <c r="D1409" s="42" t="inlineStr">
        <is>
          <t>Small town &amp; rural</t>
        </is>
      </c>
      <c r="E1409" s="42" t="inlineStr"/>
      <c r="F1409" s="43" t="n">
        <v>1774</v>
      </c>
      <c r="G1409" s="43" t="n">
        <v>4106</v>
      </c>
      <c r="H1409" s="43" t="n">
        <v>5929</v>
      </c>
      <c r="I1409" s="43" t="n">
        <v>1825</v>
      </c>
      <c r="J1409" s="43" t="n">
        <v>3901</v>
      </c>
      <c r="K1409" s="42" t="inlineStr">
        <is>
          <t>US House</t>
        </is>
      </c>
      <c r="L1409" s="43" t="n">
        <v>1239</v>
      </c>
      <c r="M1409" s="43" t="n">
        <v>3065</v>
      </c>
      <c r="N1409" s="43" t="n">
        <v>4399</v>
      </c>
      <c r="O1409" s="44">
        <f>IFERROR((F1409-G1409)/(F1409+G1409),"")</f>
        <v/>
      </c>
      <c r="P1409" s="44">
        <f>IFERROR((I1409-J1409)/(I1409+J1409),"")</f>
        <v/>
      </c>
      <c r="Q1409" s="45">
        <f>IFERROR(O1409-P1409,"")</f>
        <v/>
      </c>
      <c r="R1409" s="44">
        <f>IFERROR((L1409-M1409)/(L1409+M1409),"")</f>
        <v/>
      </c>
      <c r="S1409" s="46">
        <f>H1409/SUMIFS(Counties!$H$2:$H$1583,Counties!$A$2:$A$1583,$A1409)</f>
        <v/>
      </c>
      <c r="T1409" s="44">
        <f>O1409+INDEX(Dashboard!$F$6:$F$22,MATCH($A1409,Dashboard!$A$6:$A$22,0))</f>
        <v/>
      </c>
      <c r="U1409" s="43">
        <f>AQ1409*INDEX(Dashboard!$G$6:$G$22,MATCH($A1409,Dashboard!$A$6:$A$22,0))</f>
        <v/>
      </c>
      <c r="V1409" s="47" t="n"/>
      <c r="W1409" s="47" t="n"/>
      <c r="X1409" s="47" t="n"/>
      <c r="Y1409" s="48" t="n"/>
      <c r="Z1409" s="49" t="n"/>
      <c r="AA1409" s="49" t="n"/>
      <c r="AB1409" s="49" t="n"/>
      <c r="AC1409" s="50" t="n"/>
      <c r="AD1409" s="43">
        <f>IF(Z1409&lt;&gt;"",Z1409,N(V1409))</f>
        <v/>
      </c>
      <c r="AE1409" s="43">
        <f>IF(AA1409&lt;&gt;"",AA1409,N(W1409))</f>
        <v/>
      </c>
      <c r="AF1409" s="43">
        <f>AD1409+AE1409</f>
        <v/>
      </c>
      <c r="AG1409" s="42">
        <f>IF(UPPER(AC1409)="Y",1,IF(AF1409=0,0,IF(AND(Z1409="",Y1409&lt;&gt;""),IF(Y1409&gt;=0.999,1,0),IF(AF1409&gt;=U1409,1,0))))</f>
        <v/>
      </c>
      <c r="AH1409" s="44">
        <f>IF(AF1409&gt;0,(AD1409-AE1409)/AF1409,"")</f>
        <v/>
      </c>
      <c r="AI1409" s="45">
        <f>IF(AG1409=1,AH1409-O1409,"")</f>
        <v/>
      </c>
      <c r="AJ1409" s="44">
        <f>IF(AG1409=1,AH1409,MAX(-1,MIN(1,O1409+INDEX(Types!$H:$H,MATCH($A1409&amp;"|"&amp;$D1409,Types!$A:$A,0)))))</f>
        <v/>
      </c>
      <c r="AK1409" s="43">
        <f>IF(AG1409=1,AF1409,MAX(AQ1409*AS1409,AF1409))</f>
        <v/>
      </c>
      <c r="AL1409" s="43">
        <f>IF(AG1409=1,AD1409,AK1409*(1+AJ1409)/2)</f>
        <v/>
      </c>
      <c r="AM1409" s="43">
        <f>IF(AG1409=1,AE1409,AK1409*(1-AJ1409)/2)</f>
        <v/>
      </c>
      <c r="AN1409" s="45">
        <f>IF(AH1409="","",AH1409-T1409)</f>
        <v/>
      </c>
      <c r="AO1409" s="51">
        <f>IF(AG1409=1,1,IF(U1409&gt;0,MIN(AF1409/U1409,0.99),0))</f>
        <v/>
      </c>
      <c r="AP1409" s="43">
        <f>IF(AG1409=1,AI1409*AF1409,0)</f>
        <v/>
      </c>
      <c r="AQ1409" s="43">
        <f>N1409*(F1409+G1409)/H1409</f>
        <v/>
      </c>
      <c r="AR1409" s="43">
        <f>O1409*AQ1409</f>
        <v/>
      </c>
      <c r="AS1409" s="52">
        <f>IF(AG1409=1,IF(AQ1409&gt;0,AF1409/AQ1409,1),IFERROR(INDEX(Types!$K:$K,MATCH($A1409&amp;"|"&amp;$D1409,Types!$A:$A,0)),INDEX(Dashboard!$X$6:$X$22,MATCH($A1409,Dashboard!$A$6:$A$22,0))))</f>
        <v/>
      </c>
      <c r="AT1409" s="43">
        <f>AQ1409*INDEX(Dashboard!$Y$6:$Y$22,MATCH($A1409,Dashboard!$A$6:$A$22,0))</f>
        <v/>
      </c>
      <c r="AU1409" s="53">
        <f>IF(AND(AG1409=1,AT1409&gt;0,AF1409&gt;0),100*AF1409/AT1409,"")</f>
        <v/>
      </c>
      <c r="AV1409" s="44">
        <f>IF(AU1409="","",T1409/(AU1409/100))</f>
        <v/>
      </c>
      <c r="AW1409" s="53">
        <f>IF(AU1409="","",IF(AND(ABS(AH1409)&gt;=0.1,ABS(T1409)&gt;=0.05,SIGN(AH1409)=SIGN(T1409)),100*T1409/AH1409,""))</f>
        <v/>
      </c>
      <c r="AX1409" s="45">
        <f>IF(AU1409="","",T1409-AV1409)</f>
        <v/>
      </c>
      <c r="AY1409" s="45">
        <f>IF(AU1409="","",AH1409-AV1409)</f>
        <v/>
      </c>
      <c r="AZ1409" s="54">
        <f>(AL1409-AM1409)-T1409*AT1409</f>
        <v/>
      </c>
      <c r="BA1409" s="43">
        <f>IF(AU1409="",0,(AH1409-T1409)*AF1409)</f>
        <v/>
      </c>
      <c r="BB1409" s="43">
        <f>IF(AU1409="",0,T1409*(AF1409-AT1409))</f>
        <v/>
      </c>
      <c r="BC1409" s="51" t="n">
        <v>0.07892882311486962</v>
      </c>
      <c r="BD1409" s="51" t="n">
        <v>0.02807141179234203</v>
      </c>
      <c r="BE1409" s="51" t="n">
        <v>0.3010555300596604</v>
      </c>
      <c r="BF1409" s="43" t="n">
        <v>8514</v>
      </c>
    </row>
    <row r="1410">
      <c r="A1410" s="42" t="inlineStr">
        <is>
          <t>VA</t>
        </is>
      </c>
      <c r="B1410" s="42" t="inlineStr">
        <is>
          <t>51117</t>
        </is>
      </c>
      <c r="C1410" s="42" t="inlineStr">
        <is>
          <t>Mecklenburg</t>
        </is>
      </c>
      <c r="D1410" s="42" t="inlineStr">
        <is>
          <t>Small town &amp; rural</t>
        </is>
      </c>
      <c r="E1410" s="42" t="inlineStr"/>
      <c r="F1410" s="43" t="n">
        <v>6404</v>
      </c>
      <c r="G1410" s="43" t="n">
        <v>9791</v>
      </c>
      <c r="H1410" s="43" t="n">
        <v>16266</v>
      </c>
      <c r="I1410" s="43" t="n">
        <v>6803</v>
      </c>
      <c r="J1410" s="43" t="n">
        <v>9266</v>
      </c>
      <c r="K1410" s="42" t="inlineStr">
        <is>
          <t>US House</t>
        </is>
      </c>
      <c r="L1410" s="43" t="n">
        <v>3869</v>
      </c>
      <c r="M1410" s="43" t="n">
        <v>7236</v>
      </c>
      <c r="N1410" s="43" t="n">
        <v>11120</v>
      </c>
      <c r="O1410" s="44">
        <f>IFERROR((F1410-G1410)/(F1410+G1410),"")</f>
        <v/>
      </c>
      <c r="P1410" s="44">
        <f>IFERROR((I1410-J1410)/(I1410+J1410),"")</f>
        <v/>
      </c>
      <c r="Q1410" s="45">
        <f>IFERROR(O1410-P1410,"")</f>
        <v/>
      </c>
      <c r="R1410" s="44">
        <f>IFERROR((L1410-M1410)/(L1410+M1410),"")</f>
        <v/>
      </c>
      <c r="S1410" s="46">
        <f>H1410/SUMIFS(Counties!$H$2:$H$1583,Counties!$A$2:$A$1583,$A1410)</f>
        <v/>
      </c>
      <c r="T1410" s="44">
        <f>O1410+INDEX(Dashboard!$F$6:$F$22,MATCH($A1410,Dashboard!$A$6:$A$22,0))</f>
        <v/>
      </c>
      <c r="U1410" s="43">
        <f>AQ1410*INDEX(Dashboard!$G$6:$G$22,MATCH($A1410,Dashboard!$A$6:$A$22,0))</f>
        <v/>
      </c>
      <c r="V1410" s="47" t="n"/>
      <c r="W1410" s="47" t="n"/>
      <c r="X1410" s="47" t="n"/>
      <c r="Y1410" s="48" t="n"/>
      <c r="Z1410" s="49" t="n"/>
      <c r="AA1410" s="49" t="n"/>
      <c r="AB1410" s="49" t="n"/>
      <c r="AC1410" s="50" t="n"/>
      <c r="AD1410" s="43">
        <f>IF(Z1410&lt;&gt;"",Z1410,N(V1410))</f>
        <v/>
      </c>
      <c r="AE1410" s="43">
        <f>IF(AA1410&lt;&gt;"",AA1410,N(W1410))</f>
        <v/>
      </c>
      <c r="AF1410" s="43">
        <f>AD1410+AE1410</f>
        <v/>
      </c>
      <c r="AG1410" s="42">
        <f>IF(UPPER(AC1410)="Y",1,IF(AF1410=0,0,IF(AND(Z1410="",Y1410&lt;&gt;""),IF(Y1410&gt;=0.999,1,0),IF(AF1410&gt;=U1410,1,0))))</f>
        <v/>
      </c>
      <c r="AH1410" s="44">
        <f>IF(AF1410&gt;0,(AD1410-AE1410)/AF1410,"")</f>
        <v/>
      </c>
      <c r="AI1410" s="45">
        <f>IF(AG1410=1,AH1410-O1410,"")</f>
        <v/>
      </c>
      <c r="AJ1410" s="44">
        <f>IF(AG1410=1,AH1410,MAX(-1,MIN(1,O1410+INDEX(Types!$H:$H,MATCH($A1410&amp;"|"&amp;$D1410,Types!$A:$A,0)))))</f>
        <v/>
      </c>
      <c r="AK1410" s="43">
        <f>IF(AG1410=1,AF1410,MAX(AQ1410*AS1410,AF1410))</f>
        <v/>
      </c>
      <c r="AL1410" s="43">
        <f>IF(AG1410=1,AD1410,AK1410*(1+AJ1410)/2)</f>
        <v/>
      </c>
      <c r="AM1410" s="43">
        <f>IF(AG1410=1,AE1410,AK1410*(1-AJ1410)/2)</f>
        <v/>
      </c>
      <c r="AN1410" s="45">
        <f>IF(AH1410="","",AH1410-T1410)</f>
        <v/>
      </c>
      <c r="AO1410" s="51">
        <f>IF(AG1410=1,1,IF(U1410&gt;0,MIN(AF1410/U1410,0.99),0))</f>
        <v/>
      </c>
      <c r="AP1410" s="43">
        <f>IF(AG1410=1,AI1410*AF1410,0)</f>
        <v/>
      </c>
      <c r="AQ1410" s="43">
        <f>N1410*(F1410+G1410)/H1410</f>
        <v/>
      </c>
      <c r="AR1410" s="43">
        <f>O1410*AQ1410</f>
        <v/>
      </c>
      <c r="AS1410" s="52">
        <f>IF(AG1410=1,IF(AQ1410&gt;0,AF1410/AQ1410,1),IFERROR(INDEX(Types!$K:$K,MATCH($A1410&amp;"|"&amp;$D1410,Types!$A:$A,0)),INDEX(Dashboard!$X$6:$X$22,MATCH($A1410,Dashboard!$A$6:$A$22,0))))</f>
        <v/>
      </c>
      <c r="AT1410" s="43">
        <f>AQ1410*INDEX(Dashboard!$Y$6:$Y$22,MATCH($A1410,Dashboard!$A$6:$A$22,0))</f>
        <v/>
      </c>
      <c r="AU1410" s="53">
        <f>IF(AND(AG1410=1,AT1410&gt;0,AF1410&gt;0),100*AF1410/AT1410,"")</f>
        <v/>
      </c>
      <c r="AV1410" s="44">
        <f>IF(AU1410="","",T1410/(AU1410/100))</f>
        <v/>
      </c>
      <c r="AW1410" s="53">
        <f>IF(AU1410="","",IF(AND(ABS(AH1410)&gt;=0.1,ABS(T1410)&gt;=0.05,SIGN(AH1410)=SIGN(T1410)),100*T1410/AH1410,""))</f>
        <v/>
      </c>
      <c r="AX1410" s="45">
        <f>IF(AU1410="","",T1410-AV1410)</f>
        <v/>
      </c>
      <c r="AY1410" s="45">
        <f>IF(AU1410="","",AH1410-AV1410)</f>
        <v/>
      </c>
      <c r="AZ1410" s="54">
        <f>(AL1410-AM1410)-T1410*AT1410</f>
        <v/>
      </c>
      <c r="BA1410" s="43">
        <f>IF(AU1410="",0,(AH1410-T1410)*AF1410)</f>
        <v/>
      </c>
      <c r="BB1410" s="43">
        <f>IF(AU1410="",0,T1410*(AF1410-AT1410))</f>
        <v/>
      </c>
      <c r="BC1410" s="51" t="n">
        <v>0.325502479770295</v>
      </c>
      <c r="BD1410" s="51" t="n">
        <v>0.03364004176455233</v>
      </c>
      <c r="BE1410" s="51" t="n">
        <v>0.2117012411736327</v>
      </c>
      <c r="BF1410" s="43" t="n">
        <v>30648</v>
      </c>
    </row>
    <row r="1411">
      <c r="A1411" s="42" t="inlineStr">
        <is>
          <t>VA</t>
        </is>
      </c>
      <c r="B1411" s="42" t="inlineStr">
        <is>
          <t>51119</t>
        </is>
      </c>
      <c r="C1411" s="42" t="inlineStr">
        <is>
          <t>Middlesex</t>
        </is>
      </c>
      <c r="D1411" s="42" t="inlineStr">
        <is>
          <t>Small town &amp; rural</t>
        </is>
      </c>
      <c r="E1411" s="42" t="inlineStr"/>
      <c r="F1411" s="43" t="n">
        <v>2473</v>
      </c>
      <c r="G1411" s="43" t="n">
        <v>4357</v>
      </c>
      <c r="H1411" s="43" t="n">
        <v>6882</v>
      </c>
      <c r="I1411" s="43" t="n">
        <v>2491</v>
      </c>
      <c r="J1411" s="43" t="n">
        <v>4196</v>
      </c>
      <c r="K1411" s="42" t="inlineStr">
        <is>
          <t>US House</t>
        </is>
      </c>
      <c r="L1411" s="43" t="n">
        <v>1716</v>
      </c>
      <c r="M1411" s="43" t="n">
        <v>3351</v>
      </c>
      <c r="N1411" s="43" t="n">
        <v>5128</v>
      </c>
      <c r="O1411" s="44">
        <f>IFERROR((F1411-G1411)/(F1411+G1411),"")</f>
        <v/>
      </c>
      <c r="P1411" s="44">
        <f>IFERROR((I1411-J1411)/(I1411+J1411),"")</f>
        <v/>
      </c>
      <c r="Q1411" s="45">
        <f>IFERROR(O1411-P1411,"")</f>
        <v/>
      </c>
      <c r="R1411" s="44">
        <f>IFERROR((L1411-M1411)/(L1411+M1411),"")</f>
        <v/>
      </c>
      <c r="S1411" s="46">
        <f>H1411/SUMIFS(Counties!$H$2:$H$1583,Counties!$A$2:$A$1583,$A1411)</f>
        <v/>
      </c>
      <c r="T1411" s="44">
        <f>O1411+INDEX(Dashboard!$F$6:$F$22,MATCH($A1411,Dashboard!$A$6:$A$22,0))</f>
        <v/>
      </c>
      <c r="U1411" s="43">
        <f>AQ1411*INDEX(Dashboard!$G$6:$G$22,MATCH($A1411,Dashboard!$A$6:$A$22,0))</f>
        <v/>
      </c>
      <c r="V1411" s="47" t="n"/>
      <c r="W1411" s="47" t="n"/>
      <c r="X1411" s="47" t="n"/>
      <c r="Y1411" s="48" t="n"/>
      <c r="Z1411" s="49" t="n"/>
      <c r="AA1411" s="49" t="n"/>
      <c r="AB1411" s="49" t="n"/>
      <c r="AC1411" s="50" t="n"/>
      <c r="AD1411" s="43">
        <f>IF(Z1411&lt;&gt;"",Z1411,N(V1411))</f>
        <v/>
      </c>
      <c r="AE1411" s="43">
        <f>IF(AA1411&lt;&gt;"",AA1411,N(W1411))</f>
        <v/>
      </c>
      <c r="AF1411" s="43">
        <f>AD1411+AE1411</f>
        <v/>
      </c>
      <c r="AG1411" s="42">
        <f>IF(UPPER(AC1411)="Y",1,IF(AF1411=0,0,IF(AND(Z1411="",Y1411&lt;&gt;""),IF(Y1411&gt;=0.999,1,0),IF(AF1411&gt;=U1411,1,0))))</f>
        <v/>
      </c>
      <c r="AH1411" s="44">
        <f>IF(AF1411&gt;0,(AD1411-AE1411)/AF1411,"")</f>
        <v/>
      </c>
      <c r="AI1411" s="45">
        <f>IF(AG1411=1,AH1411-O1411,"")</f>
        <v/>
      </c>
      <c r="AJ1411" s="44">
        <f>IF(AG1411=1,AH1411,MAX(-1,MIN(1,O1411+INDEX(Types!$H:$H,MATCH($A1411&amp;"|"&amp;$D1411,Types!$A:$A,0)))))</f>
        <v/>
      </c>
      <c r="AK1411" s="43">
        <f>IF(AG1411=1,AF1411,MAX(AQ1411*AS1411,AF1411))</f>
        <v/>
      </c>
      <c r="AL1411" s="43">
        <f>IF(AG1411=1,AD1411,AK1411*(1+AJ1411)/2)</f>
        <v/>
      </c>
      <c r="AM1411" s="43">
        <f>IF(AG1411=1,AE1411,AK1411*(1-AJ1411)/2)</f>
        <v/>
      </c>
      <c r="AN1411" s="45">
        <f>IF(AH1411="","",AH1411-T1411)</f>
        <v/>
      </c>
      <c r="AO1411" s="51">
        <f>IF(AG1411=1,1,IF(U1411&gt;0,MIN(AF1411/U1411,0.99),0))</f>
        <v/>
      </c>
      <c r="AP1411" s="43">
        <f>IF(AG1411=1,AI1411*AF1411,0)</f>
        <v/>
      </c>
      <c r="AQ1411" s="43">
        <f>N1411*(F1411+G1411)/H1411</f>
        <v/>
      </c>
      <c r="AR1411" s="43">
        <f>O1411*AQ1411</f>
        <v/>
      </c>
      <c r="AS1411" s="52">
        <f>IF(AG1411=1,IF(AQ1411&gt;0,AF1411/AQ1411,1),IFERROR(INDEX(Types!$K:$K,MATCH($A1411&amp;"|"&amp;$D1411,Types!$A:$A,0)),INDEX(Dashboard!$X$6:$X$22,MATCH($A1411,Dashboard!$A$6:$A$22,0))))</f>
        <v/>
      </c>
      <c r="AT1411" s="43">
        <f>AQ1411*INDEX(Dashboard!$Y$6:$Y$22,MATCH($A1411,Dashboard!$A$6:$A$22,0))</f>
        <v/>
      </c>
      <c r="AU1411" s="53">
        <f>IF(AND(AG1411=1,AT1411&gt;0,AF1411&gt;0),100*AF1411/AT1411,"")</f>
        <v/>
      </c>
      <c r="AV1411" s="44">
        <f>IF(AU1411="","",T1411/(AU1411/100))</f>
        <v/>
      </c>
      <c r="AW1411" s="53">
        <f>IF(AU1411="","",IF(AND(ABS(AH1411)&gt;=0.1,ABS(T1411)&gt;=0.05,SIGN(AH1411)=SIGN(T1411)),100*T1411/AH1411,""))</f>
        <v/>
      </c>
      <c r="AX1411" s="45">
        <f>IF(AU1411="","",T1411-AV1411)</f>
        <v/>
      </c>
      <c r="AY1411" s="45">
        <f>IF(AU1411="","",AH1411-AV1411)</f>
        <v/>
      </c>
      <c r="AZ1411" s="54">
        <f>(AL1411-AM1411)-T1411*AT1411</f>
        <v/>
      </c>
      <c r="BA1411" s="43">
        <f>IF(AU1411="",0,(AH1411-T1411)*AF1411)</f>
        <v/>
      </c>
      <c r="BB1411" s="43">
        <f>IF(AU1411="",0,T1411*(AF1411-AT1411))</f>
        <v/>
      </c>
      <c r="BC1411" s="51" t="n">
        <v>0.151958989381179</v>
      </c>
      <c r="BD1411" s="51" t="n">
        <v>0.03194800439399487</v>
      </c>
      <c r="BE1411" s="51" t="n">
        <v>0.3160804611222209</v>
      </c>
      <c r="BF1411" s="43" t="n">
        <v>10924</v>
      </c>
    </row>
    <row r="1412">
      <c r="A1412" s="42" t="inlineStr">
        <is>
          <t>VA</t>
        </is>
      </c>
      <c r="B1412" s="42" t="inlineStr">
        <is>
          <t>51121</t>
        </is>
      </c>
      <c r="C1412" s="42" t="inlineStr">
        <is>
          <t>Montgomery</t>
        </is>
      </c>
      <c r="D1412" s="42" t="inlineStr">
        <is>
          <t>Small town &amp; rural</t>
        </is>
      </c>
      <c r="E1412" s="42" t="inlineStr"/>
      <c r="F1412" s="43" t="n">
        <v>23811</v>
      </c>
      <c r="G1412" s="43" t="n">
        <v>22179</v>
      </c>
      <c r="H1412" s="43" t="n">
        <v>46767</v>
      </c>
      <c r="I1412" s="43" t="n">
        <v>23218</v>
      </c>
      <c r="J1412" s="43" t="n">
        <v>20629</v>
      </c>
      <c r="K1412" s="42" t="inlineStr">
        <is>
          <t>US House</t>
        </is>
      </c>
      <c r="L1412" s="43" t="n">
        <v>14239</v>
      </c>
      <c r="M1412" s="43" t="n">
        <v>13563</v>
      </c>
      <c r="N1412" s="43" t="n">
        <v>27869</v>
      </c>
      <c r="O1412" s="44">
        <f>IFERROR((F1412-G1412)/(F1412+G1412),"")</f>
        <v/>
      </c>
      <c r="P1412" s="44">
        <f>IFERROR((I1412-J1412)/(I1412+J1412),"")</f>
        <v/>
      </c>
      <c r="Q1412" s="45">
        <f>IFERROR(O1412-P1412,"")</f>
        <v/>
      </c>
      <c r="R1412" s="44">
        <f>IFERROR((L1412-M1412)/(L1412+M1412),"")</f>
        <v/>
      </c>
      <c r="S1412" s="46">
        <f>H1412/SUMIFS(Counties!$H$2:$H$1583,Counties!$A$2:$A$1583,$A1412)</f>
        <v/>
      </c>
      <c r="T1412" s="44">
        <f>O1412+INDEX(Dashboard!$F$6:$F$22,MATCH($A1412,Dashboard!$A$6:$A$22,0))</f>
        <v/>
      </c>
      <c r="U1412" s="43">
        <f>AQ1412*INDEX(Dashboard!$G$6:$G$22,MATCH($A1412,Dashboard!$A$6:$A$22,0))</f>
        <v/>
      </c>
      <c r="V1412" s="47" t="n"/>
      <c r="W1412" s="47" t="n"/>
      <c r="X1412" s="47" t="n"/>
      <c r="Y1412" s="48" t="n"/>
      <c r="Z1412" s="49" t="n"/>
      <c r="AA1412" s="49" t="n"/>
      <c r="AB1412" s="49" t="n"/>
      <c r="AC1412" s="50" t="n"/>
      <c r="AD1412" s="43">
        <f>IF(Z1412&lt;&gt;"",Z1412,N(V1412))</f>
        <v/>
      </c>
      <c r="AE1412" s="43">
        <f>IF(AA1412&lt;&gt;"",AA1412,N(W1412))</f>
        <v/>
      </c>
      <c r="AF1412" s="43">
        <f>AD1412+AE1412</f>
        <v/>
      </c>
      <c r="AG1412" s="42">
        <f>IF(UPPER(AC1412)="Y",1,IF(AF1412=0,0,IF(AND(Z1412="",Y1412&lt;&gt;""),IF(Y1412&gt;=0.999,1,0),IF(AF1412&gt;=U1412,1,0))))</f>
        <v/>
      </c>
      <c r="AH1412" s="44">
        <f>IF(AF1412&gt;0,(AD1412-AE1412)/AF1412,"")</f>
        <v/>
      </c>
      <c r="AI1412" s="45">
        <f>IF(AG1412=1,AH1412-O1412,"")</f>
        <v/>
      </c>
      <c r="AJ1412" s="44">
        <f>IF(AG1412=1,AH1412,MAX(-1,MIN(1,O1412+INDEX(Types!$H:$H,MATCH($A1412&amp;"|"&amp;$D1412,Types!$A:$A,0)))))</f>
        <v/>
      </c>
      <c r="AK1412" s="43">
        <f>IF(AG1412=1,AF1412,MAX(AQ1412*AS1412,AF1412))</f>
        <v/>
      </c>
      <c r="AL1412" s="43">
        <f>IF(AG1412=1,AD1412,AK1412*(1+AJ1412)/2)</f>
        <v/>
      </c>
      <c r="AM1412" s="43">
        <f>IF(AG1412=1,AE1412,AK1412*(1-AJ1412)/2)</f>
        <v/>
      </c>
      <c r="AN1412" s="45">
        <f>IF(AH1412="","",AH1412-T1412)</f>
        <v/>
      </c>
      <c r="AO1412" s="51">
        <f>IF(AG1412=1,1,IF(U1412&gt;0,MIN(AF1412/U1412,0.99),0))</f>
        <v/>
      </c>
      <c r="AP1412" s="43">
        <f>IF(AG1412=1,AI1412*AF1412,0)</f>
        <v/>
      </c>
      <c r="AQ1412" s="43">
        <f>N1412*(F1412+G1412)/H1412</f>
        <v/>
      </c>
      <c r="AR1412" s="43">
        <f>O1412*AQ1412</f>
        <v/>
      </c>
      <c r="AS1412" s="52">
        <f>IF(AG1412=1,IF(AQ1412&gt;0,AF1412/AQ1412,1),IFERROR(INDEX(Types!$K:$K,MATCH($A1412&amp;"|"&amp;$D1412,Types!$A:$A,0)),INDEX(Dashboard!$X$6:$X$22,MATCH($A1412,Dashboard!$A$6:$A$22,0))))</f>
        <v/>
      </c>
      <c r="AT1412" s="43">
        <f>AQ1412*INDEX(Dashboard!$Y$6:$Y$22,MATCH($A1412,Dashboard!$A$6:$A$22,0))</f>
        <v/>
      </c>
      <c r="AU1412" s="53">
        <f>IF(AND(AG1412=1,AT1412&gt;0,AF1412&gt;0),100*AF1412/AT1412,"")</f>
        <v/>
      </c>
      <c r="AV1412" s="44">
        <f>IF(AU1412="","",T1412/(AU1412/100))</f>
        <v/>
      </c>
      <c r="AW1412" s="53">
        <f>IF(AU1412="","",IF(AND(ABS(AH1412)&gt;=0.1,ABS(T1412)&gt;=0.05,SIGN(AH1412)=SIGN(T1412)),100*T1412/AH1412,""))</f>
        <v/>
      </c>
      <c r="AX1412" s="45">
        <f>IF(AU1412="","",T1412-AV1412)</f>
        <v/>
      </c>
      <c r="AY1412" s="45">
        <f>IF(AU1412="","",AH1412-AV1412)</f>
        <v/>
      </c>
      <c r="AZ1412" s="54">
        <f>(AL1412-AM1412)-T1412*AT1412</f>
        <v/>
      </c>
      <c r="BA1412" s="43">
        <f>IF(AU1412="",0,(AH1412-T1412)*AF1412)</f>
        <v/>
      </c>
      <c r="BB1412" s="43">
        <f>IF(AU1412="",0,T1412*(AF1412-AT1412))</f>
        <v/>
      </c>
      <c r="BC1412" s="51" t="n">
        <v>0.04141244197595929</v>
      </c>
      <c r="BD1412" s="51" t="n">
        <v>0.04634828613706849</v>
      </c>
      <c r="BE1412" s="51" t="n">
        <v>0.4839536498104341</v>
      </c>
      <c r="BF1412" s="43" t="n">
        <v>98666</v>
      </c>
    </row>
    <row r="1413">
      <c r="A1413" s="42" t="inlineStr">
        <is>
          <t>VA</t>
        </is>
      </c>
      <c r="B1413" s="42" t="inlineStr">
        <is>
          <t>51125</t>
        </is>
      </c>
      <c r="C1413" s="42" t="inlineStr">
        <is>
          <t>Nelson</t>
        </is>
      </c>
      <c r="D1413" s="42" t="inlineStr">
        <is>
          <t>Small town &amp; rural</t>
        </is>
      </c>
      <c r="E1413" s="42" t="inlineStr"/>
      <c r="F1413" s="43" t="n">
        <v>4298</v>
      </c>
      <c r="G1413" s="43" t="n">
        <v>5004</v>
      </c>
      <c r="H1413" s="43" t="n">
        <v>9388</v>
      </c>
      <c r="I1413" s="43" t="n">
        <v>4327</v>
      </c>
      <c r="J1413" s="43" t="n">
        <v>4812</v>
      </c>
      <c r="K1413" s="42" t="inlineStr">
        <is>
          <t>US House</t>
        </is>
      </c>
      <c r="L1413" s="43" t="n">
        <v>3405</v>
      </c>
      <c r="M1413" s="43" t="n">
        <v>3725</v>
      </c>
      <c r="N1413" s="43" t="n">
        <v>7144</v>
      </c>
      <c r="O1413" s="44">
        <f>IFERROR((F1413-G1413)/(F1413+G1413),"")</f>
        <v/>
      </c>
      <c r="P1413" s="44">
        <f>IFERROR((I1413-J1413)/(I1413+J1413),"")</f>
        <v/>
      </c>
      <c r="Q1413" s="45">
        <f>IFERROR(O1413-P1413,"")</f>
        <v/>
      </c>
      <c r="R1413" s="44">
        <f>IFERROR((L1413-M1413)/(L1413+M1413),"")</f>
        <v/>
      </c>
      <c r="S1413" s="46">
        <f>H1413/SUMIFS(Counties!$H$2:$H$1583,Counties!$A$2:$A$1583,$A1413)</f>
        <v/>
      </c>
      <c r="T1413" s="44">
        <f>O1413+INDEX(Dashboard!$F$6:$F$22,MATCH($A1413,Dashboard!$A$6:$A$22,0))</f>
        <v/>
      </c>
      <c r="U1413" s="43">
        <f>AQ1413*INDEX(Dashboard!$G$6:$G$22,MATCH($A1413,Dashboard!$A$6:$A$22,0))</f>
        <v/>
      </c>
      <c r="V1413" s="47" t="n"/>
      <c r="W1413" s="47" t="n"/>
      <c r="X1413" s="47" t="n"/>
      <c r="Y1413" s="48" t="n"/>
      <c r="Z1413" s="49" t="n"/>
      <c r="AA1413" s="49" t="n"/>
      <c r="AB1413" s="49" t="n"/>
      <c r="AC1413" s="50" t="n"/>
      <c r="AD1413" s="43">
        <f>IF(Z1413&lt;&gt;"",Z1413,N(V1413))</f>
        <v/>
      </c>
      <c r="AE1413" s="43">
        <f>IF(AA1413&lt;&gt;"",AA1413,N(W1413))</f>
        <v/>
      </c>
      <c r="AF1413" s="43">
        <f>AD1413+AE1413</f>
        <v/>
      </c>
      <c r="AG1413" s="42">
        <f>IF(UPPER(AC1413)="Y",1,IF(AF1413=0,0,IF(AND(Z1413="",Y1413&lt;&gt;""),IF(Y1413&gt;=0.999,1,0),IF(AF1413&gt;=U1413,1,0))))</f>
        <v/>
      </c>
      <c r="AH1413" s="44">
        <f>IF(AF1413&gt;0,(AD1413-AE1413)/AF1413,"")</f>
        <v/>
      </c>
      <c r="AI1413" s="45">
        <f>IF(AG1413=1,AH1413-O1413,"")</f>
        <v/>
      </c>
      <c r="AJ1413" s="44">
        <f>IF(AG1413=1,AH1413,MAX(-1,MIN(1,O1413+INDEX(Types!$H:$H,MATCH($A1413&amp;"|"&amp;$D1413,Types!$A:$A,0)))))</f>
        <v/>
      </c>
      <c r="AK1413" s="43">
        <f>IF(AG1413=1,AF1413,MAX(AQ1413*AS1413,AF1413))</f>
        <v/>
      </c>
      <c r="AL1413" s="43">
        <f>IF(AG1413=1,AD1413,AK1413*(1+AJ1413)/2)</f>
        <v/>
      </c>
      <c r="AM1413" s="43">
        <f>IF(AG1413=1,AE1413,AK1413*(1-AJ1413)/2)</f>
        <v/>
      </c>
      <c r="AN1413" s="45">
        <f>IF(AH1413="","",AH1413-T1413)</f>
        <v/>
      </c>
      <c r="AO1413" s="51">
        <f>IF(AG1413=1,1,IF(U1413&gt;0,MIN(AF1413/U1413,0.99),0))</f>
        <v/>
      </c>
      <c r="AP1413" s="43">
        <f>IF(AG1413=1,AI1413*AF1413,0)</f>
        <v/>
      </c>
      <c r="AQ1413" s="43">
        <f>N1413*(F1413+G1413)/H1413</f>
        <v/>
      </c>
      <c r="AR1413" s="43">
        <f>O1413*AQ1413</f>
        <v/>
      </c>
      <c r="AS1413" s="52">
        <f>IF(AG1413=1,IF(AQ1413&gt;0,AF1413/AQ1413,1),IFERROR(INDEX(Types!$K:$K,MATCH($A1413&amp;"|"&amp;$D1413,Types!$A:$A,0)),INDEX(Dashboard!$X$6:$X$22,MATCH($A1413,Dashboard!$A$6:$A$22,0))))</f>
        <v/>
      </c>
      <c r="AT1413" s="43">
        <f>AQ1413*INDEX(Dashboard!$Y$6:$Y$22,MATCH($A1413,Dashboard!$A$6:$A$22,0))</f>
        <v/>
      </c>
      <c r="AU1413" s="53">
        <f>IF(AND(AG1413=1,AT1413&gt;0,AF1413&gt;0),100*AF1413/AT1413,"")</f>
        <v/>
      </c>
      <c r="AV1413" s="44">
        <f>IF(AU1413="","",T1413/(AU1413/100))</f>
        <v/>
      </c>
      <c r="AW1413" s="53">
        <f>IF(AU1413="","",IF(AND(ABS(AH1413)&gt;=0.1,ABS(T1413)&gt;=0.05,SIGN(AH1413)=SIGN(T1413)),100*T1413/AH1413,""))</f>
        <v/>
      </c>
      <c r="AX1413" s="45">
        <f>IF(AU1413="","",T1413-AV1413)</f>
        <v/>
      </c>
      <c r="AY1413" s="45">
        <f>IF(AU1413="","",AH1413-AV1413)</f>
        <v/>
      </c>
      <c r="AZ1413" s="54">
        <f>(AL1413-AM1413)-T1413*AT1413</f>
        <v/>
      </c>
      <c r="BA1413" s="43">
        <f>IF(AU1413="",0,(AH1413-T1413)*AF1413)</f>
        <v/>
      </c>
      <c r="BB1413" s="43">
        <f>IF(AU1413="",0,T1413*(AF1413-AT1413))</f>
        <v/>
      </c>
      <c r="BC1413" s="51" t="n">
        <v>0.1046582794967698</v>
      </c>
      <c r="BD1413" s="51" t="n">
        <v>0.04882692961577695</v>
      </c>
      <c r="BE1413" s="51" t="n">
        <v>0.3370150862068966</v>
      </c>
      <c r="BF1413" s="43" t="n">
        <v>14705</v>
      </c>
    </row>
    <row r="1414">
      <c r="A1414" s="42" t="inlineStr">
        <is>
          <t>VA</t>
        </is>
      </c>
      <c r="B1414" s="42" t="inlineStr">
        <is>
          <t>51127</t>
        </is>
      </c>
      <c r="C1414" s="42" t="inlineStr">
        <is>
          <t>New Kent</t>
        </is>
      </c>
      <c r="D1414" s="42" t="inlineStr">
        <is>
          <t>Small town &amp; rural</t>
        </is>
      </c>
      <c r="E1414" s="42" t="inlineStr"/>
      <c r="F1414" s="43" t="n">
        <v>5641</v>
      </c>
      <c r="G1414" s="43" t="n">
        <v>10974</v>
      </c>
      <c r="H1414" s="43" t="n">
        <v>16744</v>
      </c>
      <c r="I1414" s="43" t="n">
        <v>4621</v>
      </c>
      <c r="J1414" s="43" t="n">
        <v>9631</v>
      </c>
      <c r="K1414" s="42" t="inlineStr">
        <is>
          <t>US House</t>
        </is>
      </c>
      <c r="L1414" s="43" t="n">
        <v>3417</v>
      </c>
      <c r="M1414" s="43" t="n">
        <v>7567</v>
      </c>
      <c r="N1414" s="43" t="n">
        <v>11071</v>
      </c>
      <c r="O1414" s="44">
        <f>IFERROR((F1414-G1414)/(F1414+G1414),"")</f>
        <v/>
      </c>
      <c r="P1414" s="44">
        <f>IFERROR((I1414-J1414)/(I1414+J1414),"")</f>
        <v/>
      </c>
      <c r="Q1414" s="45">
        <f>IFERROR(O1414-P1414,"")</f>
        <v/>
      </c>
      <c r="R1414" s="44">
        <f>IFERROR((L1414-M1414)/(L1414+M1414),"")</f>
        <v/>
      </c>
      <c r="S1414" s="46">
        <f>H1414/SUMIFS(Counties!$H$2:$H$1583,Counties!$A$2:$A$1583,$A1414)</f>
        <v/>
      </c>
      <c r="T1414" s="44">
        <f>O1414+INDEX(Dashboard!$F$6:$F$22,MATCH($A1414,Dashboard!$A$6:$A$22,0))</f>
        <v/>
      </c>
      <c r="U1414" s="43">
        <f>AQ1414*INDEX(Dashboard!$G$6:$G$22,MATCH($A1414,Dashboard!$A$6:$A$22,0))</f>
        <v/>
      </c>
      <c r="V1414" s="47" t="n"/>
      <c r="W1414" s="47" t="n"/>
      <c r="X1414" s="47" t="n"/>
      <c r="Y1414" s="48" t="n"/>
      <c r="Z1414" s="49" t="n"/>
      <c r="AA1414" s="49" t="n"/>
      <c r="AB1414" s="49" t="n"/>
      <c r="AC1414" s="50" t="n"/>
      <c r="AD1414" s="43">
        <f>IF(Z1414&lt;&gt;"",Z1414,N(V1414))</f>
        <v/>
      </c>
      <c r="AE1414" s="43">
        <f>IF(AA1414&lt;&gt;"",AA1414,N(W1414))</f>
        <v/>
      </c>
      <c r="AF1414" s="43">
        <f>AD1414+AE1414</f>
        <v/>
      </c>
      <c r="AG1414" s="42">
        <f>IF(UPPER(AC1414)="Y",1,IF(AF1414=0,0,IF(AND(Z1414="",Y1414&lt;&gt;""),IF(Y1414&gt;=0.999,1,0),IF(AF1414&gt;=U1414,1,0))))</f>
        <v/>
      </c>
      <c r="AH1414" s="44">
        <f>IF(AF1414&gt;0,(AD1414-AE1414)/AF1414,"")</f>
        <v/>
      </c>
      <c r="AI1414" s="45">
        <f>IF(AG1414=1,AH1414-O1414,"")</f>
        <v/>
      </c>
      <c r="AJ1414" s="44">
        <f>IF(AG1414=1,AH1414,MAX(-1,MIN(1,O1414+INDEX(Types!$H:$H,MATCH($A1414&amp;"|"&amp;$D1414,Types!$A:$A,0)))))</f>
        <v/>
      </c>
      <c r="AK1414" s="43">
        <f>IF(AG1414=1,AF1414,MAX(AQ1414*AS1414,AF1414))</f>
        <v/>
      </c>
      <c r="AL1414" s="43">
        <f>IF(AG1414=1,AD1414,AK1414*(1+AJ1414)/2)</f>
        <v/>
      </c>
      <c r="AM1414" s="43">
        <f>IF(AG1414=1,AE1414,AK1414*(1-AJ1414)/2)</f>
        <v/>
      </c>
      <c r="AN1414" s="45">
        <f>IF(AH1414="","",AH1414-T1414)</f>
        <v/>
      </c>
      <c r="AO1414" s="51">
        <f>IF(AG1414=1,1,IF(U1414&gt;0,MIN(AF1414/U1414,0.99),0))</f>
        <v/>
      </c>
      <c r="AP1414" s="43">
        <f>IF(AG1414=1,AI1414*AF1414,0)</f>
        <v/>
      </c>
      <c r="AQ1414" s="43">
        <f>N1414*(F1414+G1414)/H1414</f>
        <v/>
      </c>
      <c r="AR1414" s="43">
        <f>O1414*AQ1414</f>
        <v/>
      </c>
      <c r="AS1414" s="52">
        <f>IF(AG1414=1,IF(AQ1414&gt;0,AF1414/AQ1414,1),IFERROR(INDEX(Types!$K:$K,MATCH($A1414&amp;"|"&amp;$D1414,Types!$A:$A,0)),INDEX(Dashboard!$X$6:$X$22,MATCH($A1414,Dashboard!$A$6:$A$22,0))))</f>
        <v/>
      </c>
      <c r="AT1414" s="43">
        <f>AQ1414*INDEX(Dashboard!$Y$6:$Y$22,MATCH($A1414,Dashboard!$A$6:$A$22,0))</f>
        <v/>
      </c>
      <c r="AU1414" s="53">
        <f>IF(AND(AG1414=1,AT1414&gt;0,AF1414&gt;0),100*AF1414/AT1414,"")</f>
        <v/>
      </c>
      <c r="AV1414" s="44">
        <f>IF(AU1414="","",T1414/(AU1414/100))</f>
        <v/>
      </c>
      <c r="AW1414" s="53">
        <f>IF(AU1414="","",IF(AND(ABS(AH1414)&gt;=0.1,ABS(T1414)&gt;=0.05,SIGN(AH1414)=SIGN(T1414)),100*T1414/AH1414,""))</f>
        <v/>
      </c>
      <c r="AX1414" s="45">
        <f>IF(AU1414="","",T1414-AV1414)</f>
        <v/>
      </c>
      <c r="AY1414" s="45">
        <f>IF(AU1414="","",AH1414-AV1414)</f>
        <v/>
      </c>
      <c r="AZ1414" s="54">
        <f>(AL1414-AM1414)-T1414*AT1414</f>
        <v/>
      </c>
      <c r="BA1414" s="43">
        <f>IF(AU1414="",0,(AH1414-T1414)*AF1414)</f>
        <v/>
      </c>
      <c r="BB1414" s="43">
        <f>IF(AU1414="",0,T1414*(AF1414-AT1414))</f>
        <v/>
      </c>
      <c r="BC1414" s="51" t="n">
        <v>0.1485421290273207</v>
      </c>
      <c r="BD1414" s="51" t="n">
        <v>0.04121068340093365</v>
      </c>
      <c r="BE1414" s="51" t="n">
        <v>0.354726507713885</v>
      </c>
      <c r="BF1414" s="43" t="n">
        <v>26134</v>
      </c>
    </row>
    <row r="1415">
      <c r="A1415" s="42" t="inlineStr">
        <is>
          <t>VA</t>
        </is>
      </c>
      <c r="B1415" s="42" t="inlineStr">
        <is>
          <t>51700</t>
        </is>
      </c>
      <c r="C1415" s="42" t="inlineStr">
        <is>
          <t>Newport News city</t>
        </is>
      </c>
      <c r="D1415" s="42" t="inlineStr">
        <is>
          <t>Black Belt</t>
        </is>
      </c>
      <c r="E1415" s="42" t="inlineStr"/>
      <c r="F1415" s="43" t="n">
        <v>48169</v>
      </c>
      <c r="G1415" s="43" t="n">
        <v>26385</v>
      </c>
      <c r="H1415" s="43" t="n">
        <v>75629</v>
      </c>
      <c r="I1415" s="43" t="n">
        <v>53099</v>
      </c>
      <c r="J1415" s="43" t="n">
        <v>26377</v>
      </c>
      <c r="K1415" s="42" t="inlineStr">
        <is>
          <t>US House</t>
        </is>
      </c>
      <c r="L1415" s="43" t="n">
        <v>31834</v>
      </c>
      <c r="M1415" s="43" t="n">
        <v>17790</v>
      </c>
      <c r="N1415" s="43" t="n">
        <v>49705</v>
      </c>
      <c r="O1415" s="44">
        <f>IFERROR((F1415-G1415)/(F1415+G1415),"")</f>
        <v/>
      </c>
      <c r="P1415" s="44">
        <f>IFERROR((I1415-J1415)/(I1415+J1415),"")</f>
        <v/>
      </c>
      <c r="Q1415" s="45">
        <f>IFERROR(O1415-P1415,"")</f>
        <v/>
      </c>
      <c r="R1415" s="44">
        <f>IFERROR((L1415-M1415)/(L1415+M1415),"")</f>
        <v/>
      </c>
      <c r="S1415" s="46">
        <f>H1415/SUMIFS(Counties!$H$2:$H$1583,Counties!$A$2:$A$1583,$A1415)</f>
        <v/>
      </c>
      <c r="T1415" s="44">
        <f>O1415+INDEX(Dashboard!$F$6:$F$22,MATCH($A1415,Dashboard!$A$6:$A$22,0))</f>
        <v/>
      </c>
      <c r="U1415" s="43">
        <f>AQ1415*INDEX(Dashboard!$G$6:$G$22,MATCH($A1415,Dashboard!$A$6:$A$22,0))</f>
        <v/>
      </c>
      <c r="V1415" s="47" t="n"/>
      <c r="W1415" s="47" t="n"/>
      <c r="X1415" s="47" t="n"/>
      <c r="Y1415" s="48" t="n"/>
      <c r="Z1415" s="49" t="n"/>
      <c r="AA1415" s="49" t="n"/>
      <c r="AB1415" s="49" t="n"/>
      <c r="AC1415" s="50" t="n"/>
      <c r="AD1415" s="43">
        <f>IF(Z1415&lt;&gt;"",Z1415,N(V1415))</f>
        <v/>
      </c>
      <c r="AE1415" s="43">
        <f>IF(AA1415&lt;&gt;"",AA1415,N(W1415))</f>
        <v/>
      </c>
      <c r="AF1415" s="43">
        <f>AD1415+AE1415</f>
        <v/>
      </c>
      <c r="AG1415" s="42">
        <f>IF(UPPER(AC1415)="Y",1,IF(AF1415=0,0,IF(AND(Z1415="",Y1415&lt;&gt;""),IF(Y1415&gt;=0.999,1,0),IF(AF1415&gt;=U1415,1,0))))</f>
        <v/>
      </c>
      <c r="AH1415" s="44">
        <f>IF(AF1415&gt;0,(AD1415-AE1415)/AF1415,"")</f>
        <v/>
      </c>
      <c r="AI1415" s="45">
        <f>IF(AG1415=1,AH1415-O1415,"")</f>
        <v/>
      </c>
      <c r="AJ1415" s="44">
        <f>IF(AG1415=1,AH1415,MAX(-1,MIN(1,O1415+INDEX(Types!$H:$H,MATCH($A1415&amp;"|"&amp;$D1415,Types!$A:$A,0)))))</f>
        <v/>
      </c>
      <c r="AK1415" s="43">
        <f>IF(AG1415=1,AF1415,MAX(AQ1415*AS1415,AF1415))</f>
        <v/>
      </c>
      <c r="AL1415" s="43">
        <f>IF(AG1415=1,AD1415,AK1415*(1+AJ1415)/2)</f>
        <v/>
      </c>
      <c r="AM1415" s="43">
        <f>IF(AG1415=1,AE1415,AK1415*(1-AJ1415)/2)</f>
        <v/>
      </c>
      <c r="AN1415" s="45">
        <f>IF(AH1415="","",AH1415-T1415)</f>
        <v/>
      </c>
      <c r="AO1415" s="51">
        <f>IF(AG1415=1,1,IF(U1415&gt;0,MIN(AF1415/U1415,0.99),0))</f>
        <v/>
      </c>
      <c r="AP1415" s="43">
        <f>IF(AG1415=1,AI1415*AF1415,0)</f>
        <v/>
      </c>
      <c r="AQ1415" s="43">
        <f>N1415*(F1415+G1415)/H1415</f>
        <v/>
      </c>
      <c r="AR1415" s="43">
        <f>O1415*AQ1415</f>
        <v/>
      </c>
      <c r="AS1415" s="52">
        <f>IF(AG1415=1,IF(AQ1415&gt;0,AF1415/AQ1415,1),IFERROR(INDEX(Types!$K:$K,MATCH($A1415&amp;"|"&amp;$D1415,Types!$A:$A,0)),INDEX(Dashboard!$X$6:$X$22,MATCH($A1415,Dashboard!$A$6:$A$22,0))))</f>
        <v/>
      </c>
      <c r="AT1415" s="43">
        <f>AQ1415*INDEX(Dashboard!$Y$6:$Y$22,MATCH($A1415,Dashboard!$A$6:$A$22,0))</f>
        <v/>
      </c>
      <c r="AU1415" s="53">
        <f>IF(AND(AG1415=1,AT1415&gt;0,AF1415&gt;0),100*AF1415/AT1415,"")</f>
        <v/>
      </c>
      <c r="AV1415" s="44">
        <f>IF(AU1415="","",T1415/(AU1415/100))</f>
        <v/>
      </c>
      <c r="AW1415" s="53">
        <f>IF(AU1415="","",IF(AND(ABS(AH1415)&gt;=0.1,ABS(T1415)&gt;=0.05,SIGN(AH1415)=SIGN(T1415)),100*T1415/AH1415,""))</f>
        <v/>
      </c>
      <c r="AX1415" s="45">
        <f>IF(AU1415="","",T1415-AV1415)</f>
        <v/>
      </c>
      <c r="AY1415" s="45">
        <f>IF(AU1415="","",AH1415-AV1415)</f>
        <v/>
      </c>
      <c r="AZ1415" s="54">
        <f>(AL1415-AM1415)-T1415*AT1415</f>
        <v/>
      </c>
      <c r="BA1415" s="43">
        <f>IF(AU1415="",0,(AH1415-T1415)*AF1415)</f>
        <v/>
      </c>
      <c r="BB1415" s="43">
        <f>IF(AU1415="",0,T1415*(AF1415-AT1415))</f>
        <v/>
      </c>
      <c r="BC1415" s="51" t="n">
        <v>0.4154370405967737</v>
      </c>
      <c r="BD1415" s="51" t="n">
        <v>0.1101202503303881</v>
      </c>
      <c r="BE1415" s="51" t="n">
        <v>0.2909590907580339</v>
      </c>
      <c r="BF1415" s="43" t="n">
        <v>183118</v>
      </c>
    </row>
    <row r="1416">
      <c r="A1416" s="42" t="inlineStr">
        <is>
          <t>VA</t>
        </is>
      </c>
      <c r="B1416" s="42" t="inlineStr">
        <is>
          <t>51710</t>
        </is>
      </c>
      <c r="C1416" s="42" t="inlineStr">
        <is>
          <t>Norfolk city</t>
        </is>
      </c>
      <c r="D1416" s="42" t="inlineStr">
        <is>
          <t>Mid-size/working metro</t>
        </is>
      </c>
      <c r="E1416" s="42" t="inlineStr"/>
      <c r="F1416" s="43" t="n">
        <v>59941</v>
      </c>
      <c r="G1416" s="43" t="n">
        <v>24377</v>
      </c>
      <c r="H1416" s="43" t="n">
        <v>85643</v>
      </c>
      <c r="I1416" s="43" t="n">
        <v>64440</v>
      </c>
      <c r="J1416" s="43" t="n">
        <v>23443</v>
      </c>
      <c r="K1416" s="42" t="inlineStr">
        <is>
          <t>US House</t>
        </is>
      </c>
      <c r="L1416" s="43" t="n">
        <v>38638</v>
      </c>
      <c r="M1416" s="43" t="n">
        <v>15579</v>
      </c>
      <c r="N1416" s="43" t="n">
        <v>54371</v>
      </c>
      <c r="O1416" s="44">
        <f>IFERROR((F1416-G1416)/(F1416+G1416),"")</f>
        <v/>
      </c>
      <c r="P1416" s="44">
        <f>IFERROR((I1416-J1416)/(I1416+J1416),"")</f>
        <v/>
      </c>
      <c r="Q1416" s="45">
        <f>IFERROR(O1416-P1416,"")</f>
        <v/>
      </c>
      <c r="R1416" s="44">
        <f>IFERROR((L1416-M1416)/(L1416+M1416),"")</f>
        <v/>
      </c>
      <c r="S1416" s="46">
        <f>H1416/SUMIFS(Counties!$H$2:$H$1583,Counties!$A$2:$A$1583,$A1416)</f>
        <v/>
      </c>
      <c r="T1416" s="44">
        <f>O1416+INDEX(Dashboard!$F$6:$F$22,MATCH($A1416,Dashboard!$A$6:$A$22,0))</f>
        <v/>
      </c>
      <c r="U1416" s="43">
        <f>AQ1416*INDEX(Dashboard!$G$6:$G$22,MATCH($A1416,Dashboard!$A$6:$A$22,0))</f>
        <v/>
      </c>
      <c r="V1416" s="47" t="n"/>
      <c r="W1416" s="47" t="n"/>
      <c r="X1416" s="47" t="n"/>
      <c r="Y1416" s="48" t="n"/>
      <c r="Z1416" s="49" t="n"/>
      <c r="AA1416" s="49" t="n"/>
      <c r="AB1416" s="49" t="n"/>
      <c r="AC1416" s="50" t="n"/>
      <c r="AD1416" s="43">
        <f>IF(Z1416&lt;&gt;"",Z1416,N(V1416))</f>
        <v/>
      </c>
      <c r="AE1416" s="43">
        <f>IF(AA1416&lt;&gt;"",AA1416,N(W1416))</f>
        <v/>
      </c>
      <c r="AF1416" s="43">
        <f>AD1416+AE1416</f>
        <v/>
      </c>
      <c r="AG1416" s="42">
        <f>IF(UPPER(AC1416)="Y",1,IF(AF1416=0,0,IF(AND(Z1416="",Y1416&lt;&gt;""),IF(Y1416&gt;=0.999,1,0),IF(AF1416&gt;=U1416,1,0))))</f>
        <v/>
      </c>
      <c r="AH1416" s="44">
        <f>IF(AF1416&gt;0,(AD1416-AE1416)/AF1416,"")</f>
        <v/>
      </c>
      <c r="AI1416" s="45">
        <f>IF(AG1416=1,AH1416-O1416,"")</f>
        <v/>
      </c>
      <c r="AJ1416" s="44">
        <f>IF(AG1416=1,AH1416,MAX(-1,MIN(1,O1416+INDEX(Types!$H:$H,MATCH($A1416&amp;"|"&amp;$D1416,Types!$A:$A,0)))))</f>
        <v/>
      </c>
      <c r="AK1416" s="43">
        <f>IF(AG1416=1,AF1416,MAX(AQ1416*AS1416,AF1416))</f>
        <v/>
      </c>
      <c r="AL1416" s="43">
        <f>IF(AG1416=1,AD1416,AK1416*(1+AJ1416)/2)</f>
        <v/>
      </c>
      <c r="AM1416" s="43">
        <f>IF(AG1416=1,AE1416,AK1416*(1-AJ1416)/2)</f>
        <v/>
      </c>
      <c r="AN1416" s="45">
        <f>IF(AH1416="","",AH1416-T1416)</f>
        <v/>
      </c>
      <c r="AO1416" s="51">
        <f>IF(AG1416=1,1,IF(U1416&gt;0,MIN(AF1416/U1416,0.99),0))</f>
        <v/>
      </c>
      <c r="AP1416" s="43">
        <f>IF(AG1416=1,AI1416*AF1416,0)</f>
        <v/>
      </c>
      <c r="AQ1416" s="43">
        <f>N1416*(F1416+G1416)/H1416</f>
        <v/>
      </c>
      <c r="AR1416" s="43">
        <f>O1416*AQ1416</f>
        <v/>
      </c>
      <c r="AS1416" s="52">
        <f>IF(AG1416=1,IF(AQ1416&gt;0,AF1416/AQ1416,1),IFERROR(INDEX(Types!$K:$K,MATCH($A1416&amp;"|"&amp;$D1416,Types!$A:$A,0)),INDEX(Dashboard!$X$6:$X$22,MATCH($A1416,Dashboard!$A$6:$A$22,0))))</f>
        <v/>
      </c>
      <c r="AT1416" s="43">
        <f>AQ1416*INDEX(Dashboard!$Y$6:$Y$22,MATCH($A1416,Dashboard!$A$6:$A$22,0))</f>
        <v/>
      </c>
      <c r="AU1416" s="53">
        <f>IF(AND(AG1416=1,AT1416&gt;0,AF1416&gt;0),100*AF1416/AT1416,"")</f>
        <v/>
      </c>
      <c r="AV1416" s="44">
        <f>IF(AU1416="","",T1416/(AU1416/100))</f>
        <v/>
      </c>
      <c r="AW1416" s="53">
        <f>IF(AU1416="","",IF(AND(ABS(AH1416)&gt;=0.1,ABS(T1416)&gt;=0.05,SIGN(AH1416)=SIGN(T1416)),100*T1416/AH1416,""))</f>
        <v/>
      </c>
      <c r="AX1416" s="45">
        <f>IF(AU1416="","",T1416-AV1416)</f>
        <v/>
      </c>
      <c r="AY1416" s="45">
        <f>IF(AU1416="","",AH1416-AV1416)</f>
        <v/>
      </c>
      <c r="AZ1416" s="54">
        <f>(AL1416-AM1416)-T1416*AT1416</f>
        <v/>
      </c>
      <c r="BA1416" s="43">
        <f>IF(AU1416="",0,(AH1416-T1416)*AF1416)</f>
        <v/>
      </c>
      <c r="BB1416" s="43">
        <f>IF(AU1416="",0,T1416*(AF1416-AT1416))</f>
        <v/>
      </c>
      <c r="BC1416" s="51" t="n">
        <v>0.398510371108128</v>
      </c>
      <c r="BD1416" s="51" t="n">
        <v>0.1031568007621357</v>
      </c>
      <c r="BE1416" s="51" t="n">
        <v>0.326633960027658</v>
      </c>
      <c r="BF1416" s="43" t="n">
        <v>230930</v>
      </c>
    </row>
    <row r="1417">
      <c r="A1417" s="42" t="inlineStr">
        <is>
          <t>VA</t>
        </is>
      </c>
      <c r="B1417" s="42" t="inlineStr">
        <is>
          <t>51131</t>
        </is>
      </c>
      <c r="C1417" s="42" t="inlineStr">
        <is>
          <t>Northampton</t>
        </is>
      </c>
      <c r="D1417" s="42" t="inlineStr">
        <is>
          <t>Small town &amp; rural</t>
        </is>
      </c>
      <c r="E1417" s="42" t="inlineStr"/>
      <c r="F1417" s="43" t="n">
        <v>3603</v>
      </c>
      <c r="G1417" s="43" t="n">
        <v>3183</v>
      </c>
      <c r="H1417" s="43" t="n">
        <v>6832</v>
      </c>
      <c r="I1417" s="43" t="n">
        <v>3667</v>
      </c>
      <c r="J1417" s="43" t="n">
        <v>2955</v>
      </c>
      <c r="K1417" s="42" t="inlineStr">
        <is>
          <t>US House</t>
        </is>
      </c>
      <c r="L1417" s="43" t="n">
        <v>2855</v>
      </c>
      <c r="M1417" s="43" t="n">
        <v>2569</v>
      </c>
      <c r="N1417" s="43" t="n">
        <v>5434</v>
      </c>
      <c r="O1417" s="44">
        <f>IFERROR((F1417-G1417)/(F1417+G1417),"")</f>
        <v/>
      </c>
      <c r="P1417" s="44">
        <f>IFERROR((I1417-J1417)/(I1417+J1417),"")</f>
        <v/>
      </c>
      <c r="Q1417" s="45">
        <f>IFERROR(O1417-P1417,"")</f>
        <v/>
      </c>
      <c r="R1417" s="44">
        <f>IFERROR((L1417-M1417)/(L1417+M1417),"")</f>
        <v/>
      </c>
      <c r="S1417" s="46">
        <f>H1417/SUMIFS(Counties!$H$2:$H$1583,Counties!$A$2:$A$1583,$A1417)</f>
        <v/>
      </c>
      <c r="T1417" s="44">
        <f>O1417+INDEX(Dashboard!$F$6:$F$22,MATCH($A1417,Dashboard!$A$6:$A$22,0))</f>
        <v/>
      </c>
      <c r="U1417" s="43">
        <f>AQ1417*INDEX(Dashboard!$G$6:$G$22,MATCH($A1417,Dashboard!$A$6:$A$22,0))</f>
        <v/>
      </c>
      <c r="V1417" s="47" t="n"/>
      <c r="W1417" s="47" t="n"/>
      <c r="X1417" s="47" t="n"/>
      <c r="Y1417" s="48" t="n"/>
      <c r="Z1417" s="49" t="n"/>
      <c r="AA1417" s="49" t="n"/>
      <c r="AB1417" s="49" t="n"/>
      <c r="AC1417" s="50" t="n"/>
      <c r="AD1417" s="43">
        <f>IF(Z1417&lt;&gt;"",Z1417,N(V1417))</f>
        <v/>
      </c>
      <c r="AE1417" s="43">
        <f>IF(AA1417&lt;&gt;"",AA1417,N(W1417))</f>
        <v/>
      </c>
      <c r="AF1417" s="43">
        <f>AD1417+AE1417</f>
        <v/>
      </c>
      <c r="AG1417" s="42">
        <f>IF(UPPER(AC1417)="Y",1,IF(AF1417=0,0,IF(AND(Z1417="",Y1417&lt;&gt;""),IF(Y1417&gt;=0.999,1,0),IF(AF1417&gt;=U1417,1,0))))</f>
        <v/>
      </c>
      <c r="AH1417" s="44">
        <f>IF(AF1417&gt;0,(AD1417-AE1417)/AF1417,"")</f>
        <v/>
      </c>
      <c r="AI1417" s="45">
        <f>IF(AG1417=1,AH1417-O1417,"")</f>
        <v/>
      </c>
      <c r="AJ1417" s="44">
        <f>IF(AG1417=1,AH1417,MAX(-1,MIN(1,O1417+INDEX(Types!$H:$H,MATCH($A1417&amp;"|"&amp;$D1417,Types!$A:$A,0)))))</f>
        <v/>
      </c>
      <c r="AK1417" s="43">
        <f>IF(AG1417=1,AF1417,MAX(AQ1417*AS1417,AF1417))</f>
        <v/>
      </c>
      <c r="AL1417" s="43">
        <f>IF(AG1417=1,AD1417,AK1417*(1+AJ1417)/2)</f>
        <v/>
      </c>
      <c r="AM1417" s="43">
        <f>IF(AG1417=1,AE1417,AK1417*(1-AJ1417)/2)</f>
        <v/>
      </c>
      <c r="AN1417" s="45">
        <f>IF(AH1417="","",AH1417-T1417)</f>
        <v/>
      </c>
      <c r="AO1417" s="51">
        <f>IF(AG1417=1,1,IF(U1417&gt;0,MIN(AF1417/U1417,0.99),0))</f>
        <v/>
      </c>
      <c r="AP1417" s="43">
        <f>IF(AG1417=1,AI1417*AF1417,0)</f>
        <v/>
      </c>
      <c r="AQ1417" s="43">
        <f>N1417*(F1417+G1417)/H1417</f>
        <v/>
      </c>
      <c r="AR1417" s="43">
        <f>O1417*AQ1417</f>
        <v/>
      </c>
      <c r="AS1417" s="52">
        <f>IF(AG1417=1,IF(AQ1417&gt;0,AF1417/AQ1417,1),IFERROR(INDEX(Types!$K:$K,MATCH($A1417&amp;"|"&amp;$D1417,Types!$A:$A,0)),INDEX(Dashboard!$X$6:$X$22,MATCH($A1417,Dashboard!$A$6:$A$22,0))))</f>
        <v/>
      </c>
      <c r="AT1417" s="43">
        <f>AQ1417*INDEX(Dashboard!$Y$6:$Y$22,MATCH($A1417,Dashboard!$A$6:$A$22,0))</f>
        <v/>
      </c>
      <c r="AU1417" s="53">
        <f>IF(AND(AG1417=1,AT1417&gt;0,AF1417&gt;0),100*AF1417/AT1417,"")</f>
        <v/>
      </c>
      <c r="AV1417" s="44">
        <f>IF(AU1417="","",T1417/(AU1417/100))</f>
        <v/>
      </c>
      <c r="AW1417" s="53">
        <f>IF(AU1417="","",IF(AND(ABS(AH1417)&gt;=0.1,ABS(T1417)&gt;=0.05,SIGN(AH1417)=SIGN(T1417)),100*T1417/AH1417,""))</f>
        <v/>
      </c>
      <c r="AX1417" s="45">
        <f>IF(AU1417="","",T1417-AV1417)</f>
        <v/>
      </c>
      <c r="AY1417" s="45">
        <f>IF(AU1417="","",AH1417-AV1417)</f>
        <v/>
      </c>
      <c r="AZ1417" s="54">
        <f>(AL1417-AM1417)-T1417*AT1417</f>
        <v/>
      </c>
      <c r="BA1417" s="43">
        <f>IF(AU1417="",0,(AH1417-T1417)*AF1417)</f>
        <v/>
      </c>
      <c r="BB1417" s="43">
        <f>IF(AU1417="",0,T1417*(AF1417-AT1417))</f>
        <v/>
      </c>
      <c r="BC1417" s="51" t="n">
        <v>0.2999750436735713</v>
      </c>
      <c r="BD1417" s="51" t="n">
        <v>0.09516679144829882</v>
      </c>
      <c r="BE1417" s="51" t="n">
        <v>0.3254587407977145</v>
      </c>
      <c r="BF1417" s="43" t="n">
        <v>12021</v>
      </c>
    </row>
    <row r="1418">
      <c r="A1418" s="42" t="inlineStr">
        <is>
          <t>VA</t>
        </is>
      </c>
      <c r="B1418" s="42" t="inlineStr">
        <is>
          <t>51133</t>
        </is>
      </c>
      <c r="C1418" s="42" t="inlineStr">
        <is>
          <t>Northumberland</t>
        </is>
      </c>
      <c r="D1418" s="42" t="inlineStr">
        <is>
          <t>Small town &amp; rural</t>
        </is>
      </c>
      <c r="E1418" s="42" t="inlineStr"/>
      <c r="F1418" s="43" t="n">
        <v>3202</v>
      </c>
      <c r="G1418" s="43" t="n">
        <v>4938</v>
      </c>
      <c r="H1418" s="43" t="n">
        <v>8205</v>
      </c>
      <c r="I1418" s="43" t="n">
        <v>3252</v>
      </c>
      <c r="J1418" s="43" t="n">
        <v>4485</v>
      </c>
      <c r="K1418" s="42" t="inlineStr">
        <is>
          <t>US House</t>
        </is>
      </c>
      <c r="L1418" s="43" t="n">
        <v>2093</v>
      </c>
      <c r="M1418" s="43" t="n">
        <v>4027</v>
      </c>
      <c r="N1418" s="43" t="n">
        <v>6183</v>
      </c>
      <c r="O1418" s="44">
        <f>IFERROR((F1418-G1418)/(F1418+G1418),"")</f>
        <v/>
      </c>
      <c r="P1418" s="44">
        <f>IFERROR((I1418-J1418)/(I1418+J1418),"")</f>
        <v/>
      </c>
      <c r="Q1418" s="45">
        <f>IFERROR(O1418-P1418,"")</f>
        <v/>
      </c>
      <c r="R1418" s="44">
        <f>IFERROR((L1418-M1418)/(L1418+M1418),"")</f>
        <v/>
      </c>
      <c r="S1418" s="46">
        <f>H1418/SUMIFS(Counties!$H$2:$H$1583,Counties!$A$2:$A$1583,$A1418)</f>
        <v/>
      </c>
      <c r="T1418" s="44">
        <f>O1418+INDEX(Dashboard!$F$6:$F$22,MATCH($A1418,Dashboard!$A$6:$A$22,0))</f>
        <v/>
      </c>
      <c r="U1418" s="43">
        <f>AQ1418*INDEX(Dashboard!$G$6:$G$22,MATCH($A1418,Dashboard!$A$6:$A$22,0))</f>
        <v/>
      </c>
      <c r="V1418" s="47" t="n"/>
      <c r="W1418" s="47" t="n"/>
      <c r="X1418" s="47" t="n"/>
      <c r="Y1418" s="48" t="n"/>
      <c r="Z1418" s="49" t="n"/>
      <c r="AA1418" s="49" t="n"/>
      <c r="AB1418" s="49" t="n"/>
      <c r="AC1418" s="50" t="n"/>
      <c r="AD1418" s="43">
        <f>IF(Z1418&lt;&gt;"",Z1418,N(V1418))</f>
        <v/>
      </c>
      <c r="AE1418" s="43">
        <f>IF(AA1418&lt;&gt;"",AA1418,N(W1418))</f>
        <v/>
      </c>
      <c r="AF1418" s="43">
        <f>AD1418+AE1418</f>
        <v/>
      </c>
      <c r="AG1418" s="42">
        <f>IF(UPPER(AC1418)="Y",1,IF(AF1418=0,0,IF(AND(Z1418="",Y1418&lt;&gt;""),IF(Y1418&gt;=0.999,1,0),IF(AF1418&gt;=U1418,1,0))))</f>
        <v/>
      </c>
      <c r="AH1418" s="44">
        <f>IF(AF1418&gt;0,(AD1418-AE1418)/AF1418,"")</f>
        <v/>
      </c>
      <c r="AI1418" s="45">
        <f>IF(AG1418=1,AH1418-O1418,"")</f>
        <v/>
      </c>
      <c r="AJ1418" s="44">
        <f>IF(AG1418=1,AH1418,MAX(-1,MIN(1,O1418+INDEX(Types!$H:$H,MATCH($A1418&amp;"|"&amp;$D1418,Types!$A:$A,0)))))</f>
        <v/>
      </c>
      <c r="AK1418" s="43">
        <f>IF(AG1418=1,AF1418,MAX(AQ1418*AS1418,AF1418))</f>
        <v/>
      </c>
      <c r="AL1418" s="43">
        <f>IF(AG1418=1,AD1418,AK1418*(1+AJ1418)/2)</f>
        <v/>
      </c>
      <c r="AM1418" s="43">
        <f>IF(AG1418=1,AE1418,AK1418*(1-AJ1418)/2)</f>
        <v/>
      </c>
      <c r="AN1418" s="45">
        <f>IF(AH1418="","",AH1418-T1418)</f>
        <v/>
      </c>
      <c r="AO1418" s="51">
        <f>IF(AG1418=1,1,IF(U1418&gt;0,MIN(AF1418/U1418,0.99),0))</f>
        <v/>
      </c>
      <c r="AP1418" s="43">
        <f>IF(AG1418=1,AI1418*AF1418,0)</f>
        <v/>
      </c>
      <c r="AQ1418" s="43">
        <f>N1418*(F1418+G1418)/H1418</f>
        <v/>
      </c>
      <c r="AR1418" s="43">
        <f>O1418*AQ1418</f>
        <v/>
      </c>
      <c r="AS1418" s="52">
        <f>IF(AG1418=1,IF(AQ1418&gt;0,AF1418/AQ1418,1),IFERROR(INDEX(Types!$K:$K,MATCH($A1418&amp;"|"&amp;$D1418,Types!$A:$A,0)),INDEX(Dashboard!$X$6:$X$22,MATCH($A1418,Dashboard!$A$6:$A$22,0))))</f>
        <v/>
      </c>
      <c r="AT1418" s="43">
        <f>AQ1418*INDEX(Dashboard!$Y$6:$Y$22,MATCH($A1418,Dashboard!$A$6:$A$22,0))</f>
        <v/>
      </c>
      <c r="AU1418" s="53">
        <f>IF(AND(AG1418=1,AT1418&gt;0,AF1418&gt;0),100*AF1418/AT1418,"")</f>
        <v/>
      </c>
      <c r="AV1418" s="44">
        <f>IF(AU1418="","",T1418/(AU1418/100))</f>
        <v/>
      </c>
      <c r="AW1418" s="53">
        <f>IF(AU1418="","",IF(AND(ABS(AH1418)&gt;=0.1,ABS(T1418)&gt;=0.05,SIGN(AH1418)=SIGN(T1418)),100*T1418/AH1418,""))</f>
        <v/>
      </c>
      <c r="AX1418" s="45">
        <f>IF(AU1418="","",T1418-AV1418)</f>
        <v/>
      </c>
      <c r="AY1418" s="45">
        <f>IF(AU1418="","",AH1418-AV1418)</f>
        <v/>
      </c>
      <c r="AZ1418" s="54">
        <f>(AL1418-AM1418)-T1418*AT1418</f>
        <v/>
      </c>
      <c r="BA1418" s="43">
        <f>IF(AU1418="",0,(AH1418-T1418)*AF1418)</f>
        <v/>
      </c>
      <c r="BB1418" s="43">
        <f>IF(AU1418="",0,T1418*(AF1418-AT1418))</f>
        <v/>
      </c>
      <c r="BC1418" s="51" t="n">
        <v>0.235009280929707</v>
      </c>
      <c r="BD1418" s="51" t="n">
        <v>0.03776934872084577</v>
      </c>
      <c r="BE1418" s="51" t="n">
        <v>0.3388455866863282</v>
      </c>
      <c r="BF1418" s="43" t="n">
        <v>12391</v>
      </c>
    </row>
    <row r="1419">
      <c r="A1419" s="42" t="inlineStr">
        <is>
          <t>VA</t>
        </is>
      </c>
      <c r="B1419" s="42" t="inlineStr">
        <is>
          <t>51720</t>
        </is>
      </c>
      <c r="C1419" s="42" t="inlineStr">
        <is>
          <t>Norton city</t>
        </is>
      </c>
      <c r="D1419" s="42" t="inlineStr">
        <is>
          <t>Small town &amp; rural</t>
        </is>
      </c>
      <c r="E1419" s="42" t="inlineStr"/>
      <c r="F1419" s="43" t="n">
        <v>458</v>
      </c>
      <c r="G1419" s="43" t="n">
        <v>1174</v>
      </c>
      <c r="H1419" s="43" t="n">
        <v>1643</v>
      </c>
      <c r="I1419" s="43" t="n">
        <v>464</v>
      </c>
      <c r="J1419" s="43" t="n">
        <v>1109</v>
      </c>
      <c r="K1419" s="42" t="inlineStr">
        <is>
          <t>US House</t>
        </is>
      </c>
      <c r="L1419" s="43" t="n">
        <v>266</v>
      </c>
      <c r="M1419" s="43" t="n">
        <v>666</v>
      </c>
      <c r="N1419" s="43" t="n">
        <v>938</v>
      </c>
      <c r="O1419" s="44">
        <f>IFERROR((F1419-G1419)/(F1419+G1419),"")</f>
        <v/>
      </c>
      <c r="P1419" s="44">
        <f>IFERROR((I1419-J1419)/(I1419+J1419),"")</f>
        <v/>
      </c>
      <c r="Q1419" s="45">
        <f>IFERROR(O1419-P1419,"")</f>
        <v/>
      </c>
      <c r="R1419" s="44">
        <f>IFERROR((L1419-M1419)/(L1419+M1419),"")</f>
        <v/>
      </c>
      <c r="S1419" s="46">
        <f>H1419/SUMIFS(Counties!$H$2:$H$1583,Counties!$A$2:$A$1583,$A1419)</f>
        <v/>
      </c>
      <c r="T1419" s="44">
        <f>O1419+INDEX(Dashboard!$F$6:$F$22,MATCH($A1419,Dashboard!$A$6:$A$22,0))</f>
        <v/>
      </c>
      <c r="U1419" s="43">
        <f>AQ1419*INDEX(Dashboard!$G$6:$G$22,MATCH($A1419,Dashboard!$A$6:$A$22,0))</f>
        <v/>
      </c>
      <c r="V1419" s="47" t="n"/>
      <c r="W1419" s="47" t="n"/>
      <c r="X1419" s="47" t="n"/>
      <c r="Y1419" s="48" t="n"/>
      <c r="Z1419" s="49" t="n"/>
      <c r="AA1419" s="49" t="n"/>
      <c r="AB1419" s="49" t="n"/>
      <c r="AC1419" s="50" t="n"/>
      <c r="AD1419" s="43">
        <f>IF(Z1419&lt;&gt;"",Z1419,N(V1419))</f>
        <v/>
      </c>
      <c r="AE1419" s="43">
        <f>IF(AA1419&lt;&gt;"",AA1419,N(W1419))</f>
        <v/>
      </c>
      <c r="AF1419" s="43">
        <f>AD1419+AE1419</f>
        <v/>
      </c>
      <c r="AG1419" s="42">
        <f>IF(UPPER(AC1419)="Y",1,IF(AF1419=0,0,IF(AND(Z1419="",Y1419&lt;&gt;""),IF(Y1419&gt;=0.999,1,0),IF(AF1419&gt;=U1419,1,0))))</f>
        <v/>
      </c>
      <c r="AH1419" s="44">
        <f>IF(AF1419&gt;0,(AD1419-AE1419)/AF1419,"")</f>
        <v/>
      </c>
      <c r="AI1419" s="45">
        <f>IF(AG1419=1,AH1419-O1419,"")</f>
        <v/>
      </c>
      <c r="AJ1419" s="44">
        <f>IF(AG1419=1,AH1419,MAX(-1,MIN(1,O1419+INDEX(Types!$H:$H,MATCH($A1419&amp;"|"&amp;$D1419,Types!$A:$A,0)))))</f>
        <v/>
      </c>
      <c r="AK1419" s="43">
        <f>IF(AG1419=1,AF1419,MAX(AQ1419*AS1419,AF1419))</f>
        <v/>
      </c>
      <c r="AL1419" s="43">
        <f>IF(AG1419=1,AD1419,AK1419*(1+AJ1419)/2)</f>
        <v/>
      </c>
      <c r="AM1419" s="43">
        <f>IF(AG1419=1,AE1419,AK1419*(1-AJ1419)/2)</f>
        <v/>
      </c>
      <c r="AN1419" s="45">
        <f>IF(AH1419="","",AH1419-T1419)</f>
        <v/>
      </c>
      <c r="AO1419" s="51">
        <f>IF(AG1419=1,1,IF(U1419&gt;0,MIN(AF1419/U1419,0.99),0))</f>
        <v/>
      </c>
      <c r="AP1419" s="43">
        <f>IF(AG1419=1,AI1419*AF1419,0)</f>
        <v/>
      </c>
      <c r="AQ1419" s="43">
        <f>N1419*(F1419+G1419)/H1419</f>
        <v/>
      </c>
      <c r="AR1419" s="43">
        <f>O1419*AQ1419</f>
        <v/>
      </c>
      <c r="AS1419" s="52">
        <f>IF(AG1419=1,IF(AQ1419&gt;0,AF1419/AQ1419,1),IFERROR(INDEX(Types!$K:$K,MATCH($A1419&amp;"|"&amp;$D1419,Types!$A:$A,0)),INDEX(Dashboard!$X$6:$X$22,MATCH($A1419,Dashboard!$A$6:$A$22,0))))</f>
        <v/>
      </c>
      <c r="AT1419" s="43">
        <f>AQ1419*INDEX(Dashboard!$Y$6:$Y$22,MATCH($A1419,Dashboard!$A$6:$A$22,0))</f>
        <v/>
      </c>
      <c r="AU1419" s="53">
        <f>IF(AND(AG1419=1,AT1419&gt;0,AF1419&gt;0),100*AF1419/AT1419,"")</f>
        <v/>
      </c>
      <c r="AV1419" s="44">
        <f>IF(AU1419="","",T1419/(AU1419/100))</f>
        <v/>
      </c>
      <c r="AW1419" s="53">
        <f>IF(AU1419="","",IF(AND(ABS(AH1419)&gt;=0.1,ABS(T1419)&gt;=0.05,SIGN(AH1419)=SIGN(T1419)),100*T1419/AH1419,""))</f>
        <v/>
      </c>
      <c r="AX1419" s="45">
        <f>IF(AU1419="","",T1419-AV1419)</f>
        <v/>
      </c>
      <c r="AY1419" s="45">
        <f>IF(AU1419="","",AH1419-AV1419)</f>
        <v/>
      </c>
      <c r="AZ1419" s="54">
        <f>(AL1419-AM1419)-T1419*AT1419</f>
        <v/>
      </c>
      <c r="BA1419" s="43">
        <f>IF(AU1419="",0,(AH1419-T1419)*AF1419)</f>
        <v/>
      </c>
      <c r="BB1419" s="43">
        <f>IF(AU1419="",0,T1419*(AF1419-AT1419))</f>
        <v/>
      </c>
      <c r="BC1419" s="51" t="n">
        <v>0.05956471935853379</v>
      </c>
      <c r="BD1419" s="51" t="n">
        <v>0.0220504009163803</v>
      </c>
      <c r="BE1419" s="51" t="n">
        <v>0.1664735419080726</v>
      </c>
      <c r="BF1419" s="43" t="n">
        <v>3492</v>
      </c>
    </row>
    <row r="1420">
      <c r="A1420" s="42" t="inlineStr">
        <is>
          <t>VA</t>
        </is>
      </c>
      <c r="B1420" s="42" t="inlineStr">
        <is>
          <t>51135</t>
        </is>
      </c>
      <c r="C1420" s="42" t="inlineStr">
        <is>
          <t>Nottoway</t>
        </is>
      </c>
      <c r="D1420" s="42" t="inlineStr">
        <is>
          <t>Small town &amp; rural</t>
        </is>
      </c>
      <c r="E1420" s="42" t="inlineStr"/>
      <c r="F1420" s="43" t="n">
        <v>2636</v>
      </c>
      <c r="G1420" s="43" t="n">
        <v>4168</v>
      </c>
      <c r="H1420" s="43" t="n">
        <v>6853</v>
      </c>
      <c r="I1420" s="43" t="n">
        <v>2971</v>
      </c>
      <c r="J1420" s="43" t="n">
        <v>4027</v>
      </c>
      <c r="K1420" s="42" t="inlineStr">
        <is>
          <t>US House</t>
        </is>
      </c>
      <c r="L1420" s="43" t="n">
        <v>1713</v>
      </c>
      <c r="M1420" s="43" t="n">
        <v>3103</v>
      </c>
      <c r="N1420" s="43" t="n">
        <v>4821</v>
      </c>
      <c r="O1420" s="44">
        <f>IFERROR((F1420-G1420)/(F1420+G1420),"")</f>
        <v/>
      </c>
      <c r="P1420" s="44">
        <f>IFERROR((I1420-J1420)/(I1420+J1420),"")</f>
        <v/>
      </c>
      <c r="Q1420" s="45">
        <f>IFERROR(O1420-P1420,"")</f>
        <v/>
      </c>
      <c r="R1420" s="44">
        <f>IFERROR((L1420-M1420)/(L1420+M1420),"")</f>
        <v/>
      </c>
      <c r="S1420" s="46">
        <f>H1420/SUMIFS(Counties!$H$2:$H$1583,Counties!$A$2:$A$1583,$A1420)</f>
        <v/>
      </c>
      <c r="T1420" s="44">
        <f>O1420+INDEX(Dashboard!$F$6:$F$22,MATCH($A1420,Dashboard!$A$6:$A$22,0))</f>
        <v/>
      </c>
      <c r="U1420" s="43">
        <f>AQ1420*INDEX(Dashboard!$G$6:$G$22,MATCH($A1420,Dashboard!$A$6:$A$22,0))</f>
        <v/>
      </c>
      <c r="V1420" s="47" t="n"/>
      <c r="W1420" s="47" t="n"/>
      <c r="X1420" s="47" t="n"/>
      <c r="Y1420" s="48" t="n"/>
      <c r="Z1420" s="49" t="n"/>
      <c r="AA1420" s="49" t="n"/>
      <c r="AB1420" s="49" t="n"/>
      <c r="AC1420" s="50" t="n"/>
      <c r="AD1420" s="43">
        <f>IF(Z1420&lt;&gt;"",Z1420,N(V1420))</f>
        <v/>
      </c>
      <c r="AE1420" s="43">
        <f>IF(AA1420&lt;&gt;"",AA1420,N(W1420))</f>
        <v/>
      </c>
      <c r="AF1420" s="43">
        <f>AD1420+AE1420</f>
        <v/>
      </c>
      <c r="AG1420" s="42">
        <f>IF(UPPER(AC1420)="Y",1,IF(AF1420=0,0,IF(AND(Z1420="",Y1420&lt;&gt;""),IF(Y1420&gt;=0.999,1,0),IF(AF1420&gt;=U1420,1,0))))</f>
        <v/>
      </c>
      <c r="AH1420" s="44">
        <f>IF(AF1420&gt;0,(AD1420-AE1420)/AF1420,"")</f>
        <v/>
      </c>
      <c r="AI1420" s="45">
        <f>IF(AG1420=1,AH1420-O1420,"")</f>
        <v/>
      </c>
      <c r="AJ1420" s="44">
        <f>IF(AG1420=1,AH1420,MAX(-1,MIN(1,O1420+INDEX(Types!$H:$H,MATCH($A1420&amp;"|"&amp;$D1420,Types!$A:$A,0)))))</f>
        <v/>
      </c>
      <c r="AK1420" s="43">
        <f>IF(AG1420=1,AF1420,MAX(AQ1420*AS1420,AF1420))</f>
        <v/>
      </c>
      <c r="AL1420" s="43">
        <f>IF(AG1420=1,AD1420,AK1420*(1+AJ1420)/2)</f>
        <v/>
      </c>
      <c r="AM1420" s="43">
        <f>IF(AG1420=1,AE1420,AK1420*(1-AJ1420)/2)</f>
        <v/>
      </c>
      <c r="AN1420" s="45">
        <f>IF(AH1420="","",AH1420-T1420)</f>
        <v/>
      </c>
      <c r="AO1420" s="51">
        <f>IF(AG1420=1,1,IF(U1420&gt;0,MIN(AF1420/U1420,0.99),0))</f>
        <v/>
      </c>
      <c r="AP1420" s="43">
        <f>IF(AG1420=1,AI1420*AF1420,0)</f>
        <v/>
      </c>
      <c r="AQ1420" s="43">
        <f>N1420*(F1420+G1420)/H1420</f>
        <v/>
      </c>
      <c r="AR1420" s="43">
        <f>O1420*AQ1420</f>
        <v/>
      </c>
      <c r="AS1420" s="52">
        <f>IF(AG1420=1,IF(AQ1420&gt;0,AF1420/AQ1420,1),IFERROR(INDEX(Types!$K:$K,MATCH($A1420&amp;"|"&amp;$D1420,Types!$A:$A,0)),INDEX(Dashboard!$X$6:$X$22,MATCH($A1420,Dashboard!$A$6:$A$22,0))))</f>
        <v/>
      </c>
      <c r="AT1420" s="43">
        <f>AQ1420*INDEX(Dashboard!$Y$6:$Y$22,MATCH($A1420,Dashboard!$A$6:$A$22,0))</f>
        <v/>
      </c>
      <c r="AU1420" s="53">
        <f>IF(AND(AG1420=1,AT1420&gt;0,AF1420&gt;0),100*AF1420/AT1420,"")</f>
        <v/>
      </c>
      <c r="AV1420" s="44">
        <f>IF(AU1420="","",T1420/(AU1420/100))</f>
        <v/>
      </c>
      <c r="AW1420" s="53">
        <f>IF(AU1420="","",IF(AND(ABS(AH1420)&gt;=0.1,ABS(T1420)&gt;=0.05,SIGN(AH1420)=SIGN(T1420)),100*T1420/AH1420,""))</f>
        <v/>
      </c>
      <c r="AX1420" s="45">
        <f>IF(AU1420="","",T1420-AV1420)</f>
        <v/>
      </c>
      <c r="AY1420" s="45">
        <f>IF(AU1420="","",AH1420-AV1420)</f>
        <v/>
      </c>
      <c r="AZ1420" s="54">
        <f>(AL1420-AM1420)-T1420*AT1420</f>
        <v/>
      </c>
      <c r="BA1420" s="43">
        <f>IF(AU1420="",0,(AH1420-T1420)*AF1420)</f>
        <v/>
      </c>
      <c r="BB1420" s="43">
        <f>IF(AU1420="",0,T1420*(AF1420-AT1420))</f>
        <v/>
      </c>
      <c r="BC1420" s="51" t="n">
        <v>0.3745342412951304</v>
      </c>
      <c r="BD1420" s="51" t="n">
        <v>0.04869587562636515</v>
      </c>
      <c r="BE1420" s="51" t="n">
        <v>0.1677852348993289</v>
      </c>
      <c r="BF1420" s="43" t="n">
        <v>15566</v>
      </c>
    </row>
    <row r="1421">
      <c r="A1421" s="42" t="inlineStr">
        <is>
          <t>VA</t>
        </is>
      </c>
      <c r="B1421" s="42" t="inlineStr">
        <is>
          <t>51137</t>
        </is>
      </c>
      <c r="C1421" s="42" t="inlineStr">
        <is>
          <t>Orange</t>
        </is>
      </c>
      <c r="D1421" s="42" t="inlineStr">
        <is>
          <t>Small town &amp; rural</t>
        </is>
      </c>
      <c r="E1421" s="42" t="inlineStr"/>
      <c r="F1421" s="43" t="n">
        <v>8274</v>
      </c>
      <c r="G1421" s="43" t="n">
        <v>13764</v>
      </c>
      <c r="H1421" s="43" t="n">
        <v>22247</v>
      </c>
      <c r="I1421" s="43" t="n">
        <v>7995</v>
      </c>
      <c r="J1421" s="43" t="n">
        <v>12426</v>
      </c>
      <c r="K1421" s="42" t="inlineStr">
        <is>
          <t>US House</t>
        </is>
      </c>
      <c r="L1421" s="43" t="n">
        <v>6432</v>
      </c>
      <c r="M1421" s="43" t="n">
        <v>9695</v>
      </c>
      <c r="N1421" s="43" t="n">
        <v>16155</v>
      </c>
      <c r="O1421" s="44">
        <f>IFERROR((F1421-G1421)/(F1421+G1421),"")</f>
        <v/>
      </c>
      <c r="P1421" s="44">
        <f>IFERROR((I1421-J1421)/(I1421+J1421),"")</f>
        <v/>
      </c>
      <c r="Q1421" s="45">
        <f>IFERROR(O1421-P1421,"")</f>
        <v/>
      </c>
      <c r="R1421" s="44">
        <f>IFERROR((L1421-M1421)/(L1421+M1421),"")</f>
        <v/>
      </c>
      <c r="S1421" s="46">
        <f>H1421/SUMIFS(Counties!$H$2:$H$1583,Counties!$A$2:$A$1583,$A1421)</f>
        <v/>
      </c>
      <c r="T1421" s="44">
        <f>O1421+INDEX(Dashboard!$F$6:$F$22,MATCH($A1421,Dashboard!$A$6:$A$22,0))</f>
        <v/>
      </c>
      <c r="U1421" s="43">
        <f>AQ1421*INDEX(Dashboard!$G$6:$G$22,MATCH($A1421,Dashboard!$A$6:$A$22,0))</f>
        <v/>
      </c>
      <c r="V1421" s="47" t="n"/>
      <c r="W1421" s="47" t="n"/>
      <c r="X1421" s="47" t="n"/>
      <c r="Y1421" s="48" t="n"/>
      <c r="Z1421" s="49" t="n"/>
      <c r="AA1421" s="49" t="n"/>
      <c r="AB1421" s="49" t="n"/>
      <c r="AC1421" s="50" t="n"/>
      <c r="AD1421" s="43">
        <f>IF(Z1421&lt;&gt;"",Z1421,N(V1421))</f>
        <v/>
      </c>
      <c r="AE1421" s="43">
        <f>IF(AA1421&lt;&gt;"",AA1421,N(W1421))</f>
        <v/>
      </c>
      <c r="AF1421" s="43">
        <f>AD1421+AE1421</f>
        <v/>
      </c>
      <c r="AG1421" s="42">
        <f>IF(UPPER(AC1421)="Y",1,IF(AF1421=0,0,IF(AND(Z1421="",Y1421&lt;&gt;""),IF(Y1421&gt;=0.999,1,0),IF(AF1421&gt;=U1421,1,0))))</f>
        <v/>
      </c>
      <c r="AH1421" s="44">
        <f>IF(AF1421&gt;0,(AD1421-AE1421)/AF1421,"")</f>
        <v/>
      </c>
      <c r="AI1421" s="45">
        <f>IF(AG1421=1,AH1421-O1421,"")</f>
        <v/>
      </c>
      <c r="AJ1421" s="44">
        <f>IF(AG1421=1,AH1421,MAX(-1,MIN(1,O1421+INDEX(Types!$H:$H,MATCH($A1421&amp;"|"&amp;$D1421,Types!$A:$A,0)))))</f>
        <v/>
      </c>
      <c r="AK1421" s="43">
        <f>IF(AG1421=1,AF1421,MAX(AQ1421*AS1421,AF1421))</f>
        <v/>
      </c>
      <c r="AL1421" s="43">
        <f>IF(AG1421=1,AD1421,AK1421*(1+AJ1421)/2)</f>
        <v/>
      </c>
      <c r="AM1421" s="43">
        <f>IF(AG1421=1,AE1421,AK1421*(1-AJ1421)/2)</f>
        <v/>
      </c>
      <c r="AN1421" s="45">
        <f>IF(AH1421="","",AH1421-T1421)</f>
        <v/>
      </c>
      <c r="AO1421" s="51">
        <f>IF(AG1421=1,1,IF(U1421&gt;0,MIN(AF1421/U1421,0.99),0))</f>
        <v/>
      </c>
      <c r="AP1421" s="43">
        <f>IF(AG1421=1,AI1421*AF1421,0)</f>
        <v/>
      </c>
      <c r="AQ1421" s="43">
        <f>N1421*(F1421+G1421)/H1421</f>
        <v/>
      </c>
      <c r="AR1421" s="43">
        <f>O1421*AQ1421</f>
        <v/>
      </c>
      <c r="AS1421" s="52">
        <f>IF(AG1421=1,IF(AQ1421&gt;0,AF1421/AQ1421,1),IFERROR(INDEX(Types!$K:$K,MATCH($A1421&amp;"|"&amp;$D1421,Types!$A:$A,0)),INDEX(Dashboard!$X$6:$X$22,MATCH($A1421,Dashboard!$A$6:$A$22,0))))</f>
        <v/>
      </c>
      <c r="AT1421" s="43">
        <f>AQ1421*INDEX(Dashboard!$Y$6:$Y$22,MATCH($A1421,Dashboard!$A$6:$A$22,0))</f>
        <v/>
      </c>
      <c r="AU1421" s="53">
        <f>IF(AND(AG1421=1,AT1421&gt;0,AF1421&gt;0),100*AF1421/AT1421,"")</f>
        <v/>
      </c>
      <c r="AV1421" s="44">
        <f>IF(AU1421="","",T1421/(AU1421/100))</f>
        <v/>
      </c>
      <c r="AW1421" s="53">
        <f>IF(AU1421="","",IF(AND(ABS(AH1421)&gt;=0.1,ABS(T1421)&gt;=0.05,SIGN(AH1421)=SIGN(T1421)),100*T1421/AH1421,""))</f>
        <v/>
      </c>
      <c r="AX1421" s="45">
        <f>IF(AU1421="","",T1421-AV1421)</f>
        <v/>
      </c>
      <c r="AY1421" s="45">
        <f>IF(AU1421="","",AH1421-AV1421)</f>
        <v/>
      </c>
      <c r="AZ1421" s="54">
        <f>(AL1421-AM1421)-T1421*AT1421</f>
        <v/>
      </c>
      <c r="BA1421" s="43">
        <f>IF(AU1421="",0,(AH1421-T1421)*AF1421)</f>
        <v/>
      </c>
      <c r="BB1421" s="43">
        <f>IF(AU1421="",0,T1421*(AF1421-AT1421))</f>
        <v/>
      </c>
      <c r="BC1421" s="51" t="n">
        <v>0.1225696064706797</v>
      </c>
      <c r="BD1421" s="51" t="n">
        <v>0.07370249390781355</v>
      </c>
      <c r="BE1421" s="51" t="n">
        <v>0.2944913670677928</v>
      </c>
      <c r="BF1421" s="43" t="n">
        <v>38574</v>
      </c>
    </row>
    <row r="1422">
      <c r="A1422" s="42" t="inlineStr">
        <is>
          <t>VA</t>
        </is>
      </c>
      <c r="B1422" s="42" t="inlineStr">
        <is>
          <t>51139</t>
        </is>
      </c>
      <c r="C1422" s="42" t="inlineStr">
        <is>
          <t>Page</t>
        </is>
      </c>
      <c r="D1422" s="42" t="inlineStr">
        <is>
          <t>Small town &amp; rural</t>
        </is>
      </c>
      <c r="E1422" s="42" t="inlineStr"/>
      <c r="F1422" s="43" t="n">
        <v>2976</v>
      </c>
      <c r="G1422" s="43" t="n">
        <v>10123</v>
      </c>
      <c r="H1422" s="43" t="n">
        <v>13211</v>
      </c>
      <c r="I1422" s="43" t="n">
        <v>3007</v>
      </c>
      <c r="J1422" s="43" t="n">
        <v>9345</v>
      </c>
      <c r="K1422" s="42" t="inlineStr">
        <is>
          <t>US House</t>
        </is>
      </c>
      <c r="L1422" s="43" t="n">
        <v>1847</v>
      </c>
      <c r="M1422" s="43" t="n">
        <v>6360</v>
      </c>
      <c r="N1422" s="43" t="n">
        <v>8212</v>
      </c>
      <c r="O1422" s="44">
        <f>IFERROR((F1422-G1422)/(F1422+G1422),"")</f>
        <v/>
      </c>
      <c r="P1422" s="44">
        <f>IFERROR((I1422-J1422)/(I1422+J1422),"")</f>
        <v/>
      </c>
      <c r="Q1422" s="45">
        <f>IFERROR(O1422-P1422,"")</f>
        <v/>
      </c>
      <c r="R1422" s="44">
        <f>IFERROR((L1422-M1422)/(L1422+M1422),"")</f>
        <v/>
      </c>
      <c r="S1422" s="46">
        <f>H1422/SUMIFS(Counties!$H$2:$H$1583,Counties!$A$2:$A$1583,$A1422)</f>
        <v/>
      </c>
      <c r="T1422" s="44">
        <f>O1422+INDEX(Dashboard!$F$6:$F$22,MATCH($A1422,Dashboard!$A$6:$A$22,0))</f>
        <v/>
      </c>
      <c r="U1422" s="43">
        <f>AQ1422*INDEX(Dashboard!$G$6:$G$22,MATCH($A1422,Dashboard!$A$6:$A$22,0))</f>
        <v/>
      </c>
      <c r="V1422" s="47" t="n"/>
      <c r="W1422" s="47" t="n"/>
      <c r="X1422" s="47" t="n"/>
      <c r="Y1422" s="48" t="n"/>
      <c r="Z1422" s="49" t="n"/>
      <c r="AA1422" s="49" t="n"/>
      <c r="AB1422" s="49" t="n"/>
      <c r="AC1422" s="50" t="n"/>
      <c r="AD1422" s="43">
        <f>IF(Z1422&lt;&gt;"",Z1422,N(V1422))</f>
        <v/>
      </c>
      <c r="AE1422" s="43">
        <f>IF(AA1422&lt;&gt;"",AA1422,N(W1422))</f>
        <v/>
      </c>
      <c r="AF1422" s="43">
        <f>AD1422+AE1422</f>
        <v/>
      </c>
      <c r="AG1422" s="42">
        <f>IF(UPPER(AC1422)="Y",1,IF(AF1422=0,0,IF(AND(Z1422="",Y1422&lt;&gt;""),IF(Y1422&gt;=0.999,1,0),IF(AF1422&gt;=U1422,1,0))))</f>
        <v/>
      </c>
      <c r="AH1422" s="44">
        <f>IF(AF1422&gt;0,(AD1422-AE1422)/AF1422,"")</f>
        <v/>
      </c>
      <c r="AI1422" s="45">
        <f>IF(AG1422=1,AH1422-O1422,"")</f>
        <v/>
      </c>
      <c r="AJ1422" s="44">
        <f>IF(AG1422=1,AH1422,MAX(-1,MIN(1,O1422+INDEX(Types!$H:$H,MATCH($A1422&amp;"|"&amp;$D1422,Types!$A:$A,0)))))</f>
        <v/>
      </c>
      <c r="AK1422" s="43">
        <f>IF(AG1422=1,AF1422,MAX(AQ1422*AS1422,AF1422))</f>
        <v/>
      </c>
      <c r="AL1422" s="43">
        <f>IF(AG1422=1,AD1422,AK1422*(1+AJ1422)/2)</f>
        <v/>
      </c>
      <c r="AM1422" s="43">
        <f>IF(AG1422=1,AE1422,AK1422*(1-AJ1422)/2)</f>
        <v/>
      </c>
      <c r="AN1422" s="45">
        <f>IF(AH1422="","",AH1422-T1422)</f>
        <v/>
      </c>
      <c r="AO1422" s="51">
        <f>IF(AG1422=1,1,IF(U1422&gt;0,MIN(AF1422/U1422,0.99),0))</f>
        <v/>
      </c>
      <c r="AP1422" s="43">
        <f>IF(AG1422=1,AI1422*AF1422,0)</f>
        <v/>
      </c>
      <c r="AQ1422" s="43">
        <f>N1422*(F1422+G1422)/H1422</f>
        <v/>
      </c>
      <c r="AR1422" s="43">
        <f>O1422*AQ1422</f>
        <v/>
      </c>
      <c r="AS1422" s="52">
        <f>IF(AG1422=1,IF(AQ1422&gt;0,AF1422/AQ1422,1),IFERROR(INDEX(Types!$K:$K,MATCH($A1422&amp;"|"&amp;$D1422,Types!$A:$A,0)),INDEX(Dashboard!$X$6:$X$22,MATCH($A1422,Dashboard!$A$6:$A$22,0))))</f>
        <v/>
      </c>
      <c r="AT1422" s="43">
        <f>AQ1422*INDEX(Dashboard!$Y$6:$Y$22,MATCH($A1422,Dashboard!$A$6:$A$22,0))</f>
        <v/>
      </c>
      <c r="AU1422" s="53">
        <f>IF(AND(AG1422=1,AT1422&gt;0,AF1422&gt;0),100*AF1422/AT1422,"")</f>
        <v/>
      </c>
      <c r="AV1422" s="44">
        <f>IF(AU1422="","",T1422/(AU1422/100))</f>
        <v/>
      </c>
      <c r="AW1422" s="53">
        <f>IF(AU1422="","",IF(AND(ABS(AH1422)&gt;=0.1,ABS(T1422)&gt;=0.05,SIGN(AH1422)=SIGN(T1422)),100*T1422/AH1422,""))</f>
        <v/>
      </c>
      <c r="AX1422" s="45">
        <f>IF(AU1422="","",T1422-AV1422)</f>
        <v/>
      </c>
      <c r="AY1422" s="45">
        <f>IF(AU1422="","",AH1422-AV1422)</f>
        <v/>
      </c>
      <c r="AZ1422" s="54">
        <f>(AL1422-AM1422)-T1422*AT1422</f>
        <v/>
      </c>
      <c r="BA1422" s="43">
        <f>IF(AU1422="",0,(AH1422-T1422)*AF1422)</f>
        <v/>
      </c>
      <c r="BB1422" s="43">
        <f>IF(AU1422="",0,T1422*(AF1422-AT1422))</f>
        <v/>
      </c>
      <c r="BC1422" s="51" t="n">
        <v>0.02320879491175603</v>
      </c>
      <c r="BD1422" s="51" t="n">
        <v>0.0272103112758519</v>
      </c>
      <c r="BE1422" s="51" t="n">
        <v>0.1522189008967579</v>
      </c>
      <c r="BF1422" s="43" t="n">
        <v>23741</v>
      </c>
    </row>
    <row r="1423">
      <c r="A1423" s="42" t="inlineStr">
        <is>
          <t>VA</t>
        </is>
      </c>
      <c r="B1423" s="42" t="inlineStr">
        <is>
          <t>51141</t>
        </is>
      </c>
      <c r="C1423" s="42" t="inlineStr">
        <is>
          <t>Patrick</t>
        </is>
      </c>
      <c r="D1423" s="42" t="inlineStr">
        <is>
          <t>Small town &amp; rural</t>
        </is>
      </c>
      <c r="E1423" s="42" t="inlineStr"/>
      <c r="F1423" s="43" t="n">
        <v>1886</v>
      </c>
      <c r="G1423" s="43" t="n">
        <v>7746</v>
      </c>
      <c r="H1423" s="43" t="n">
        <v>9698</v>
      </c>
      <c r="I1423" s="43" t="n">
        <v>1954</v>
      </c>
      <c r="J1423" s="43" t="n">
        <v>7485</v>
      </c>
      <c r="K1423" s="42" t="inlineStr">
        <is>
          <t>US House</t>
        </is>
      </c>
      <c r="L1423" s="43" t="n">
        <v>1065</v>
      </c>
      <c r="M1423" s="43" t="n">
        <v>4864</v>
      </c>
      <c r="N1423" s="43" t="n">
        <v>5941</v>
      </c>
      <c r="O1423" s="44">
        <f>IFERROR((F1423-G1423)/(F1423+G1423),"")</f>
        <v/>
      </c>
      <c r="P1423" s="44">
        <f>IFERROR((I1423-J1423)/(I1423+J1423),"")</f>
        <v/>
      </c>
      <c r="Q1423" s="45">
        <f>IFERROR(O1423-P1423,"")</f>
        <v/>
      </c>
      <c r="R1423" s="44">
        <f>IFERROR((L1423-M1423)/(L1423+M1423),"")</f>
        <v/>
      </c>
      <c r="S1423" s="46">
        <f>H1423/SUMIFS(Counties!$H$2:$H$1583,Counties!$A$2:$A$1583,$A1423)</f>
        <v/>
      </c>
      <c r="T1423" s="44">
        <f>O1423+INDEX(Dashboard!$F$6:$F$22,MATCH($A1423,Dashboard!$A$6:$A$22,0))</f>
        <v/>
      </c>
      <c r="U1423" s="43">
        <f>AQ1423*INDEX(Dashboard!$G$6:$G$22,MATCH($A1423,Dashboard!$A$6:$A$22,0))</f>
        <v/>
      </c>
      <c r="V1423" s="47" t="n"/>
      <c r="W1423" s="47" t="n"/>
      <c r="X1423" s="47" t="n"/>
      <c r="Y1423" s="48" t="n"/>
      <c r="Z1423" s="49" t="n"/>
      <c r="AA1423" s="49" t="n"/>
      <c r="AB1423" s="49" t="n"/>
      <c r="AC1423" s="50" t="n"/>
      <c r="AD1423" s="43">
        <f>IF(Z1423&lt;&gt;"",Z1423,N(V1423))</f>
        <v/>
      </c>
      <c r="AE1423" s="43">
        <f>IF(AA1423&lt;&gt;"",AA1423,N(W1423))</f>
        <v/>
      </c>
      <c r="AF1423" s="43">
        <f>AD1423+AE1423</f>
        <v/>
      </c>
      <c r="AG1423" s="42">
        <f>IF(UPPER(AC1423)="Y",1,IF(AF1423=0,0,IF(AND(Z1423="",Y1423&lt;&gt;""),IF(Y1423&gt;=0.999,1,0),IF(AF1423&gt;=U1423,1,0))))</f>
        <v/>
      </c>
      <c r="AH1423" s="44">
        <f>IF(AF1423&gt;0,(AD1423-AE1423)/AF1423,"")</f>
        <v/>
      </c>
      <c r="AI1423" s="45">
        <f>IF(AG1423=1,AH1423-O1423,"")</f>
        <v/>
      </c>
      <c r="AJ1423" s="44">
        <f>IF(AG1423=1,AH1423,MAX(-1,MIN(1,O1423+INDEX(Types!$H:$H,MATCH($A1423&amp;"|"&amp;$D1423,Types!$A:$A,0)))))</f>
        <v/>
      </c>
      <c r="AK1423" s="43">
        <f>IF(AG1423=1,AF1423,MAX(AQ1423*AS1423,AF1423))</f>
        <v/>
      </c>
      <c r="AL1423" s="43">
        <f>IF(AG1423=1,AD1423,AK1423*(1+AJ1423)/2)</f>
        <v/>
      </c>
      <c r="AM1423" s="43">
        <f>IF(AG1423=1,AE1423,AK1423*(1-AJ1423)/2)</f>
        <v/>
      </c>
      <c r="AN1423" s="45">
        <f>IF(AH1423="","",AH1423-T1423)</f>
        <v/>
      </c>
      <c r="AO1423" s="51">
        <f>IF(AG1423=1,1,IF(U1423&gt;0,MIN(AF1423/U1423,0.99),0))</f>
        <v/>
      </c>
      <c r="AP1423" s="43">
        <f>IF(AG1423=1,AI1423*AF1423,0)</f>
        <v/>
      </c>
      <c r="AQ1423" s="43">
        <f>N1423*(F1423+G1423)/H1423</f>
        <v/>
      </c>
      <c r="AR1423" s="43">
        <f>O1423*AQ1423</f>
        <v/>
      </c>
      <c r="AS1423" s="52">
        <f>IF(AG1423=1,IF(AQ1423&gt;0,AF1423/AQ1423,1),IFERROR(INDEX(Types!$K:$K,MATCH($A1423&amp;"|"&amp;$D1423,Types!$A:$A,0)),INDEX(Dashboard!$X$6:$X$22,MATCH($A1423,Dashboard!$A$6:$A$22,0))))</f>
        <v/>
      </c>
      <c r="AT1423" s="43">
        <f>AQ1423*INDEX(Dashboard!$Y$6:$Y$22,MATCH($A1423,Dashboard!$A$6:$A$22,0))</f>
        <v/>
      </c>
      <c r="AU1423" s="53">
        <f>IF(AND(AG1423=1,AT1423&gt;0,AF1423&gt;0),100*AF1423/AT1423,"")</f>
        <v/>
      </c>
      <c r="AV1423" s="44">
        <f>IF(AU1423="","",T1423/(AU1423/100))</f>
        <v/>
      </c>
      <c r="AW1423" s="53">
        <f>IF(AU1423="","",IF(AND(ABS(AH1423)&gt;=0.1,ABS(T1423)&gt;=0.05,SIGN(AH1423)=SIGN(T1423)),100*T1423/AH1423,""))</f>
        <v/>
      </c>
      <c r="AX1423" s="45">
        <f>IF(AU1423="","",T1423-AV1423)</f>
        <v/>
      </c>
      <c r="AY1423" s="45">
        <f>IF(AU1423="","",AH1423-AV1423)</f>
        <v/>
      </c>
      <c r="AZ1423" s="54">
        <f>(AL1423-AM1423)-T1423*AT1423</f>
        <v/>
      </c>
      <c r="BA1423" s="43">
        <f>IF(AU1423="",0,(AH1423-T1423)*AF1423)</f>
        <v/>
      </c>
      <c r="BB1423" s="43">
        <f>IF(AU1423="",0,T1423*(AF1423-AT1423))</f>
        <v/>
      </c>
      <c r="BC1423" s="51" t="n">
        <v>0.05048832029242104</v>
      </c>
      <c r="BD1423" s="51" t="n">
        <v>0.03660974356045462</v>
      </c>
      <c r="BE1423" s="51" t="n">
        <v>0.1522990599723093</v>
      </c>
      <c r="BF1423" s="43" t="n">
        <v>17509</v>
      </c>
    </row>
    <row r="1424">
      <c r="A1424" s="42" t="inlineStr">
        <is>
          <t>VA</t>
        </is>
      </c>
      <c r="B1424" s="42" t="inlineStr">
        <is>
          <t>51730</t>
        </is>
      </c>
      <c r="C1424" s="42" t="inlineStr">
        <is>
          <t>Petersburg city</t>
        </is>
      </c>
      <c r="D1424" s="42" t="inlineStr">
        <is>
          <t>Black Belt</t>
        </is>
      </c>
      <c r="E1424" s="42" t="inlineStr"/>
      <c r="F1424" s="43" t="n">
        <v>11219</v>
      </c>
      <c r="G1424" s="43" t="n">
        <v>1702</v>
      </c>
      <c r="H1424" s="43" t="n">
        <v>13077</v>
      </c>
      <c r="I1424" s="43" t="n">
        <v>12389</v>
      </c>
      <c r="J1424" s="43" t="n">
        <v>1584</v>
      </c>
      <c r="K1424" s="42" t="inlineStr">
        <is>
          <t>US House</t>
        </is>
      </c>
      <c r="L1424" s="43" t="n">
        <v>6592</v>
      </c>
      <c r="M1424" s="43" t="n">
        <v>994</v>
      </c>
      <c r="N1424" s="43" t="n">
        <v>7600</v>
      </c>
      <c r="O1424" s="44">
        <f>IFERROR((F1424-G1424)/(F1424+G1424),"")</f>
        <v/>
      </c>
      <c r="P1424" s="44">
        <f>IFERROR((I1424-J1424)/(I1424+J1424),"")</f>
        <v/>
      </c>
      <c r="Q1424" s="45">
        <f>IFERROR(O1424-P1424,"")</f>
        <v/>
      </c>
      <c r="R1424" s="44">
        <f>IFERROR((L1424-M1424)/(L1424+M1424),"")</f>
        <v/>
      </c>
      <c r="S1424" s="46">
        <f>H1424/SUMIFS(Counties!$H$2:$H$1583,Counties!$A$2:$A$1583,$A1424)</f>
        <v/>
      </c>
      <c r="T1424" s="44">
        <f>O1424+INDEX(Dashboard!$F$6:$F$22,MATCH($A1424,Dashboard!$A$6:$A$22,0))</f>
        <v/>
      </c>
      <c r="U1424" s="43">
        <f>AQ1424*INDEX(Dashboard!$G$6:$G$22,MATCH($A1424,Dashboard!$A$6:$A$22,0))</f>
        <v/>
      </c>
      <c r="V1424" s="47" t="n"/>
      <c r="W1424" s="47" t="n"/>
      <c r="X1424" s="47" t="n"/>
      <c r="Y1424" s="48" t="n"/>
      <c r="Z1424" s="49" t="n"/>
      <c r="AA1424" s="49" t="n"/>
      <c r="AB1424" s="49" t="n"/>
      <c r="AC1424" s="50" t="n"/>
      <c r="AD1424" s="43">
        <f>IF(Z1424&lt;&gt;"",Z1424,N(V1424))</f>
        <v/>
      </c>
      <c r="AE1424" s="43">
        <f>IF(AA1424&lt;&gt;"",AA1424,N(W1424))</f>
        <v/>
      </c>
      <c r="AF1424" s="43">
        <f>AD1424+AE1424</f>
        <v/>
      </c>
      <c r="AG1424" s="42">
        <f>IF(UPPER(AC1424)="Y",1,IF(AF1424=0,0,IF(AND(Z1424="",Y1424&lt;&gt;""),IF(Y1424&gt;=0.999,1,0),IF(AF1424&gt;=U1424,1,0))))</f>
        <v/>
      </c>
      <c r="AH1424" s="44">
        <f>IF(AF1424&gt;0,(AD1424-AE1424)/AF1424,"")</f>
        <v/>
      </c>
      <c r="AI1424" s="45">
        <f>IF(AG1424=1,AH1424-O1424,"")</f>
        <v/>
      </c>
      <c r="AJ1424" s="44">
        <f>IF(AG1424=1,AH1424,MAX(-1,MIN(1,O1424+INDEX(Types!$H:$H,MATCH($A1424&amp;"|"&amp;$D1424,Types!$A:$A,0)))))</f>
        <v/>
      </c>
      <c r="AK1424" s="43">
        <f>IF(AG1424=1,AF1424,MAX(AQ1424*AS1424,AF1424))</f>
        <v/>
      </c>
      <c r="AL1424" s="43">
        <f>IF(AG1424=1,AD1424,AK1424*(1+AJ1424)/2)</f>
        <v/>
      </c>
      <c r="AM1424" s="43">
        <f>IF(AG1424=1,AE1424,AK1424*(1-AJ1424)/2)</f>
        <v/>
      </c>
      <c r="AN1424" s="45">
        <f>IF(AH1424="","",AH1424-T1424)</f>
        <v/>
      </c>
      <c r="AO1424" s="51">
        <f>IF(AG1424=1,1,IF(U1424&gt;0,MIN(AF1424/U1424,0.99),0))</f>
        <v/>
      </c>
      <c r="AP1424" s="43">
        <f>IF(AG1424=1,AI1424*AF1424,0)</f>
        <v/>
      </c>
      <c r="AQ1424" s="43">
        <f>N1424*(F1424+G1424)/H1424</f>
        <v/>
      </c>
      <c r="AR1424" s="43">
        <f>O1424*AQ1424</f>
        <v/>
      </c>
      <c r="AS1424" s="52">
        <f>IF(AG1424=1,IF(AQ1424&gt;0,AF1424/AQ1424,1),IFERROR(INDEX(Types!$K:$K,MATCH($A1424&amp;"|"&amp;$D1424,Types!$A:$A,0)),INDEX(Dashboard!$X$6:$X$22,MATCH($A1424,Dashboard!$A$6:$A$22,0))))</f>
        <v/>
      </c>
      <c r="AT1424" s="43">
        <f>AQ1424*INDEX(Dashboard!$Y$6:$Y$22,MATCH($A1424,Dashboard!$A$6:$A$22,0))</f>
        <v/>
      </c>
      <c r="AU1424" s="53">
        <f>IF(AND(AG1424=1,AT1424&gt;0,AF1424&gt;0),100*AF1424/AT1424,"")</f>
        <v/>
      </c>
      <c r="AV1424" s="44">
        <f>IF(AU1424="","",T1424/(AU1424/100))</f>
        <v/>
      </c>
      <c r="AW1424" s="53">
        <f>IF(AU1424="","",IF(AND(ABS(AH1424)&gt;=0.1,ABS(T1424)&gt;=0.05,SIGN(AH1424)=SIGN(T1424)),100*T1424/AH1424,""))</f>
        <v/>
      </c>
      <c r="AX1424" s="45">
        <f>IF(AU1424="","",T1424-AV1424)</f>
        <v/>
      </c>
      <c r="AY1424" s="45">
        <f>IF(AU1424="","",AH1424-AV1424)</f>
        <v/>
      </c>
      <c r="AZ1424" s="54">
        <f>(AL1424-AM1424)-T1424*AT1424</f>
        <v/>
      </c>
      <c r="BA1424" s="43">
        <f>IF(AU1424="",0,(AH1424-T1424)*AF1424)</f>
        <v/>
      </c>
      <c r="BB1424" s="43">
        <f>IF(AU1424="",0,T1424*(AF1424-AT1424))</f>
        <v/>
      </c>
      <c r="BC1424" s="51" t="n">
        <v>0.7518088204389204</v>
      </c>
      <c r="BD1424" s="51" t="n">
        <v>0.06634843435708067</v>
      </c>
      <c r="BE1424" s="51" t="n">
        <v>0.2501199982545708</v>
      </c>
      <c r="BF1424" s="43" t="n">
        <v>33309</v>
      </c>
    </row>
    <row r="1425">
      <c r="A1425" s="42" t="inlineStr">
        <is>
          <t>VA</t>
        </is>
      </c>
      <c r="B1425" s="42" t="inlineStr">
        <is>
          <t>51143</t>
        </is>
      </c>
      <c r="C1425" s="42" t="inlineStr">
        <is>
          <t>Pittsylvania</t>
        </is>
      </c>
      <c r="D1425" s="42" t="inlineStr">
        <is>
          <t>Small town &amp; rural</t>
        </is>
      </c>
      <c r="E1425" s="42" t="inlineStr"/>
      <c r="F1425" s="43" t="n">
        <v>9599</v>
      </c>
      <c r="G1425" s="43" t="n">
        <v>24310</v>
      </c>
      <c r="H1425" s="43" t="n">
        <v>34100</v>
      </c>
      <c r="I1425" s="43" t="n">
        <v>10115</v>
      </c>
      <c r="J1425" s="43" t="n">
        <v>23751</v>
      </c>
      <c r="K1425" s="42" t="inlineStr">
        <is>
          <t>US House</t>
        </is>
      </c>
      <c r="L1425" s="43" t="n">
        <v>5994</v>
      </c>
      <c r="M1425" s="43" t="n">
        <v>17896</v>
      </c>
      <c r="N1425" s="43" t="n">
        <v>23931</v>
      </c>
      <c r="O1425" s="44">
        <f>IFERROR((F1425-G1425)/(F1425+G1425),"")</f>
        <v/>
      </c>
      <c r="P1425" s="44">
        <f>IFERROR((I1425-J1425)/(I1425+J1425),"")</f>
        <v/>
      </c>
      <c r="Q1425" s="45">
        <f>IFERROR(O1425-P1425,"")</f>
        <v/>
      </c>
      <c r="R1425" s="44">
        <f>IFERROR((L1425-M1425)/(L1425+M1425),"")</f>
        <v/>
      </c>
      <c r="S1425" s="46">
        <f>H1425/SUMIFS(Counties!$H$2:$H$1583,Counties!$A$2:$A$1583,$A1425)</f>
        <v/>
      </c>
      <c r="T1425" s="44">
        <f>O1425+INDEX(Dashboard!$F$6:$F$22,MATCH($A1425,Dashboard!$A$6:$A$22,0))</f>
        <v/>
      </c>
      <c r="U1425" s="43">
        <f>AQ1425*INDEX(Dashboard!$G$6:$G$22,MATCH($A1425,Dashboard!$A$6:$A$22,0))</f>
        <v/>
      </c>
      <c r="V1425" s="47" t="n"/>
      <c r="W1425" s="47" t="n"/>
      <c r="X1425" s="47" t="n"/>
      <c r="Y1425" s="48" t="n"/>
      <c r="Z1425" s="49" t="n"/>
      <c r="AA1425" s="49" t="n"/>
      <c r="AB1425" s="49" t="n"/>
      <c r="AC1425" s="50" t="n"/>
      <c r="AD1425" s="43">
        <f>IF(Z1425&lt;&gt;"",Z1425,N(V1425))</f>
        <v/>
      </c>
      <c r="AE1425" s="43">
        <f>IF(AA1425&lt;&gt;"",AA1425,N(W1425))</f>
        <v/>
      </c>
      <c r="AF1425" s="43">
        <f>AD1425+AE1425</f>
        <v/>
      </c>
      <c r="AG1425" s="42">
        <f>IF(UPPER(AC1425)="Y",1,IF(AF1425=0,0,IF(AND(Z1425="",Y1425&lt;&gt;""),IF(Y1425&gt;=0.999,1,0),IF(AF1425&gt;=U1425,1,0))))</f>
        <v/>
      </c>
      <c r="AH1425" s="44">
        <f>IF(AF1425&gt;0,(AD1425-AE1425)/AF1425,"")</f>
        <v/>
      </c>
      <c r="AI1425" s="45">
        <f>IF(AG1425=1,AH1425-O1425,"")</f>
        <v/>
      </c>
      <c r="AJ1425" s="44">
        <f>IF(AG1425=1,AH1425,MAX(-1,MIN(1,O1425+INDEX(Types!$H:$H,MATCH($A1425&amp;"|"&amp;$D1425,Types!$A:$A,0)))))</f>
        <v/>
      </c>
      <c r="AK1425" s="43">
        <f>IF(AG1425=1,AF1425,MAX(AQ1425*AS1425,AF1425))</f>
        <v/>
      </c>
      <c r="AL1425" s="43">
        <f>IF(AG1425=1,AD1425,AK1425*(1+AJ1425)/2)</f>
        <v/>
      </c>
      <c r="AM1425" s="43">
        <f>IF(AG1425=1,AE1425,AK1425*(1-AJ1425)/2)</f>
        <v/>
      </c>
      <c r="AN1425" s="45">
        <f>IF(AH1425="","",AH1425-T1425)</f>
        <v/>
      </c>
      <c r="AO1425" s="51">
        <f>IF(AG1425=1,1,IF(U1425&gt;0,MIN(AF1425/U1425,0.99),0))</f>
        <v/>
      </c>
      <c r="AP1425" s="43">
        <f>IF(AG1425=1,AI1425*AF1425,0)</f>
        <v/>
      </c>
      <c r="AQ1425" s="43">
        <f>N1425*(F1425+G1425)/H1425</f>
        <v/>
      </c>
      <c r="AR1425" s="43">
        <f>O1425*AQ1425</f>
        <v/>
      </c>
      <c r="AS1425" s="52">
        <f>IF(AG1425=1,IF(AQ1425&gt;0,AF1425/AQ1425,1),IFERROR(INDEX(Types!$K:$K,MATCH($A1425&amp;"|"&amp;$D1425,Types!$A:$A,0)),INDEX(Dashboard!$X$6:$X$22,MATCH($A1425,Dashboard!$A$6:$A$22,0))))</f>
        <v/>
      </c>
      <c r="AT1425" s="43">
        <f>AQ1425*INDEX(Dashboard!$Y$6:$Y$22,MATCH($A1425,Dashboard!$A$6:$A$22,0))</f>
        <v/>
      </c>
      <c r="AU1425" s="53">
        <f>IF(AND(AG1425=1,AT1425&gt;0,AF1425&gt;0),100*AF1425/AT1425,"")</f>
        <v/>
      </c>
      <c r="AV1425" s="44">
        <f>IF(AU1425="","",T1425/(AU1425/100))</f>
        <v/>
      </c>
      <c r="AW1425" s="53">
        <f>IF(AU1425="","",IF(AND(ABS(AH1425)&gt;=0.1,ABS(T1425)&gt;=0.05,SIGN(AH1425)=SIGN(T1425)),100*T1425/AH1425,""))</f>
        <v/>
      </c>
      <c r="AX1425" s="45">
        <f>IF(AU1425="","",T1425-AV1425)</f>
        <v/>
      </c>
      <c r="AY1425" s="45">
        <f>IF(AU1425="","",AH1425-AV1425)</f>
        <v/>
      </c>
      <c r="AZ1425" s="54">
        <f>(AL1425-AM1425)-T1425*AT1425</f>
        <v/>
      </c>
      <c r="BA1425" s="43">
        <f>IF(AU1425="",0,(AH1425-T1425)*AF1425)</f>
        <v/>
      </c>
      <c r="BB1425" s="43">
        <f>IF(AU1425="",0,T1425*(AF1425-AT1425))</f>
        <v/>
      </c>
      <c r="BC1425" s="51" t="n">
        <v>0.2104379647815212</v>
      </c>
      <c r="BD1425" s="51" t="n">
        <v>0.03241510130768327</v>
      </c>
      <c r="BE1425" s="51" t="n">
        <v>0.1541391060332732</v>
      </c>
      <c r="BF1425" s="43" t="n">
        <v>59571</v>
      </c>
    </row>
    <row r="1426">
      <c r="A1426" s="42" t="inlineStr">
        <is>
          <t>VA</t>
        </is>
      </c>
      <c r="B1426" s="42" t="inlineStr">
        <is>
          <t>51735</t>
        </is>
      </c>
      <c r="C1426" s="42" t="inlineStr">
        <is>
          <t>Poquoson city</t>
        </is>
      </c>
      <c r="D1426" s="42" t="inlineStr">
        <is>
          <t>Small town &amp; rural</t>
        </is>
      </c>
      <c r="E1426" s="42" t="inlineStr"/>
      <c r="F1426" s="43" t="n">
        <v>2119</v>
      </c>
      <c r="G1426" s="43" t="n">
        <v>5800</v>
      </c>
      <c r="H1426" s="43" t="n">
        <v>8024</v>
      </c>
      <c r="I1426" s="43" t="n">
        <v>2054</v>
      </c>
      <c r="J1426" s="43" t="n">
        <v>5605</v>
      </c>
      <c r="K1426" s="42" t="inlineStr">
        <is>
          <t>US House</t>
        </is>
      </c>
      <c r="L1426" s="43" t="n">
        <v>1250</v>
      </c>
      <c r="M1426" s="43" t="n">
        <v>4271</v>
      </c>
      <c r="N1426" s="43" t="n">
        <v>5586</v>
      </c>
      <c r="O1426" s="44">
        <f>IFERROR((F1426-G1426)/(F1426+G1426),"")</f>
        <v/>
      </c>
      <c r="P1426" s="44">
        <f>IFERROR((I1426-J1426)/(I1426+J1426),"")</f>
        <v/>
      </c>
      <c r="Q1426" s="45">
        <f>IFERROR(O1426-P1426,"")</f>
        <v/>
      </c>
      <c r="R1426" s="44">
        <f>IFERROR((L1426-M1426)/(L1426+M1426),"")</f>
        <v/>
      </c>
      <c r="S1426" s="46">
        <f>H1426/SUMIFS(Counties!$H$2:$H$1583,Counties!$A$2:$A$1583,$A1426)</f>
        <v/>
      </c>
      <c r="T1426" s="44">
        <f>O1426+INDEX(Dashboard!$F$6:$F$22,MATCH($A1426,Dashboard!$A$6:$A$22,0))</f>
        <v/>
      </c>
      <c r="U1426" s="43">
        <f>AQ1426*INDEX(Dashboard!$G$6:$G$22,MATCH($A1426,Dashboard!$A$6:$A$22,0))</f>
        <v/>
      </c>
      <c r="V1426" s="47" t="n"/>
      <c r="W1426" s="47" t="n"/>
      <c r="X1426" s="47" t="n"/>
      <c r="Y1426" s="48" t="n"/>
      <c r="Z1426" s="49" t="n"/>
      <c r="AA1426" s="49" t="n"/>
      <c r="AB1426" s="49" t="n"/>
      <c r="AC1426" s="50" t="n"/>
      <c r="AD1426" s="43">
        <f>IF(Z1426&lt;&gt;"",Z1426,N(V1426))</f>
        <v/>
      </c>
      <c r="AE1426" s="43">
        <f>IF(AA1426&lt;&gt;"",AA1426,N(W1426))</f>
        <v/>
      </c>
      <c r="AF1426" s="43">
        <f>AD1426+AE1426</f>
        <v/>
      </c>
      <c r="AG1426" s="42">
        <f>IF(UPPER(AC1426)="Y",1,IF(AF1426=0,0,IF(AND(Z1426="",Y1426&lt;&gt;""),IF(Y1426&gt;=0.999,1,0),IF(AF1426&gt;=U1426,1,0))))</f>
        <v/>
      </c>
      <c r="AH1426" s="44">
        <f>IF(AF1426&gt;0,(AD1426-AE1426)/AF1426,"")</f>
        <v/>
      </c>
      <c r="AI1426" s="45">
        <f>IF(AG1426=1,AH1426-O1426,"")</f>
        <v/>
      </c>
      <c r="AJ1426" s="44">
        <f>IF(AG1426=1,AH1426,MAX(-1,MIN(1,O1426+INDEX(Types!$H:$H,MATCH($A1426&amp;"|"&amp;$D1426,Types!$A:$A,0)))))</f>
        <v/>
      </c>
      <c r="AK1426" s="43">
        <f>IF(AG1426=1,AF1426,MAX(AQ1426*AS1426,AF1426))</f>
        <v/>
      </c>
      <c r="AL1426" s="43">
        <f>IF(AG1426=1,AD1426,AK1426*(1+AJ1426)/2)</f>
        <v/>
      </c>
      <c r="AM1426" s="43">
        <f>IF(AG1426=1,AE1426,AK1426*(1-AJ1426)/2)</f>
        <v/>
      </c>
      <c r="AN1426" s="45">
        <f>IF(AH1426="","",AH1426-T1426)</f>
        <v/>
      </c>
      <c r="AO1426" s="51">
        <f>IF(AG1426=1,1,IF(U1426&gt;0,MIN(AF1426/U1426,0.99),0))</f>
        <v/>
      </c>
      <c r="AP1426" s="43">
        <f>IF(AG1426=1,AI1426*AF1426,0)</f>
        <v/>
      </c>
      <c r="AQ1426" s="43">
        <f>N1426*(F1426+G1426)/H1426</f>
        <v/>
      </c>
      <c r="AR1426" s="43">
        <f>O1426*AQ1426</f>
        <v/>
      </c>
      <c r="AS1426" s="52">
        <f>IF(AG1426=1,IF(AQ1426&gt;0,AF1426/AQ1426,1),IFERROR(INDEX(Types!$K:$K,MATCH($A1426&amp;"|"&amp;$D1426,Types!$A:$A,0)),INDEX(Dashboard!$X$6:$X$22,MATCH($A1426,Dashboard!$A$6:$A$22,0))))</f>
        <v/>
      </c>
      <c r="AT1426" s="43">
        <f>AQ1426*INDEX(Dashboard!$Y$6:$Y$22,MATCH($A1426,Dashboard!$A$6:$A$22,0))</f>
        <v/>
      </c>
      <c r="AU1426" s="53">
        <f>IF(AND(AG1426=1,AT1426&gt;0,AF1426&gt;0),100*AF1426/AT1426,"")</f>
        <v/>
      </c>
      <c r="AV1426" s="44">
        <f>IF(AU1426="","",T1426/(AU1426/100))</f>
        <v/>
      </c>
      <c r="AW1426" s="53">
        <f>IF(AU1426="","",IF(AND(ABS(AH1426)&gt;=0.1,ABS(T1426)&gt;=0.05,SIGN(AH1426)=SIGN(T1426)),100*T1426/AH1426,""))</f>
        <v/>
      </c>
      <c r="AX1426" s="45">
        <f>IF(AU1426="","",T1426-AV1426)</f>
        <v/>
      </c>
      <c r="AY1426" s="45">
        <f>IF(AU1426="","",AH1426-AV1426)</f>
        <v/>
      </c>
      <c r="AZ1426" s="54">
        <f>(AL1426-AM1426)-T1426*AT1426</f>
        <v/>
      </c>
      <c r="BA1426" s="43">
        <f>IF(AU1426="",0,(AH1426-T1426)*AF1426)</f>
        <v/>
      </c>
      <c r="BB1426" s="43">
        <f>IF(AU1426="",0,T1426*(AF1426-AT1426))</f>
        <v/>
      </c>
      <c r="BC1426" s="51" t="n">
        <v>0.0185199841709537</v>
      </c>
      <c r="BD1426" s="51" t="n">
        <v>0.04250098931539375</v>
      </c>
      <c r="BE1426" s="51" t="n">
        <v>0.4006596156033208</v>
      </c>
      <c r="BF1426" s="43" t="n">
        <v>12635</v>
      </c>
    </row>
    <row r="1427">
      <c r="A1427" s="42" t="inlineStr">
        <is>
          <t>VA</t>
        </is>
      </c>
      <c r="B1427" s="42" t="inlineStr">
        <is>
          <t>51740</t>
        </is>
      </c>
      <c r="C1427" s="42" t="inlineStr">
        <is>
          <t>Portsmouth city</t>
        </is>
      </c>
      <c r="D1427" s="42" t="inlineStr">
        <is>
          <t>Black Belt</t>
        </is>
      </c>
      <c r="E1427" s="42" t="inlineStr"/>
      <c r="F1427" s="43" t="n">
        <v>28306</v>
      </c>
      <c r="G1427" s="43" t="n">
        <v>12370</v>
      </c>
      <c r="H1427" s="43" t="n">
        <v>41252</v>
      </c>
      <c r="I1427" s="43" t="n">
        <v>30948</v>
      </c>
      <c r="J1427" s="43" t="n">
        <v>12755</v>
      </c>
      <c r="K1427" s="42" t="inlineStr">
        <is>
          <t>US House</t>
        </is>
      </c>
      <c r="L1427" s="43" t="n">
        <v>18770</v>
      </c>
      <c r="M1427" s="43" t="n">
        <v>8419</v>
      </c>
      <c r="N1427" s="43" t="n">
        <v>27233</v>
      </c>
      <c r="O1427" s="44">
        <f>IFERROR((F1427-G1427)/(F1427+G1427),"")</f>
        <v/>
      </c>
      <c r="P1427" s="44">
        <f>IFERROR((I1427-J1427)/(I1427+J1427),"")</f>
        <v/>
      </c>
      <c r="Q1427" s="45">
        <f>IFERROR(O1427-P1427,"")</f>
        <v/>
      </c>
      <c r="R1427" s="44">
        <f>IFERROR((L1427-M1427)/(L1427+M1427),"")</f>
        <v/>
      </c>
      <c r="S1427" s="46">
        <f>H1427/SUMIFS(Counties!$H$2:$H$1583,Counties!$A$2:$A$1583,$A1427)</f>
        <v/>
      </c>
      <c r="T1427" s="44">
        <f>O1427+INDEX(Dashboard!$F$6:$F$22,MATCH($A1427,Dashboard!$A$6:$A$22,0))</f>
        <v/>
      </c>
      <c r="U1427" s="43">
        <f>AQ1427*INDEX(Dashboard!$G$6:$G$22,MATCH($A1427,Dashboard!$A$6:$A$22,0))</f>
        <v/>
      </c>
      <c r="V1427" s="47" t="n"/>
      <c r="W1427" s="47" t="n"/>
      <c r="X1427" s="47" t="n"/>
      <c r="Y1427" s="48" t="n"/>
      <c r="Z1427" s="49" t="n"/>
      <c r="AA1427" s="49" t="n"/>
      <c r="AB1427" s="49" t="n"/>
      <c r="AC1427" s="50" t="n"/>
      <c r="AD1427" s="43">
        <f>IF(Z1427&lt;&gt;"",Z1427,N(V1427))</f>
        <v/>
      </c>
      <c r="AE1427" s="43">
        <f>IF(AA1427&lt;&gt;"",AA1427,N(W1427))</f>
        <v/>
      </c>
      <c r="AF1427" s="43">
        <f>AD1427+AE1427</f>
        <v/>
      </c>
      <c r="AG1427" s="42">
        <f>IF(UPPER(AC1427)="Y",1,IF(AF1427=0,0,IF(AND(Z1427="",Y1427&lt;&gt;""),IF(Y1427&gt;=0.999,1,0),IF(AF1427&gt;=U1427,1,0))))</f>
        <v/>
      </c>
      <c r="AH1427" s="44">
        <f>IF(AF1427&gt;0,(AD1427-AE1427)/AF1427,"")</f>
        <v/>
      </c>
      <c r="AI1427" s="45">
        <f>IF(AG1427=1,AH1427-O1427,"")</f>
        <v/>
      </c>
      <c r="AJ1427" s="44">
        <f>IF(AG1427=1,AH1427,MAX(-1,MIN(1,O1427+INDEX(Types!$H:$H,MATCH($A1427&amp;"|"&amp;$D1427,Types!$A:$A,0)))))</f>
        <v/>
      </c>
      <c r="AK1427" s="43">
        <f>IF(AG1427=1,AF1427,MAX(AQ1427*AS1427,AF1427))</f>
        <v/>
      </c>
      <c r="AL1427" s="43">
        <f>IF(AG1427=1,AD1427,AK1427*(1+AJ1427)/2)</f>
        <v/>
      </c>
      <c r="AM1427" s="43">
        <f>IF(AG1427=1,AE1427,AK1427*(1-AJ1427)/2)</f>
        <v/>
      </c>
      <c r="AN1427" s="45">
        <f>IF(AH1427="","",AH1427-T1427)</f>
        <v/>
      </c>
      <c r="AO1427" s="51">
        <f>IF(AG1427=1,1,IF(U1427&gt;0,MIN(AF1427/U1427,0.99),0))</f>
        <v/>
      </c>
      <c r="AP1427" s="43">
        <f>IF(AG1427=1,AI1427*AF1427,0)</f>
        <v/>
      </c>
      <c r="AQ1427" s="43">
        <f>N1427*(F1427+G1427)/H1427</f>
        <v/>
      </c>
      <c r="AR1427" s="43">
        <f>O1427*AQ1427</f>
        <v/>
      </c>
      <c r="AS1427" s="52">
        <f>IF(AG1427=1,IF(AQ1427&gt;0,AF1427/AQ1427,1),IFERROR(INDEX(Types!$K:$K,MATCH($A1427&amp;"|"&amp;$D1427,Types!$A:$A,0)),INDEX(Dashboard!$X$6:$X$22,MATCH($A1427,Dashboard!$A$6:$A$22,0))))</f>
        <v/>
      </c>
      <c r="AT1427" s="43">
        <f>AQ1427*INDEX(Dashboard!$Y$6:$Y$22,MATCH($A1427,Dashboard!$A$6:$A$22,0))</f>
        <v/>
      </c>
      <c r="AU1427" s="53">
        <f>IF(AND(AG1427=1,AT1427&gt;0,AF1427&gt;0),100*AF1427/AT1427,"")</f>
        <v/>
      </c>
      <c r="AV1427" s="44">
        <f>IF(AU1427="","",T1427/(AU1427/100))</f>
        <v/>
      </c>
      <c r="AW1427" s="53">
        <f>IF(AU1427="","",IF(AND(ABS(AH1427)&gt;=0.1,ABS(T1427)&gt;=0.05,SIGN(AH1427)=SIGN(T1427)),100*T1427/AH1427,""))</f>
        <v/>
      </c>
      <c r="AX1427" s="45">
        <f>IF(AU1427="","",T1427-AV1427)</f>
        <v/>
      </c>
      <c r="AY1427" s="45">
        <f>IF(AU1427="","",AH1427-AV1427)</f>
        <v/>
      </c>
      <c r="AZ1427" s="54">
        <f>(AL1427-AM1427)-T1427*AT1427</f>
        <v/>
      </c>
      <c r="BA1427" s="43">
        <f>IF(AU1427="",0,(AH1427-T1427)*AF1427)</f>
        <v/>
      </c>
      <c r="BB1427" s="43">
        <f>IF(AU1427="",0,T1427*(AF1427-AT1427))</f>
        <v/>
      </c>
      <c r="BC1427" s="51" t="n">
        <v>0.5354519438389139</v>
      </c>
      <c r="BD1427" s="51" t="n">
        <v>0.05825834512826341</v>
      </c>
      <c r="BE1427" s="51" t="n">
        <v>0.2319837257670295</v>
      </c>
      <c r="BF1427" s="43" t="n">
        <v>96793</v>
      </c>
    </row>
    <row r="1428">
      <c r="A1428" s="42" t="inlineStr">
        <is>
          <t>VA</t>
        </is>
      </c>
      <c r="B1428" s="42" t="inlineStr">
        <is>
          <t>51145</t>
        </is>
      </c>
      <c r="C1428" s="42" t="inlineStr">
        <is>
          <t>Powhatan</t>
        </is>
      </c>
      <c r="D1428" s="42" t="inlineStr">
        <is>
          <t>Small town &amp; rural</t>
        </is>
      </c>
      <c r="E1428" s="42" t="inlineStr"/>
      <c r="F1428" s="43" t="n">
        <v>5734</v>
      </c>
      <c r="G1428" s="43" t="n">
        <v>14918</v>
      </c>
      <c r="H1428" s="43" t="n">
        <v>20841</v>
      </c>
      <c r="I1428" s="43" t="n">
        <v>5320</v>
      </c>
      <c r="J1428" s="43" t="n">
        <v>14055</v>
      </c>
      <c r="K1428" s="42" t="inlineStr">
        <is>
          <t>US House</t>
        </is>
      </c>
      <c r="L1428" s="43" t="n">
        <v>3711</v>
      </c>
      <c r="M1428" s="43" t="n">
        <v>11200</v>
      </c>
      <c r="N1428" s="43" t="n">
        <v>14931</v>
      </c>
      <c r="O1428" s="44">
        <f>IFERROR((F1428-G1428)/(F1428+G1428),"")</f>
        <v/>
      </c>
      <c r="P1428" s="44">
        <f>IFERROR((I1428-J1428)/(I1428+J1428),"")</f>
        <v/>
      </c>
      <c r="Q1428" s="45">
        <f>IFERROR(O1428-P1428,"")</f>
        <v/>
      </c>
      <c r="R1428" s="44">
        <f>IFERROR((L1428-M1428)/(L1428+M1428),"")</f>
        <v/>
      </c>
      <c r="S1428" s="46">
        <f>H1428/SUMIFS(Counties!$H$2:$H$1583,Counties!$A$2:$A$1583,$A1428)</f>
        <v/>
      </c>
      <c r="T1428" s="44">
        <f>O1428+INDEX(Dashboard!$F$6:$F$22,MATCH($A1428,Dashboard!$A$6:$A$22,0))</f>
        <v/>
      </c>
      <c r="U1428" s="43">
        <f>AQ1428*INDEX(Dashboard!$G$6:$G$22,MATCH($A1428,Dashboard!$A$6:$A$22,0))</f>
        <v/>
      </c>
      <c r="V1428" s="47" t="n"/>
      <c r="W1428" s="47" t="n"/>
      <c r="X1428" s="47" t="n"/>
      <c r="Y1428" s="48" t="n"/>
      <c r="Z1428" s="49" t="n"/>
      <c r="AA1428" s="49" t="n"/>
      <c r="AB1428" s="49" t="n"/>
      <c r="AC1428" s="50" t="n"/>
      <c r="AD1428" s="43">
        <f>IF(Z1428&lt;&gt;"",Z1428,N(V1428))</f>
        <v/>
      </c>
      <c r="AE1428" s="43">
        <f>IF(AA1428&lt;&gt;"",AA1428,N(W1428))</f>
        <v/>
      </c>
      <c r="AF1428" s="43">
        <f>AD1428+AE1428</f>
        <v/>
      </c>
      <c r="AG1428" s="42">
        <f>IF(UPPER(AC1428)="Y",1,IF(AF1428=0,0,IF(AND(Z1428="",Y1428&lt;&gt;""),IF(Y1428&gt;=0.999,1,0),IF(AF1428&gt;=U1428,1,0))))</f>
        <v/>
      </c>
      <c r="AH1428" s="44">
        <f>IF(AF1428&gt;0,(AD1428-AE1428)/AF1428,"")</f>
        <v/>
      </c>
      <c r="AI1428" s="45">
        <f>IF(AG1428=1,AH1428-O1428,"")</f>
        <v/>
      </c>
      <c r="AJ1428" s="44">
        <f>IF(AG1428=1,AH1428,MAX(-1,MIN(1,O1428+INDEX(Types!$H:$H,MATCH($A1428&amp;"|"&amp;$D1428,Types!$A:$A,0)))))</f>
        <v/>
      </c>
      <c r="AK1428" s="43">
        <f>IF(AG1428=1,AF1428,MAX(AQ1428*AS1428,AF1428))</f>
        <v/>
      </c>
      <c r="AL1428" s="43">
        <f>IF(AG1428=1,AD1428,AK1428*(1+AJ1428)/2)</f>
        <v/>
      </c>
      <c r="AM1428" s="43">
        <f>IF(AG1428=1,AE1428,AK1428*(1-AJ1428)/2)</f>
        <v/>
      </c>
      <c r="AN1428" s="45">
        <f>IF(AH1428="","",AH1428-T1428)</f>
        <v/>
      </c>
      <c r="AO1428" s="51">
        <f>IF(AG1428=1,1,IF(U1428&gt;0,MIN(AF1428/U1428,0.99),0))</f>
        <v/>
      </c>
      <c r="AP1428" s="43">
        <f>IF(AG1428=1,AI1428*AF1428,0)</f>
        <v/>
      </c>
      <c r="AQ1428" s="43">
        <f>N1428*(F1428+G1428)/H1428</f>
        <v/>
      </c>
      <c r="AR1428" s="43">
        <f>O1428*AQ1428</f>
        <v/>
      </c>
      <c r="AS1428" s="52">
        <f>IF(AG1428=1,IF(AQ1428&gt;0,AF1428/AQ1428,1),IFERROR(INDEX(Types!$K:$K,MATCH($A1428&amp;"|"&amp;$D1428,Types!$A:$A,0)),INDEX(Dashboard!$X$6:$X$22,MATCH($A1428,Dashboard!$A$6:$A$22,0))))</f>
        <v/>
      </c>
      <c r="AT1428" s="43">
        <f>AQ1428*INDEX(Dashboard!$Y$6:$Y$22,MATCH($A1428,Dashboard!$A$6:$A$22,0))</f>
        <v/>
      </c>
      <c r="AU1428" s="53">
        <f>IF(AND(AG1428=1,AT1428&gt;0,AF1428&gt;0),100*AF1428/AT1428,"")</f>
        <v/>
      </c>
      <c r="AV1428" s="44">
        <f>IF(AU1428="","",T1428/(AU1428/100))</f>
        <v/>
      </c>
      <c r="AW1428" s="53">
        <f>IF(AU1428="","",IF(AND(ABS(AH1428)&gt;=0.1,ABS(T1428)&gt;=0.05,SIGN(AH1428)=SIGN(T1428)),100*T1428/AH1428,""))</f>
        <v/>
      </c>
      <c r="AX1428" s="45">
        <f>IF(AU1428="","",T1428-AV1428)</f>
        <v/>
      </c>
      <c r="AY1428" s="45">
        <f>IF(AU1428="","",AH1428-AV1428)</f>
        <v/>
      </c>
      <c r="AZ1428" s="54">
        <f>(AL1428-AM1428)-T1428*AT1428</f>
        <v/>
      </c>
      <c r="BA1428" s="43">
        <f>IF(AU1428="",0,(AH1428-T1428)*AF1428)</f>
        <v/>
      </c>
      <c r="BB1428" s="43">
        <f>IF(AU1428="",0,T1428*(AF1428-AT1428))</f>
        <v/>
      </c>
      <c r="BC1428" s="51" t="n">
        <v>0.08226133001090173</v>
      </c>
      <c r="BD1428" s="51" t="n">
        <v>0.03083631833047812</v>
      </c>
      <c r="BE1428" s="51" t="n">
        <v>0.3422575976845152</v>
      </c>
      <c r="BF1428" s="43" t="n">
        <v>32105</v>
      </c>
    </row>
    <row r="1429">
      <c r="A1429" s="42" t="inlineStr">
        <is>
          <t>VA</t>
        </is>
      </c>
      <c r="B1429" s="42" t="inlineStr">
        <is>
          <t>51147</t>
        </is>
      </c>
      <c r="C1429" s="42" t="inlineStr">
        <is>
          <t>Prince Edward</t>
        </is>
      </c>
      <c r="D1429" s="42" t="inlineStr">
        <is>
          <t>Small town &amp; rural</t>
        </is>
      </c>
      <c r="E1429" s="42" t="inlineStr"/>
      <c r="F1429" s="43" t="n">
        <v>4539</v>
      </c>
      <c r="G1429" s="43" t="n">
        <v>4782</v>
      </c>
      <c r="H1429" s="43" t="n">
        <v>9424</v>
      </c>
      <c r="I1429" s="43" t="n">
        <v>4973</v>
      </c>
      <c r="J1429" s="43" t="n">
        <v>4434</v>
      </c>
      <c r="K1429" s="42" t="inlineStr">
        <is>
          <t>US House</t>
        </is>
      </c>
      <c r="L1429" s="43" t="n">
        <v>2918</v>
      </c>
      <c r="M1429" s="43" t="n">
        <v>3445</v>
      </c>
      <c r="N1429" s="43" t="n">
        <v>6374</v>
      </c>
      <c r="O1429" s="44">
        <f>IFERROR((F1429-G1429)/(F1429+G1429),"")</f>
        <v/>
      </c>
      <c r="P1429" s="44">
        <f>IFERROR((I1429-J1429)/(I1429+J1429),"")</f>
        <v/>
      </c>
      <c r="Q1429" s="45">
        <f>IFERROR(O1429-P1429,"")</f>
        <v/>
      </c>
      <c r="R1429" s="44">
        <f>IFERROR((L1429-M1429)/(L1429+M1429),"")</f>
        <v/>
      </c>
      <c r="S1429" s="46">
        <f>H1429/SUMIFS(Counties!$H$2:$H$1583,Counties!$A$2:$A$1583,$A1429)</f>
        <v/>
      </c>
      <c r="T1429" s="44">
        <f>O1429+INDEX(Dashboard!$F$6:$F$22,MATCH($A1429,Dashboard!$A$6:$A$22,0))</f>
        <v/>
      </c>
      <c r="U1429" s="43">
        <f>AQ1429*INDEX(Dashboard!$G$6:$G$22,MATCH($A1429,Dashboard!$A$6:$A$22,0))</f>
        <v/>
      </c>
      <c r="V1429" s="47" t="n"/>
      <c r="W1429" s="47" t="n"/>
      <c r="X1429" s="47" t="n"/>
      <c r="Y1429" s="48" t="n"/>
      <c r="Z1429" s="49" t="n"/>
      <c r="AA1429" s="49" t="n"/>
      <c r="AB1429" s="49" t="n"/>
      <c r="AC1429" s="50" t="n"/>
      <c r="AD1429" s="43">
        <f>IF(Z1429&lt;&gt;"",Z1429,N(V1429))</f>
        <v/>
      </c>
      <c r="AE1429" s="43">
        <f>IF(AA1429&lt;&gt;"",AA1429,N(W1429))</f>
        <v/>
      </c>
      <c r="AF1429" s="43">
        <f>AD1429+AE1429</f>
        <v/>
      </c>
      <c r="AG1429" s="42">
        <f>IF(UPPER(AC1429)="Y",1,IF(AF1429=0,0,IF(AND(Z1429="",Y1429&lt;&gt;""),IF(Y1429&gt;=0.999,1,0),IF(AF1429&gt;=U1429,1,0))))</f>
        <v/>
      </c>
      <c r="AH1429" s="44">
        <f>IF(AF1429&gt;0,(AD1429-AE1429)/AF1429,"")</f>
        <v/>
      </c>
      <c r="AI1429" s="45">
        <f>IF(AG1429=1,AH1429-O1429,"")</f>
        <v/>
      </c>
      <c r="AJ1429" s="44">
        <f>IF(AG1429=1,AH1429,MAX(-1,MIN(1,O1429+INDEX(Types!$H:$H,MATCH($A1429&amp;"|"&amp;$D1429,Types!$A:$A,0)))))</f>
        <v/>
      </c>
      <c r="AK1429" s="43">
        <f>IF(AG1429=1,AF1429,MAX(AQ1429*AS1429,AF1429))</f>
        <v/>
      </c>
      <c r="AL1429" s="43">
        <f>IF(AG1429=1,AD1429,AK1429*(1+AJ1429)/2)</f>
        <v/>
      </c>
      <c r="AM1429" s="43">
        <f>IF(AG1429=1,AE1429,AK1429*(1-AJ1429)/2)</f>
        <v/>
      </c>
      <c r="AN1429" s="45">
        <f>IF(AH1429="","",AH1429-T1429)</f>
        <v/>
      </c>
      <c r="AO1429" s="51">
        <f>IF(AG1429=1,1,IF(U1429&gt;0,MIN(AF1429/U1429,0.99),0))</f>
        <v/>
      </c>
      <c r="AP1429" s="43">
        <f>IF(AG1429=1,AI1429*AF1429,0)</f>
        <v/>
      </c>
      <c r="AQ1429" s="43">
        <f>N1429*(F1429+G1429)/H1429</f>
        <v/>
      </c>
      <c r="AR1429" s="43">
        <f>O1429*AQ1429</f>
        <v/>
      </c>
      <c r="AS1429" s="52">
        <f>IF(AG1429=1,IF(AQ1429&gt;0,AF1429/AQ1429,1),IFERROR(INDEX(Types!$K:$K,MATCH($A1429&amp;"|"&amp;$D1429,Types!$A:$A,0)),INDEX(Dashboard!$X$6:$X$22,MATCH($A1429,Dashboard!$A$6:$A$22,0))))</f>
        <v/>
      </c>
      <c r="AT1429" s="43">
        <f>AQ1429*INDEX(Dashboard!$Y$6:$Y$22,MATCH($A1429,Dashboard!$A$6:$A$22,0))</f>
        <v/>
      </c>
      <c r="AU1429" s="53">
        <f>IF(AND(AG1429=1,AT1429&gt;0,AF1429&gt;0),100*AF1429/AT1429,"")</f>
        <v/>
      </c>
      <c r="AV1429" s="44">
        <f>IF(AU1429="","",T1429/(AU1429/100))</f>
        <v/>
      </c>
      <c r="AW1429" s="53">
        <f>IF(AU1429="","",IF(AND(ABS(AH1429)&gt;=0.1,ABS(T1429)&gt;=0.05,SIGN(AH1429)=SIGN(T1429)),100*T1429/AH1429,""))</f>
        <v/>
      </c>
      <c r="AX1429" s="45">
        <f>IF(AU1429="","",T1429-AV1429)</f>
        <v/>
      </c>
      <c r="AY1429" s="45">
        <f>IF(AU1429="","",AH1429-AV1429)</f>
        <v/>
      </c>
      <c r="AZ1429" s="54">
        <f>(AL1429-AM1429)-T1429*AT1429</f>
        <v/>
      </c>
      <c r="BA1429" s="43">
        <f>IF(AU1429="",0,(AH1429-T1429)*AF1429)</f>
        <v/>
      </c>
      <c r="BB1429" s="43">
        <f>IF(AU1429="",0,T1429*(AF1429-AT1429))</f>
        <v/>
      </c>
      <c r="BC1429" s="51" t="n">
        <v>0.3114880493446415</v>
      </c>
      <c r="BD1429" s="51" t="n">
        <v>0.04898181323416028</v>
      </c>
      <c r="BE1429" s="51" t="n">
        <v>0.2420278637770898</v>
      </c>
      <c r="BF1429" s="43" t="n">
        <v>22049</v>
      </c>
    </row>
    <row r="1430">
      <c r="A1430" s="42" t="inlineStr">
        <is>
          <t>VA</t>
        </is>
      </c>
      <c r="B1430" s="42" t="inlineStr">
        <is>
          <t>51149</t>
        </is>
      </c>
      <c r="C1430" s="42" t="inlineStr">
        <is>
          <t>Prince George</t>
        </is>
      </c>
      <c r="D1430" s="42" t="inlineStr">
        <is>
          <t>Small town &amp; rural</t>
        </is>
      </c>
      <c r="E1430" s="42" t="inlineStr"/>
      <c r="F1430" s="43" t="n">
        <v>6842</v>
      </c>
      <c r="G1430" s="43" t="n">
        <v>10590</v>
      </c>
      <c r="H1430" s="43" t="n">
        <v>17596</v>
      </c>
      <c r="I1430" s="43" t="n">
        <v>7103</v>
      </c>
      <c r="J1430" s="43" t="n">
        <v>10103</v>
      </c>
      <c r="K1430" s="42" t="inlineStr">
        <is>
          <t>US House</t>
        </is>
      </c>
      <c r="L1430" s="43" t="n">
        <v>4163</v>
      </c>
      <c r="M1430" s="43" t="n">
        <v>6994</v>
      </c>
      <c r="N1430" s="43" t="n">
        <v>11172</v>
      </c>
      <c r="O1430" s="44">
        <f>IFERROR((F1430-G1430)/(F1430+G1430),"")</f>
        <v/>
      </c>
      <c r="P1430" s="44">
        <f>IFERROR((I1430-J1430)/(I1430+J1430),"")</f>
        <v/>
      </c>
      <c r="Q1430" s="45">
        <f>IFERROR(O1430-P1430,"")</f>
        <v/>
      </c>
      <c r="R1430" s="44">
        <f>IFERROR((L1430-M1430)/(L1430+M1430),"")</f>
        <v/>
      </c>
      <c r="S1430" s="46">
        <f>H1430/SUMIFS(Counties!$H$2:$H$1583,Counties!$A$2:$A$1583,$A1430)</f>
        <v/>
      </c>
      <c r="T1430" s="44">
        <f>O1430+INDEX(Dashboard!$F$6:$F$22,MATCH($A1430,Dashboard!$A$6:$A$22,0))</f>
        <v/>
      </c>
      <c r="U1430" s="43">
        <f>AQ1430*INDEX(Dashboard!$G$6:$G$22,MATCH($A1430,Dashboard!$A$6:$A$22,0))</f>
        <v/>
      </c>
      <c r="V1430" s="47" t="n"/>
      <c r="W1430" s="47" t="n"/>
      <c r="X1430" s="47" t="n"/>
      <c r="Y1430" s="48" t="n"/>
      <c r="Z1430" s="49" t="n"/>
      <c r="AA1430" s="49" t="n"/>
      <c r="AB1430" s="49" t="n"/>
      <c r="AC1430" s="50" t="n"/>
      <c r="AD1430" s="43">
        <f>IF(Z1430&lt;&gt;"",Z1430,N(V1430))</f>
        <v/>
      </c>
      <c r="AE1430" s="43">
        <f>IF(AA1430&lt;&gt;"",AA1430,N(W1430))</f>
        <v/>
      </c>
      <c r="AF1430" s="43">
        <f>AD1430+AE1430</f>
        <v/>
      </c>
      <c r="AG1430" s="42">
        <f>IF(UPPER(AC1430)="Y",1,IF(AF1430=0,0,IF(AND(Z1430="",Y1430&lt;&gt;""),IF(Y1430&gt;=0.999,1,0),IF(AF1430&gt;=U1430,1,0))))</f>
        <v/>
      </c>
      <c r="AH1430" s="44">
        <f>IF(AF1430&gt;0,(AD1430-AE1430)/AF1430,"")</f>
        <v/>
      </c>
      <c r="AI1430" s="45">
        <f>IF(AG1430=1,AH1430-O1430,"")</f>
        <v/>
      </c>
      <c r="AJ1430" s="44">
        <f>IF(AG1430=1,AH1430,MAX(-1,MIN(1,O1430+INDEX(Types!$H:$H,MATCH($A1430&amp;"|"&amp;$D1430,Types!$A:$A,0)))))</f>
        <v/>
      </c>
      <c r="AK1430" s="43">
        <f>IF(AG1430=1,AF1430,MAX(AQ1430*AS1430,AF1430))</f>
        <v/>
      </c>
      <c r="AL1430" s="43">
        <f>IF(AG1430=1,AD1430,AK1430*(1+AJ1430)/2)</f>
        <v/>
      </c>
      <c r="AM1430" s="43">
        <f>IF(AG1430=1,AE1430,AK1430*(1-AJ1430)/2)</f>
        <v/>
      </c>
      <c r="AN1430" s="45">
        <f>IF(AH1430="","",AH1430-T1430)</f>
        <v/>
      </c>
      <c r="AO1430" s="51">
        <f>IF(AG1430=1,1,IF(U1430&gt;0,MIN(AF1430/U1430,0.99),0))</f>
        <v/>
      </c>
      <c r="AP1430" s="43">
        <f>IF(AG1430=1,AI1430*AF1430,0)</f>
        <v/>
      </c>
      <c r="AQ1430" s="43">
        <f>N1430*(F1430+G1430)/H1430</f>
        <v/>
      </c>
      <c r="AR1430" s="43">
        <f>O1430*AQ1430</f>
        <v/>
      </c>
      <c r="AS1430" s="52">
        <f>IF(AG1430=1,IF(AQ1430&gt;0,AF1430/AQ1430,1),IFERROR(INDEX(Types!$K:$K,MATCH($A1430&amp;"|"&amp;$D1430,Types!$A:$A,0)),INDEX(Dashboard!$X$6:$X$22,MATCH($A1430,Dashboard!$A$6:$A$22,0))))</f>
        <v/>
      </c>
      <c r="AT1430" s="43">
        <f>AQ1430*INDEX(Dashboard!$Y$6:$Y$22,MATCH($A1430,Dashboard!$A$6:$A$22,0))</f>
        <v/>
      </c>
      <c r="AU1430" s="53">
        <f>IF(AND(AG1430=1,AT1430&gt;0,AF1430&gt;0),100*AF1430/AT1430,"")</f>
        <v/>
      </c>
      <c r="AV1430" s="44">
        <f>IF(AU1430="","",T1430/(AU1430/100))</f>
        <v/>
      </c>
      <c r="AW1430" s="53">
        <f>IF(AU1430="","",IF(AND(ABS(AH1430)&gt;=0.1,ABS(T1430)&gt;=0.05,SIGN(AH1430)=SIGN(T1430)),100*T1430/AH1430,""))</f>
        <v/>
      </c>
      <c r="AX1430" s="45">
        <f>IF(AU1430="","",T1430-AV1430)</f>
        <v/>
      </c>
      <c r="AY1430" s="45">
        <f>IF(AU1430="","",AH1430-AV1430)</f>
        <v/>
      </c>
      <c r="AZ1430" s="54">
        <f>(AL1430-AM1430)-T1430*AT1430</f>
        <v/>
      </c>
      <c r="BA1430" s="43">
        <f>IF(AU1430="",0,(AH1430-T1430)*AF1430)</f>
        <v/>
      </c>
      <c r="BB1430" s="43">
        <f>IF(AU1430="",0,T1430*(AF1430-AT1430))</f>
        <v/>
      </c>
      <c r="BC1430" s="51" t="n">
        <v>0.3138485223111194</v>
      </c>
      <c r="BD1430" s="51" t="n">
        <v>0.1035898392852978</v>
      </c>
      <c r="BE1430" s="51" t="n">
        <v>0.2398245804791417</v>
      </c>
      <c r="BF1430" s="43" t="n">
        <v>42871</v>
      </c>
    </row>
    <row r="1431">
      <c r="A1431" s="42" t="inlineStr">
        <is>
          <t>VA</t>
        </is>
      </c>
      <c r="B1431" s="42" t="inlineStr">
        <is>
          <t>51153</t>
        </is>
      </c>
      <c r="C1431" s="42" t="inlineStr">
        <is>
          <t>Prince William</t>
        </is>
      </c>
      <c r="D1431" s="42" t="inlineStr">
        <is>
          <t>College suburb/metro</t>
        </is>
      </c>
      <c r="E1431" s="42" t="inlineStr">
        <is>
          <t>★</t>
        </is>
      </c>
      <c r="F1431" s="43" t="n">
        <v>131128</v>
      </c>
      <c r="G1431" s="43" t="n">
        <v>90203</v>
      </c>
      <c r="H1431" s="43" t="n">
        <v>227591</v>
      </c>
      <c r="I1431" s="43" t="n">
        <v>142863</v>
      </c>
      <c r="J1431" s="43" t="n">
        <v>81222</v>
      </c>
      <c r="K1431" s="42" t="inlineStr">
        <is>
          <t>US House</t>
        </is>
      </c>
      <c r="L1431" s="43" t="n">
        <v>90113</v>
      </c>
      <c r="M1431" s="43" t="n">
        <v>61151</v>
      </c>
      <c r="N1431" s="43" t="n">
        <v>151588</v>
      </c>
      <c r="O1431" s="44">
        <f>IFERROR((F1431-G1431)/(F1431+G1431),"")</f>
        <v/>
      </c>
      <c r="P1431" s="44">
        <f>IFERROR((I1431-J1431)/(I1431+J1431),"")</f>
        <v/>
      </c>
      <c r="Q1431" s="45">
        <f>IFERROR(O1431-P1431,"")</f>
        <v/>
      </c>
      <c r="R1431" s="44">
        <f>IFERROR((L1431-M1431)/(L1431+M1431),"")</f>
        <v/>
      </c>
      <c r="S1431" s="46">
        <f>H1431/SUMIFS(Counties!$H$2:$H$1583,Counties!$A$2:$A$1583,$A1431)</f>
        <v/>
      </c>
      <c r="T1431" s="44">
        <f>O1431+INDEX(Dashboard!$F$6:$F$22,MATCH($A1431,Dashboard!$A$6:$A$22,0))</f>
        <v/>
      </c>
      <c r="U1431" s="43">
        <f>AQ1431*INDEX(Dashboard!$G$6:$G$22,MATCH($A1431,Dashboard!$A$6:$A$22,0))</f>
        <v/>
      </c>
      <c r="V1431" s="47" t="n"/>
      <c r="W1431" s="47" t="n"/>
      <c r="X1431" s="47" t="n"/>
      <c r="Y1431" s="48" t="n"/>
      <c r="Z1431" s="49" t="n"/>
      <c r="AA1431" s="49" t="n"/>
      <c r="AB1431" s="49" t="n"/>
      <c r="AC1431" s="50" t="n"/>
      <c r="AD1431" s="43">
        <f>IF(Z1431&lt;&gt;"",Z1431,N(V1431))</f>
        <v/>
      </c>
      <c r="AE1431" s="43">
        <f>IF(AA1431&lt;&gt;"",AA1431,N(W1431))</f>
        <v/>
      </c>
      <c r="AF1431" s="43">
        <f>AD1431+AE1431</f>
        <v/>
      </c>
      <c r="AG1431" s="42">
        <f>IF(UPPER(AC1431)="Y",1,IF(AF1431=0,0,IF(AND(Z1431="",Y1431&lt;&gt;""),IF(Y1431&gt;=0.999,1,0),IF(AF1431&gt;=U1431,1,0))))</f>
        <v/>
      </c>
      <c r="AH1431" s="44">
        <f>IF(AF1431&gt;0,(AD1431-AE1431)/AF1431,"")</f>
        <v/>
      </c>
      <c r="AI1431" s="45">
        <f>IF(AG1431=1,AH1431-O1431,"")</f>
        <v/>
      </c>
      <c r="AJ1431" s="44">
        <f>IF(AG1431=1,AH1431,MAX(-1,MIN(1,O1431+INDEX(Types!$H:$H,MATCH($A1431&amp;"|"&amp;$D1431,Types!$A:$A,0)))))</f>
        <v/>
      </c>
      <c r="AK1431" s="43">
        <f>IF(AG1431=1,AF1431,MAX(AQ1431*AS1431,AF1431))</f>
        <v/>
      </c>
      <c r="AL1431" s="43">
        <f>IF(AG1431=1,AD1431,AK1431*(1+AJ1431)/2)</f>
        <v/>
      </c>
      <c r="AM1431" s="43">
        <f>IF(AG1431=1,AE1431,AK1431*(1-AJ1431)/2)</f>
        <v/>
      </c>
      <c r="AN1431" s="45">
        <f>IF(AH1431="","",AH1431-T1431)</f>
        <v/>
      </c>
      <c r="AO1431" s="51">
        <f>IF(AG1431=1,1,IF(U1431&gt;0,MIN(AF1431/U1431,0.99),0))</f>
        <v/>
      </c>
      <c r="AP1431" s="43">
        <f>IF(AG1431=1,AI1431*AF1431,0)</f>
        <v/>
      </c>
      <c r="AQ1431" s="43">
        <f>N1431*(F1431+G1431)/H1431</f>
        <v/>
      </c>
      <c r="AR1431" s="43">
        <f>O1431*AQ1431</f>
        <v/>
      </c>
      <c r="AS1431" s="52">
        <f>IF(AG1431=1,IF(AQ1431&gt;0,AF1431/AQ1431,1),IFERROR(INDEX(Types!$K:$K,MATCH($A1431&amp;"|"&amp;$D1431,Types!$A:$A,0)),INDEX(Dashboard!$X$6:$X$22,MATCH($A1431,Dashboard!$A$6:$A$22,0))))</f>
        <v/>
      </c>
      <c r="AT1431" s="43">
        <f>AQ1431*INDEX(Dashboard!$Y$6:$Y$22,MATCH($A1431,Dashboard!$A$6:$A$22,0))</f>
        <v/>
      </c>
      <c r="AU1431" s="53">
        <f>IF(AND(AG1431=1,AT1431&gt;0,AF1431&gt;0),100*AF1431/AT1431,"")</f>
        <v/>
      </c>
      <c r="AV1431" s="44">
        <f>IF(AU1431="","",T1431/(AU1431/100))</f>
        <v/>
      </c>
      <c r="AW1431" s="53">
        <f>IF(AU1431="","",IF(AND(ABS(AH1431)&gt;=0.1,ABS(T1431)&gt;=0.05,SIGN(AH1431)=SIGN(T1431)),100*T1431/AH1431,""))</f>
        <v/>
      </c>
      <c r="AX1431" s="45">
        <f>IF(AU1431="","",T1431-AV1431)</f>
        <v/>
      </c>
      <c r="AY1431" s="45">
        <f>IF(AU1431="","",AH1431-AV1431)</f>
        <v/>
      </c>
      <c r="AZ1431" s="54">
        <f>(AL1431-AM1431)-T1431*AT1431</f>
        <v/>
      </c>
      <c r="BA1431" s="43">
        <f>IF(AU1431="",0,(AH1431-T1431)*AF1431)</f>
        <v/>
      </c>
      <c r="BB1431" s="43">
        <f>IF(AU1431="",0,T1431*(AF1431-AT1431))</f>
        <v/>
      </c>
      <c r="BC1431" s="51" t="n">
        <v>0.202426272363369</v>
      </c>
      <c r="BD1431" s="51" t="n">
        <v>0.2631566048525447</v>
      </c>
      <c r="BE1431" s="51" t="n">
        <v>0.4447757374112227</v>
      </c>
      <c r="BF1431" s="43" t="n">
        <v>489640</v>
      </c>
    </row>
    <row r="1432">
      <c r="A1432" s="42" t="inlineStr">
        <is>
          <t>VA</t>
        </is>
      </c>
      <c r="B1432" s="42" t="inlineStr">
        <is>
          <t>51155</t>
        </is>
      </c>
      <c r="C1432" s="42" t="inlineStr">
        <is>
          <t>Pulaski</t>
        </is>
      </c>
      <c r="D1432" s="42" t="inlineStr">
        <is>
          <t>Small town &amp; rural</t>
        </is>
      </c>
      <c r="E1432" s="42" t="inlineStr"/>
      <c r="F1432" s="43" t="n">
        <v>4830</v>
      </c>
      <c r="G1432" s="43" t="n">
        <v>12732</v>
      </c>
      <c r="H1432" s="43" t="n">
        <v>17690</v>
      </c>
      <c r="I1432" s="43" t="n">
        <v>4925</v>
      </c>
      <c r="J1432" s="43" t="n">
        <v>12127</v>
      </c>
      <c r="K1432" s="42" t="inlineStr">
        <is>
          <t>US House</t>
        </is>
      </c>
      <c r="L1432" s="43" t="n">
        <v>2768</v>
      </c>
      <c r="M1432" s="43" t="n">
        <v>8065</v>
      </c>
      <c r="N1432" s="43" t="n">
        <v>10859</v>
      </c>
      <c r="O1432" s="44">
        <f>IFERROR((F1432-G1432)/(F1432+G1432),"")</f>
        <v/>
      </c>
      <c r="P1432" s="44">
        <f>IFERROR((I1432-J1432)/(I1432+J1432),"")</f>
        <v/>
      </c>
      <c r="Q1432" s="45">
        <f>IFERROR(O1432-P1432,"")</f>
        <v/>
      </c>
      <c r="R1432" s="44">
        <f>IFERROR((L1432-M1432)/(L1432+M1432),"")</f>
        <v/>
      </c>
      <c r="S1432" s="46">
        <f>H1432/SUMIFS(Counties!$H$2:$H$1583,Counties!$A$2:$A$1583,$A1432)</f>
        <v/>
      </c>
      <c r="T1432" s="44">
        <f>O1432+INDEX(Dashboard!$F$6:$F$22,MATCH($A1432,Dashboard!$A$6:$A$22,0))</f>
        <v/>
      </c>
      <c r="U1432" s="43">
        <f>AQ1432*INDEX(Dashboard!$G$6:$G$22,MATCH($A1432,Dashboard!$A$6:$A$22,0))</f>
        <v/>
      </c>
      <c r="V1432" s="47" t="n"/>
      <c r="W1432" s="47" t="n"/>
      <c r="X1432" s="47" t="n"/>
      <c r="Y1432" s="48" t="n"/>
      <c r="Z1432" s="49" t="n"/>
      <c r="AA1432" s="49" t="n"/>
      <c r="AB1432" s="49" t="n"/>
      <c r="AC1432" s="50" t="n"/>
      <c r="AD1432" s="43">
        <f>IF(Z1432&lt;&gt;"",Z1432,N(V1432))</f>
        <v/>
      </c>
      <c r="AE1432" s="43">
        <f>IF(AA1432&lt;&gt;"",AA1432,N(W1432))</f>
        <v/>
      </c>
      <c r="AF1432" s="43">
        <f>AD1432+AE1432</f>
        <v/>
      </c>
      <c r="AG1432" s="42">
        <f>IF(UPPER(AC1432)="Y",1,IF(AF1432=0,0,IF(AND(Z1432="",Y1432&lt;&gt;""),IF(Y1432&gt;=0.999,1,0),IF(AF1432&gt;=U1432,1,0))))</f>
        <v/>
      </c>
      <c r="AH1432" s="44">
        <f>IF(AF1432&gt;0,(AD1432-AE1432)/AF1432,"")</f>
        <v/>
      </c>
      <c r="AI1432" s="45">
        <f>IF(AG1432=1,AH1432-O1432,"")</f>
        <v/>
      </c>
      <c r="AJ1432" s="44">
        <f>IF(AG1432=1,AH1432,MAX(-1,MIN(1,O1432+INDEX(Types!$H:$H,MATCH($A1432&amp;"|"&amp;$D1432,Types!$A:$A,0)))))</f>
        <v/>
      </c>
      <c r="AK1432" s="43">
        <f>IF(AG1432=1,AF1432,MAX(AQ1432*AS1432,AF1432))</f>
        <v/>
      </c>
      <c r="AL1432" s="43">
        <f>IF(AG1432=1,AD1432,AK1432*(1+AJ1432)/2)</f>
        <v/>
      </c>
      <c r="AM1432" s="43">
        <f>IF(AG1432=1,AE1432,AK1432*(1-AJ1432)/2)</f>
        <v/>
      </c>
      <c r="AN1432" s="45">
        <f>IF(AH1432="","",AH1432-T1432)</f>
        <v/>
      </c>
      <c r="AO1432" s="51">
        <f>IF(AG1432=1,1,IF(U1432&gt;0,MIN(AF1432/U1432,0.99),0))</f>
        <v/>
      </c>
      <c r="AP1432" s="43">
        <f>IF(AG1432=1,AI1432*AF1432,0)</f>
        <v/>
      </c>
      <c r="AQ1432" s="43">
        <f>N1432*(F1432+G1432)/H1432</f>
        <v/>
      </c>
      <c r="AR1432" s="43">
        <f>O1432*AQ1432</f>
        <v/>
      </c>
      <c r="AS1432" s="52">
        <f>IF(AG1432=1,IF(AQ1432&gt;0,AF1432/AQ1432,1),IFERROR(INDEX(Types!$K:$K,MATCH($A1432&amp;"|"&amp;$D1432,Types!$A:$A,0)),INDEX(Dashboard!$X$6:$X$22,MATCH($A1432,Dashboard!$A$6:$A$22,0))))</f>
        <v/>
      </c>
      <c r="AT1432" s="43">
        <f>AQ1432*INDEX(Dashboard!$Y$6:$Y$22,MATCH($A1432,Dashboard!$A$6:$A$22,0))</f>
        <v/>
      </c>
      <c r="AU1432" s="53">
        <f>IF(AND(AG1432=1,AT1432&gt;0,AF1432&gt;0),100*AF1432/AT1432,"")</f>
        <v/>
      </c>
      <c r="AV1432" s="44">
        <f>IF(AU1432="","",T1432/(AU1432/100))</f>
        <v/>
      </c>
      <c r="AW1432" s="53">
        <f>IF(AU1432="","",IF(AND(ABS(AH1432)&gt;=0.1,ABS(T1432)&gt;=0.05,SIGN(AH1432)=SIGN(T1432)),100*T1432/AH1432,""))</f>
        <v/>
      </c>
      <c r="AX1432" s="45">
        <f>IF(AU1432="","",T1432-AV1432)</f>
        <v/>
      </c>
      <c r="AY1432" s="45">
        <f>IF(AU1432="","",AH1432-AV1432)</f>
        <v/>
      </c>
      <c r="AZ1432" s="54">
        <f>(AL1432-AM1432)-T1432*AT1432</f>
        <v/>
      </c>
      <c r="BA1432" s="43">
        <f>IF(AU1432="",0,(AH1432-T1432)*AF1432)</f>
        <v/>
      </c>
      <c r="BB1432" s="43">
        <f>IF(AU1432="",0,T1432*(AF1432-AT1432))</f>
        <v/>
      </c>
      <c r="BC1432" s="51" t="n">
        <v>0.04884861090476898</v>
      </c>
      <c r="BD1432" s="51" t="n">
        <v>0.02329520130738375</v>
      </c>
      <c r="BE1432" s="51" t="n">
        <v>0.2144007542129866</v>
      </c>
      <c r="BF1432" s="43" t="n">
        <v>33655</v>
      </c>
    </row>
    <row r="1433">
      <c r="A1433" s="42" t="inlineStr">
        <is>
          <t>VA</t>
        </is>
      </c>
      <c r="B1433" s="42" t="inlineStr">
        <is>
          <t>51750</t>
        </is>
      </c>
      <c r="C1433" s="42" t="inlineStr">
        <is>
          <t>Radford city</t>
        </is>
      </c>
      <c r="D1433" s="42" t="inlineStr">
        <is>
          <t>Small town &amp; rural</t>
        </is>
      </c>
      <c r="E1433" s="42" t="inlineStr"/>
      <c r="F1433" s="43" t="n">
        <v>3231</v>
      </c>
      <c r="G1433" s="43" t="n">
        <v>3197</v>
      </c>
      <c r="H1433" s="43" t="n">
        <v>6550</v>
      </c>
      <c r="I1433" s="43" t="n">
        <v>3358</v>
      </c>
      <c r="J1433" s="43" t="n">
        <v>2786</v>
      </c>
      <c r="K1433" s="42" t="inlineStr">
        <is>
          <t>US House</t>
        </is>
      </c>
      <c r="L1433" s="43" t="n">
        <v>1744</v>
      </c>
      <c r="M1433" s="43" t="n">
        <v>2006</v>
      </c>
      <c r="N1433" s="43" t="n">
        <v>3760</v>
      </c>
      <c r="O1433" s="44">
        <f>IFERROR((F1433-G1433)/(F1433+G1433),"")</f>
        <v/>
      </c>
      <c r="P1433" s="44">
        <f>IFERROR((I1433-J1433)/(I1433+J1433),"")</f>
        <v/>
      </c>
      <c r="Q1433" s="45">
        <f>IFERROR(O1433-P1433,"")</f>
        <v/>
      </c>
      <c r="R1433" s="44">
        <f>IFERROR((L1433-M1433)/(L1433+M1433),"")</f>
        <v/>
      </c>
      <c r="S1433" s="46">
        <f>H1433/SUMIFS(Counties!$H$2:$H$1583,Counties!$A$2:$A$1583,$A1433)</f>
        <v/>
      </c>
      <c r="T1433" s="44">
        <f>O1433+INDEX(Dashboard!$F$6:$F$22,MATCH($A1433,Dashboard!$A$6:$A$22,0))</f>
        <v/>
      </c>
      <c r="U1433" s="43">
        <f>AQ1433*INDEX(Dashboard!$G$6:$G$22,MATCH($A1433,Dashboard!$A$6:$A$22,0))</f>
        <v/>
      </c>
      <c r="V1433" s="47" t="n"/>
      <c r="W1433" s="47" t="n"/>
      <c r="X1433" s="47" t="n"/>
      <c r="Y1433" s="48" t="n"/>
      <c r="Z1433" s="49" t="n"/>
      <c r="AA1433" s="49" t="n"/>
      <c r="AB1433" s="49" t="n"/>
      <c r="AC1433" s="50" t="n"/>
      <c r="AD1433" s="43">
        <f>IF(Z1433&lt;&gt;"",Z1433,N(V1433))</f>
        <v/>
      </c>
      <c r="AE1433" s="43">
        <f>IF(AA1433&lt;&gt;"",AA1433,N(W1433))</f>
        <v/>
      </c>
      <c r="AF1433" s="43">
        <f>AD1433+AE1433</f>
        <v/>
      </c>
      <c r="AG1433" s="42">
        <f>IF(UPPER(AC1433)="Y",1,IF(AF1433=0,0,IF(AND(Z1433="",Y1433&lt;&gt;""),IF(Y1433&gt;=0.999,1,0),IF(AF1433&gt;=U1433,1,0))))</f>
        <v/>
      </c>
      <c r="AH1433" s="44">
        <f>IF(AF1433&gt;0,(AD1433-AE1433)/AF1433,"")</f>
        <v/>
      </c>
      <c r="AI1433" s="45">
        <f>IF(AG1433=1,AH1433-O1433,"")</f>
        <v/>
      </c>
      <c r="AJ1433" s="44">
        <f>IF(AG1433=1,AH1433,MAX(-1,MIN(1,O1433+INDEX(Types!$H:$H,MATCH($A1433&amp;"|"&amp;$D1433,Types!$A:$A,0)))))</f>
        <v/>
      </c>
      <c r="AK1433" s="43">
        <f>IF(AG1433=1,AF1433,MAX(AQ1433*AS1433,AF1433))</f>
        <v/>
      </c>
      <c r="AL1433" s="43">
        <f>IF(AG1433=1,AD1433,AK1433*(1+AJ1433)/2)</f>
        <v/>
      </c>
      <c r="AM1433" s="43">
        <f>IF(AG1433=1,AE1433,AK1433*(1-AJ1433)/2)</f>
        <v/>
      </c>
      <c r="AN1433" s="45">
        <f>IF(AH1433="","",AH1433-T1433)</f>
        <v/>
      </c>
      <c r="AO1433" s="51">
        <f>IF(AG1433=1,1,IF(U1433&gt;0,MIN(AF1433/U1433,0.99),0))</f>
        <v/>
      </c>
      <c r="AP1433" s="43">
        <f>IF(AG1433=1,AI1433*AF1433,0)</f>
        <v/>
      </c>
      <c r="AQ1433" s="43">
        <f>N1433*(F1433+G1433)/H1433</f>
        <v/>
      </c>
      <c r="AR1433" s="43">
        <f>O1433*AQ1433</f>
        <v/>
      </c>
      <c r="AS1433" s="52">
        <f>IF(AG1433=1,IF(AQ1433&gt;0,AF1433/AQ1433,1),IFERROR(INDEX(Types!$K:$K,MATCH($A1433&amp;"|"&amp;$D1433,Types!$A:$A,0)),INDEX(Dashboard!$X$6:$X$22,MATCH($A1433,Dashboard!$A$6:$A$22,0))))</f>
        <v/>
      </c>
      <c r="AT1433" s="43">
        <f>AQ1433*INDEX(Dashboard!$Y$6:$Y$22,MATCH($A1433,Dashboard!$A$6:$A$22,0))</f>
        <v/>
      </c>
      <c r="AU1433" s="53">
        <f>IF(AND(AG1433=1,AT1433&gt;0,AF1433&gt;0),100*AF1433/AT1433,"")</f>
        <v/>
      </c>
      <c r="AV1433" s="44">
        <f>IF(AU1433="","",T1433/(AU1433/100))</f>
        <v/>
      </c>
      <c r="AW1433" s="53">
        <f>IF(AU1433="","",IF(AND(ABS(AH1433)&gt;=0.1,ABS(T1433)&gt;=0.05,SIGN(AH1433)=SIGN(T1433)),100*T1433/AH1433,""))</f>
        <v/>
      </c>
      <c r="AX1433" s="45">
        <f>IF(AU1433="","",T1433-AV1433)</f>
        <v/>
      </c>
      <c r="AY1433" s="45">
        <f>IF(AU1433="","",AH1433-AV1433)</f>
        <v/>
      </c>
      <c r="AZ1433" s="54">
        <f>(AL1433-AM1433)-T1433*AT1433</f>
        <v/>
      </c>
      <c r="BA1433" s="43">
        <f>IF(AU1433="",0,(AH1433-T1433)*AF1433)</f>
        <v/>
      </c>
      <c r="BB1433" s="43">
        <f>IF(AU1433="",0,T1433*(AF1433-AT1433))</f>
        <v/>
      </c>
      <c r="BC1433" s="51" t="n">
        <v>0.09033056390312887</v>
      </c>
      <c r="BD1433" s="51" t="n">
        <v>0.04425195922455955</v>
      </c>
      <c r="BE1433" s="51" t="n">
        <v>0.3975121687398594</v>
      </c>
      <c r="BF1433" s="43" t="n">
        <v>16971</v>
      </c>
    </row>
    <row r="1434">
      <c r="A1434" s="42" t="inlineStr">
        <is>
          <t>VA</t>
        </is>
      </c>
      <c r="B1434" s="42" t="inlineStr">
        <is>
          <t>51157</t>
        </is>
      </c>
      <c r="C1434" s="42" t="inlineStr">
        <is>
          <t>Rappahannock</t>
        </is>
      </c>
      <c r="D1434" s="42" t="inlineStr">
        <is>
          <t>Small town &amp; rural</t>
        </is>
      </c>
      <c r="E1434" s="42" t="inlineStr"/>
      <c r="F1434" s="43" t="n">
        <v>2041</v>
      </c>
      <c r="G1434" s="43" t="n">
        <v>2943</v>
      </c>
      <c r="H1434" s="43" t="n">
        <v>5038</v>
      </c>
      <c r="I1434" s="43" t="n">
        <v>2096</v>
      </c>
      <c r="J1434" s="43" t="n">
        <v>2812</v>
      </c>
      <c r="K1434" s="42" t="inlineStr">
        <is>
          <t>US House</t>
        </is>
      </c>
      <c r="L1434" s="43" t="n">
        <v>1722</v>
      </c>
      <c r="M1434" s="43" t="n">
        <v>2329</v>
      </c>
      <c r="N1434" s="43" t="n">
        <v>4061</v>
      </c>
      <c r="O1434" s="44">
        <f>IFERROR((F1434-G1434)/(F1434+G1434),"")</f>
        <v/>
      </c>
      <c r="P1434" s="44">
        <f>IFERROR((I1434-J1434)/(I1434+J1434),"")</f>
        <v/>
      </c>
      <c r="Q1434" s="45">
        <f>IFERROR(O1434-P1434,"")</f>
        <v/>
      </c>
      <c r="R1434" s="44">
        <f>IFERROR((L1434-M1434)/(L1434+M1434),"")</f>
        <v/>
      </c>
      <c r="S1434" s="46">
        <f>H1434/SUMIFS(Counties!$H$2:$H$1583,Counties!$A$2:$A$1583,$A1434)</f>
        <v/>
      </c>
      <c r="T1434" s="44">
        <f>O1434+INDEX(Dashboard!$F$6:$F$22,MATCH($A1434,Dashboard!$A$6:$A$22,0))</f>
        <v/>
      </c>
      <c r="U1434" s="43">
        <f>AQ1434*INDEX(Dashboard!$G$6:$G$22,MATCH($A1434,Dashboard!$A$6:$A$22,0))</f>
        <v/>
      </c>
      <c r="V1434" s="47" t="n"/>
      <c r="W1434" s="47" t="n"/>
      <c r="X1434" s="47" t="n"/>
      <c r="Y1434" s="48" t="n"/>
      <c r="Z1434" s="49" t="n"/>
      <c r="AA1434" s="49" t="n"/>
      <c r="AB1434" s="49" t="n"/>
      <c r="AC1434" s="50" t="n"/>
      <c r="AD1434" s="43">
        <f>IF(Z1434&lt;&gt;"",Z1434,N(V1434))</f>
        <v/>
      </c>
      <c r="AE1434" s="43">
        <f>IF(AA1434&lt;&gt;"",AA1434,N(W1434))</f>
        <v/>
      </c>
      <c r="AF1434" s="43">
        <f>AD1434+AE1434</f>
        <v/>
      </c>
      <c r="AG1434" s="42">
        <f>IF(UPPER(AC1434)="Y",1,IF(AF1434=0,0,IF(AND(Z1434="",Y1434&lt;&gt;""),IF(Y1434&gt;=0.999,1,0),IF(AF1434&gt;=U1434,1,0))))</f>
        <v/>
      </c>
      <c r="AH1434" s="44">
        <f>IF(AF1434&gt;0,(AD1434-AE1434)/AF1434,"")</f>
        <v/>
      </c>
      <c r="AI1434" s="45">
        <f>IF(AG1434=1,AH1434-O1434,"")</f>
        <v/>
      </c>
      <c r="AJ1434" s="44">
        <f>IF(AG1434=1,AH1434,MAX(-1,MIN(1,O1434+INDEX(Types!$H:$H,MATCH($A1434&amp;"|"&amp;$D1434,Types!$A:$A,0)))))</f>
        <v/>
      </c>
      <c r="AK1434" s="43">
        <f>IF(AG1434=1,AF1434,MAX(AQ1434*AS1434,AF1434))</f>
        <v/>
      </c>
      <c r="AL1434" s="43">
        <f>IF(AG1434=1,AD1434,AK1434*(1+AJ1434)/2)</f>
        <v/>
      </c>
      <c r="AM1434" s="43">
        <f>IF(AG1434=1,AE1434,AK1434*(1-AJ1434)/2)</f>
        <v/>
      </c>
      <c r="AN1434" s="45">
        <f>IF(AH1434="","",AH1434-T1434)</f>
        <v/>
      </c>
      <c r="AO1434" s="51">
        <f>IF(AG1434=1,1,IF(U1434&gt;0,MIN(AF1434/U1434,0.99),0))</f>
        <v/>
      </c>
      <c r="AP1434" s="43">
        <f>IF(AG1434=1,AI1434*AF1434,0)</f>
        <v/>
      </c>
      <c r="AQ1434" s="43">
        <f>N1434*(F1434+G1434)/H1434</f>
        <v/>
      </c>
      <c r="AR1434" s="43">
        <f>O1434*AQ1434</f>
        <v/>
      </c>
      <c r="AS1434" s="52">
        <f>IF(AG1434=1,IF(AQ1434&gt;0,AF1434/AQ1434,1),IFERROR(INDEX(Types!$K:$K,MATCH($A1434&amp;"|"&amp;$D1434,Types!$A:$A,0)),INDEX(Dashboard!$X$6:$X$22,MATCH($A1434,Dashboard!$A$6:$A$22,0))))</f>
        <v/>
      </c>
      <c r="AT1434" s="43">
        <f>AQ1434*INDEX(Dashboard!$Y$6:$Y$22,MATCH($A1434,Dashboard!$A$6:$A$22,0))</f>
        <v/>
      </c>
      <c r="AU1434" s="53">
        <f>IF(AND(AG1434=1,AT1434&gt;0,AF1434&gt;0),100*AF1434/AT1434,"")</f>
        <v/>
      </c>
      <c r="AV1434" s="44">
        <f>IF(AU1434="","",T1434/(AU1434/100))</f>
        <v/>
      </c>
      <c r="AW1434" s="53">
        <f>IF(AU1434="","",IF(AND(ABS(AH1434)&gt;=0.1,ABS(T1434)&gt;=0.05,SIGN(AH1434)=SIGN(T1434)),100*T1434/AH1434,""))</f>
        <v/>
      </c>
      <c r="AX1434" s="45">
        <f>IF(AU1434="","",T1434-AV1434)</f>
        <v/>
      </c>
      <c r="AY1434" s="45">
        <f>IF(AU1434="","",AH1434-AV1434)</f>
        <v/>
      </c>
      <c r="AZ1434" s="54">
        <f>(AL1434-AM1434)-T1434*AT1434</f>
        <v/>
      </c>
      <c r="BA1434" s="43">
        <f>IF(AU1434="",0,(AH1434-T1434)*AF1434)</f>
        <v/>
      </c>
      <c r="BB1434" s="43">
        <f>IF(AU1434="",0,T1434*(AF1434-AT1434))</f>
        <v/>
      </c>
      <c r="BC1434" s="51" t="n">
        <v>0.03951982735365524</v>
      </c>
      <c r="BD1434" s="51" t="n">
        <v>0.05084974372808201</v>
      </c>
      <c r="BE1434" s="51" t="n">
        <v>0.356400774784293</v>
      </c>
      <c r="BF1434" s="43" t="n">
        <v>7414</v>
      </c>
    </row>
    <row r="1435">
      <c r="A1435" s="42" t="inlineStr">
        <is>
          <t>VA</t>
        </is>
      </c>
      <c r="B1435" s="42" t="inlineStr">
        <is>
          <t>51159</t>
        </is>
      </c>
      <c r="C1435" s="42" t="inlineStr">
        <is>
          <t>Richmond</t>
        </is>
      </c>
      <c r="D1435" s="42" t="inlineStr">
        <is>
          <t>Small town &amp; rural</t>
        </is>
      </c>
      <c r="E1435" s="42" t="inlineStr"/>
      <c r="F1435" s="43" t="n">
        <v>1439</v>
      </c>
      <c r="G1435" s="43" t="n">
        <v>2697</v>
      </c>
      <c r="H1435" s="43" t="n">
        <v>4161</v>
      </c>
      <c r="I1435" s="43" t="n">
        <v>1513</v>
      </c>
      <c r="J1435" s="43" t="n">
        <v>2547</v>
      </c>
      <c r="K1435" s="42" t="inlineStr">
        <is>
          <t>US House</t>
        </is>
      </c>
      <c r="L1435" s="43" t="n">
        <v>764</v>
      </c>
      <c r="M1435" s="43" t="n">
        <v>2005</v>
      </c>
      <c r="N1435" s="43" t="n">
        <v>2788</v>
      </c>
      <c r="O1435" s="44">
        <f>IFERROR((F1435-G1435)/(F1435+G1435),"")</f>
        <v/>
      </c>
      <c r="P1435" s="44">
        <f>IFERROR((I1435-J1435)/(I1435+J1435),"")</f>
        <v/>
      </c>
      <c r="Q1435" s="45">
        <f>IFERROR(O1435-P1435,"")</f>
        <v/>
      </c>
      <c r="R1435" s="44">
        <f>IFERROR((L1435-M1435)/(L1435+M1435),"")</f>
        <v/>
      </c>
      <c r="S1435" s="46">
        <f>H1435/SUMIFS(Counties!$H$2:$H$1583,Counties!$A$2:$A$1583,$A1435)</f>
        <v/>
      </c>
      <c r="T1435" s="44">
        <f>O1435+INDEX(Dashboard!$F$6:$F$22,MATCH($A1435,Dashboard!$A$6:$A$22,0))</f>
        <v/>
      </c>
      <c r="U1435" s="43">
        <f>AQ1435*INDEX(Dashboard!$G$6:$G$22,MATCH($A1435,Dashboard!$A$6:$A$22,0))</f>
        <v/>
      </c>
      <c r="V1435" s="47" t="n"/>
      <c r="W1435" s="47" t="n"/>
      <c r="X1435" s="47" t="n"/>
      <c r="Y1435" s="48" t="n"/>
      <c r="Z1435" s="49" t="n"/>
      <c r="AA1435" s="49" t="n"/>
      <c r="AB1435" s="49" t="n"/>
      <c r="AC1435" s="50" t="n"/>
      <c r="AD1435" s="43">
        <f>IF(Z1435&lt;&gt;"",Z1435,N(V1435))</f>
        <v/>
      </c>
      <c r="AE1435" s="43">
        <f>IF(AA1435&lt;&gt;"",AA1435,N(W1435))</f>
        <v/>
      </c>
      <c r="AF1435" s="43">
        <f>AD1435+AE1435</f>
        <v/>
      </c>
      <c r="AG1435" s="42">
        <f>IF(UPPER(AC1435)="Y",1,IF(AF1435=0,0,IF(AND(Z1435="",Y1435&lt;&gt;""),IF(Y1435&gt;=0.999,1,0),IF(AF1435&gt;=U1435,1,0))))</f>
        <v/>
      </c>
      <c r="AH1435" s="44">
        <f>IF(AF1435&gt;0,(AD1435-AE1435)/AF1435,"")</f>
        <v/>
      </c>
      <c r="AI1435" s="45">
        <f>IF(AG1435=1,AH1435-O1435,"")</f>
        <v/>
      </c>
      <c r="AJ1435" s="44">
        <f>IF(AG1435=1,AH1435,MAX(-1,MIN(1,O1435+INDEX(Types!$H:$H,MATCH($A1435&amp;"|"&amp;$D1435,Types!$A:$A,0)))))</f>
        <v/>
      </c>
      <c r="AK1435" s="43">
        <f>IF(AG1435=1,AF1435,MAX(AQ1435*AS1435,AF1435))</f>
        <v/>
      </c>
      <c r="AL1435" s="43">
        <f>IF(AG1435=1,AD1435,AK1435*(1+AJ1435)/2)</f>
        <v/>
      </c>
      <c r="AM1435" s="43">
        <f>IF(AG1435=1,AE1435,AK1435*(1-AJ1435)/2)</f>
        <v/>
      </c>
      <c r="AN1435" s="45">
        <f>IF(AH1435="","",AH1435-T1435)</f>
        <v/>
      </c>
      <c r="AO1435" s="51">
        <f>IF(AG1435=1,1,IF(U1435&gt;0,MIN(AF1435/U1435,0.99),0))</f>
        <v/>
      </c>
      <c r="AP1435" s="43">
        <f>IF(AG1435=1,AI1435*AF1435,0)</f>
        <v/>
      </c>
      <c r="AQ1435" s="43">
        <f>N1435*(F1435+G1435)/H1435</f>
        <v/>
      </c>
      <c r="AR1435" s="43">
        <f>O1435*AQ1435</f>
        <v/>
      </c>
      <c r="AS1435" s="52">
        <f>IF(AG1435=1,IF(AQ1435&gt;0,AF1435/AQ1435,1),IFERROR(INDEX(Types!$K:$K,MATCH($A1435&amp;"|"&amp;$D1435,Types!$A:$A,0)),INDEX(Dashboard!$X$6:$X$22,MATCH($A1435,Dashboard!$A$6:$A$22,0))))</f>
        <v/>
      </c>
      <c r="AT1435" s="43">
        <f>AQ1435*INDEX(Dashboard!$Y$6:$Y$22,MATCH($A1435,Dashboard!$A$6:$A$22,0))</f>
        <v/>
      </c>
      <c r="AU1435" s="53">
        <f>IF(AND(AG1435=1,AT1435&gt;0,AF1435&gt;0),100*AF1435/AT1435,"")</f>
        <v/>
      </c>
      <c r="AV1435" s="44">
        <f>IF(AU1435="","",T1435/(AU1435/100))</f>
        <v/>
      </c>
      <c r="AW1435" s="53">
        <f>IF(AU1435="","",IF(AND(ABS(AH1435)&gt;=0.1,ABS(T1435)&gt;=0.05,SIGN(AH1435)=SIGN(T1435)),100*T1435/AH1435,""))</f>
        <v/>
      </c>
      <c r="AX1435" s="45">
        <f>IF(AU1435="","",T1435-AV1435)</f>
        <v/>
      </c>
      <c r="AY1435" s="45">
        <f>IF(AU1435="","",AH1435-AV1435)</f>
        <v/>
      </c>
      <c r="AZ1435" s="54">
        <f>(AL1435-AM1435)-T1435*AT1435</f>
        <v/>
      </c>
      <c r="BA1435" s="43">
        <f>IF(AU1435="",0,(AH1435-T1435)*AF1435)</f>
        <v/>
      </c>
      <c r="BB1435" s="43">
        <f>IF(AU1435="",0,T1435*(AF1435-AT1435))</f>
        <v/>
      </c>
      <c r="BC1435" s="51" t="n">
        <v>0.2852787456445993</v>
      </c>
      <c r="BD1435" s="51" t="n">
        <v>0.07709059233449478</v>
      </c>
      <c r="BE1435" s="51" t="n">
        <v>0.1735513063786309</v>
      </c>
      <c r="BF1435" s="43" t="n">
        <v>9184</v>
      </c>
    </row>
    <row r="1436">
      <c r="A1436" s="42" t="inlineStr">
        <is>
          <t>VA</t>
        </is>
      </c>
      <c r="B1436" s="42" t="inlineStr">
        <is>
          <t>51760</t>
        </is>
      </c>
      <c r="C1436" s="42" t="inlineStr">
        <is>
          <t>Richmond city</t>
        </is>
      </c>
      <c r="D1436" s="42" t="inlineStr">
        <is>
          <t>Black Belt</t>
        </is>
      </c>
      <c r="E1436" s="42" t="inlineStr">
        <is>
          <t>★</t>
        </is>
      </c>
      <c r="F1436" s="43" t="n">
        <v>88710</v>
      </c>
      <c r="G1436" s="43" t="n">
        <v>17041</v>
      </c>
      <c r="H1436" s="43" t="n">
        <v>108143</v>
      </c>
      <c r="I1436" s="43" t="n">
        <v>92175</v>
      </c>
      <c r="J1436" s="43" t="n">
        <v>16603</v>
      </c>
      <c r="K1436" s="42" t="inlineStr">
        <is>
          <t>US House</t>
        </is>
      </c>
      <c r="L1436" s="43" t="n">
        <v>57568</v>
      </c>
      <c r="M1436" s="43" t="n">
        <v>11625</v>
      </c>
      <c r="N1436" s="43" t="n">
        <v>69343</v>
      </c>
      <c r="O1436" s="44">
        <f>IFERROR((F1436-G1436)/(F1436+G1436),"")</f>
        <v/>
      </c>
      <c r="P1436" s="44">
        <f>IFERROR((I1436-J1436)/(I1436+J1436),"")</f>
        <v/>
      </c>
      <c r="Q1436" s="45">
        <f>IFERROR(O1436-P1436,"")</f>
        <v/>
      </c>
      <c r="R1436" s="44">
        <f>IFERROR((L1436-M1436)/(L1436+M1436),"")</f>
        <v/>
      </c>
      <c r="S1436" s="46">
        <f>H1436/SUMIFS(Counties!$H$2:$H$1583,Counties!$A$2:$A$1583,$A1436)</f>
        <v/>
      </c>
      <c r="T1436" s="44">
        <f>O1436+INDEX(Dashboard!$F$6:$F$22,MATCH($A1436,Dashboard!$A$6:$A$22,0))</f>
        <v/>
      </c>
      <c r="U1436" s="43">
        <f>AQ1436*INDEX(Dashboard!$G$6:$G$22,MATCH($A1436,Dashboard!$A$6:$A$22,0))</f>
        <v/>
      </c>
      <c r="V1436" s="47" t="n"/>
      <c r="W1436" s="47" t="n"/>
      <c r="X1436" s="47" t="n"/>
      <c r="Y1436" s="48" t="n"/>
      <c r="Z1436" s="49" t="n"/>
      <c r="AA1436" s="49" t="n"/>
      <c r="AB1436" s="49" t="n"/>
      <c r="AC1436" s="50" t="n"/>
      <c r="AD1436" s="43">
        <f>IF(Z1436&lt;&gt;"",Z1436,N(V1436))</f>
        <v/>
      </c>
      <c r="AE1436" s="43">
        <f>IF(AA1436&lt;&gt;"",AA1436,N(W1436))</f>
        <v/>
      </c>
      <c r="AF1436" s="43">
        <f>AD1436+AE1436</f>
        <v/>
      </c>
      <c r="AG1436" s="42">
        <f>IF(UPPER(AC1436)="Y",1,IF(AF1436=0,0,IF(AND(Z1436="",Y1436&lt;&gt;""),IF(Y1436&gt;=0.999,1,0),IF(AF1436&gt;=U1436,1,0))))</f>
        <v/>
      </c>
      <c r="AH1436" s="44">
        <f>IF(AF1436&gt;0,(AD1436-AE1436)/AF1436,"")</f>
        <v/>
      </c>
      <c r="AI1436" s="45">
        <f>IF(AG1436=1,AH1436-O1436,"")</f>
        <v/>
      </c>
      <c r="AJ1436" s="44">
        <f>IF(AG1436=1,AH1436,MAX(-1,MIN(1,O1436+INDEX(Types!$H:$H,MATCH($A1436&amp;"|"&amp;$D1436,Types!$A:$A,0)))))</f>
        <v/>
      </c>
      <c r="AK1436" s="43">
        <f>IF(AG1436=1,AF1436,MAX(AQ1436*AS1436,AF1436))</f>
        <v/>
      </c>
      <c r="AL1436" s="43">
        <f>IF(AG1436=1,AD1436,AK1436*(1+AJ1436)/2)</f>
        <v/>
      </c>
      <c r="AM1436" s="43">
        <f>IF(AG1436=1,AE1436,AK1436*(1-AJ1436)/2)</f>
        <v/>
      </c>
      <c r="AN1436" s="45">
        <f>IF(AH1436="","",AH1436-T1436)</f>
        <v/>
      </c>
      <c r="AO1436" s="51">
        <f>IF(AG1436=1,1,IF(U1436&gt;0,MIN(AF1436/U1436,0.99),0))</f>
        <v/>
      </c>
      <c r="AP1436" s="43">
        <f>IF(AG1436=1,AI1436*AF1436,0)</f>
        <v/>
      </c>
      <c r="AQ1436" s="43">
        <f>N1436*(F1436+G1436)/H1436</f>
        <v/>
      </c>
      <c r="AR1436" s="43">
        <f>O1436*AQ1436</f>
        <v/>
      </c>
      <c r="AS1436" s="52">
        <f>IF(AG1436=1,IF(AQ1436&gt;0,AF1436/AQ1436,1),IFERROR(INDEX(Types!$K:$K,MATCH($A1436&amp;"|"&amp;$D1436,Types!$A:$A,0)),INDEX(Dashboard!$X$6:$X$22,MATCH($A1436,Dashboard!$A$6:$A$22,0))))</f>
        <v/>
      </c>
      <c r="AT1436" s="43">
        <f>AQ1436*INDEX(Dashboard!$Y$6:$Y$22,MATCH($A1436,Dashboard!$A$6:$A$22,0))</f>
        <v/>
      </c>
      <c r="AU1436" s="53">
        <f>IF(AND(AG1436=1,AT1436&gt;0,AF1436&gt;0),100*AF1436/AT1436,"")</f>
        <v/>
      </c>
      <c r="AV1436" s="44">
        <f>IF(AU1436="","",T1436/(AU1436/100))</f>
        <v/>
      </c>
      <c r="AW1436" s="53">
        <f>IF(AU1436="","",IF(AND(ABS(AH1436)&gt;=0.1,ABS(T1436)&gt;=0.05,SIGN(AH1436)=SIGN(T1436)),100*T1436/AH1436,""))</f>
        <v/>
      </c>
      <c r="AX1436" s="45">
        <f>IF(AU1436="","",T1436-AV1436)</f>
        <v/>
      </c>
      <c r="AY1436" s="45">
        <f>IF(AU1436="","",AH1436-AV1436)</f>
        <v/>
      </c>
      <c r="AZ1436" s="54">
        <f>(AL1436-AM1436)-T1436*AT1436</f>
        <v/>
      </c>
      <c r="BA1436" s="43">
        <f>IF(AU1436="",0,(AH1436-T1436)*AF1436)</f>
        <v/>
      </c>
      <c r="BB1436" s="43">
        <f>IF(AU1436="",0,T1436*(AF1436-AT1436))</f>
        <v/>
      </c>
      <c r="BC1436" s="51" t="n">
        <v>0.4149410897416324</v>
      </c>
      <c r="BD1436" s="51" t="n">
        <v>0.1064223304994177</v>
      </c>
      <c r="BE1436" s="51" t="n">
        <v>0.4407169260398223</v>
      </c>
      <c r="BF1436" s="43" t="n">
        <v>229247</v>
      </c>
    </row>
    <row r="1437">
      <c r="A1437" s="42" t="inlineStr">
        <is>
          <t>VA</t>
        </is>
      </c>
      <c r="B1437" s="42" t="inlineStr">
        <is>
          <t>51161</t>
        </is>
      </c>
      <c r="C1437" s="42" t="inlineStr">
        <is>
          <t>Roanoke</t>
        </is>
      </c>
      <c r="D1437" s="42" t="inlineStr">
        <is>
          <t>Small town &amp; rural</t>
        </is>
      </c>
      <c r="E1437" s="42" t="inlineStr"/>
      <c r="F1437" s="43" t="n">
        <v>21693</v>
      </c>
      <c r="G1437" s="43" t="n">
        <v>34453</v>
      </c>
      <c r="H1437" s="43" t="n">
        <v>56789</v>
      </c>
      <c r="I1437" s="43" t="n">
        <v>21801</v>
      </c>
      <c r="J1437" s="43" t="n">
        <v>34268</v>
      </c>
      <c r="K1437" s="42" t="inlineStr">
        <is>
          <t>US House</t>
        </is>
      </c>
      <c r="L1437" s="43" t="n">
        <v>13036</v>
      </c>
      <c r="M1437" s="43" t="n">
        <v>24286</v>
      </c>
      <c r="N1437" s="43" t="n">
        <v>37404</v>
      </c>
      <c r="O1437" s="44">
        <f>IFERROR((F1437-G1437)/(F1437+G1437),"")</f>
        <v/>
      </c>
      <c r="P1437" s="44">
        <f>IFERROR((I1437-J1437)/(I1437+J1437),"")</f>
        <v/>
      </c>
      <c r="Q1437" s="45">
        <f>IFERROR(O1437-P1437,"")</f>
        <v/>
      </c>
      <c r="R1437" s="44">
        <f>IFERROR((L1437-M1437)/(L1437+M1437),"")</f>
        <v/>
      </c>
      <c r="S1437" s="46">
        <f>H1437/SUMIFS(Counties!$H$2:$H$1583,Counties!$A$2:$A$1583,$A1437)</f>
        <v/>
      </c>
      <c r="T1437" s="44">
        <f>O1437+INDEX(Dashboard!$F$6:$F$22,MATCH($A1437,Dashboard!$A$6:$A$22,0))</f>
        <v/>
      </c>
      <c r="U1437" s="43">
        <f>AQ1437*INDEX(Dashboard!$G$6:$G$22,MATCH($A1437,Dashboard!$A$6:$A$22,0))</f>
        <v/>
      </c>
      <c r="V1437" s="47" t="n"/>
      <c r="W1437" s="47" t="n"/>
      <c r="X1437" s="47" t="n"/>
      <c r="Y1437" s="48" t="n"/>
      <c r="Z1437" s="49" t="n"/>
      <c r="AA1437" s="49" t="n"/>
      <c r="AB1437" s="49" t="n"/>
      <c r="AC1437" s="50" t="n"/>
      <c r="AD1437" s="43">
        <f>IF(Z1437&lt;&gt;"",Z1437,N(V1437))</f>
        <v/>
      </c>
      <c r="AE1437" s="43">
        <f>IF(AA1437&lt;&gt;"",AA1437,N(W1437))</f>
        <v/>
      </c>
      <c r="AF1437" s="43">
        <f>AD1437+AE1437</f>
        <v/>
      </c>
      <c r="AG1437" s="42">
        <f>IF(UPPER(AC1437)="Y",1,IF(AF1437=0,0,IF(AND(Z1437="",Y1437&lt;&gt;""),IF(Y1437&gt;=0.999,1,0),IF(AF1437&gt;=U1437,1,0))))</f>
        <v/>
      </c>
      <c r="AH1437" s="44">
        <f>IF(AF1437&gt;0,(AD1437-AE1437)/AF1437,"")</f>
        <v/>
      </c>
      <c r="AI1437" s="45">
        <f>IF(AG1437=1,AH1437-O1437,"")</f>
        <v/>
      </c>
      <c r="AJ1437" s="44">
        <f>IF(AG1437=1,AH1437,MAX(-1,MIN(1,O1437+INDEX(Types!$H:$H,MATCH($A1437&amp;"|"&amp;$D1437,Types!$A:$A,0)))))</f>
        <v/>
      </c>
      <c r="AK1437" s="43">
        <f>IF(AG1437=1,AF1437,MAX(AQ1437*AS1437,AF1437))</f>
        <v/>
      </c>
      <c r="AL1437" s="43">
        <f>IF(AG1437=1,AD1437,AK1437*(1+AJ1437)/2)</f>
        <v/>
      </c>
      <c r="AM1437" s="43">
        <f>IF(AG1437=1,AE1437,AK1437*(1-AJ1437)/2)</f>
        <v/>
      </c>
      <c r="AN1437" s="45">
        <f>IF(AH1437="","",AH1437-T1437)</f>
        <v/>
      </c>
      <c r="AO1437" s="51">
        <f>IF(AG1437=1,1,IF(U1437&gt;0,MIN(AF1437/U1437,0.99),0))</f>
        <v/>
      </c>
      <c r="AP1437" s="43">
        <f>IF(AG1437=1,AI1437*AF1437,0)</f>
        <v/>
      </c>
      <c r="AQ1437" s="43">
        <f>N1437*(F1437+G1437)/H1437</f>
        <v/>
      </c>
      <c r="AR1437" s="43">
        <f>O1437*AQ1437</f>
        <v/>
      </c>
      <c r="AS1437" s="52">
        <f>IF(AG1437=1,IF(AQ1437&gt;0,AF1437/AQ1437,1),IFERROR(INDEX(Types!$K:$K,MATCH($A1437&amp;"|"&amp;$D1437,Types!$A:$A,0)),INDEX(Dashboard!$X$6:$X$22,MATCH($A1437,Dashboard!$A$6:$A$22,0))))</f>
        <v/>
      </c>
      <c r="AT1437" s="43">
        <f>AQ1437*INDEX(Dashboard!$Y$6:$Y$22,MATCH($A1437,Dashboard!$A$6:$A$22,0))</f>
        <v/>
      </c>
      <c r="AU1437" s="53">
        <f>IF(AND(AG1437=1,AT1437&gt;0,AF1437&gt;0),100*AF1437/AT1437,"")</f>
        <v/>
      </c>
      <c r="AV1437" s="44">
        <f>IF(AU1437="","",T1437/(AU1437/100))</f>
        <v/>
      </c>
      <c r="AW1437" s="53">
        <f>IF(AU1437="","",IF(AND(ABS(AH1437)&gt;=0.1,ABS(T1437)&gt;=0.05,SIGN(AH1437)=SIGN(T1437)),100*T1437/AH1437,""))</f>
        <v/>
      </c>
      <c r="AX1437" s="45">
        <f>IF(AU1437="","",T1437-AV1437)</f>
        <v/>
      </c>
      <c r="AY1437" s="45">
        <f>IF(AU1437="","",AH1437-AV1437)</f>
        <v/>
      </c>
      <c r="AZ1437" s="54">
        <f>(AL1437-AM1437)-T1437*AT1437</f>
        <v/>
      </c>
      <c r="BA1437" s="43">
        <f>IF(AU1437="",0,(AH1437-T1437)*AF1437)</f>
        <v/>
      </c>
      <c r="BB1437" s="43">
        <f>IF(AU1437="",0,T1437*(AF1437-AT1437))</f>
        <v/>
      </c>
      <c r="BC1437" s="51" t="n">
        <v>0.06972357924679982</v>
      </c>
      <c r="BD1437" s="51" t="n">
        <v>0.04256591016840847</v>
      </c>
      <c r="BE1437" s="51" t="n">
        <v>0.3738384154139078</v>
      </c>
      <c r="BF1437" s="43" t="n">
        <v>97026</v>
      </c>
    </row>
    <row r="1438">
      <c r="A1438" s="42" t="inlineStr">
        <is>
          <t>VA</t>
        </is>
      </c>
      <c r="B1438" s="42" t="inlineStr">
        <is>
          <t>51770</t>
        </is>
      </c>
      <c r="C1438" s="42" t="inlineStr">
        <is>
          <t>Roanoke city</t>
        </is>
      </c>
      <c r="D1438" s="42" t="inlineStr">
        <is>
          <t>Small town &amp; rural</t>
        </is>
      </c>
      <c r="E1438" s="42" t="inlineStr"/>
      <c r="F1438" s="43" t="n">
        <v>25737</v>
      </c>
      <c r="G1438" s="43" t="n">
        <v>15787</v>
      </c>
      <c r="H1438" s="43" t="n">
        <v>42128</v>
      </c>
      <c r="I1438" s="43" t="n">
        <v>26773</v>
      </c>
      <c r="J1438" s="43" t="n">
        <v>15607</v>
      </c>
      <c r="K1438" s="42" t="inlineStr">
        <is>
          <t>US House</t>
        </is>
      </c>
      <c r="L1438" s="43" t="n">
        <v>15482</v>
      </c>
      <c r="M1438" s="43" t="n">
        <v>10780</v>
      </c>
      <c r="N1438" s="43" t="n">
        <v>26320</v>
      </c>
      <c r="O1438" s="44">
        <f>IFERROR((F1438-G1438)/(F1438+G1438),"")</f>
        <v/>
      </c>
      <c r="P1438" s="44">
        <f>IFERROR((I1438-J1438)/(I1438+J1438),"")</f>
        <v/>
      </c>
      <c r="Q1438" s="45">
        <f>IFERROR(O1438-P1438,"")</f>
        <v/>
      </c>
      <c r="R1438" s="44">
        <f>IFERROR((L1438-M1438)/(L1438+M1438),"")</f>
        <v/>
      </c>
      <c r="S1438" s="46">
        <f>H1438/SUMIFS(Counties!$H$2:$H$1583,Counties!$A$2:$A$1583,$A1438)</f>
        <v/>
      </c>
      <c r="T1438" s="44">
        <f>O1438+INDEX(Dashboard!$F$6:$F$22,MATCH($A1438,Dashboard!$A$6:$A$22,0))</f>
        <v/>
      </c>
      <c r="U1438" s="43">
        <f>AQ1438*INDEX(Dashboard!$G$6:$G$22,MATCH($A1438,Dashboard!$A$6:$A$22,0))</f>
        <v/>
      </c>
      <c r="V1438" s="47" t="n"/>
      <c r="W1438" s="47" t="n"/>
      <c r="X1438" s="47" t="n"/>
      <c r="Y1438" s="48" t="n"/>
      <c r="Z1438" s="49" t="n"/>
      <c r="AA1438" s="49" t="n"/>
      <c r="AB1438" s="49" t="n"/>
      <c r="AC1438" s="50" t="n"/>
      <c r="AD1438" s="43">
        <f>IF(Z1438&lt;&gt;"",Z1438,N(V1438))</f>
        <v/>
      </c>
      <c r="AE1438" s="43">
        <f>IF(AA1438&lt;&gt;"",AA1438,N(W1438))</f>
        <v/>
      </c>
      <c r="AF1438" s="43">
        <f>AD1438+AE1438</f>
        <v/>
      </c>
      <c r="AG1438" s="42">
        <f>IF(UPPER(AC1438)="Y",1,IF(AF1438=0,0,IF(AND(Z1438="",Y1438&lt;&gt;""),IF(Y1438&gt;=0.999,1,0),IF(AF1438&gt;=U1438,1,0))))</f>
        <v/>
      </c>
      <c r="AH1438" s="44">
        <f>IF(AF1438&gt;0,(AD1438-AE1438)/AF1438,"")</f>
        <v/>
      </c>
      <c r="AI1438" s="45">
        <f>IF(AG1438=1,AH1438-O1438,"")</f>
        <v/>
      </c>
      <c r="AJ1438" s="44">
        <f>IF(AG1438=1,AH1438,MAX(-1,MIN(1,O1438+INDEX(Types!$H:$H,MATCH($A1438&amp;"|"&amp;$D1438,Types!$A:$A,0)))))</f>
        <v/>
      </c>
      <c r="AK1438" s="43">
        <f>IF(AG1438=1,AF1438,MAX(AQ1438*AS1438,AF1438))</f>
        <v/>
      </c>
      <c r="AL1438" s="43">
        <f>IF(AG1438=1,AD1438,AK1438*(1+AJ1438)/2)</f>
        <v/>
      </c>
      <c r="AM1438" s="43">
        <f>IF(AG1438=1,AE1438,AK1438*(1-AJ1438)/2)</f>
        <v/>
      </c>
      <c r="AN1438" s="45">
        <f>IF(AH1438="","",AH1438-T1438)</f>
        <v/>
      </c>
      <c r="AO1438" s="51">
        <f>IF(AG1438=1,1,IF(U1438&gt;0,MIN(AF1438/U1438,0.99),0))</f>
        <v/>
      </c>
      <c r="AP1438" s="43">
        <f>IF(AG1438=1,AI1438*AF1438,0)</f>
        <v/>
      </c>
      <c r="AQ1438" s="43">
        <f>N1438*(F1438+G1438)/H1438</f>
        <v/>
      </c>
      <c r="AR1438" s="43">
        <f>O1438*AQ1438</f>
        <v/>
      </c>
      <c r="AS1438" s="52">
        <f>IF(AG1438=1,IF(AQ1438&gt;0,AF1438/AQ1438,1),IFERROR(INDEX(Types!$K:$K,MATCH($A1438&amp;"|"&amp;$D1438,Types!$A:$A,0)),INDEX(Dashboard!$X$6:$X$22,MATCH($A1438,Dashboard!$A$6:$A$22,0))))</f>
        <v/>
      </c>
      <c r="AT1438" s="43">
        <f>AQ1438*INDEX(Dashboard!$Y$6:$Y$22,MATCH($A1438,Dashboard!$A$6:$A$22,0))</f>
        <v/>
      </c>
      <c r="AU1438" s="53">
        <f>IF(AND(AG1438=1,AT1438&gt;0,AF1438&gt;0),100*AF1438/AT1438,"")</f>
        <v/>
      </c>
      <c r="AV1438" s="44">
        <f>IF(AU1438="","",T1438/(AU1438/100))</f>
        <v/>
      </c>
      <c r="AW1438" s="53">
        <f>IF(AU1438="","",IF(AND(ABS(AH1438)&gt;=0.1,ABS(T1438)&gt;=0.05,SIGN(AH1438)=SIGN(T1438)),100*T1438/AH1438,""))</f>
        <v/>
      </c>
      <c r="AX1438" s="45">
        <f>IF(AU1438="","",T1438-AV1438)</f>
        <v/>
      </c>
      <c r="AY1438" s="45">
        <f>IF(AU1438="","",AH1438-AV1438)</f>
        <v/>
      </c>
      <c r="AZ1438" s="54">
        <f>(AL1438-AM1438)-T1438*AT1438</f>
        <v/>
      </c>
      <c r="BA1438" s="43">
        <f>IF(AU1438="",0,(AH1438-T1438)*AF1438)</f>
        <v/>
      </c>
      <c r="BB1438" s="43">
        <f>IF(AU1438="",0,T1438*(AF1438-AT1438))</f>
        <v/>
      </c>
      <c r="BC1438" s="51" t="n">
        <v>0.2826254746786593</v>
      </c>
      <c r="BD1438" s="51" t="n">
        <v>0.08945055623591401</v>
      </c>
      <c r="BE1438" s="51" t="n">
        <v>0.2889210716871832</v>
      </c>
      <c r="BF1438" s="43" t="n">
        <v>97171</v>
      </c>
    </row>
    <row r="1439">
      <c r="A1439" s="42" t="inlineStr">
        <is>
          <t>VA</t>
        </is>
      </c>
      <c r="B1439" s="42" t="inlineStr">
        <is>
          <t>51163</t>
        </is>
      </c>
      <c r="C1439" s="42" t="inlineStr">
        <is>
          <t>Rockbridge</t>
        </is>
      </c>
      <c r="D1439" s="42" t="inlineStr">
        <is>
          <t>Small town &amp; rural</t>
        </is>
      </c>
      <c r="E1439" s="42" t="inlineStr"/>
      <c r="F1439" s="43" t="n">
        <v>4160</v>
      </c>
      <c r="G1439" s="43" t="n">
        <v>8468</v>
      </c>
      <c r="H1439" s="43" t="n">
        <v>12752</v>
      </c>
      <c r="I1439" s="43" t="n">
        <v>4086</v>
      </c>
      <c r="J1439" s="43" t="n">
        <v>8088</v>
      </c>
      <c r="K1439" s="42" t="inlineStr">
        <is>
          <t>US House</t>
        </is>
      </c>
      <c r="L1439" s="43" t="n">
        <v>2964</v>
      </c>
      <c r="M1439" s="43" t="n">
        <v>6037</v>
      </c>
      <c r="N1439" s="43" t="n">
        <v>9019</v>
      </c>
      <c r="O1439" s="44">
        <f>IFERROR((F1439-G1439)/(F1439+G1439),"")</f>
        <v/>
      </c>
      <c r="P1439" s="44">
        <f>IFERROR((I1439-J1439)/(I1439+J1439),"")</f>
        <v/>
      </c>
      <c r="Q1439" s="45">
        <f>IFERROR(O1439-P1439,"")</f>
        <v/>
      </c>
      <c r="R1439" s="44">
        <f>IFERROR((L1439-M1439)/(L1439+M1439),"")</f>
        <v/>
      </c>
      <c r="S1439" s="46">
        <f>H1439/SUMIFS(Counties!$H$2:$H$1583,Counties!$A$2:$A$1583,$A1439)</f>
        <v/>
      </c>
      <c r="T1439" s="44">
        <f>O1439+INDEX(Dashboard!$F$6:$F$22,MATCH($A1439,Dashboard!$A$6:$A$22,0))</f>
        <v/>
      </c>
      <c r="U1439" s="43">
        <f>AQ1439*INDEX(Dashboard!$G$6:$G$22,MATCH($A1439,Dashboard!$A$6:$A$22,0))</f>
        <v/>
      </c>
      <c r="V1439" s="47" t="n"/>
      <c r="W1439" s="47" t="n"/>
      <c r="X1439" s="47" t="n"/>
      <c r="Y1439" s="48" t="n"/>
      <c r="Z1439" s="49" t="n"/>
      <c r="AA1439" s="49" t="n"/>
      <c r="AB1439" s="49" t="n"/>
      <c r="AC1439" s="50" t="n"/>
      <c r="AD1439" s="43">
        <f>IF(Z1439&lt;&gt;"",Z1439,N(V1439))</f>
        <v/>
      </c>
      <c r="AE1439" s="43">
        <f>IF(AA1439&lt;&gt;"",AA1439,N(W1439))</f>
        <v/>
      </c>
      <c r="AF1439" s="43">
        <f>AD1439+AE1439</f>
        <v/>
      </c>
      <c r="AG1439" s="42">
        <f>IF(UPPER(AC1439)="Y",1,IF(AF1439=0,0,IF(AND(Z1439="",Y1439&lt;&gt;""),IF(Y1439&gt;=0.999,1,0),IF(AF1439&gt;=U1439,1,0))))</f>
        <v/>
      </c>
      <c r="AH1439" s="44">
        <f>IF(AF1439&gt;0,(AD1439-AE1439)/AF1439,"")</f>
        <v/>
      </c>
      <c r="AI1439" s="45">
        <f>IF(AG1439=1,AH1439-O1439,"")</f>
        <v/>
      </c>
      <c r="AJ1439" s="44">
        <f>IF(AG1439=1,AH1439,MAX(-1,MIN(1,O1439+INDEX(Types!$H:$H,MATCH($A1439&amp;"|"&amp;$D1439,Types!$A:$A,0)))))</f>
        <v/>
      </c>
      <c r="AK1439" s="43">
        <f>IF(AG1439=1,AF1439,MAX(AQ1439*AS1439,AF1439))</f>
        <v/>
      </c>
      <c r="AL1439" s="43">
        <f>IF(AG1439=1,AD1439,AK1439*(1+AJ1439)/2)</f>
        <v/>
      </c>
      <c r="AM1439" s="43">
        <f>IF(AG1439=1,AE1439,AK1439*(1-AJ1439)/2)</f>
        <v/>
      </c>
      <c r="AN1439" s="45">
        <f>IF(AH1439="","",AH1439-T1439)</f>
        <v/>
      </c>
      <c r="AO1439" s="51">
        <f>IF(AG1439=1,1,IF(U1439&gt;0,MIN(AF1439/U1439,0.99),0))</f>
        <v/>
      </c>
      <c r="AP1439" s="43">
        <f>IF(AG1439=1,AI1439*AF1439,0)</f>
        <v/>
      </c>
      <c r="AQ1439" s="43">
        <f>N1439*(F1439+G1439)/H1439</f>
        <v/>
      </c>
      <c r="AR1439" s="43">
        <f>O1439*AQ1439</f>
        <v/>
      </c>
      <c r="AS1439" s="52">
        <f>IF(AG1439=1,IF(AQ1439&gt;0,AF1439/AQ1439,1),IFERROR(INDEX(Types!$K:$K,MATCH($A1439&amp;"|"&amp;$D1439,Types!$A:$A,0)),INDEX(Dashboard!$X$6:$X$22,MATCH($A1439,Dashboard!$A$6:$A$22,0))))</f>
        <v/>
      </c>
      <c r="AT1439" s="43">
        <f>AQ1439*INDEX(Dashboard!$Y$6:$Y$22,MATCH($A1439,Dashboard!$A$6:$A$22,0))</f>
        <v/>
      </c>
      <c r="AU1439" s="53">
        <f>IF(AND(AG1439=1,AT1439&gt;0,AF1439&gt;0),100*AF1439/AT1439,"")</f>
        <v/>
      </c>
      <c r="AV1439" s="44">
        <f>IF(AU1439="","",T1439/(AU1439/100))</f>
        <v/>
      </c>
      <c r="AW1439" s="53">
        <f>IF(AU1439="","",IF(AND(ABS(AH1439)&gt;=0.1,ABS(T1439)&gt;=0.05,SIGN(AH1439)=SIGN(T1439)),100*T1439/AH1439,""))</f>
        <v/>
      </c>
      <c r="AX1439" s="45">
        <f>IF(AU1439="","",T1439-AV1439)</f>
        <v/>
      </c>
      <c r="AY1439" s="45">
        <f>IF(AU1439="","",AH1439-AV1439)</f>
        <v/>
      </c>
      <c r="AZ1439" s="54">
        <f>(AL1439-AM1439)-T1439*AT1439</f>
        <v/>
      </c>
      <c r="BA1439" s="43">
        <f>IF(AU1439="",0,(AH1439-T1439)*AF1439)</f>
        <v/>
      </c>
      <c r="BB1439" s="43">
        <f>IF(AU1439="",0,T1439*(AF1439-AT1439))</f>
        <v/>
      </c>
      <c r="BC1439" s="51" t="n">
        <v>0.03363449324626532</v>
      </c>
      <c r="BD1439" s="51" t="n">
        <v>0.02361570802397352</v>
      </c>
      <c r="BE1439" s="51" t="n">
        <v>0.314551229267145</v>
      </c>
      <c r="BF1439" s="43" t="n">
        <v>22358</v>
      </c>
    </row>
    <row r="1440">
      <c r="A1440" s="42" t="inlineStr">
        <is>
          <t>VA</t>
        </is>
      </c>
      <c r="B1440" s="42" t="inlineStr">
        <is>
          <t>51165</t>
        </is>
      </c>
      <c r="C1440" s="42" t="inlineStr">
        <is>
          <t>Rockingham</t>
        </is>
      </c>
      <c r="D1440" s="42" t="inlineStr">
        <is>
          <t>Small town &amp; rural</t>
        </is>
      </c>
      <c r="E1440" s="42" t="inlineStr"/>
      <c r="F1440" s="43" t="n">
        <v>15035</v>
      </c>
      <c r="G1440" s="43" t="n">
        <v>33033</v>
      </c>
      <c r="H1440" s="43" t="n">
        <v>48581</v>
      </c>
      <c r="I1440" s="43" t="n">
        <v>12644</v>
      </c>
      <c r="J1440" s="43" t="n">
        <v>30349</v>
      </c>
      <c r="K1440" s="42" t="inlineStr">
        <is>
          <t>US House</t>
        </is>
      </c>
      <c r="L1440" s="43" t="n">
        <v>8392</v>
      </c>
      <c r="M1440" s="43" t="n">
        <v>23093</v>
      </c>
      <c r="N1440" s="43" t="n">
        <v>31535</v>
      </c>
      <c r="O1440" s="44">
        <f>IFERROR((F1440-G1440)/(F1440+G1440),"")</f>
        <v/>
      </c>
      <c r="P1440" s="44">
        <f>IFERROR((I1440-J1440)/(I1440+J1440),"")</f>
        <v/>
      </c>
      <c r="Q1440" s="45">
        <f>IFERROR(O1440-P1440,"")</f>
        <v/>
      </c>
      <c r="R1440" s="44">
        <f>IFERROR((L1440-M1440)/(L1440+M1440),"")</f>
        <v/>
      </c>
      <c r="S1440" s="46">
        <f>H1440/SUMIFS(Counties!$H$2:$H$1583,Counties!$A$2:$A$1583,$A1440)</f>
        <v/>
      </c>
      <c r="T1440" s="44">
        <f>O1440+INDEX(Dashboard!$F$6:$F$22,MATCH($A1440,Dashboard!$A$6:$A$22,0))</f>
        <v/>
      </c>
      <c r="U1440" s="43">
        <f>AQ1440*INDEX(Dashboard!$G$6:$G$22,MATCH($A1440,Dashboard!$A$6:$A$22,0))</f>
        <v/>
      </c>
      <c r="V1440" s="47" t="n"/>
      <c r="W1440" s="47" t="n"/>
      <c r="X1440" s="47" t="n"/>
      <c r="Y1440" s="48" t="n"/>
      <c r="Z1440" s="49" t="n"/>
      <c r="AA1440" s="49" t="n"/>
      <c r="AB1440" s="49" t="n"/>
      <c r="AC1440" s="50" t="n"/>
      <c r="AD1440" s="43">
        <f>IF(Z1440&lt;&gt;"",Z1440,N(V1440))</f>
        <v/>
      </c>
      <c r="AE1440" s="43">
        <f>IF(AA1440&lt;&gt;"",AA1440,N(W1440))</f>
        <v/>
      </c>
      <c r="AF1440" s="43">
        <f>AD1440+AE1440</f>
        <v/>
      </c>
      <c r="AG1440" s="42">
        <f>IF(UPPER(AC1440)="Y",1,IF(AF1440=0,0,IF(AND(Z1440="",Y1440&lt;&gt;""),IF(Y1440&gt;=0.999,1,0),IF(AF1440&gt;=U1440,1,0))))</f>
        <v/>
      </c>
      <c r="AH1440" s="44">
        <f>IF(AF1440&gt;0,(AD1440-AE1440)/AF1440,"")</f>
        <v/>
      </c>
      <c r="AI1440" s="45">
        <f>IF(AG1440=1,AH1440-O1440,"")</f>
        <v/>
      </c>
      <c r="AJ1440" s="44">
        <f>IF(AG1440=1,AH1440,MAX(-1,MIN(1,O1440+INDEX(Types!$H:$H,MATCH($A1440&amp;"|"&amp;$D1440,Types!$A:$A,0)))))</f>
        <v/>
      </c>
      <c r="AK1440" s="43">
        <f>IF(AG1440=1,AF1440,MAX(AQ1440*AS1440,AF1440))</f>
        <v/>
      </c>
      <c r="AL1440" s="43">
        <f>IF(AG1440=1,AD1440,AK1440*(1+AJ1440)/2)</f>
        <v/>
      </c>
      <c r="AM1440" s="43">
        <f>IF(AG1440=1,AE1440,AK1440*(1-AJ1440)/2)</f>
        <v/>
      </c>
      <c r="AN1440" s="45">
        <f>IF(AH1440="","",AH1440-T1440)</f>
        <v/>
      </c>
      <c r="AO1440" s="51">
        <f>IF(AG1440=1,1,IF(U1440&gt;0,MIN(AF1440/U1440,0.99),0))</f>
        <v/>
      </c>
      <c r="AP1440" s="43">
        <f>IF(AG1440=1,AI1440*AF1440,0)</f>
        <v/>
      </c>
      <c r="AQ1440" s="43">
        <f>N1440*(F1440+G1440)/H1440</f>
        <v/>
      </c>
      <c r="AR1440" s="43">
        <f>O1440*AQ1440</f>
        <v/>
      </c>
      <c r="AS1440" s="52">
        <f>IF(AG1440=1,IF(AQ1440&gt;0,AF1440/AQ1440,1),IFERROR(INDEX(Types!$K:$K,MATCH($A1440&amp;"|"&amp;$D1440,Types!$A:$A,0)),INDEX(Dashboard!$X$6:$X$22,MATCH($A1440,Dashboard!$A$6:$A$22,0))))</f>
        <v/>
      </c>
      <c r="AT1440" s="43">
        <f>AQ1440*INDEX(Dashboard!$Y$6:$Y$22,MATCH($A1440,Dashboard!$A$6:$A$22,0))</f>
        <v/>
      </c>
      <c r="AU1440" s="53">
        <f>IF(AND(AG1440=1,AT1440&gt;0,AF1440&gt;0),100*AF1440/AT1440,"")</f>
        <v/>
      </c>
      <c r="AV1440" s="44">
        <f>IF(AU1440="","",T1440/(AU1440/100))</f>
        <v/>
      </c>
      <c r="AW1440" s="53">
        <f>IF(AU1440="","",IF(AND(ABS(AH1440)&gt;=0.1,ABS(T1440)&gt;=0.05,SIGN(AH1440)=SIGN(T1440)),100*T1440/AH1440,""))</f>
        <v/>
      </c>
      <c r="AX1440" s="45">
        <f>IF(AU1440="","",T1440-AV1440)</f>
        <v/>
      </c>
      <c r="AY1440" s="45">
        <f>IF(AU1440="","",AH1440-AV1440)</f>
        <v/>
      </c>
      <c r="AZ1440" s="54">
        <f>(AL1440-AM1440)-T1440*AT1440</f>
        <v/>
      </c>
      <c r="BA1440" s="43">
        <f>IF(AU1440="",0,(AH1440-T1440)*AF1440)</f>
        <v/>
      </c>
      <c r="BB1440" s="43">
        <f>IF(AU1440="",0,T1440*(AF1440-AT1440))</f>
        <v/>
      </c>
      <c r="BC1440" s="51" t="n">
        <v>0.02737732187413363</v>
      </c>
      <c r="BD1440" s="51" t="n">
        <v>0.09588993623509842</v>
      </c>
      <c r="BE1440" s="51" t="n">
        <v>0.2839889043951689</v>
      </c>
      <c r="BF1440" s="43" t="n">
        <v>86568</v>
      </c>
    </row>
    <row r="1441">
      <c r="A1441" s="42" t="inlineStr">
        <is>
          <t>VA</t>
        </is>
      </c>
      <c r="B1441" s="42" t="inlineStr">
        <is>
          <t>51167</t>
        </is>
      </c>
      <c r="C1441" s="42" t="inlineStr">
        <is>
          <t>Russell</t>
        </is>
      </c>
      <c r="D1441" s="42" t="inlineStr">
        <is>
          <t>Small town &amp; rural</t>
        </is>
      </c>
      <c r="E1441" s="42" t="inlineStr"/>
      <c r="F1441" s="43" t="n">
        <v>2172</v>
      </c>
      <c r="G1441" s="43" t="n">
        <v>11303</v>
      </c>
      <c r="H1441" s="43" t="n">
        <v>13525</v>
      </c>
      <c r="I1441" s="43" t="n">
        <v>2373</v>
      </c>
      <c r="J1441" s="43" t="n">
        <v>10879</v>
      </c>
      <c r="K1441" s="42" t="inlineStr">
        <is>
          <t>US House</t>
        </is>
      </c>
      <c r="L1441" s="43" t="n">
        <v>1337</v>
      </c>
      <c r="M1441" s="43" t="n">
        <v>6471</v>
      </c>
      <c r="N1441" s="43" t="n">
        <v>7829</v>
      </c>
      <c r="O1441" s="44">
        <f>IFERROR((F1441-G1441)/(F1441+G1441),"")</f>
        <v/>
      </c>
      <c r="P1441" s="44">
        <f>IFERROR((I1441-J1441)/(I1441+J1441),"")</f>
        <v/>
      </c>
      <c r="Q1441" s="45">
        <f>IFERROR(O1441-P1441,"")</f>
        <v/>
      </c>
      <c r="R1441" s="44">
        <f>IFERROR((L1441-M1441)/(L1441+M1441),"")</f>
        <v/>
      </c>
      <c r="S1441" s="46">
        <f>H1441/SUMIFS(Counties!$H$2:$H$1583,Counties!$A$2:$A$1583,$A1441)</f>
        <v/>
      </c>
      <c r="T1441" s="44">
        <f>O1441+INDEX(Dashboard!$F$6:$F$22,MATCH($A1441,Dashboard!$A$6:$A$22,0))</f>
        <v/>
      </c>
      <c r="U1441" s="43">
        <f>AQ1441*INDEX(Dashboard!$G$6:$G$22,MATCH($A1441,Dashboard!$A$6:$A$22,0))</f>
        <v/>
      </c>
      <c r="V1441" s="47" t="n"/>
      <c r="W1441" s="47" t="n"/>
      <c r="X1441" s="47" t="n"/>
      <c r="Y1441" s="48" t="n"/>
      <c r="Z1441" s="49" t="n"/>
      <c r="AA1441" s="49" t="n"/>
      <c r="AB1441" s="49" t="n"/>
      <c r="AC1441" s="50" t="n"/>
      <c r="AD1441" s="43">
        <f>IF(Z1441&lt;&gt;"",Z1441,N(V1441))</f>
        <v/>
      </c>
      <c r="AE1441" s="43">
        <f>IF(AA1441&lt;&gt;"",AA1441,N(W1441))</f>
        <v/>
      </c>
      <c r="AF1441" s="43">
        <f>AD1441+AE1441</f>
        <v/>
      </c>
      <c r="AG1441" s="42">
        <f>IF(UPPER(AC1441)="Y",1,IF(AF1441=0,0,IF(AND(Z1441="",Y1441&lt;&gt;""),IF(Y1441&gt;=0.999,1,0),IF(AF1441&gt;=U1441,1,0))))</f>
        <v/>
      </c>
      <c r="AH1441" s="44">
        <f>IF(AF1441&gt;0,(AD1441-AE1441)/AF1441,"")</f>
        <v/>
      </c>
      <c r="AI1441" s="45">
        <f>IF(AG1441=1,AH1441-O1441,"")</f>
        <v/>
      </c>
      <c r="AJ1441" s="44">
        <f>IF(AG1441=1,AH1441,MAX(-1,MIN(1,O1441+INDEX(Types!$H:$H,MATCH($A1441&amp;"|"&amp;$D1441,Types!$A:$A,0)))))</f>
        <v/>
      </c>
      <c r="AK1441" s="43">
        <f>IF(AG1441=1,AF1441,MAX(AQ1441*AS1441,AF1441))</f>
        <v/>
      </c>
      <c r="AL1441" s="43">
        <f>IF(AG1441=1,AD1441,AK1441*(1+AJ1441)/2)</f>
        <v/>
      </c>
      <c r="AM1441" s="43">
        <f>IF(AG1441=1,AE1441,AK1441*(1-AJ1441)/2)</f>
        <v/>
      </c>
      <c r="AN1441" s="45">
        <f>IF(AH1441="","",AH1441-T1441)</f>
        <v/>
      </c>
      <c r="AO1441" s="51">
        <f>IF(AG1441=1,1,IF(U1441&gt;0,MIN(AF1441/U1441,0.99),0))</f>
        <v/>
      </c>
      <c r="AP1441" s="43">
        <f>IF(AG1441=1,AI1441*AF1441,0)</f>
        <v/>
      </c>
      <c r="AQ1441" s="43">
        <f>N1441*(F1441+G1441)/H1441</f>
        <v/>
      </c>
      <c r="AR1441" s="43">
        <f>O1441*AQ1441</f>
        <v/>
      </c>
      <c r="AS1441" s="52">
        <f>IF(AG1441=1,IF(AQ1441&gt;0,AF1441/AQ1441,1),IFERROR(INDEX(Types!$K:$K,MATCH($A1441&amp;"|"&amp;$D1441,Types!$A:$A,0)),INDEX(Dashboard!$X$6:$X$22,MATCH($A1441,Dashboard!$A$6:$A$22,0))))</f>
        <v/>
      </c>
      <c r="AT1441" s="43">
        <f>AQ1441*INDEX(Dashboard!$Y$6:$Y$22,MATCH($A1441,Dashboard!$A$6:$A$22,0))</f>
        <v/>
      </c>
      <c r="AU1441" s="53">
        <f>IF(AND(AG1441=1,AT1441&gt;0,AF1441&gt;0),100*AF1441/AT1441,"")</f>
        <v/>
      </c>
      <c r="AV1441" s="44">
        <f>IF(AU1441="","",T1441/(AU1441/100))</f>
        <v/>
      </c>
      <c r="AW1441" s="53">
        <f>IF(AU1441="","",IF(AND(ABS(AH1441)&gt;=0.1,ABS(T1441)&gt;=0.05,SIGN(AH1441)=SIGN(T1441)),100*T1441/AH1441,""))</f>
        <v/>
      </c>
      <c r="AX1441" s="45">
        <f>IF(AU1441="","",T1441-AV1441)</f>
        <v/>
      </c>
      <c r="AY1441" s="45">
        <f>IF(AU1441="","",AH1441-AV1441)</f>
        <v/>
      </c>
      <c r="AZ1441" s="54">
        <f>(AL1441-AM1441)-T1441*AT1441</f>
        <v/>
      </c>
      <c r="BA1441" s="43">
        <f>IF(AU1441="",0,(AH1441-T1441)*AF1441)</f>
        <v/>
      </c>
      <c r="BB1441" s="43">
        <f>IF(AU1441="",0,T1441*(AF1441-AT1441))</f>
        <v/>
      </c>
      <c r="BC1441" s="51" t="n">
        <v>0.009891274482866899</v>
      </c>
      <c r="BD1441" s="51" t="n">
        <v>0.007222200416061546</v>
      </c>
      <c r="BE1441" s="51" t="n">
        <v>0.1410027328147992</v>
      </c>
      <c r="BF1441" s="43" t="n">
        <v>25477</v>
      </c>
    </row>
    <row r="1442">
      <c r="A1442" s="42" t="inlineStr">
        <is>
          <t>VA</t>
        </is>
      </c>
      <c r="B1442" s="42" t="inlineStr">
        <is>
          <t>51775</t>
        </is>
      </c>
      <c r="C1442" s="42" t="inlineStr">
        <is>
          <t>Salem city</t>
        </is>
      </c>
      <c r="D1442" s="42" t="inlineStr">
        <is>
          <t>Small town &amp; rural</t>
        </is>
      </c>
      <c r="E1442" s="42" t="inlineStr"/>
      <c r="F1442" s="43" t="n">
        <v>5237</v>
      </c>
      <c r="G1442" s="43" t="n">
        <v>7769</v>
      </c>
      <c r="H1442" s="43" t="n">
        <v>13148</v>
      </c>
      <c r="I1442" s="43" t="n">
        <v>5148</v>
      </c>
      <c r="J1442" s="43" t="n">
        <v>7683</v>
      </c>
      <c r="K1442" s="42" t="inlineStr">
        <is>
          <t>US House</t>
        </is>
      </c>
      <c r="L1442" s="43" t="n">
        <v>3040</v>
      </c>
      <c r="M1442" s="43" t="n">
        <v>5283</v>
      </c>
      <c r="N1442" s="43" t="n">
        <v>8341</v>
      </c>
      <c r="O1442" s="44">
        <f>IFERROR((F1442-G1442)/(F1442+G1442),"")</f>
        <v/>
      </c>
      <c r="P1442" s="44">
        <f>IFERROR((I1442-J1442)/(I1442+J1442),"")</f>
        <v/>
      </c>
      <c r="Q1442" s="45">
        <f>IFERROR(O1442-P1442,"")</f>
        <v/>
      </c>
      <c r="R1442" s="44">
        <f>IFERROR((L1442-M1442)/(L1442+M1442),"")</f>
        <v/>
      </c>
      <c r="S1442" s="46">
        <f>H1442/SUMIFS(Counties!$H$2:$H$1583,Counties!$A$2:$A$1583,$A1442)</f>
        <v/>
      </c>
      <c r="T1442" s="44">
        <f>O1442+INDEX(Dashboard!$F$6:$F$22,MATCH($A1442,Dashboard!$A$6:$A$22,0))</f>
        <v/>
      </c>
      <c r="U1442" s="43">
        <f>AQ1442*INDEX(Dashboard!$G$6:$G$22,MATCH($A1442,Dashboard!$A$6:$A$22,0))</f>
        <v/>
      </c>
      <c r="V1442" s="47" t="n"/>
      <c r="W1442" s="47" t="n"/>
      <c r="X1442" s="47" t="n"/>
      <c r="Y1442" s="48" t="n"/>
      <c r="Z1442" s="49" t="n"/>
      <c r="AA1442" s="49" t="n"/>
      <c r="AB1442" s="49" t="n"/>
      <c r="AC1442" s="50" t="n"/>
      <c r="AD1442" s="43">
        <f>IF(Z1442&lt;&gt;"",Z1442,N(V1442))</f>
        <v/>
      </c>
      <c r="AE1442" s="43">
        <f>IF(AA1442&lt;&gt;"",AA1442,N(W1442))</f>
        <v/>
      </c>
      <c r="AF1442" s="43">
        <f>AD1442+AE1442</f>
        <v/>
      </c>
      <c r="AG1442" s="42">
        <f>IF(UPPER(AC1442)="Y",1,IF(AF1442=0,0,IF(AND(Z1442="",Y1442&lt;&gt;""),IF(Y1442&gt;=0.999,1,0),IF(AF1442&gt;=U1442,1,0))))</f>
        <v/>
      </c>
      <c r="AH1442" s="44">
        <f>IF(AF1442&gt;0,(AD1442-AE1442)/AF1442,"")</f>
        <v/>
      </c>
      <c r="AI1442" s="45">
        <f>IF(AG1442=1,AH1442-O1442,"")</f>
        <v/>
      </c>
      <c r="AJ1442" s="44">
        <f>IF(AG1442=1,AH1442,MAX(-1,MIN(1,O1442+INDEX(Types!$H:$H,MATCH($A1442&amp;"|"&amp;$D1442,Types!$A:$A,0)))))</f>
        <v/>
      </c>
      <c r="AK1442" s="43">
        <f>IF(AG1442=1,AF1442,MAX(AQ1442*AS1442,AF1442))</f>
        <v/>
      </c>
      <c r="AL1442" s="43">
        <f>IF(AG1442=1,AD1442,AK1442*(1+AJ1442)/2)</f>
        <v/>
      </c>
      <c r="AM1442" s="43">
        <f>IF(AG1442=1,AE1442,AK1442*(1-AJ1442)/2)</f>
        <v/>
      </c>
      <c r="AN1442" s="45">
        <f>IF(AH1442="","",AH1442-T1442)</f>
        <v/>
      </c>
      <c r="AO1442" s="51">
        <f>IF(AG1442=1,1,IF(U1442&gt;0,MIN(AF1442/U1442,0.99),0))</f>
        <v/>
      </c>
      <c r="AP1442" s="43">
        <f>IF(AG1442=1,AI1442*AF1442,0)</f>
        <v/>
      </c>
      <c r="AQ1442" s="43">
        <f>N1442*(F1442+G1442)/H1442</f>
        <v/>
      </c>
      <c r="AR1442" s="43">
        <f>O1442*AQ1442</f>
        <v/>
      </c>
      <c r="AS1442" s="52">
        <f>IF(AG1442=1,IF(AQ1442&gt;0,AF1442/AQ1442,1),IFERROR(INDEX(Types!$K:$K,MATCH($A1442&amp;"|"&amp;$D1442,Types!$A:$A,0)),INDEX(Dashboard!$X$6:$X$22,MATCH($A1442,Dashboard!$A$6:$A$22,0))))</f>
        <v/>
      </c>
      <c r="AT1442" s="43">
        <f>AQ1442*INDEX(Dashboard!$Y$6:$Y$22,MATCH($A1442,Dashboard!$A$6:$A$22,0))</f>
        <v/>
      </c>
      <c r="AU1442" s="53">
        <f>IF(AND(AG1442=1,AT1442&gt;0,AF1442&gt;0),100*AF1442/AT1442,"")</f>
        <v/>
      </c>
      <c r="AV1442" s="44">
        <f>IF(AU1442="","",T1442/(AU1442/100))</f>
        <v/>
      </c>
      <c r="AW1442" s="53">
        <f>IF(AU1442="","",IF(AND(ABS(AH1442)&gt;=0.1,ABS(T1442)&gt;=0.05,SIGN(AH1442)=SIGN(T1442)),100*T1442/AH1442,""))</f>
        <v/>
      </c>
      <c r="AX1442" s="45">
        <f>IF(AU1442="","",T1442-AV1442)</f>
        <v/>
      </c>
      <c r="AY1442" s="45">
        <f>IF(AU1442="","",AH1442-AV1442)</f>
        <v/>
      </c>
      <c r="AZ1442" s="54">
        <f>(AL1442-AM1442)-T1442*AT1442</f>
        <v/>
      </c>
      <c r="BA1442" s="43">
        <f>IF(AU1442="",0,(AH1442-T1442)*AF1442)</f>
        <v/>
      </c>
      <c r="BB1442" s="43">
        <f>IF(AU1442="",0,T1442*(AF1442-AT1442))</f>
        <v/>
      </c>
      <c r="BC1442" s="51" t="n">
        <v>0.0815234375</v>
      </c>
      <c r="BD1442" s="51" t="n">
        <v>0.05015625</v>
      </c>
      <c r="BE1442" s="51" t="n">
        <v>0.3114421516345931</v>
      </c>
      <c r="BF1442" s="43" t="n">
        <v>25600</v>
      </c>
    </row>
    <row r="1443">
      <c r="A1443" s="42" t="inlineStr">
        <is>
          <t>VA</t>
        </is>
      </c>
      <c r="B1443" s="42" t="inlineStr">
        <is>
          <t>51169</t>
        </is>
      </c>
      <c r="C1443" s="42" t="inlineStr">
        <is>
          <t>Scott</t>
        </is>
      </c>
      <c r="D1443" s="42" t="inlineStr">
        <is>
          <t>Small town &amp; rural</t>
        </is>
      </c>
      <c r="E1443" s="42" t="inlineStr"/>
      <c r="F1443" s="43" t="n">
        <v>1607</v>
      </c>
      <c r="G1443" s="43" t="n">
        <v>9392</v>
      </c>
      <c r="H1443" s="43" t="n">
        <v>11057</v>
      </c>
      <c r="I1443" s="43" t="n">
        <v>1692</v>
      </c>
      <c r="J1443" s="43" t="n">
        <v>9063</v>
      </c>
      <c r="K1443" s="42" t="inlineStr">
        <is>
          <t>US House</t>
        </is>
      </c>
      <c r="L1443" s="43" t="n">
        <v>928</v>
      </c>
      <c r="M1443" s="43" t="n">
        <v>5607</v>
      </c>
      <c r="N1443" s="43" t="n">
        <v>6543</v>
      </c>
      <c r="O1443" s="44">
        <f>IFERROR((F1443-G1443)/(F1443+G1443),"")</f>
        <v/>
      </c>
      <c r="P1443" s="44">
        <f>IFERROR((I1443-J1443)/(I1443+J1443),"")</f>
        <v/>
      </c>
      <c r="Q1443" s="45">
        <f>IFERROR(O1443-P1443,"")</f>
        <v/>
      </c>
      <c r="R1443" s="44">
        <f>IFERROR((L1443-M1443)/(L1443+M1443),"")</f>
        <v/>
      </c>
      <c r="S1443" s="46">
        <f>H1443/SUMIFS(Counties!$H$2:$H$1583,Counties!$A$2:$A$1583,$A1443)</f>
        <v/>
      </c>
      <c r="T1443" s="44">
        <f>O1443+INDEX(Dashboard!$F$6:$F$22,MATCH($A1443,Dashboard!$A$6:$A$22,0))</f>
        <v/>
      </c>
      <c r="U1443" s="43">
        <f>AQ1443*INDEX(Dashboard!$G$6:$G$22,MATCH($A1443,Dashboard!$A$6:$A$22,0))</f>
        <v/>
      </c>
      <c r="V1443" s="47" t="n"/>
      <c r="W1443" s="47" t="n"/>
      <c r="X1443" s="47" t="n"/>
      <c r="Y1443" s="48" t="n"/>
      <c r="Z1443" s="49" t="n"/>
      <c r="AA1443" s="49" t="n"/>
      <c r="AB1443" s="49" t="n"/>
      <c r="AC1443" s="50" t="n"/>
      <c r="AD1443" s="43">
        <f>IF(Z1443&lt;&gt;"",Z1443,N(V1443))</f>
        <v/>
      </c>
      <c r="AE1443" s="43">
        <f>IF(AA1443&lt;&gt;"",AA1443,N(W1443))</f>
        <v/>
      </c>
      <c r="AF1443" s="43">
        <f>AD1443+AE1443</f>
        <v/>
      </c>
      <c r="AG1443" s="42">
        <f>IF(UPPER(AC1443)="Y",1,IF(AF1443=0,0,IF(AND(Z1443="",Y1443&lt;&gt;""),IF(Y1443&gt;=0.999,1,0),IF(AF1443&gt;=U1443,1,0))))</f>
        <v/>
      </c>
      <c r="AH1443" s="44">
        <f>IF(AF1443&gt;0,(AD1443-AE1443)/AF1443,"")</f>
        <v/>
      </c>
      <c r="AI1443" s="45">
        <f>IF(AG1443=1,AH1443-O1443,"")</f>
        <v/>
      </c>
      <c r="AJ1443" s="44">
        <f>IF(AG1443=1,AH1443,MAX(-1,MIN(1,O1443+INDEX(Types!$H:$H,MATCH($A1443&amp;"|"&amp;$D1443,Types!$A:$A,0)))))</f>
        <v/>
      </c>
      <c r="AK1443" s="43">
        <f>IF(AG1443=1,AF1443,MAX(AQ1443*AS1443,AF1443))</f>
        <v/>
      </c>
      <c r="AL1443" s="43">
        <f>IF(AG1443=1,AD1443,AK1443*(1+AJ1443)/2)</f>
        <v/>
      </c>
      <c r="AM1443" s="43">
        <f>IF(AG1443=1,AE1443,AK1443*(1-AJ1443)/2)</f>
        <v/>
      </c>
      <c r="AN1443" s="45">
        <f>IF(AH1443="","",AH1443-T1443)</f>
        <v/>
      </c>
      <c r="AO1443" s="51">
        <f>IF(AG1443=1,1,IF(U1443&gt;0,MIN(AF1443/U1443,0.99),0))</f>
        <v/>
      </c>
      <c r="AP1443" s="43">
        <f>IF(AG1443=1,AI1443*AF1443,0)</f>
        <v/>
      </c>
      <c r="AQ1443" s="43">
        <f>N1443*(F1443+G1443)/H1443</f>
        <v/>
      </c>
      <c r="AR1443" s="43">
        <f>O1443*AQ1443</f>
        <v/>
      </c>
      <c r="AS1443" s="52">
        <f>IF(AG1443=1,IF(AQ1443&gt;0,AF1443/AQ1443,1),IFERROR(INDEX(Types!$K:$K,MATCH($A1443&amp;"|"&amp;$D1443,Types!$A:$A,0)),INDEX(Dashboard!$X$6:$X$22,MATCH($A1443,Dashboard!$A$6:$A$22,0))))</f>
        <v/>
      </c>
      <c r="AT1443" s="43">
        <f>AQ1443*INDEX(Dashboard!$Y$6:$Y$22,MATCH($A1443,Dashboard!$A$6:$A$22,0))</f>
        <v/>
      </c>
      <c r="AU1443" s="53">
        <f>IF(AND(AG1443=1,AT1443&gt;0,AF1443&gt;0),100*AF1443/AT1443,"")</f>
        <v/>
      </c>
      <c r="AV1443" s="44">
        <f>IF(AU1443="","",T1443/(AU1443/100))</f>
        <v/>
      </c>
      <c r="AW1443" s="53">
        <f>IF(AU1443="","",IF(AND(ABS(AH1443)&gt;=0.1,ABS(T1443)&gt;=0.05,SIGN(AH1443)=SIGN(T1443)),100*T1443/AH1443,""))</f>
        <v/>
      </c>
      <c r="AX1443" s="45">
        <f>IF(AU1443="","",T1443-AV1443)</f>
        <v/>
      </c>
      <c r="AY1443" s="45">
        <f>IF(AU1443="","",AH1443-AV1443)</f>
        <v/>
      </c>
      <c r="AZ1443" s="54">
        <f>(AL1443-AM1443)-T1443*AT1443</f>
        <v/>
      </c>
      <c r="BA1443" s="43">
        <f>IF(AU1443="",0,(AH1443-T1443)*AF1443)</f>
        <v/>
      </c>
      <c r="BB1443" s="43">
        <f>IF(AU1443="",0,T1443*(AF1443-AT1443))</f>
        <v/>
      </c>
      <c r="BC1443" s="51" t="n">
        <v>0.01073111556944898</v>
      </c>
      <c r="BD1443" s="51" t="n">
        <v>0.01609667335417347</v>
      </c>
      <c r="BE1443" s="51" t="n">
        <v>0.1424857638029215</v>
      </c>
      <c r="BF1443" s="43" t="n">
        <v>21433</v>
      </c>
    </row>
    <row r="1444">
      <c r="A1444" s="42" t="inlineStr">
        <is>
          <t>VA</t>
        </is>
      </c>
      <c r="B1444" s="42" t="inlineStr">
        <is>
          <t>51171</t>
        </is>
      </c>
      <c r="C1444" s="42" t="inlineStr">
        <is>
          <t>Shenandoah</t>
        </is>
      </c>
      <c r="D1444" s="42" t="inlineStr">
        <is>
          <t>Small town &amp; rural</t>
        </is>
      </c>
      <c r="E1444" s="42" t="inlineStr"/>
      <c r="F1444" s="43" t="n">
        <v>6914</v>
      </c>
      <c r="G1444" s="43" t="n">
        <v>17215</v>
      </c>
      <c r="H1444" s="43" t="n">
        <v>24380</v>
      </c>
      <c r="I1444" s="43" t="n">
        <v>6836</v>
      </c>
      <c r="J1444" s="43" t="n">
        <v>16463</v>
      </c>
      <c r="K1444" s="42" t="inlineStr">
        <is>
          <t>US House</t>
        </is>
      </c>
      <c r="L1444" s="43" t="n">
        <v>4387</v>
      </c>
      <c r="M1444" s="43" t="n">
        <v>11766</v>
      </c>
      <c r="N1444" s="43" t="n">
        <v>16172</v>
      </c>
      <c r="O1444" s="44">
        <f>IFERROR((F1444-G1444)/(F1444+G1444),"")</f>
        <v/>
      </c>
      <c r="P1444" s="44">
        <f>IFERROR((I1444-J1444)/(I1444+J1444),"")</f>
        <v/>
      </c>
      <c r="Q1444" s="45">
        <f>IFERROR(O1444-P1444,"")</f>
        <v/>
      </c>
      <c r="R1444" s="44">
        <f>IFERROR((L1444-M1444)/(L1444+M1444),"")</f>
        <v/>
      </c>
      <c r="S1444" s="46">
        <f>H1444/SUMIFS(Counties!$H$2:$H$1583,Counties!$A$2:$A$1583,$A1444)</f>
        <v/>
      </c>
      <c r="T1444" s="44">
        <f>O1444+INDEX(Dashboard!$F$6:$F$22,MATCH($A1444,Dashboard!$A$6:$A$22,0))</f>
        <v/>
      </c>
      <c r="U1444" s="43">
        <f>AQ1444*INDEX(Dashboard!$G$6:$G$22,MATCH($A1444,Dashboard!$A$6:$A$22,0))</f>
        <v/>
      </c>
      <c r="V1444" s="47" t="n"/>
      <c r="W1444" s="47" t="n"/>
      <c r="X1444" s="47" t="n"/>
      <c r="Y1444" s="48" t="n"/>
      <c r="Z1444" s="49" t="n"/>
      <c r="AA1444" s="49" t="n"/>
      <c r="AB1444" s="49" t="n"/>
      <c r="AC1444" s="50" t="n"/>
      <c r="AD1444" s="43">
        <f>IF(Z1444&lt;&gt;"",Z1444,N(V1444))</f>
        <v/>
      </c>
      <c r="AE1444" s="43">
        <f>IF(AA1444&lt;&gt;"",AA1444,N(W1444))</f>
        <v/>
      </c>
      <c r="AF1444" s="43">
        <f>AD1444+AE1444</f>
        <v/>
      </c>
      <c r="AG1444" s="42">
        <f>IF(UPPER(AC1444)="Y",1,IF(AF1444=0,0,IF(AND(Z1444="",Y1444&lt;&gt;""),IF(Y1444&gt;=0.999,1,0),IF(AF1444&gt;=U1444,1,0))))</f>
        <v/>
      </c>
      <c r="AH1444" s="44">
        <f>IF(AF1444&gt;0,(AD1444-AE1444)/AF1444,"")</f>
        <v/>
      </c>
      <c r="AI1444" s="45">
        <f>IF(AG1444=1,AH1444-O1444,"")</f>
        <v/>
      </c>
      <c r="AJ1444" s="44">
        <f>IF(AG1444=1,AH1444,MAX(-1,MIN(1,O1444+INDEX(Types!$H:$H,MATCH($A1444&amp;"|"&amp;$D1444,Types!$A:$A,0)))))</f>
        <v/>
      </c>
      <c r="AK1444" s="43">
        <f>IF(AG1444=1,AF1444,MAX(AQ1444*AS1444,AF1444))</f>
        <v/>
      </c>
      <c r="AL1444" s="43">
        <f>IF(AG1444=1,AD1444,AK1444*(1+AJ1444)/2)</f>
        <v/>
      </c>
      <c r="AM1444" s="43">
        <f>IF(AG1444=1,AE1444,AK1444*(1-AJ1444)/2)</f>
        <v/>
      </c>
      <c r="AN1444" s="45">
        <f>IF(AH1444="","",AH1444-T1444)</f>
        <v/>
      </c>
      <c r="AO1444" s="51">
        <f>IF(AG1444=1,1,IF(U1444&gt;0,MIN(AF1444/U1444,0.99),0))</f>
        <v/>
      </c>
      <c r="AP1444" s="43">
        <f>IF(AG1444=1,AI1444*AF1444,0)</f>
        <v/>
      </c>
      <c r="AQ1444" s="43">
        <f>N1444*(F1444+G1444)/H1444</f>
        <v/>
      </c>
      <c r="AR1444" s="43">
        <f>O1444*AQ1444</f>
        <v/>
      </c>
      <c r="AS1444" s="52">
        <f>IF(AG1444=1,IF(AQ1444&gt;0,AF1444/AQ1444,1),IFERROR(INDEX(Types!$K:$K,MATCH($A1444&amp;"|"&amp;$D1444,Types!$A:$A,0)),INDEX(Dashboard!$X$6:$X$22,MATCH($A1444,Dashboard!$A$6:$A$22,0))))</f>
        <v/>
      </c>
      <c r="AT1444" s="43">
        <f>AQ1444*INDEX(Dashboard!$Y$6:$Y$22,MATCH($A1444,Dashboard!$A$6:$A$22,0))</f>
        <v/>
      </c>
      <c r="AU1444" s="53">
        <f>IF(AND(AG1444=1,AT1444&gt;0,AF1444&gt;0),100*AF1444/AT1444,"")</f>
        <v/>
      </c>
      <c r="AV1444" s="44">
        <f>IF(AU1444="","",T1444/(AU1444/100))</f>
        <v/>
      </c>
      <c r="AW1444" s="53">
        <f>IF(AU1444="","",IF(AND(ABS(AH1444)&gt;=0.1,ABS(T1444)&gt;=0.05,SIGN(AH1444)=SIGN(T1444)),100*T1444/AH1444,""))</f>
        <v/>
      </c>
      <c r="AX1444" s="45">
        <f>IF(AU1444="","",T1444-AV1444)</f>
        <v/>
      </c>
      <c r="AY1444" s="45">
        <f>IF(AU1444="","",AH1444-AV1444)</f>
        <v/>
      </c>
      <c r="AZ1444" s="54">
        <f>(AL1444-AM1444)-T1444*AT1444</f>
        <v/>
      </c>
      <c r="BA1444" s="43">
        <f>IF(AU1444="",0,(AH1444-T1444)*AF1444)</f>
        <v/>
      </c>
      <c r="BB1444" s="43">
        <f>IF(AU1444="",0,T1444*(AF1444-AT1444))</f>
        <v/>
      </c>
      <c r="BC1444" s="51" t="n">
        <v>0.03029097019545414</v>
      </c>
      <c r="BD1444" s="51" t="n">
        <v>0.09558238259485274</v>
      </c>
      <c r="BE1444" s="51" t="n">
        <v>0.2137037153553339</v>
      </c>
      <c r="BF1444" s="43" t="n">
        <v>45228</v>
      </c>
    </row>
    <row r="1445">
      <c r="A1445" s="42" t="inlineStr">
        <is>
          <t>VA</t>
        </is>
      </c>
      <c r="B1445" s="42" t="inlineStr">
        <is>
          <t>51173</t>
        </is>
      </c>
      <c r="C1445" s="42" t="inlineStr">
        <is>
          <t>Smyth</t>
        </is>
      </c>
      <c r="D1445" s="42" t="inlineStr">
        <is>
          <t>Small town &amp; rural</t>
        </is>
      </c>
      <c r="E1445" s="42" t="inlineStr"/>
      <c r="F1445" s="43" t="n">
        <v>2805</v>
      </c>
      <c r="G1445" s="43" t="n">
        <v>11521</v>
      </c>
      <c r="H1445" s="43" t="n">
        <v>14420</v>
      </c>
      <c r="I1445" s="43" t="n">
        <v>3008</v>
      </c>
      <c r="J1445" s="43" t="n">
        <v>10963</v>
      </c>
      <c r="K1445" s="42" t="inlineStr">
        <is>
          <t>US House</t>
        </is>
      </c>
      <c r="L1445" s="43" t="n">
        <v>1496</v>
      </c>
      <c r="M1445" s="43" t="n">
        <v>6935</v>
      </c>
      <c r="N1445" s="43" t="n">
        <v>8457</v>
      </c>
      <c r="O1445" s="44">
        <f>IFERROR((F1445-G1445)/(F1445+G1445),"")</f>
        <v/>
      </c>
      <c r="P1445" s="44">
        <f>IFERROR((I1445-J1445)/(I1445+J1445),"")</f>
        <v/>
      </c>
      <c r="Q1445" s="45">
        <f>IFERROR(O1445-P1445,"")</f>
        <v/>
      </c>
      <c r="R1445" s="44">
        <f>IFERROR((L1445-M1445)/(L1445+M1445),"")</f>
        <v/>
      </c>
      <c r="S1445" s="46">
        <f>H1445/SUMIFS(Counties!$H$2:$H$1583,Counties!$A$2:$A$1583,$A1445)</f>
        <v/>
      </c>
      <c r="T1445" s="44">
        <f>O1445+INDEX(Dashboard!$F$6:$F$22,MATCH($A1445,Dashboard!$A$6:$A$22,0))</f>
        <v/>
      </c>
      <c r="U1445" s="43">
        <f>AQ1445*INDEX(Dashboard!$G$6:$G$22,MATCH($A1445,Dashboard!$A$6:$A$22,0))</f>
        <v/>
      </c>
      <c r="V1445" s="47" t="n"/>
      <c r="W1445" s="47" t="n"/>
      <c r="X1445" s="47" t="n"/>
      <c r="Y1445" s="48" t="n"/>
      <c r="Z1445" s="49" t="n"/>
      <c r="AA1445" s="49" t="n"/>
      <c r="AB1445" s="49" t="n"/>
      <c r="AC1445" s="50" t="n"/>
      <c r="AD1445" s="43">
        <f>IF(Z1445&lt;&gt;"",Z1445,N(V1445))</f>
        <v/>
      </c>
      <c r="AE1445" s="43">
        <f>IF(AA1445&lt;&gt;"",AA1445,N(W1445))</f>
        <v/>
      </c>
      <c r="AF1445" s="43">
        <f>AD1445+AE1445</f>
        <v/>
      </c>
      <c r="AG1445" s="42">
        <f>IF(UPPER(AC1445)="Y",1,IF(AF1445=0,0,IF(AND(Z1445="",Y1445&lt;&gt;""),IF(Y1445&gt;=0.999,1,0),IF(AF1445&gt;=U1445,1,0))))</f>
        <v/>
      </c>
      <c r="AH1445" s="44">
        <f>IF(AF1445&gt;0,(AD1445-AE1445)/AF1445,"")</f>
        <v/>
      </c>
      <c r="AI1445" s="45">
        <f>IF(AG1445=1,AH1445-O1445,"")</f>
        <v/>
      </c>
      <c r="AJ1445" s="44">
        <f>IF(AG1445=1,AH1445,MAX(-1,MIN(1,O1445+INDEX(Types!$H:$H,MATCH($A1445&amp;"|"&amp;$D1445,Types!$A:$A,0)))))</f>
        <v/>
      </c>
      <c r="AK1445" s="43">
        <f>IF(AG1445=1,AF1445,MAX(AQ1445*AS1445,AF1445))</f>
        <v/>
      </c>
      <c r="AL1445" s="43">
        <f>IF(AG1445=1,AD1445,AK1445*(1+AJ1445)/2)</f>
        <v/>
      </c>
      <c r="AM1445" s="43">
        <f>IF(AG1445=1,AE1445,AK1445*(1-AJ1445)/2)</f>
        <v/>
      </c>
      <c r="AN1445" s="45">
        <f>IF(AH1445="","",AH1445-T1445)</f>
        <v/>
      </c>
      <c r="AO1445" s="51">
        <f>IF(AG1445=1,1,IF(U1445&gt;0,MIN(AF1445/U1445,0.99),0))</f>
        <v/>
      </c>
      <c r="AP1445" s="43">
        <f>IF(AG1445=1,AI1445*AF1445,0)</f>
        <v/>
      </c>
      <c r="AQ1445" s="43">
        <f>N1445*(F1445+G1445)/H1445</f>
        <v/>
      </c>
      <c r="AR1445" s="43">
        <f>O1445*AQ1445</f>
        <v/>
      </c>
      <c r="AS1445" s="52">
        <f>IF(AG1445=1,IF(AQ1445&gt;0,AF1445/AQ1445,1),IFERROR(INDEX(Types!$K:$K,MATCH($A1445&amp;"|"&amp;$D1445,Types!$A:$A,0)),INDEX(Dashboard!$X$6:$X$22,MATCH($A1445,Dashboard!$A$6:$A$22,0))))</f>
        <v/>
      </c>
      <c r="AT1445" s="43">
        <f>AQ1445*INDEX(Dashboard!$Y$6:$Y$22,MATCH($A1445,Dashboard!$A$6:$A$22,0))</f>
        <v/>
      </c>
      <c r="AU1445" s="53">
        <f>IF(AND(AG1445=1,AT1445&gt;0,AF1445&gt;0),100*AF1445/AT1445,"")</f>
        <v/>
      </c>
      <c r="AV1445" s="44">
        <f>IF(AU1445="","",T1445/(AU1445/100))</f>
        <v/>
      </c>
      <c r="AW1445" s="53">
        <f>IF(AU1445="","",IF(AND(ABS(AH1445)&gt;=0.1,ABS(T1445)&gt;=0.05,SIGN(AH1445)=SIGN(T1445)),100*T1445/AH1445,""))</f>
        <v/>
      </c>
      <c r="AX1445" s="45">
        <f>IF(AU1445="","",T1445-AV1445)</f>
        <v/>
      </c>
      <c r="AY1445" s="45">
        <f>IF(AU1445="","",AH1445-AV1445)</f>
        <v/>
      </c>
      <c r="AZ1445" s="54">
        <f>(AL1445-AM1445)-T1445*AT1445</f>
        <v/>
      </c>
      <c r="BA1445" s="43">
        <f>IF(AU1445="",0,(AH1445-T1445)*AF1445)</f>
        <v/>
      </c>
      <c r="BB1445" s="43">
        <f>IF(AU1445="",0,T1445*(AF1445-AT1445))</f>
        <v/>
      </c>
      <c r="BC1445" s="51" t="n">
        <v>0.02149507119386638</v>
      </c>
      <c r="BD1445" s="51" t="n">
        <v>0.02156352683461117</v>
      </c>
      <c r="BE1445" s="51" t="n">
        <v>0.1805824347986361</v>
      </c>
      <c r="BF1445" s="43" t="n">
        <v>29216</v>
      </c>
    </row>
    <row r="1446">
      <c r="A1446" s="42" t="inlineStr">
        <is>
          <t>VA</t>
        </is>
      </c>
      <c r="B1446" s="42" t="inlineStr">
        <is>
          <t>51175</t>
        </is>
      </c>
      <c r="C1446" s="42" t="inlineStr">
        <is>
          <t>Southampton</t>
        </is>
      </c>
      <c r="D1446" s="42" t="inlineStr">
        <is>
          <t>Small town &amp; rural</t>
        </is>
      </c>
      <c r="E1446" s="42" t="inlineStr"/>
      <c r="F1446" s="43" t="n">
        <v>3626</v>
      </c>
      <c r="G1446" s="43" t="n">
        <v>6133</v>
      </c>
      <c r="H1446" s="43" t="n">
        <v>9831</v>
      </c>
      <c r="I1446" s="43" t="n">
        <v>3969</v>
      </c>
      <c r="J1446" s="43" t="n">
        <v>5730</v>
      </c>
      <c r="K1446" s="42" t="inlineStr">
        <is>
          <t>US House</t>
        </is>
      </c>
      <c r="L1446" s="43" t="n">
        <v>2666</v>
      </c>
      <c r="M1446" s="43" t="n">
        <v>4736</v>
      </c>
      <c r="N1446" s="43" t="n">
        <v>7409</v>
      </c>
      <c r="O1446" s="44">
        <f>IFERROR((F1446-G1446)/(F1446+G1446),"")</f>
        <v/>
      </c>
      <c r="P1446" s="44">
        <f>IFERROR((I1446-J1446)/(I1446+J1446),"")</f>
        <v/>
      </c>
      <c r="Q1446" s="45">
        <f>IFERROR(O1446-P1446,"")</f>
        <v/>
      </c>
      <c r="R1446" s="44">
        <f>IFERROR((L1446-M1446)/(L1446+M1446),"")</f>
        <v/>
      </c>
      <c r="S1446" s="46">
        <f>H1446/SUMIFS(Counties!$H$2:$H$1583,Counties!$A$2:$A$1583,$A1446)</f>
        <v/>
      </c>
      <c r="T1446" s="44">
        <f>O1446+INDEX(Dashboard!$F$6:$F$22,MATCH($A1446,Dashboard!$A$6:$A$22,0))</f>
        <v/>
      </c>
      <c r="U1446" s="43">
        <f>AQ1446*INDEX(Dashboard!$G$6:$G$22,MATCH($A1446,Dashboard!$A$6:$A$22,0))</f>
        <v/>
      </c>
      <c r="V1446" s="47" t="n"/>
      <c r="W1446" s="47" t="n"/>
      <c r="X1446" s="47" t="n"/>
      <c r="Y1446" s="48" t="n"/>
      <c r="Z1446" s="49" t="n"/>
      <c r="AA1446" s="49" t="n"/>
      <c r="AB1446" s="49" t="n"/>
      <c r="AC1446" s="50" t="n"/>
      <c r="AD1446" s="43">
        <f>IF(Z1446&lt;&gt;"",Z1446,N(V1446))</f>
        <v/>
      </c>
      <c r="AE1446" s="43">
        <f>IF(AA1446&lt;&gt;"",AA1446,N(W1446))</f>
        <v/>
      </c>
      <c r="AF1446" s="43">
        <f>AD1446+AE1446</f>
        <v/>
      </c>
      <c r="AG1446" s="42">
        <f>IF(UPPER(AC1446)="Y",1,IF(AF1446=0,0,IF(AND(Z1446="",Y1446&lt;&gt;""),IF(Y1446&gt;=0.999,1,0),IF(AF1446&gt;=U1446,1,0))))</f>
        <v/>
      </c>
      <c r="AH1446" s="44">
        <f>IF(AF1446&gt;0,(AD1446-AE1446)/AF1446,"")</f>
        <v/>
      </c>
      <c r="AI1446" s="45">
        <f>IF(AG1446=1,AH1446-O1446,"")</f>
        <v/>
      </c>
      <c r="AJ1446" s="44">
        <f>IF(AG1446=1,AH1446,MAX(-1,MIN(1,O1446+INDEX(Types!$H:$H,MATCH($A1446&amp;"|"&amp;$D1446,Types!$A:$A,0)))))</f>
        <v/>
      </c>
      <c r="AK1446" s="43">
        <f>IF(AG1446=1,AF1446,MAX(AQ1446*AS1446,AF1446))</f>
        <v/>
      </c>
      <c r="AL1446" s="43">
        <f>IF(AG1446=1,AD1446,AK1446*(1+AJ1446)/2)</f>
        <v/>
      </c>
      <c r="AM1446" s="43">
        <f>IF(AG1446=1,AE1446,AK1446*(1-AJ1446)/2)</f>
        <v/>
      </c>
      <c r="AN1446" s="45">
        <f>IF(AH1446="","",AH1446-T1446)</f>
        <v/>
      </c>
      <c r="AO1446" s="51">
        <f>IF(AG1446=1,1,IF(U1446&gt;0,MIN(AF1446/U1446,0.99),0))</f>
        <v/>
      </c>
      <c r="AP1446" s="43">
        <f>IF(AG1446=1,AI1446*AF1446,0)</f>
        <v/>
      </c>
      <c r="AQ1446" s="43">
        <f>N1446*(F1446+G1446)/H1446</f>
        <v/>
      </c>
      <c r="AR1446" s="43">
        <f>O1446*AQ1446</f>
        <v/>
      </c>
      <c r="AS1446" s="52">
        <f>IF(AG1446=1,IF(AQ1446&gt;0,AF1446/AQ1446,1),IFERROR(INDEX(Types!$K:$K,MATCH($A1446&amp;"|"&amp;$D1446,Types!$A:$A,0)),INDEX(Dashboard!$X$6:$X$22,MATCH($A1446,Dashboard!$A$6:$A$22,0))))</f>
        <v/>
      </c>
      <c r="AT1446" s="43">
        <f>AQ1446*INDEX(Dashboard!$Y$6:$Y$22,MATCH($A1446,Dashboard!$A$6:$A$22,0))</f>
        <v/>
      </c>
      <c r="AU1446" s="53">
        <f>IF(AND(AG1446=1,AT1446&gt;0,AF1446&gt;0),100*AF1446/AT1446,"")</f>
        <v/>
      </c>
      <c r="AV1446" s="44">
        <f>IF(AU1446="","",T1446/(AU1446/100))</f>
        <v/>
      </c>
      <c r="AW1446" s="53">
        <f>IF(AU1446="","",IF(AND(ABS(AH1446)&gt;=0.1,ABS(T1446)&gt;=0.05,SIGN(AH1446)=SIGN(T1446)),100*T1446/AH1446,""))</f>
        <v/>
      </c>
      <c r="AX1446" s="45">
        <f>IF(AU1446="","",T1446-AV1446)</f>
        <v/>
      </c>
      <c r="AY1446" s="45">
        <f>IF(AU1446="","",AH1446-AV1446)</f>
        <v/>
      </c>
      <c r="AZ1446" s="54">
        <f>(AL1446-AM1446)-T1446*AT1446</f>
        <v/>
      </c>
      <c r="BA1446" s="43">
        <f>IF(AU1446="",0,(AH1446-T1446)*AF1446)</f>
        <v/>
      </c>
      <c r="BB1446" s="43">
        <f>IF(AU1446="",0,T1446*(AF1446-AT1446))</f>
        <v/>
      </c>
      <c r="BC1446" s="51" t="n">
        <v>0.3266759388038943</v>
      </c>
      <c r="BD1446" s="51" t="n">
        <v>0.02636995827538248</v>
      </c>
      <c r="BE1446" s="51" t="n">
        <v>0.1859398496240602</v>
      </c>
      <c r="BF1446" s="43" t="n">
        <v>17975</v>
      </c>
    </row>
    <row r="1447">
      <c r="A1447" s="42" t="inlineStr">
        <is>
          <t>VA</t>
        </is>
      </c>
      <c r="B1447" s="42" t="inlineStr">
        <is>
          <t>51177</t>
        </is>
      </c>
      <c r="C1447" s="42" t="inlineStr">
        <is>
          <t>Spotsylvania</t>
        </is>
      </c>
      <c r="D1447" s="42" t="inlineStr">
        <is>
          <t>Mid-size/working metro</t>
        </is>
      </c>
      <c r="E1447" s="42" t="inlineStr"/>
      <c r="F1447" s="43" t="n">
        <v>35747</v>
      </c>
      <c r="G1447" s="43" t="n">
        <v>42531</v>
      </c>
      <c r="H1447" s="43" t="n">
        <v>79209</v>
      </c>
      <c r="I1447" s="43" t="n">
        <v>34307</v>
      </c>
      <c r="J1447" s="43" t="n">
        <v>39411</v>
      </c>
      <c r="K1447" s="42" t="inlineStr">
        <is>
          <t>US House</t>
        </is>
      </c>
      <c r="L1447" s="43" t="n">
        <v>25424</v>
      </c>
      <c r="M1447" s="43" t="n">
        <v>29390</v>
      </c>
      <c r="N1447" s="43" t="n">
        <v>54954</v>
      </c>
      <c r="O1447" s="44">
        <f>IFERROR((F1447-G1447)/(F1447+G1447),"")</f>
        <v/>
      </c>
      <c r="P1447" s="44">
        <f>IFERROR((I1447-J1447)/(I1447+J1447),"")</f>
        <v/>
      </c>
      <c r="Q1447" s="45">
        <f>IFERROR(O1447-P1447,"")</f>
        <v/>
      </c>
      <c r="R1447" s="44">
        <f>IFERROR((L1447-M1447)/(L1447+M1447),"")</f>
        <v/>
      </c>
      <c r="S1447" s="46">
        <f>H1447/SUMIFS(Counties!$H$2:$H$1583,Counties!$A$2:$A$1583,$A1447)</f>
        <v/>
      </c>
      <c r="T1447" s="44">
        <f>O1447+INDEX(Dashboard!$F$6:$F$22,MATCH($A1447,Dashboard!$A$6:$A$22,0))</f>
        <v/>
      </c>
      <c r="U1447" s="43">
        <f>AQ1447*INDEX(Dashboard!$G$6:$G$22,MATCH($A1447,Dashboard!$A$6:$A$22,0))</f>
        <v/>
      </c>
      <c r="V1447" s="47" t="n"/>
      <c r="W1447" s="47" t="n"/>
      <c r="X1447" s="47" t="n"/>
      <c r="Y1447" s="48" t="n"/>
      <c r="Z1447" s="49" t="n"/>
      <c r="AA1447" s="49" t="n"/>
      <c r="AB1447" s="49" t="n"/>
      <c r="AC1447" s="50" t="n"/>
      <c r="AD1447" s="43">
        <f>IF(Z1447&lt;&gt;"",Z1447,N(V1447))</f>
        <v/>
      </c>
      <c r="AE1447" s="43">
        <f>IF(AA1447&lt;&gt;"",AA1447,N(W1447))</f>
        <v/>
      </c>
      <c r="AF1447" s="43">
        <f>AD1447+AE1447</f>
        <v/>
      </c>
      <c r="AG1447" s="42">
        <f>IF(UPPER(AC1447)="Y",1,IF(AF1447=0,0,IF(AND(Z1447="",Y1447&lt;&gt;""),IF(Y1447&gt;=0.999,1,0),IF(AF1447&gt;=U1447,1,0))))</f>
        <v/>
      </c>
      <c r="AH1447" s="44">
        <f>IF(AF1447&gt;0,(AD1447-AE1447)/AF1447,"")</f>
        <v/>
      </c>
      <c r="AI1447" s="45">
        <f>IF(AG1447=1,AH1447-O1447,"")</f>
        <v/>
      </c>
      <c r="AJ1447" s="44">
        <f>IF(AG1447=1,AH1447,MAX(-1,MIN(1,O1447+INDEX(Types!$H:$H,MATCH($A1447&amp;"|"&amp;$D1447,Types!$A:$A,0)))))</f>
        <v/>
      </c>
      <c r="AK1447" s="43">
        <f>IF(AG1447=1,AF1447,MAX(AQ1447*AS1447,AF1447))</f>
        <v/>
      </c>
      <c r="AL1447" s="43">
        <f>IF(AG1447=1,AD1447,AK1447*(1+AJ1447)/2)</f>
        <v/>
      </c>
      <c r="AM1447" s="43">
        <f>IF(AG1447=1,AE1447,AK1447*(1-AJ1447)/2)</f>
        <v/>
      </c>
      <c r="AN1447" s="45">
        <f>IF(AH1447="","",AH1447-T1447)</f>
        <v/>
      </c>
      <c r="AO1447" s="51">
        <f>IF(AG1447=1,1,IF(U1447&gt;0,MIN(AF1447/U1447,0.99),0))</f>
        <v/>
      </c>
      <c r="AP1447" s="43">
        <f>IF(AG1447=1,AI1447*AF1447,0)</f>
        <v/>
      </c>
      <c r="AQ1447" s="43">
        <f>N1447*(F1447+G1447)/H1447</f>
        <v/>
      </c>
      <c r="AR1447" s="43">
        <f>O1447*AQ1447</f>
        <v/>
      </c>
      <c r="AS1447" s="52">
        <f>IF(AG1447=1,IF(AQ1447&gt;0,AF1447/AQ1447,1),IFERROR(INDEX(Types!$K:$K,MATCH($A1447&amp;"|"&amp;$D1447,Types!$A:$A,0)),INDEX(Dashboard!$X$6:$X$22,MATCH($A1447,Dashboard!$A$6:$A$22,0))))</f>
        <v/>
      </c>
      <c r="AT1447" s="43">
        <f>AQ1447*INDEX(Dashboard!$Y$6:$Y$22,MATCH($A1447,Dashboard!$A$6:$A$22,0))</f>
        <v/>
      </c>
      <c r="AU1447" s="53">
        <f>IF(AND(AG1447=1,AT1447&gt;0,AF1447&gt;0),100*AF1447/AT1447,"")</f>
        <v/>
      </c>
      <c r="AV1447" s="44">
        <f>IF(AU1447="","",T1447/(AU1447/100))</f>
        <v/>
      </c>
      <c r="AW1447" s="53">
        <f>IF(AU1447="","",IF(AND(ABS(AH1447)&gt;=0.1,ABS(T1447)&gt;=0.05,SIGN(AH1447)=SIGN(T1447)),100*T1447/AH1447,""))</f>
        <v/>
      </c>
      <c r="AX1447" s="45">
        <f>IF(AU1447="","",T1447-AV1447)</f>
        <v/>
      </c>
      <c r="AY1447" s="45">
        <f>IF(AU1447="","",AH1447-AV1447)</f>
        <v/>
      </c>
      <c r="AZ1447" s="54">
        <f>(AL1447-AM1447)-T1447*AT1447</f>
        <v/>
      </c>
      <c r="BA1447" s="43">
        <f>IF(AU1447="",0,(AH1447-T1447)*AF1447)</f>
        <v/>
      </c>
      <c r="BB1447" s="43">
        <f>IF(AU1447="",0,T1447*(AF1447-AT1447))</f>
        <v/>
      </c>
      <c r="BC1447" s="51" t="n">
        <v>0.18176591705217</v>
      </c>
      <c r="BD1447" s="51" t="n">
        <v>0.1398507901703345</v>
      </c>
      <c r="BE1447" s="51" t="n">
        <v>0.3379213279657245</v>
      </c>
      <c r="BF1447" s="43" t="n">
        <v>149588</v>
      </c>
    </row>
    <row r="1448">
      <c r="A1448" s="42" t="inlineStr">
        <is>
          <t>VA</t>
        </is>
      </c>
      <c r="B1448" s="42" t="inlineStr">
        <is>
          <t>51179</t>
        </is>
      </c>
      <c r="C1448" s="42" t="inlineStr">
        <is>
          <t>Stafford</t>
        </is>
      </c>
      <c r="D1448" s="42" t="inlineStr">
        <is>
          <t>College suburb/metro</t>
        </is>
      </c>
      <c r="E1448" s="42" t="inlineStr"/>
      <c r="F1448" s="43" t="n">
        <v>41252</v>
      </c>
      <c r="G1448" s="43" t="n">
        <v>40590</v>
      </c>
      <c r="H1448" s="43" t="n">
        <v>83123</v>
      </c>
      <c r="I1448" s="43" t="n">
        <v>40245</v>
      </c>
      <c r="J1448" s="43" t="n">
        <v>37636</v>
      </c>
      <c r="K1448" s="42" t="inlineStr">
        <is>
          <t>US House</t>
        </is>
      </c>
      <c r="L1448" s="43" t="n">
        <v>28685</v>
      </c>
      <c r="M1448" s="43" t="n">
        <v>28806</v>
      </c>
      <c r="N1448" s="43" t="n">
        <v>57635</v>
      </c>
      <c r="O1448" s="44">
        <f>IFERROR((F1448-G1448)/(F1448+G1448),"")</f>
        <v/>
      </c>
      <c r="P1448" s="44">
        <f>IFERROR((I1448-J1448)/(I1448+J1448),"")</f>
        <v/>
      </c>
      <c r="Q1448" s="45">
        <f>IFERROR(O1448-P1448,"")</f>
        <v/>
      </c>
      <c r="R1448" s="44">
        <f>IFERROR((L1448-M1448)/(L1448+M1448),"")</f>
        <v/>
      </c>
      <c r="S1448" s="46">
        <f>H1448/SUMIFS(Counties!$H$2:$H$1583,Counties!$A$2:$A$1583,$A1448)</f>
        <v/>
      </c>
      <c r="T1448" s="44">
        <f>O1448+INDEX(Dashboard!$F$6:$F$22,MATCH($A1448,Dashboard!$A$6:$A$22,0))</f>
        <v/>
      </c>
      <c r="U1448" s="43">
        <f>AQ1448*INDEX(Dashboard!$G$6:$G$22,MATCH($A1448,Dashboard!$A$6:$A$22,0))</f>
        <v/>
      </c>
      <c r="V1448" s="47" t="n"/>
      <c r="W1448" s="47" t="n"/>
      <c r="X1448" s="47" t="n"/>
      <c r="Y1448" s="48" t="n"/>
      <c r="Z1448" s="49" t="n"/>
      <c r="AA1448" s="49" t="n"/>
      <c r="AB1448" s="49" t="n"/>
      <c r="AC1448" s="50" t="n"/>
      <c r="AD1448" s="43">
        <f>IF(Z1448&lt;&gt;"",Z1448,N(V1448))</f>
        <v/>
      </c>
      <c r="AE1448" s="43">
        <f>IF(AA1448&lt;&gt;"",AA1448,N(W1448))</f>
        <v/>
      </c>
      <c r="AF1448" s="43">
        <f>AD1448+AE1448</f>
        <v/>
      </c>
      <c r="AG1448" s="42">
        <f>IF(UPPER(AC1448)="Y",1,IF(AF1448=0,0,IF(AND(Z1448="",Y1448&lt;&gt;""),IF(Y1448&gt;=0.999,1,0),IF(AF1448&gt;=U1448,1,0))))</f>
        <v/>
      </c>
      <c r="AH1448" s="44">
        <f>IF(AF1448&gt;0,(AD1448-AE1448)/AF1448,"")</f>
        <v/>
      </c>
      <c r="AI1448" s="45">
        <f>IF(AG1448=1,AH1448-O1448,"")</f>
        <v/>
      </c>
      <c r="AJ1448" s="44">
        <f>IF(AG1448=1,AH1448,MAX(-1,MIN(1,O1448+INDEX(Types!$H:$H,MATCH($A1448&amp;"|"&amp;$D1448,Types!$A:$A,0)))))</f>
        <v/>
      </c>
      <c r="AK1448" s="43">
        <f>IF(AG1448=1,AF1448,MAX(AQ1448*AS1448,AF1448))</f>
        <v/>
      </c>
      <c r="AL1448" s="43">
        <f>IF(AG1448=1,AD1448,AK1448*(1+AJ1448)/2)</f>
        <v/>
      </c>
      <c r="AM1448" s="43">
        <f>IF(AG1448=1,AE1448,AK1448*(1-AJ1448)/2)</f>
        <v/>
      </c>
      <c r="AN1448" s="45">
        <f>IF(AH1448="","",AH1448-T1448)</f>
        <v/>
      </c>
      <c r="AO1448" s="51">
        <f>IF(AG1448=1,1,IF(U1448&gt;0,MIN(AF1448/U1448,0.99),0))</f>
        <v/>
      </c>
      <c r="AP1448" s="43">
        <f>IF(AG1448=1,AI1448*AF1448,0)</f>
        <v/>
      </c>
      <c r="AQ1448" s="43">
        <f>N1448*(F1448+G1448)/H1448</f>
        <v/>
      </c>
      <c r="AR1448" s="43">
        <f>O1448*AQ1448</f>
        <v/>
      </c>
      <c r="AS1448" s="52">
        <f>IF(AG1448=1,IF(AQ1448&gt;0,AF1448/AQ1448,1),IFERROR(INDEX(Types!$K:$K,MATCH($A1448&amp;"|"&amp;$D1448,Types!$A:$A,0)),INDEX(Dashboard!$X$6:$X$22,MATCH($A1448,Dashboard!$A$6:$A$22,0))))</f>
        <v/>
      </c>
      <c r="AT1448" s="43">
        <f>AQ1448*INDEX(Dashboard!$Y$6:$Y$22,MATCH($A1448,Dashboard!$A$6:$A$22,0))</f>
        <v/>
      </c>
      <c r="AU1448" s="53">
        <f>IF(AND(AG1448=1,AT1448&gt;0,AF1448&gt;0),100*AF1448/AT1448,"")</f>
        <v/>
      </c>
      <c r="AV1448" s="44">
        <f>IF(AU1448="","",T1448/(AU1448/100))</f>
        <v/>
      </c>
      <c r="AW1448" s="53">
        <f>IF(AU1448="","",IF(AND(ABS(AH1448)&gt;=0.1,ABS(T1448)&gt;=0.05,SIGN(AH1448)=SIGN(T1448)),100*T1448/AH1448,""))</f>
        <v/>
      </c>
      <c r="AX1448" s="45">
        <f>IF(AU1448="","",T1448-AV1448)</f>
        <v/>
      </c>
      <c r="AY1448" s="45">
        <f>IF(AU1448="","",AH1448-AV1448)</f>
        <v/>
      </c>
      <c r="AZ1448" s="54">
        <f>(AL1448-AM1448)-T1448*AT1448</f>
        <v/>
      </c>
      <c r="BA1448" s="43">
        <f>IF(AU1448="",0,(AH1448-T1448)*AF1448)</f>
        <v/>
      </c>
      <c r="BB1448" s="43">
        <f>IF(AU1448="",0,T1448*(AF1448-AT1448))</f>
        <v/>
      </c>
      <c r="BC1448" s="51" t="n">
        <v>0.2078547767004376</v>
      </c>
      <c r="BD1448" s="51" t="n">
        <v>0.1710472229610465</v>
      </c>
      <c r="BE1448" s="51" t="n">
        <v>0.4330813566194572</v>
      </c>
      <c r="BF1448" s="43" t="n">
        <v>165428</v>
      </c>
    </row>
    <row r="1449">
      <c r="A1449" s="42" t="inlineStr">
        <is>
          <t>VA</t>
        </is>
      </c>
      <c r="B1449" s="42" t="inlineStr">
        <is>
          <t>51790</t>
        </is>
      </c>
      <c r="C1449" s="42" t="inlineStr">
        <is>
          <t>Staunton city</t>
        </is>
      </c>
      <c r="D1449" s="42" t="inlineStr">
        <is>
          <t>Small town &amp; rural</t>
        </is>
      </c>
      <c r="E1449" s="42" t="inlineStr"/>
      <c r="F1449" s="43" t="n">
        <v>7592</v>
      </c>
      <c r="G1449" s="43" t="n">
        <v>5778</v>
      </c>
      <c r="H1449" s="43" t="n">
        <v>13562</v>
      </c>
      <c r="I1449" s="43" t="n">
        <v>6981</v>
      </c>
      <c r="J1449" s="43" t="n">
        <v>5695</v>
      </c>
      <c r="K1449" s="42" t="inlineStr">
        <is>
          <t>US House</t>
        </is>
      </c>
      <c r="L1449" s="43" t="n">
        <v>5081</v>
      </c>
      <c r="M1449" s="43" t="n">
        <v>4033</v>
      </c>
      <c r="N1449" s="43" t="n">
        <v>9131</v>
      </c>
      <c r="O1449" s="44">
        <f>IFERROR((F1449-G1449)/(F1449+G1449),"")</f>
        <v/>
      </c>
      <c r="P1449" s="44">
        <f>IFERROR((I1449-J1449)/(I1449+J1449),"")</f>
        <v/>
      </c>
      <c r="Q1449" s="45">
        <f>IFERROR(O1449-P1449,"")</f>
        <v/>
      </c>
      <c r="R1449" s="44">
        <f>IFERROR((L1449-M1449)/(L1449+M1449),"")</f>
        <v/>
      </c>
      <c r="S1449" s="46">
        <f>H1449/SUMIFS(Counties!$H$2:$H$1583,Counties!$A$2:$A$1583,$A1449)</f>
        <v/>
      </c>
      <c r="T1449" s="44">
        <f>O1449+INDEX(Dashboard!$F$6:$F$22,MATCH($A1449,Dashboard!$A$6:$A$22,0))</f>
        <v/>
      </c>
      <c r="U1449" s="43">
        <f>AQ1449*INDEX(Dashboard!$G$6:$G$22,MATCH($A1449,Dashboard!$A$6:$A$22,0))</f>
        <v/>
      </c>
      <c r="V1449" s="47" t="n"/>
      <c r="W1449" s="47" t="n"/>
      <c r="X1449" s="47" t="n"/>
      <c r="Y1449" s="48" t="n"/>
      <c r="Z1449" s="49" t="n"/>
      <c r="AA1449" s="49" t="n"/>
      <c r="AB1449" s="49" t="n"/>
      <c r="AC1449" s="50" t="n"/>
      <c r="AD1449" s="43">
        <f>IF(Z1449&lt;&gt;"",Z1449,N(V1449))</f>
        <v/>
      </c>
      <c r="AE1449" s="43">
        <f>IF(AA1449&lt;&gt;"",AA1449,N(W1449))</f>
        <v/>
      </c>
      <c r="AF1449" s="43">
        <f>AD1449+AE1449</f>
        <v/>
      </c>
      <c r="AG1449" s="42">
        <f>IF(UPPER(AC1449)="Y",1,IF(AF1449=0,0,IF(AND(Z1449="",Y1449&lt;&gt;""),IF(Y1449&gt;=0.999,1,0),IF(AF1449&gt;=U1449,1,0))))</f>
        <v/>
      </c>
      <c r="AH1449" s="44">
        <f>IF(AF1449&gt;0,(AD1449-AE1449)/AF1449,"")</f>
        <v/>
      </c>
      <c r="AI1449" s="45">
        <f>IF(AG1449=1,AH1449-O1449,"")</f>
        <v/>
      </c>
      <c r="AJ1449" s="44">
        <f>IF(AG1449=1,AH1449,MAX(-1,MIN(1,O1449+INDEX(Types!$H:$H,MATCH($A1449&amp;"|"&amp;$D1449,Types!$A:$A,0)))))</f>
        <v/>
      </c>
      <c r="AK1449" s="43">
        <f>IF(AG1449=1,AF1449,MAX(AQ1449*AS1449,AF1449))</f>
        <v/>
      </c>
      <c r="AL1449" s="43">
        <f>IF(AG1449=1,AD1449,AK1449*(1+AJ1449)/2)</f>
        <v/>
      </c>
      <c r="AM1449" s="43">
        <f>IF(AG1449=1,AE1449,AK1449*(1-AJ1449)/2)</f>
        <v/>
      </c>
      <c r="AN1449" s="45">
        <f>IF(AH1449="","",AH1449-T1449)</f>
        <v/>
      </c>
      <c r="AO1449" s="51">
        <f>IF(AG1449=1,1,IF(U1449&gt;0,MIN(AF1449/U1449,0.99),0))</f>
        <v/>
      </c>
      <c r="AP1449" s="43">
        <f>IF(AG1449=1,AI1449*AF1449,0)</f>
        <v/>
      </c>
      <c r="AQ1449" s="43">
        <f>N1449*(F1449+G1449)/H1449</f>
        <v/>
      </c>
      <c r="AR1449" s="43">
        <f>O1449*AQ1449</f>
        <v/>
      </c>
      <c r="AS1449" s="52">
        <f>IF(AG1449=1,IF(AQ1449&gt;0,AF1449/AQ1449,1),IFERROR(INDEX(Types!$K:$K,MATCH($A1449&amp;"|"&amp;$D1449,Types!$A:$A,0)),INDEX(Dashboard!$X$6:$X$22,MATCH($A1449,Dashboard!$A$6:$A$22,0))))</f>
        <v/>
      </c>
      <c r="AT1449" s="43">
        <f>AQ1449*INDEX(Dashboard!$Y$6:$Y$22,MATCH($A1449,Dashboard!$A$6:$A$22,0))</f>
        <v/>
      </c>
      <c r="AU1449" s="53">
        <f>IF(AND(AG1449=1,AT1449&gt;0,AF1449&gt;0),100*AF1449/AT1449,"")</f>
        <v/>
      </c>
      <c r="AV1449" s="44">
        <f>IF(AU1449="","",T1449/(AU1449/100))</f>
        <v/>
      </c>
      <c r="AW1449" s="53">
        <f>IF(AU1449="","",IF(AND(ABS(AH1449)&gt;=0.1,ABS(T1449)&gt;=0.05,SIGN(AH1449)=SIGN(T1449)),100*T1449/AH1449,""))</f>
        <v/>
      </c>
      <c r="AX1449" s="45">
        <f>IF(AU1449="","",T1449-AV1449)</f>
        <v/>
      </c>
      <c r="AY1449" s="45">
        <f>IF(AU1449="","",AH1449-AV1449)</f>
        <v/>
      </c>
      <c r="AZ1449" s="54">
        <f>(AL1449-AM1449)-T1449*AT1449</f>
        <v/>
      </c>
      <c r="BA1449" s="43">
        <f>IF(AU1449="",0,(AH1449-T1449)*AF1449)</f>
        <v/>
      </c>
      <c r="BB1449" s="43">
        <f>IF(AU1449="",0,T1449*(AF1449-AT1449))</f>
        <v/>
      </c>
      <c r="BC1449" s="51" t="n">
        <v>0.1112868994790662</v>
      </c>
      <c r="BD1449" s="51" t="n">
        <v>0.04862049006366969</v>
      </c>
      <c r="BE1449" s="51" t="n">
        <v>0.3506993386099967</v>
      </c>
      <c r="BF1449" s="43" t="n">
        <v>25915</v>
      </c>
    </row>
    <row r="1450">
      <c r="A1450" s="42" t="inlineStr">
        <is>
          <t>VA</t>
        </is>
      </c>
      <c r="B1450" s="42" t="inlineStr">
        <is>
          <t>51800</t>
        </is>
      </c>
      <c r="C1450" s="42" t="inlineStr">
        <is>
          <t>Suffolk city</t>
        </is>
      </c>
      <c r="D1450" s="42" t="inlineStr">
        <is>
          <t>Black Belt</t>
        </is>
      </c>
      <c r="E1450" s="42" t="inlineStr"/>
      <c r="F1450" s="43" t="n">
        <v>30597</v>
      </c>
      <c r="G1450" s="43" t="n">
        <v>22112</v>
      </c>
      <c r="H1450" s="43" t="n">
        <v>53352</v>
      </c>
      <c r="I1450" s="43" t="n">
        <v>28676</v>
      </c>
      <c r="J1450" s="43" t="n">
        <v>20082</v>
      </c>
      <c r="K1450" s="42" t="inlineStr">
        <is>
          <t>US House</t>
        </is>
      </c>
      <c r="L1450" s="43" t="n">
        <v>20475</v>
      </c>
      <c r="M1450" s="43" t="n">
        <v>16265</v>
      </c>
      <c r="N1450" s="43" t="n">
        <v>36796</v>
      </c>
      <c r="O1450" s="44">
        <f>IFERROR((F1450-G1450)/(F1450+G1450),"")</f>
        <v/>
      </c>
      <c r="P1450" s="44">
        <f>IFERROR((I1450-J1450)/(I1450+J1450),"")</f>
        <v/>
      </c>
      <c r="Q1450" s="45">
        <f>IFERROR(O1450-P1450,"")</f>
        <v/>
      </c>
      <c r="R1450" s="44">
        <f>IFERROR((L1450-M1450)/(L1450+M1450),"")</f>
        <v/>
      </c>
      <c r="S1450" s="46">
        <f>H1450/SUMIFS(Counties!$H$2:$H$1583,Counties!$A$2:$A$1583,$A1450)</f>
        <v/>
      </c>
      <c r="T1450" s="44">
        <f>O1450+INDEX(Dashboard!$F$6:$F$22,MATCH($A1450,Dashboard!$A$6:$A$22,0))</f>
        <v/>
      </c>
      <c r="U1450" s="43">
        <f>AQ1450*INDEX(Dashboard!$G$6:$G$22,MATCH($A1450,Dashboard!$A$6:$A$22,0))</f>
        <v/>
      </c>
      <c r="V1450" s="47" t="n"/>
      <c r="W1450" s="47" t="n"/>
      <c r="X1450" s="47" t="n"/>
      <c r="Y1450" s="48" t="n"/>
      <c r="Z1450" s="49" t="n"/>
      <c r="AA1450" s="49" t="n"/>
      <c r="AB1450" s="49" t="n"/>
      <c r="AC1450" s="50" t="n"/>
      <c r="AD1450" s="43">
        <f>IF(Z1450&lt;&gt;"",Z1450,N(V1450))</f>
        <v/>
      </c>
      <c r="AE1450" s="43">
        <f>IF(AA1450&lt;&gt;"",AA1450,N(W1450))</f>
        <v/>
      </c>
      <c r="AF1450" s="43">
        <f>AD1450+AE1450</f>
        <v/>
      </c>
      <c r="AG1450" s="42">
        <f>IF(UPPER(AC1450)="Y",1,IF(AF1450=0,0,IF(AND(Z1450="",Y1450&lt;&gt;""),IF(Y1450&gt;=0.999,1,0),IF(AF1450&gt;=U1450,1,0))))</f>
        <v/>
      </c>
      <c r="AH1450" s="44">
        <f>IF(AF1450&gt;0,(AD1450-AE1450)/AF1450,"")</f>
        <v/>
      </c>
      <c r="AI1450" s="45">
        <f>IF(AG1450=1,AH1450-O1450,"")</f>
        <v/>
      </c>
      <c r="AJ1450" s="44">
        <f>IF(AG1450=1,AH1450,MAX(-1,MIN(1,O1450+INDEX(Types!$H:$H,MATCH($A1450&amp;"|"&amp;$D1450,Types!$A:$A,0)))))</f>
        <v/>
      </c>
      <c r="AK1450" s="43">
        <f>IF(AG1450=1,AF1450,MAX(AQ1450*AS1450,AF1450))</f>
        <v/>
      </c>
      <c r="AL1450" s="43">
        <f>IF(AG1450=1,AD1450,AK1450*(1+AJ1450)/2)</f>
        <v/>
      </c>
      <c r="AM1450" s="43">
        <f>IF(AG1450=1,AE1450,AK1450*(1-AJ1450)/2)</f>
        <v/>
      </c>
      <c r="AN1450" s="45">
        <f>IF(AH1450="","",AH1450-T1450)</f>
        <v/>
      </c>
      <c r="AO1450" s="51">
        <f>IF(AG1450=1,1,IF(U1450&gt;0,MIN(AF1450/U1450,0.99),0))</f>
        <v/>
      </c>
      <c r="AP1450" s="43">
        <f>IF(AG1450=1,AI1450*AF1450,0)</f>
        <v/>
      </c>
      <c r="AQ1450" s="43">
        <f>N1450*(F1450+G1450)/H1450</f>
        <v/>
      </c>
      <c r="AR1450" s="43">
        <f>O1450*AQ1450</f>
        <v/>
      </c>
      <c r="AS1450" s="52">
        <f>IF(AG1450=1,IF(AQ1450&gt;0,AF1450/AQ1450,1),IFERROR(INDEX(Types!$K:$K,MATCH($A1450&amp;"|"&amp;$D1450,Types!$A:$A,0)),INDEX(Dashboard!$X$6:$X$22,MATCH($A1450,Dashboard!$A$6:$A$22,0))))</f>
        <v/>
      </c>
      <c r="AT1450" s="43">
        <f>AQ1450*INDEX(Dashboard!$Y$6:$Y$22,MATCH($A1450,Dashboard!$A$6:$A$22,0))</f>
        <v/>
      </c>
      <c r="AU1450" s="53">
        <f>IF(AND(AG1450=1,AT1450&gt;0,AF1450&gt;0),100*AF1450/AT1450,"")</f>
        <v/>
      </c>
      <c r="AV1450" s="44">
        <f>IF(AU1450="","",T1450/(AU1450/100))</f>
        <v/>
      </c>
      <c r="AW1450" s="53">
        <f>IF(AU1450="","",IF(AND(ABS(AH1450)&gt;=0.1,ABS(T1450)&gt;=0.05,SIGN(AH1450)=SIGN(T1450)),100*T1450/AH1450,""))</f>
        <v/>
      </c>
      <c r="AX1450" s="45">
        <f>IF(AU1450="","",T1450-AV1450)</f>
        <v/>
      </c>
      <c r="AY1450" s="45">
        <f>IF(AU1450="","",AH1450-AV1450)</f>
        <v/>
      </c>
      <c r="AZ1450" s="54">
        <f>(AL1450-AM1450)-T1450*AT1450</f>
        <v/>
      </c>
      <c r="BA1450" s="43">
        <f>IF(AU1450="",0,(AH1450-T1450)*AF1450)</f>
        <v/>
      </c>
      <c r="BB1450" s="43">
        <f>IF(AU1450="",0,T1450*(AF1450-AT1450))</f>
        <v/>
      </c>
      <c r="BC1450" s="51" t="n">
        <v>0.427105375574961</v>
      </c>
      <c r="BD1450" s="51" t="n">
        <v>0.05520619119999205</v>
      </c>
      <c r="BE1450" s="51" t="n">
        <v>0.3242446238998276</v>
      </c>
      <c r="BF1450" s="43" t="n">
        <v>100659</v>
      </c>
    </row>
    <row r="1451">
      <c r="A1451" s="42" t="inlineStr">
        <is>
          <t>VA</t>
        </is>
      </c>
      <c r="B1451" s="42" t="inlineStr">
        <is>
          <t>51181</t>
        </is>
      </c>
      <c r="C1451" s="42" t="inlineStr">
        <is>
          <t>Surry</t>
        </is>
      </c>
      <c r="D1451" s="42" t="inlineStr">
        <is>
          <t>Small town &amp; rural</t>
        </is>
      </c>
      <c r="E1451" s="42" t="inlineStr"/>
      <c r="F1451" s="43" t="n">
        <v>2176</v>
      </c>
      <c r="G1451" s="43" t="n">
        <v>2205</v>
      </c>
      <c r="H1451" s="43" t="n">
        <v>4429</v>
      </c>
      <c r="I1451" s="43" t="n">
        <v>2397</v>
      </c>
      <c r="J1451" s="43" t="n">
        <v>2025</v>
      </c>
      <c r="K1451" s="42" t="inlineStr">
        <is>
          <t>US House</t>
        </is>
      </c>
      <c r="L1451" s="43" t="n">
        <v>1659</v>
      </c>
      <c r="M1451" s="43" t="n">
        <v>1654</v>
      </c>
      <c r="N1451" s="43" t="n">
        <v>3320</v>
      </c>
      <c r="O1451" s="44">
        <f>IFERROR((F1451-G1451)/(F1451+G1451),"")</f>
        <v/>
      </c>
      <c r="P1451" s="44">
        <f>IFERROR((I1451-J1451)/(I1451+J1451),"")</f>
        <v/>
      </c>
      <c r="Q1451" s="45">
        <f>IFERROR(O1451-P1451,"")</f>
        <v/>
      </c>
      <c r="R1451" s="44">
        <f>IFERROR((L1451-M1451)/(L1451+M1451),"")</f>
        <v/>
      </c>
      <c r="S1451" s="46">
        <f>H1451/SUMIFS(Counties!$H$2:$H$1583,Counties!$A$2:$A$1583,$A1451)</f>
        <v/>
      </c>
      <c r="T1451" s="44">
        <f>O1451+INDEX(Dashboard!$F$6:$F$22,MATCH($A1451,Dashboard!$A$6:$A$22,0))</f>
        <v/>
      </c>
      <c r="U1451" s="43">
        <f>AQ1451*INDEX(Dashboard!$G$6:$G$22,MATCH($A1451,Dashboard!$A$6:$A$22,0))</f>
        <v/>
      </c>
      <c r="V1451" s="47" t="n"/>
      <c r="W1451" s="47" t="n"/>
      <c r="X1451" s="47" t="n"/>
      <c r="Y1451" s="48" t="n"/>
      <c r="Z1451" s="49" t="n"/>
      <c r="AA1451" s="49" t="n"/>
      <c r="AB1451" s="49" t="n"/>
      <c r="AC1451" s="50" t="n"/>
      <c r="AD1451" s="43">
        <f>IF(Z1451&lt;&gt;"",Z1451,N(V1451))</f>
        <v/>
      </c>
      <c r="AE1451" s="43">
        <f>IF(AA1451&lt;&gt;"",AA1451,N(W1451))</f>
        <v/>
      </c>
      <c r="AF1451" s="43">
        <f>AD1451+AE1451</f>
        <v/>
      </c>
      <c r="AG1451" s="42">
        <f>IF(UPPER(AC1451)="Y",1,IF(AF1451=0,0,IF(AND(Z1451="",Y1451&lt;&gt;""),IF(Y1451&gt;=0.999,1,0),IF(AF1451&gt;=U1451,1,0))))</f>
        <v/>
      </c>
      <c r="AH1451" s="44">
        <f>IF(AF1451&gt;0,(AD1451-AE1451)/AF1451,"")</f>
        <v/>
      </c>
      <c r="AI1451" s="45">
        <f>IF(AG1451=1,AH1451-O1451,"")</f>
        <v/>
      </c>
      <c r="AJ1451" s="44">
        <f>IF(AG1451=1,AH1451,MAX(-1,MIN(1,O1451+INDEX(Types!$H:$H,MATCH($A1451&amp;"|"&amp;$D1451,Types!$A:$A,0)))))</f>
        <v/>
      </c>
      <c r="AK1451" s="43">
        <f>IF(AG1451=1,AF1451,MAX(AQ1451*AS1451,AF1451))</f>
        <v/>
      </c>
      <c r="AL1451" s="43">
        <f>IF(AG1451=1,AD1451,AK1451*(1+AJ1451)/2)</f>
        <v/>
      </c>
      <c r="AM1451" s="43">
        <f>IF(AG1451=1,AE1451,AK1451*(1-AJ1451)/2)</f>
        <v/>
      </c>
      <c r="AN1451" s="45">
        <f>IF(AH1451="","",AH1451-T1451)</f>
        <v/>
      </c>
      <c r="AO1451" s="51">
        <f>IF(AG1451=1,1,IF(U1451&gt;0,MIN(AF1451/U1451,0.99),0))</f>
        <v/>
      </c>
      <c r="AP1451" s="43">
        <f>IF(AG1451=1,AI1451*AF1451,0)</f>
        <v/>
      </c>
      <c r="AQ1451" s="43">
        <f>N1451*(F1451+G1451)/H1451</f>
        <v/>
      </c>
      <c r="AR1451" s="43">
        <f>O1451*AQ1451</f>
        <v/>
      </c>
      <c r="AS1451" s="52">
        <f>IF(AG1451=1,IF(AQ1451&gt;0,AF1451/AQ1451,1),IFERROR(INDEX(Types!$K:$K,MATCH($A1451&amp;"|"&amp;$D1451,Types!$A:$A,0)),INDEX(Dashboard!$X$6:$X$22,MATCH($A1451,Dashboard!$A$6:$A$22,0))))</f>
        <v/>
      </c>
      <c r="AT1451" s="43">
        <f>AQ1451*INDEX(Dashboard!$Y$6:$Y$22,MATCH($A1451,Dashboard!$A$6:$A$22,0))</f>
        <v/>
      </c>
      <c r="AU1451" s="53">
        <f>IF(AND(AG1451=1,AT1451&gt;0,AF1451&gt;0),100*AF1451/AT1451,"")</f>
        <v/>
      </c>
      <c r="AV1451" s="44">
        <f>IF(AU1451="","",T1451/(AU1451/100))</f>
        <v/>
      </c>
      <c r="AW1451" s="53">
        <f>IF(AU1451="","",IF(AND(ABS(AH1451)&gt;=0.1,ABS(T1451)&gt;=0.05,SIGN(AH1451)=SIGN(T1451)),100*T1451/AH1451,""))</f>
        <v/>
      </c>
      <c r="AX1451" s="45">
        <f>IF(AU1451="","",T1451-AV1451)</f>
        <v/>
      </c>
      <c r="AY1451" s="45">
        <f>IF(AU1451="","",AH1451-AV1451)</f>
        <v/>
      </c>
      <c r="AZ1451" s="54">
        <f>(AL1451-AM1451)-T1451*AT1451</f>
        <v/>
      </c>
      <c r="BA1451" s="43">
        <f>IF(AU1451="",0,(AH1451-T1451)*AF1451)</f>
        <v/>
      </c>
      <c r="BB1451" s="43">
        <f>IF(AU1451="",0,T1451*(AF1451-AT1451))</f>
        <v/>
      </c>
      <c r="BC1451" s="51" t="n">
        <v>0.3732746852722584</v>
      </c>
      <c r="BD1451" s="51" t="n">
        <v>0.03336872440467162</v>
      </c>
      <c r="BE1451" s="51" t="n">
        <v>0.2540134119081487</v>
      </c>
      <c r="BF1451" s="43" t="n">
        <v>6593</v>
      </c>
    </row>
    <row r="1452">
      <c r="A1452" s="42" t="inlineStr">
        <is>
          <t>VA</t>
        </is>
      </c>
      <c r="B1452" s="42" t="inlineStr">
        <is>
          <t>51183</t>
        </is>
      </c>
      <c r="C1452" s="42" t="inlineStr">
        <is>
          <t>Sussex</t>
        </is>
      </c>
      <c r="D1452" s="42" t="inlineStr">
        <is>
          <t>Black Belt</t>
        </is>
      </c>
      <c r="E1452" s="42" t="inlineStr"/>
      <c r="F1452" s="43" t="n">
        <v>2539</v>
      </c>
      <c r="G1452" s="43" t="n">
        <v>2322</v>
      </c>
      <c r="H1452" s="43" t="n">
        <v>4892</v>
      </c>
      <c r="I1452" s="43" t="n">
        <v>2827</v>
      </c>
      <c r="J1452" s="43" t="n">
        <v>2219</v>
      </c>
      <c r="K1452" s="42" t="inlineStr">
        <is>
          <t>US House</t>
        </is>
      </c>
      <c r="L1452" s="43" t="n">
        <v>1689</v>
      </c>
      <c r="M1452" s="43" t="n">
        <v>1728</v>
      </c>
      <c r="N1452" s="43" t="n">
        <v>3428</v>
      </c>
      <c r="O1452" s="44">
        <f>IFERROR((F1452-G1452)/(F1452+G1452),"")</f>
        <v/>
      </c>
      <c r="P1452" s="44">
        <f>IFERROR((I1452-J1452)/(I1452+J1452),"")</f>
        <v/>
      </c>
      <c r="Q1452" s="45">
        <f>IFERROR(O1452-P1452,"")</f>
        <v/>
      </c>
      <c r="R1452" s="44">
        <f>IFERROR((L1452-M1452)/(L1452+M1452),"")</f>
        <v/>
      </c>
      <c r="S1452" s="46">
        <f>H1452/SUMIFS(Counties!$H$2:$H$1583,Counties!$A$2:$A$1583,$A1452)</f>
        <v/>
      </c>
      <c r="T1452" s="44">
        <f>O1452+INDEX(Dashboard!$F$6:$F$22,MATCH($A1452,Dashboard!$A$6:$A$22,0))</f>
        <v/>
      </c>
      <c r="U1452" s="43">
        <f>AQ1452*INDEX(Dashboard!$G$6:$G$22,MATCH($A1452,Dashboard!$A$6:$A$22,0))</f>
        <v/>
      </c>
      <c r="V1452" s="47" t="n"/>
      <c r="W1452" s="47" t="n"/>
      <c r="X1452" s="47" t="n"/>
      <c r="Y1452" s="48" t="n"/>
      <c r="Z1452" s="49" t="n"/>
      <c r="AA1452" s="49" t="n"/>
      <c r="AB1452" s="49" t="n"/>
      <c r="AC1452" s="50" t="n"/>
      <c r="AD1452" s="43">
        <f>IF(Z1452&lt;&gt;"",Z1452,N(V1452))</f>
        <v/>
      </c>
      <c r="AE1452" s="43">
        <f>IF(AA1452&lt;&gt;"",AA1452,N(W1452))</f>
        <v/>
      </c>
      <c r="AF1452" s="43">
        <f>AD1452+AE1452</f>
        <v/>
      </c>
      <c r="AG1452" s="42">
        <f>IF(UPPER(AC1452)="Y",1,IF(AF1452=0,0,IF(AND(Z1452="",Y1452&lt;&gt;""),IF(Y1452&gt;=0.999,1,0),IF(AF1452&gt;=U1452,1,0))))</f>
        <v/>
      </c>
      <c r="AH1452" s="44">
        <f>IF(AF1452&gt;0,(AD1452-AE1452)/AF1452,"")</f>
        <v/>
      </c>
      <c r="AI1452" s="45">
        <f>IF(AG1452=1,AH1452-O1452,"")</f>
        <v/>
      </c>
      <c r="AJ1452" s="44">
        <f>IF(AG1452=1,AH1452,MAX(-1,MIN(1,O1452+INDEX(Types!$H:$H,MATCH($A1452&amp;"|"&amp;$D1452,Types!$A:$A,0)))))</f>
        <v/>
      </c>
      <c r="AK1452" s="43">
        <f>IF(AG1452=1,AF1452,MAX(AQ1452*AS1452,AF1452))</f>
        <v/>
      </c>
      <c r="AL1452" s="43">
        <f>IF(AG1452=1,AD1452,AK1452*(1+AJ1452)/2)</f>
        <v/>
      </c>
      <c r="AM1452" s="43">
        <f>IF(AG1452=1,AE1452,AK1452*(1-AJ1452)/2)</f>
        <v/>
      </c>
      <c r="AN1452" s="45">
        <f>IF(AH1452="","",AH1452-T1452)</f>
        <v/>
      </c>
      <c r="AO1452" s="51">
        <f>IF(AG1452=1,1,IF(U1452&gt;0,MIN(AF1452/U1452,0.99),0))</f>
        <v/>
      </c>
      <c r="AP1452" s="43">
        <f>IF(AG1452=1,AI1452*AF1452,0)</f>
        <v/>
      </c>
      <c r="AQ1452" s="43">
        <f>N1452*(F1452+G1452)/H1452</f>
        <v/>
      </c>
      <c r="AR1452" s="43">
        <f>O1452*AQ1452</f>
        <v/>
      </c>
      <c r="AS1452" s="52">
        <f>IF(AG1452=1,IF(AQ1452&gt;0,AF1452/AQ1452,1),IFERROR(INDEX(Types!$K:$K,MATCH($A1452&amp;"|"&amp;$D1452,Types!$A:$A,0)),INDEX(Dashboard!$X$6:$X$22,MATCH($A1452,Dashboard!$A$6:$A$22,0))))</f>
        <v/>
      </c>
      <c r="AT1452" s="43">
        <f>AQ1452*INDEX(Dashboard!$Y$6:$Y$22,MATCH($A1452,Dashboard!$A$6:$A$22,0))</f>
        <v/>
      </c>
      <c r="AU1452" s="53">
        <f>IF(AND(AG1452=1,AT1452&gt;0,AF1452&gt;0),100*AF1452/AT1452,"")</f>
        <v/>
      </c>
      <c r="AV1452" s="44">
        <f>IF(AU1452="","",T1452/(AU1452/100))</f>
        <v/>
      </c>
      <c r="AW1452" s="53">
        <f>IF(AU1452="","",IF(AND(ABS(AH1452)&gt;=0.1,ABS(T1452)&gt;=0.05,SIGN(AH1452)=SIGN(T1452)),100*T1452/AH1452,""))</f>
        <v/>
      </c>
      <c r="AX1452" s="45">
        <f>IF(AU1452="","",T1452-AV1452)</f>
        <v/>
      </c>
      <c r="AY1452" s="45">
        <f>IF(AU1452="","",AH1452-AV1452)</f>
        <v/>
      </c>
      <c r="AZ1452" s="54">
        <f>(AL1452-AM1452)-T1452*AT1452</f>
        <v/>
      </c>
      <c r="BA1452" s="43">
        <f>IF(AU1452="",0,(AH1452-T1452)*AF1452)</f>
        <v/>
      </c>
      <c r="BB1452" s="43">
        <f>IF(AU1452="",0,T1452*(AF1452-AT1452))</f>
        <v/>
      </c>
      <c r="BC1452" s="51" t="n">
        <v>0.5221716091847169</v>
      </c>
      <c r="BD1452" s="51" t="n">
        <v>0.03681323789160547</v>
      </c>
      <c r="BE1452" s="51" t="n">
        <v>0.1580860084797093</v>
      </c>
      <c r="BF1452" s="43" t="n">
        <v>10757</v>
      </c>
    </row>
    <row r="1453">
      <c r="A1453" s="42" t="inlineStr">
        <is>
          <t>VA</t>
        </is>
      </c>
      <c r="B1453" s="42" t="inlineStr">
        <is>
          <t>51185</t>
        </is>
      </c>
      <c r="C1453" s="42" t="inlineStr">
        <is>
          <t>Tazewell</t>
        </is>
      </c>
      <c r="D1453" s="42" t="inlineStr">
        <is>
          <t>Small town &amp; rural</t>
        </is>
      </c>
      <c r="E1453" s="42" t="inlineStr"/>
      <c r="F1453" s="43" t="n">
        <v>3030</v>
      </c>
      <c r="G1453" s="43" t="n">
        <v>16711</v>
      </c>
      <c r="H1453" s="43" t="n">
        <v>19858</v>
      </c>
      <c r="I1453" s="43" t="n">
        <v>3205</v>
      </c>
      <c r="J1453" s="43" t="n">
        <v>16731</v>
      </c>
      <c r="K1453" s="42" t="inlineStr">
        <is>
          <t>US House</t>
        </is>
      </c>
      <c r="L1453" s="43" t="n">
        <v>1635</v>
      </c>
      <c r="M1453" s="43" t="n">
        <v>9876</v>
      </c>
      <c r="N1453" s="43" t="n">
        <v>11538</v>
      </c>
      <c r="O1453" s="44">
        <f>IFERROR((F1453-G1453)/(F1453+G1453),"")</f>
        <v/>
      </c>
      <c r="P1453" s="44">
        <f>IFERROR((I1453-J1453)/(I1453+J1453),"")</f>
        <v/>
      </c>
      <c r="Q1453" s="45">
        <f>IFERROR(O1453-P1453,"")</f>
        <v/>
      </c>
      <c r="R1453" s="44">
        <f>IFERROR((L1453-M1453)/(L1453+M1453),"")</f>
        <v/>
      </c>
      <c r="S1453" s="46">
        <f>H1453/SUMIFS(Counties!$H$2:$H$1583,Counties!$A$2:$A$1583,$A1453)</f>
        <v/>
      </c>
      <c r="T1453" s="44">
        <f>O1453+INDEX(Dashboard!$F$6:$F$22,MATCH($A1453,Dashboard!$A$6:$A$22,0))</f>
        <v/>
      </c>
      <c r="U1453" s="43">
        <f>AQ1453*INDEX(Dashboard!$G$6:$G$22,MATCH($A1453,Dashboard!$A$6:$A$22,0))</f>
        <v/>
      </c>
      <c r="V1453" s="47" t="n"/>
      <c r="W1453" s="47" t="n"/>
      <c r="X1453" s="47" t="n"/>
      <c r="Y1453" s="48" t="n"/>
      <c r="Z1453" s="49" t="n"/>
      <c r="AA1453" s="49" t="n"/>
      <c r="AB1453" s="49" t="n"/>
      <c r="AC1453" s="50" t="n"/>
      <c r="AD1453" s="43">
        <f>IF(Z1453&lt;&gt;"",Z1453,N(V1453))</f>
        <v/>
      </c>
      <c r="AE1453" s="43">
        <f>IF(AA1453&lt;&gt;"",AA1453,N(W1453))</f>
        <v/>
      </c>
      <c r="AF1453" s="43">
        <f>AD1453+AE1453</f>
        <v/>
      </c>
      <c r="AG1453" s="42">
        <f>IF(UPPER(AC1453)="Y",1,IF(AF1453=0,0,IF(AND(Z1453="",Y1453&lt;&gt;""),IF(Y1453&gt;=0.999,1,0),IF(AF1453&gt;=U1453,1,0))))</f>
        <v/>
      </c>
      <c r="AH1453" s="44">
        <f>IF(AF1453&gt;0,(AD1453-AE1453)/AF1453,"")</f>
        <v/>
      </c>
      <c r="AI1453" s="45">
        <f>IF(AG1453=1,AH1453-O1453,"")</f>
        <v/>
      </c>
      <c r="AJ1453" s="44">
        <f>IF(AG1453=1,AH1453,MAX(-1,MIN(1,O1453+INDEX(Types!$H:$H,MATCH($A1453&amp;"|"&amp;$D1453,Types!$A:$A,0)))))</f>
        <v/>
      </c>
      <c r="AK1453" s="43">
        <f>IF(AG1453=1,AF1453,MAX(AQ1453*AS1453,AF1453))</f>
        <v/>
      </c>
      <c r="AL1453" s="43">
        <f>IF(AG1453=1,AD1453,AK1453*(1+AJ1453)/2)</f>
        <v/>
      </c>
      <c r="AM1453" s="43">
        <f>IF(AG1453=1,AE1453,AK1453*(1-AJ1453)/2)</f>
        <v/>
      </c>
      <c r="AN1453" s="45">
        <f>IF(AH1453="","",AH1453-T1453)</f>
        <v/>
      </c>
      <c r="AO1453" s="51">
        <f>IF(AG1453=1,1,IF(U1453&gt;0,MIN(AF1453/U1453,0.99),0))</f>
        <v/>
      </c>
      <c r="AP1453" s="43">
        <f>IF(AG1453=1,AI1453*AF1453,0)</f>
        <v/>
      </c>
      <c r="AQ1453" s="43">
        <f>N1453*(F1453+G1453)/H1453</f>
        <v/>
      </c>
      <c r="AR1453" s="43">
        <f>O1453*AQ1453</f>
        <v/>
      </c>
      <c r="AS1453" s="52">
        <f>IF(AG1453=1,IF(AQ1453&gt;0,AF1453/AQ1453,1),IFERROR(INDEX(Types!$K:$K,MATCH($A1453&amp;"|"&amp;$D1453,Types!$A:$A,0)),INDEX(Dashboard!$X$6:$X$22,MATCH($A1453,Dashboard!$A$6:$A$22,0))))</f>
        <v/>
      </c>
      <c r="AT1453" s="43">
        <f>AQ1453*INDEX(Dashboard!$Y$6:$Y$22,MATCH($A1453,Dashboard!$A$6:$A$22,0))</f>
        <v/>
      </c>
      <c r="AU1453" s="53">
        <f>IF(AND(AG1453=1,AT1453&gt;0,AF1453&gt;0),100*AF1453/AT1453,"")</f>
        <v/>
      </c>
      <c r="AV1453" s="44">
        <f>IF(AU1453="","",T1453/(AU1453/100))</f>
        <v/>
      </c>
      <c r="AW1453" s="53">
        <f>IF(AU1453="","",IF(AND(ABS(AH1453)&gt;=0.1,ABS(T1453)&gt;=0.05,SIGN(AH1453)=SIGN(T1453)),100*T1453/AH1453,""))</f>
        <v/>
      </c>
      <c r="AX1453" s="45">
        <f>IF(AU1453="","",T1453-AV1453)</f>
        <v/>
      </c>
      <c r="AY1453" s="45">
        <f>IF(AU1453="","",AH1453-AV1453)</f>
        <v/>
      </c>
      <c r="AZ1453" s="54">
        <f>(AL1453-AM1453)-T1453*AT1453</f>
        <v/>
      </c>
      <c r="BA1453" s="43">
        <f>IF(AU1453="",0,(AH1453-T1453)*AF1453)</f>
        <v/>
      </c>
      <c r="BB1453" s="43">
        <f>IF(AU1453="",0,T1453*(AF1453-AT1453))</f>
        <v/>
      </c>
      <c r="BC1453" s="51" t="n">
        <v>0.03420245398773006</v>
      </c>
      <c r="BD1453" s="51" t="n">
        <v>0.01467280163599182</v>
      </c>
      <c r="BE1453" s="51" t="n">
        <v>0.1639004149377593</v>
      </c>
      <c r="BF1453" s="43" t="n">
        <v>39120</v>
      </c>
    </row>
    <row r="1454">
      <c r="A1454" s="42" t="inlineStr">
        <is>
          <t>VA</t>
        </is>
      </c>
      <c r="B1454" s="42" t="inlineStr">
        <is>
          <t>51810</t>
        </is>
      </c>
      <c r="C1454" s="42" t="inlineStr">
        <is>
          <t>Virginia Beach city</t>
        </is>
      </c>
      <c r="D1454" s="42" t="inlineStr">
        <is>
          <t>College suburb/metro</t>
        </is>
      </c>
      <c r="E1454" s="42" t="inlineStr"/>
      <c r="F1454" s="43" t="n">
        <v>115412</v>
      </c>
      <c r="G1454" s="43" t="n">
        <v>109375</v>
      </c>
      <c r="H1454" s="43" t="n">
        <v>227770</v>
      </c>
      <c r="I1454" s="43" t="n">
        <v>117393</v>
      </c>
      <c r="J1454" s="43" t="n">
        <v>105087</v>
      </c>
      <c r="K1454" s="42" t="inlineStr">
        <is>
          <t>US House</t>
        </is>
      </c>
      <c r="L1454" s="43" t="n">
        <v>81421</v>
      </c>
      <c r="M1454" s="43" t="n">
        <v>81016</v>
      </c>
      <c r="N1454" s="43" t="n">
        <v>162682</v>
      </c>
      <c r="O1454" s="44">
        <f>IFERROR((F1454-G1454)/(F1454+G1454),"")</f>
        <v/>
      </c>
      <c r="P1454" s="44">
        <f>IFERROR((I1454-J1454)/(I1454+J1454),"")</f>
        <v/>
      </c>
      <c r="Q1454" s="45">
        <f>IFERROR(O1454-P1454,"")</f>
        <v/>
      </c>
      <c r="R1454" s="44">
        <f>IFERROR((L1454-M1454)/(L1454+M1454),"")</f>
        <v/>
      </c>
      <c r="S1454" s="46">
        <f>H1454/SUMIFS(Counties!$H$2:$H$1583,Counties!$A$2:$A$1583,$A1454)</f>
        <v/>
      </c>
      <c r="T1454" s="44">
        <f>O1454+INDEX(Dashboard!$F$6:$F$22,MATCH($A1454,Dashboard!$A$6:$A$22,0))</f>
        <v/>
      </c>
      <c r="U1454" s="43">
        <f>AQ1454*INDEX(Dashboard!$G$6:$G$22,MATCH($A1454,Dashboard!$A$6:$A$22,0))</f>
        <v/>
      </c>
      <c r="V1454" s="47" t="n"/>
      <c r="W1454" s="47" t="n"/>
      <c r="X1454" s="47" t="n"/>
      <c r="Y1454" s="48" t="n"/>
      <c r="Z1454" s="49" t="n"/>
      <c r="AA1454" s="49" t="n"/>
      <c r="AB1454" s="49" t="n"/>
      <c r="AC1454" s="50" t="n"/>
      <c r="AD1454" s="43">
        <f>IF(Z1454&lt;&gt;"",Z1454,N(V1454))</f>
        <v/>
      </c>
      <c r="AE1454" s="43">
        <f>IF(AA1454&lt;&gt;"",AA1454,N(W1454))</f>
        <v/>
      </c>
      <c r="AF1454" s="43">
        <f>AD1454+AE1454</f>
        <v/>
      </c>
      <c r="AG1454" s="42">
        <f>IF(UPPER(AC1454)="Y",1,IF(AF1454=0,0,IF(AND(Z1454="",Y1454&lt;&gt;""),IF(Y1454&gt;=0.999,1,0),IF(AF1454&gt;=U1454,1,0))))</f>
        <v/>
      </c>
      <c r="AH1454" s="44">
        <f>IF(AF1454&gt;0,(AD1454-AE1454)/AF1454,"")</f>
        <v/>
      </c>
      <c r="AI1454" s="45">
        <f>IF(AG1454=1,AH1454-O1454,"")</f>
        <v/>
      </c>
      <c r="AJ1454" s="44">
        <f>IF(AG1454=1,AH1454,MAX(-1,MIN(1,O1454+INDEX(Types!$H:$H,MATCH($A1454&amp;"|"&amp;$D1454,Types!$A:$A,0)))))</f>
        <v/>
      </c>
      <c r="AK1454" s="43">
        <f>IF(AG1454=1,AF1454,MAX(AQ1454*AS1454,AF1454))</f>
        <v/>
      </c>
      <c r="AL1454" s="43">
        <f>IF(AG1454=1,AD1454,AK1454*(1+AJ1454)/2)</f>
        <v/>
      </c>
      <c r="AM1454" s="43">
        <f>IF(AG1454=1,AE1454,AK1454*(1-AJ1454)/2)</f>
        <v/>
      </c>
      <c r="AN1454" s="45">
        <f>IF(AH1454="","",AH1454-T1454)</f>
        <v/>
      </c>
      <c r="AO1454" s="51">
        <f>IF(AG1454=1,1,IF(U1454&gt;0,MIN(AF1454/U1454,0.99),0))</f>
        <v/>
      </c>
      <c r="AP1454" s="43">
        <f>IF(AG1454=1,AI1454*AF1454,0)</f>
        <v/>
      </c>
      <c r="AQ1454" s="43">
        <f>N1454*(F1454+G1454)/H1454</f>
        <v/>
      </c>
      <c r="AR1454" s="43">
        <f>O1454*AQ1454</f>
        <v/>
      </c>
      <c r="AS1454" s="52">
        <f>IF(AG1454=1,IF(AQ1454&gt;0,AF1454/AQ1454,1),IFERROR(INDEX(Types!$K:$K,MATCH($A1454&amp;"|"&amp;$D1454,Types!$A:$A,0)),INDEX(Dashboard!$X$6:$X$22,MATCH($A1454,Dashboard!$A$6:$A$22,0))))</f>
        <v/>
      </c>
      <c r="AT1454" s="43">
        <f>AQ1454*INDEX(Dashboard!$Y$6:$Y$22,MATCH($A1454,Dashboard!$A$6:$A$22,0))</f>
        <v/>
      </c>
      <c r="AU1454" s="53">
        <f>IF(AND(AG1454=1,AT1454&gt;0,AF1454&gt;0),100*AF1454/AT1454,"")</f>
        <v/>
      </c>
      <c r="AV1454" s="44">
        <f>IF(AU1454="","",T1454/(AU1454/100))</f>
        <v/>
      </c>
      <c r="AW1454" s="53">
        <f>IF(AU1454="","",IF(AND(ABS(AH1454)&gt;=0.1,ABS(T1454)&gt;=0.05,SIGN(AH1454)=SIGN(T1454)),100*T1454/AH1454,""))</f>
        <v/>
      </c>
      <c r="AX1454" s="45">
        <f>IF(AU1454="","",T1454-AV1454)</f>
        <v/>
      </c>
      <c r="AY1454" s="45">
        <f>IF(AU1454="","",AH1454-AV1454)</f>
        <v/>
      </c>
      <c r="AZ1454" s="54">
        <f>(AL1454-AM1454)-T1454*AT1454</f>
        <v/>
      </c>
      <c r="BA1454" s="43">
        <f>IF(AU1454="",0,(AH1454-T1454)*AF1454)</f>
        <v/>
      </c>
      <c r="BB1454" s="43">
        <f>IF(AU1454="",0,T1454*(AF1454-AT1454))</f>
        <v/>
      </c>
      <c r="BC1454" s="51" t="n">
        <v>0.1912800424998181</v>
      </c>
      <c r="BD1454" s="51" t="n">
        <v>0.09230925230740065</v>
      </c>
      <c r="BE1454" s="51" t="n">
        <v>0.4041547797304752</v>
      </c>
      <c r="BF1454" s="43" t="n">
        <v>453649</v>
      </c>
    </row>
    <row r="1455">
      <c r="A1455" s="42" t="inlineStr">
        <is>
          <t>VA</t>
        </is>
      </c>
      <c r="B1455" s="42" t="inlineStr">
        <is>
          <t>51187</t>
        </is>
      </c>
      <c r="C1455" s="42" t="inlineStr">
        <is>
          <t>Warren</t>
        </is>
      </c>
      <c r="D1455" s="42" t="inlineStr">
        <is>
          <t>Small town &amp; rural</t>
        </is>
      </c>
      <c r="E1455" s="42" t="inlineStr"/>
      <c r="F1455" s="43" t="n">
        <v>6910</v>
      </c>
      <c r="G1455" s="43" t="n">
        <v>15400</v>
      </c>
      <c r="H1455" s="43" t="n">
        <v>22561</v>
      </c>
      <c r="I1455" s="43" t="n">
        <v>6603</v>
      </c>
      <c r="J1455" s="43" t="n">
        <v>14069</v>
      </c>
      <c r="K1455" s="42" t="inlineStr">
        <is>
          <t>US House</t>
        </is>
      </c>
      <c r="L1455" s="43" t="n">
        <v>4253</v>
      </c>
      <c r="M1455" s="43" t="n">
        <v>9965</v>
      </c>
      <c r="N1455" s="43" t="n">
        <v>14248</v>
      </c>
      <c r="O1455" s="44">
        <f>IFERROR((F1455-G1455)/(F1455+G1455),"")</f>
        <v/>
      </c>
      <c r="P1455" s="44">
        <f>IFERROR((I1455-J1455)/(I1455+J1455),"")</f>
        <v/>
      </c>
      <c r="Q1455" s="45">
        <f>IFERROR(O1455-P1455,"")</f>
        <v/>
      </c>
      <c r="R1455" s="44">
        <f>IFERROR((L1455-M1455)/(L1455+M1455),"")</f>
        <v/>
      </c>
      <c r="S1455" s="46">
        <f>H1455/SUMIFS(Counties!$H$2:$H$1583,Counties!$A$2:$A$1583,$A1455)</f>
        <v/>
      </c>
      <c r="T1455" s="44">
        <f>O1455+INDEX(Dashboard!$F$6:$F$22,MATCH($A1455,Dashboard!$A$6:$A$22,0))</f>
        <v/>
      </c>
      <c r="U1455" s="43">
        <f>AQ1455*INDEX(Dashboard!$G$6:$G$22,MATCH($A1455,Dashboard!$A$6:$A$22,0))</f>
        <v/>
      </c>
      <c r="V1455" s="47" t="n"/>
      <c r="W1455" s="47" t="n"/>
      <c r="X1455" s="47" t="n"/>
      <c r="Y1455" s="48" t="n"/>
      <c r="Z1455" s="49" t="n"/>
      <c r="AA1455" s="49" t="n"/>
      <c r="AB1455" s="49" t="n"/>
      <c r="AC1455" s="50" t="n"/>
      <c r="AD1455" s="43">
        <f>IF(Z1455&lt;&gt;"",Z1455,N(V1455))</f>
        <v/>
      </c>
      <c r="AE1455" s="43">
        <f>IF(AA1455&lt;&gt;"",AA1455,N(W1455))</f>
        <v/>
      </c>
      <c r="AF1455" s="43">
        <f>AD1455+AE1455</f>
        <v/>
      </c>
      <c r="AG1455" s="42">
        <f>IF(UPPER(AC1455)="Y",1,IF(AF1455=0,0,IF(AND(Z1455="",Y1455&lt;&gt;""),IF(Y1455&gt;=0.999,1,0),IF(AF1455&gt;=U1455,1,0))))</f>
        <v/>
      </c>
      <c r="AH1455" s="44">
        <f>IF(AF1455&gt;0,(AD1455-AE1455)/AF1455,"")</f>
        <v/>
      </c>
      <c r="AI1455" s="45">
        <f>IF(AG1455=1,AH1455-O1455,"")</f>
        <v/>
      </c>
      <c r="AJ1455" s="44">
        <f>IF(AG1455=1,AH1455,MAX(-1,MIN(1,O1455+INDEX(Types!$H:$H,MATCH($A1455&amp;"|"&amp;$D1455,Types!$A:$A,0)))))</f>
        <v/>
      </c>
      <c r="AK1455" s="43">
        <f>IF(AG1455=1,AF1455,MAX(AQ1455*AS1455,AF1455))</f>
        <v/>
      </c>
      <c r="AL1455" s="43">
        <f>IF(AG1455=1,AD1455,AK1455*(1+AJ1455)/2)</f>
        <v/>
      </c>
      <c r="AM1455" s="43">
        <f>IF(AG1455=1,AE1455,AK1455*(1-AJ1455)/2)</f>
        <v/>
      </c>
      <c r="AN1455" s="45">
        <f>IF(AH1455="","",AH1455-T1455)</f>
        <v/>
      </c>
      <c r="AO1455" s="51">
        <f>IF(AG1455=1,1,IF(U1455&gt;0,MIN(AF1455/U1455,0.99),0))</f>
        <v/>
      </c>
      <c r="AP1455" s="43">
        <f>IF(AG1455=1,AI1455*AF1455,0)</f>
        <v/>
      </c>
      <c r="AQ1455" s="43">
        <f>N1455*(F1455+G1455)/H1455</f>
        <v/>
      </c>
      <c r="AR1455" s="43">
        <f>O1455*AQ1455</f>
        <v/>
      </c>
      <c r="AS1455" s="52">
        <f>IF(AG1455=1,IF(AQ1455&gt;0,AF1455/AQ1455,1),IFERROR(INDEX(Types!$K:$K,MATCH($A1455&amp;"|"&amp;$D1455,Types!$A:$A,0)),INDEX(Dashboard!$X$6:$X$22,MATCH($A1455,Dashboard!$A$6:$A$22,0))))</f>
        <v/>
      </c>
      <c r="AT1455" s="43">
        <f>AQ1455*INDEX(Dashboard!$Y$6:$Y$22,MATCH($A1455,Dashboard!$A$6:$A$22,0))</f>
        <v/>
      </c>
      <c r="AU1455" s="53">
        <f>IF(AND(AG1455=1,AT1455&gt;0,AF1455&gt;0),100*AF1455/AT1455,"")</f>
        <v/>
      </c>
      <c r="AV1455" s="44">
        <f>IF(AU1455="","",T1455/(AU1455/100))</f>
        <v/>
      </c>
      <c r="AW1455" s="53">
        <f>IF(AU1455="","",IF(AND(ABS(AH1455)&gt;=0.1,ABS(T1455)&gt;=0.05,SIGN(AH1455)=SIGN(T1455)),100*T1455/AH1455,""))</f>
        <v/>
      </c>
      <c r="AX1455" s="45">
        <f>IF(AU1455="","",T1455-AV1455)</f>
        <v/>
      </c>
      <c r="AY1455" s="45">
        <f>IF(AU1455="","",AH1455-AV1455)</f>
        <v/>
      </c>
      <c r="AZ1455" s="54">
        <f>(AL1455-AM1455)-T1455*AT1455</f>
        <v/>
      </c>
      <c r="BA1455" s="43">
        <f>IF(AU1455="",0,(AH1455-T1455)*AF1455)</f>
        <v/>
      </c>
      <c r="BB1455" s="43">
        <f>IF(AU1455="",0,T1455*(AF1455-AT1455))</f>
        <v/>
      </c>
      <c r="BC1455" s="51" t="n">
        <v>0.05100016729202017</v>
      </c>
      <c r="BD1455" s="51" t="n">
        <v>0.07934421528093109</v>
      </c>
      <c r="BE1455" s="51" t="n">
        <v>0.2453414013614797</v>
      </c>
      <c r="BF1455" s="43" t="n">
        <v>41843</v>
      </c>
    </row>
    <row r="1456">
      <c r="A1456" s="42" t="inlineStr">
        <is>
          <t>VA</t>
        </is>
      </c>
      <c r="B1456" s="42" t="inlineStr">
        <is>
          <t>51191</t>
        </is>
      </c>
      <c r="C1456" s="42" t="inlineStr">
        <is>
          <t>Washington</t>
        </is>
      </c>
      <c r="D1456" s="42" t="inlineStr">
        <is>
          <t>Small town &amp; rural</t>
        </is>
      </c>
      <c r="E1456" s="42" t="inlineStr"/>
      <c r="F1456" s="43" t="n">
        <v>6772</v>
      </c>
      <c r="G1456" s="43" t="n">
        <v>22455</v>
      </c>
      <c r="H1456" s="43" t="n">
        <v>29412</v>
      </c>
      <c r="I1456" s="43" t="n">
        <v>6617</v>
      </c>
      <c r="J1456" s="43" t="n">
        <v>21679</v>
      </c>
      <c r="K1456" s="42" t="inlineStr">
        <is>
          <t>US House</t>
        </is>
      </c>
      <c r="L1456" s="43" t="n">
        <v>4047</v>
      </c>
      <c r="M1456" s="43" t="n">
        <v>13870</v>
      </c>
      <c r="N1456" s="43" t="n">
        <v>17970</v>
      </c>
      <c r="O1456" s="44">
        <f>IFERROR((F1456-G1456)/(F1456+G1456),"")</f>
        <v/>
      </c>
      <c r="P1456" s="44">
        <f>IFERROR((I1456-J1456)/(I1456+J1456),"")</f>
        <v/>
      </c>
      <c r="Q1456" s="45">
        <f>IFERROR(O1456-P1456,"")</f>
        <v/>
      </c>
      <c r="R1456" s="44">
        <f>IFERROR((L1456-M1456)/(L1456+M1456),"")</f>
        <v/>
      </c>
      <c r="S1456" s="46">
        <f>H1456/SUMIFS(Counties!$H$2:$H$1583,Counties!$A$2:$A$1583,$A1456)</f>
        <v/>
      </c>
      <c r="T1456" s="44">
        <f>O1456+INDEX(Dashboard!$F$6:$F$22,MATCH($A1456,Dashboard!$A$6:$A$22,0))</f>
        <v/>
      </c>
      <c r="U1456" s="43">
        <f>AQ1456*INDEX(Dashboard!$G$6:$G$22,MATCH($A1456,Dashboard!$A$6:$A$22,0))</f>
        <v/>
      </c>
      <c r="V1456" s="47" t="n"/>
      <c r="W1456" s="47" t="n"/>
      <c r="X1456" s="47" t="n"/>
      <c r="Y1456" s="48" t="n"/>
      <c r="Z1456" s="49" t="n"/>
      <c r="AA1456" s="49" t="n"/>
      <c r="AB1456" s="49" t="n"/>
      <c r="AC1456" s="50" t="n"/>
      <c r="AD1456" s="43">
        <f>IF(Z1456&lt;&gt;"",Z1456,N(V1456))</f>
        <v/>
      </c>
      <c r="AE1456" s="43">
        <f>IF(AA1456&lt;&gt;"",AA1456,N(W1456))</f>
        <v/>
      </c>
      <c r="AF1456" s="43">
        <f>AD1456+AE1456</f>
        <v/>
      </c>
      <c r="AG1456" s="42">
        <f>IF(UPPER(AC1456)="Y",1,IF(AF1456=0,0,IF(AND(Z1456="",Y1456&lt;&gt;""),IF(Y1456&gt;=0.999,1,0),IF(AF1456&gt;=U1456,1,0))))</f>
        <v/>
      </c>
      <c r="AH1456" s="44">
        <f>IF(AF1456&gt;0,(AD1456-AE1456)/AF1456,"")</f>
        <v/>
      </c>
      <c r="AI1456" s="45">
        <f>IF(AG1456=1,AH1456-O1456,"")</f>
        <v/>
      </c>
      <c r="AJ1456" s="44">
        <f>IF(AG1456=1,AH1456,MAX(-1,MIN(1,O1456+INDEX(Types!$H:$H,MATCH($A1456&amp;"|"&amp;$D1456,Types!$A:$A,0)))))</f>
        <v/>
      </c>
      <c r="AK1456" s="43">
        <f>IF(AG1456=1,AF1456,MAX(AQ1456*AS1456,AF1456))</f>
        <v/>
      </c>
      <c r="AL1456" s="43">
        <f>IF(AG1456=1,AD1456,AK1456*(1+AJ1456)/2)</f>
        <v/>
      </c>
      <c r="AM1456" s="43">
        <f>IF(AG1456=1,AE1456,AK1456*(1-AJ1456)/2)</f>
        <v/>
      </c>
      <c r="AN1456" s="45">
        <f>IF(AH1456="","",AH1456-T1456)</f>
        <v/>
      </c>
      <c r="AO1456" s="51">
        <f>IF(AG1456=1,1,IF(U1456&gt;0,MIN(AF1456/U1456,0.99),0))</f>
        <v/>
      </c>
      <c r="AP1456" s="43">
        <f>IF(AG1456=1,AI1456*AF1456,0)</f>
        <v/>
      </c>
      <c r="AQ1456" s="43">
        <f>N1456*(F1456+G1456)/H1456</f>
        <v/>
      </c>
      <c r="AR1456" s="43">
        <f>O1456*AQ1456</f>
        <v/>
      </c>
      <c r="AS1456" s="52">
        <f>IF(AG1456=1,IF(AQ1456&gt;0,AF1456/AQ1456,1),IFERROR(INDEX(Types!$K:$K,MATCH($A1456&amp;"|"&amp;$D1456,Types!$A:$A,0)),INDEX(Dashboard!$X$6:$X$22,MATCH($A1456,Dashboard!$A$6:$A$22,0))))</f>
        <v/>
      </c>
      <c r="AT1456" s="43">
        <f>AQ1456*INDEX(Dashboard!$Y$6:$Y$22,MATCH($A1456,Dashboard!$A$6:$A$22,0))</f>
        <v/>
      </c>
      <c r="AU1456" s="53">
        <f>IF(AND(AG1456=1,AT1456&gt;0,AF1456&gt;0),100*AF1456/AT1456,"")</f>
        <v/>
      </c>
      <c r="AV1456" s="44">
        <f>IF(AU1456="","",T1456/(AU1456/100))</f>
        <v/>
      </c>
      <c r="AW1456" s="53">
        <f>IF(AU1456="","",IF(AND(ABS(AH1456)&gt;=0.1,ABS(T1456)&gt;=0.05,SIGN(AH1456)=SIGN(T1456)),100*T1456/AH1456,""))</f>
        <v/>
      </c>
      <c r="AX1456" s="45">
        <f>IF(AU1456="","",T1456-AV1456)</f>
        <v/>
      </c>
      <c r="AY1456" s="45">
        <f>IF(AU1456="","",AH1456-AV1456)</f>
        <v/>
      </c>
      <c r="AZ1456" s="54">
        <f>(AL1456-AM1456)-T1456*AT1456</f>
        <v/>
      </c>
      <c r="BA1456" s="43">
        <f>IF(AU1456="",0,(AH1456-T1456)*AF1456)</f>
        <v/>
      </c>
      <c r="BB1456" s="43">
        <f>IF(AU1456="",0,T1456*(AF1456-AT1456))</f>
        <v/>
      </c>
      <c r="BC1456" s="51" t="n">
        <v>0.01530064754856614</v>
      </c>
      <c r="BD1456" s="51" t="n">
        <v>0.01929694727104533</v>
      </c>
      <c r="BE1456" s="51" t="n">
        <v>0.2652757448708725</v>
      </c>
      <c r="BF1456" s="43" t="n">
        <v>54050</v>
      </c>
    </row>
    <row r="1457">
      <c r="A1457" s="42" t="inlineStr">
        <is>
          <t>VA</t>
        </is>
      </c>
      <c r="B1457" s="42" t="inlineStr">
        <is>
          <t>51820</t>
        </is>
      </c>
      <c r="C1457" s="42" t="inlineStr">
        <is>
          <t>Waynesboro city</t>
        </is>
      </c>
      <c r="D1457" s="42" t="inlineStr">
        <is>
          <t>Small town &amp; rural</t>
        </is>
      </c>
      <c r="E1457" s="42" t="inlineStr"/>
      <c r="F1457" s="43" t="n">
        <v>5240</v>
      </c>
      <c r="G1457" s="43" t="n">
        <v>5882</v>
      </c>
      <c r="H1457" s="43" t="n">
        <v>11274</v>
      </c>
      <c r="I1457" s="43" t="n">
        <v>4961</v>
      </c>
      <c r="J1457" s="43" t="n">
        <v>5507</v>
      </c>
      <c r="K1457" s="42" t="inlineStr">
        <is>
          <t>US House</t>
        </is>
      </c>
      <c r="L1457" s="43" t="n">
        <v>3264</v>
      </c>
      <c r="M1457" s="43" t="n">
        <v>3926</v>
      </c>
      <c r="N1457" s="43" t="n">
        <v>7204</v>
      </c>
      <c r="O1457" s="44">
        <f>IFERROR((F1457-G1457)/(F1457+G1457),"")</f>
        <v/>
      </c>
      <c r="P1457" s="44">
        <f>IFERROR((I1457-J1457)/(I1457+J1457),"")</f>
        <v/>
      </c>
      <c r="Q1457" s="45">
        <f>IFERROR(O1457-P1457,"")</f>
        <v/>
      </c>
      <c r="R1457" s="44">
        <f>IFERROR((L1457-M1457)/(L1457+M1457),"")</f>
        <v/>
      </c>
      <c r="S1457" s="46">
        <f>H1457/SUMIFS(Counties!$H$2:$H$1583,Counties!$A$2:$A$1583,$A1457)</f>
        <v/>
      </c>
      <c r="T1457" s="44">
        <f>O1457+INDEX(Dashboard!$F$6:$F$22,MATCH($A1457,Dashboard!$A$6:$A$22,0))</f>
        <v/>
      </c>
      <c r="U1457" s="43">
        <f>AQ1457*INDEX(Dashboard!$G$6:$G$22,MATCH($A1457,Dashboard!$A$6:$A$22,0))</f>
        <v/>
      </c>
      <c r="V1457" s="47" t="n"/>
      <c r="W1457" s="47" t="n"/>
      <c r="X1457" s="47" t="n"/>
      <c r="Y1457" s="48" t="n"/>
      <c r="Z1457" s="49" t="n"/>
      <c r="AA1457" s="49" t="n"/>
      <c r="AB1457" s="49" t="n"/>
      <c r="AC1457" s="50" t="n"/>
      <c r="AD1457" s="43">
        <f>IF(Z1457&lt;&gt;"",Z1457,N(V1457))</f>
        <v/>
      </c>
      <c r="AE1457" s="43">
        <f>IF(AA1457&lt;&gt;"",AA1457,N(W1457))</f>
        <v/>
      </c>
      <c r="AF1457" s="43">
        <f>AD1457+AE1457</f>
        <v/>
      </c>
      <c r="AG1457" s="42">
        <f>IF(UPPER(AC1457)="Y",1,IF(AF1457=0,0,IF(AND(Z1457="",Y1457&lt;&gt;""),IF(Y1457&gt;=0.999,1,0),IF(AF1457&gt;=U1457,1,0))))</f>
        <v/>
      </c>
      <c r="AH1457" s="44">
        <f>IF(AF1457&gt;0,(AD1457-AE1457)/AF1457,"")</f>
        <v/>
      </c>
      <c r="AI1457" s="45">
        <f>IF(AG1457=1,AH1457-O1457,"")</f>
        <v/>
      </c>
      <c r="AJ1457" s="44">
        <f>IF(AG1457=1,AH1457,MAX(-1,MIN(1,O1457+INDEX(Types!$H:$H,MATCH($A1457&amp;"|"&amp;$D1457,Types!$A:$A,0)))))</f>
        <v/>
      </c>
      <c r="AK1457" s="43">
        <f>IF(AG1457=1,AF1457,MAX(AQ1457*AS1457,AF1457))</f>
        <v/>
      </c>
      <c r="AL1457" s="43">
        <f>IF(AG1457=1,AD1457,AK1457*(1+AJ1457)/2)</f>
        <v/>
      </c>
      <c r="AM1457" s="43">
        <f>IF(AG1457=1,AE1457,AK1457*(1-AJ1457)/2)</f>
        <v/>
      </c>
      <c r="AN1457" s="45">
        <f>IF(AH1457="","",AH1457-T1457)</f>
        <v/>
      </c>
      <c r="AO1457" s="51">
        <f>IF(AG1457=1,1,IF(U1457&gt;0,MIN(AF1457/U1457,0.99),0))</f>
        <v/>
      </c>
      <c r="AP1457" s="43">
        <f>IF(AG1457=1,AI1457*AF1457,0)</f>
        <v/>
      </c>
      <c r="AQ1457" s="43">
        <f>N1457*(F1457+G1457)/H1457</f>
        <v/>
      </c>
      <c r="AR1457" s="43">
        <f>O1457*AQ1457</f>
        <v/>
      </c>
      <c r="AS1457" s="52">
        <f>IF(AG1457=1,IF(AQ1457&gt;0,AF1457/AQ1457,1),IFERROR(INDEX(Types!$K:$K,MATCH($A1457&amp;"|"&amp;$D1457,Types!$A:$A,0)),INDEX(Dashboard!$X$6:$X$22,MATCH($A1457,Dashboard!$A$6:$A$22,0))))</f>
        <v/>
      </c>
      <c r="AT1457" s="43">
        <f>AQ1457*INDEX(Dashboard!$Y$6:$Y$22,MATCH($A1457,Dashboard!$A$6:$A$22,0))</f>
        <v/>
      </c>
      <c r="AU1457" s="53">
        <f>IF(AND(AG1457=1,AT1457&gt;0,AF1457&gt;0),100*AF1457/AT1457,"")</f>
        <v/>
      </c>
      <c r="AV1457" s="44">
        <f>IF(AU1457="","",T1457/(AU1457/100))</f>
        <v/>
      </c>
      <c r="AW1457" s="53">
        <f>IF(AU1457="","",IF(AND(ABS(AH1457)&gt;=0.1,ABS(T1457)&gt;=0.05,SIGN(AH1457)=SIGN(T1457)),100*T1457/AH1457,""))</f>
        <v/>
      </c>
      <c r="AX1457" s="45">
        <f>IF(AU1457="","",T1457-AV1457)</f>
        <v/>
      </c>
      <c r="AY1457" s="45">
        <f>IF(AU1457="","",AH1457-AV1457)</f>
        <v/>
      </c>
      <c r="AZ1457" s="54">
        <f>(AL1457-AM1457)-T1457*AT1457</f>
        <v/>
      </c>
      <c r="BA1457" s="43">
        <f>IF(AU1457="",0,(AH1457-T1457)*AF1457)</f>
        <v/>
      </c>
      <c r="BB1457" s="43">
        <f>IF(AU1457="",0,T1457*(AF1457-AT1457))</f>
        <v/>
      </c>
      <c r="BC1457" s="51" t="n">
        <v>0.1223794323181779</v>
      </c>
      <c r="BD1457" s="51" t="n">
        <v>0.09774825295487878</v>
      </c>
      <c r="BE1457" s="51" t="n">
        <v>0.2626912269747112</v>
      </c>
      <c r="BF1457" s="43" t="n">
        <v>23182</v>
      </c>
    </row>
    <row r="1458">
      <c r="A1458" s="42" t="inlineStr">
        <is>
          <t>VA</t>
        </is>
      </c>
      <c r="B1458" s="42" t="inlineStr">
        <is>
          <t>51193</t>
        </is>
      </c>
      <c r="C1458" s="42" t="inlineStr">
        <is>
          <t>Westmoreland</t>
        </is>
      </c>
      <c r="D1458" s="42" t="inlineStr">
        <is>
          <t>Small town &amp; rural</t>
        </is>
      </c>
      <c r="E1458" s="42" t="inlineStr"/>
      <c r="F1458" s="43" t="n">
        <v>4491</v>
      </c>
      <c r="G1458" s="43" t="n">
        <v>6003</v>
      </c>
      <c r="H1458" s="43" t="n">
        <v>10581</v>
      </c>
      <c r="I1458" s="43" t="n">
        <v>4501</v>
      </c>
      <c r="J1458" s="43" t="n">
        <v>5318</v>
      </c>
      <c r="K1458" s="42" t="inlineStr">
        <is>
          <t>US House</t>
        </is>
      </c>
      <c r="L1458" s="43" t="n">
        <v>2642</v>
      </c>
      <c r="M1458" s="43" t="n">
        <v>4333</v>
      </c>
      <c r="N1458" s="43" t="n">
        <v>7053</v>
      </c>
      <c r="O1458" s="44">
        <f>IFERROR((F1458-G1458)/(F1458+G1458),"")</f>
        <v/>
      </c>
      <c r="P1458" s="44">
        <f>IFERROR((I1458-J1458)/(I1458+J1458),"")</f>
        <v/>
      </c>
      <c r="Q1458" s="45">
        <f>IFERROR(O1458-P1458,"")</f>
        <v/>
      </c>
      <c r="R1458" s="44">
        <f>IFERROR((L1458-M1458)/(L1458+M1458),"")</f>
        <v/>
      </c>
      <c r="S1458" s="46">
        <f>H1458/SUMIFS(Counties!$H$2:$H$1583,Counties!$A$2:$A$1583,$A1458)</f>
        <v/>
      </c>
      <c r="T1458" s="44">
        <f>O1458+INDEX(Dashboard!$F$6:$F$22,MATCH($A1458,Dashboard!$A$6:$A$22,0))</f>
        <v/>
      </c>
      <c r="U1458" s="43">
        <f>AQ1458*INDEX(Dashboard!$G$6:$G$22,MATCH($A1458,Dashboard!$A$6:$A$22,0))</f>
        <v/>
      </c>
      <c r="V1458" s="47" t="n"/>
      <c r="W1458" s="47" t="n"/>
      <c r="X1458" s="47" t="n"/>
      <c r="Y1458" s="48" t="n"/>
      <c r="Z1458" s="49" t="n"/>
      <c r="AA1458" s="49" t="n"/>
      <c r="AB1458" s="49" t="n"/>
      <c r="AC1458" s="50" t="n"/>
      <c r="AD1458" s="43">
        <f>IF(Z1458&lt;&gt;"",Z1458,N(V1458))</f>
        <v/>
      </c>
      <c r="AE1458" s="43">
        <f>IF(AA1458&lt;&gt;"",AA1458,N(W1458))</f>
        <v/>
      </c>
      <c r="AF1458" s="43">
        <f>AD1458+AE1458</f>
        <v/>
      </c>
      <c r="AG1458" s="42">
        <f>IF(UPPER(AC1458)="Y",1,IF(AF1458=0,0,IF(AND(Z1458="",Y1458&lt;&gt;""),IF(Y1458&gt;=0.999,1,0),IF(AF1458&gt;=U1458,1,0))))</f>
        <v/>
      </c>
      <c r="AH1458" s="44">
        <f>IF(AF1458&gt;0,(AD1458-AE1458)/AF1458,"")</f>
        <v/>
      </c>
      <c r="AI1458" s="45">
        <f>IF(AG1458=1,AH1458-O1458,"")</f>
        <v/>
      </c>
      <c r="AJ1458" s="44">
        <f>IF(AG1458=1,AH1458,MAX(-1,MIN(1,O1458+INDEX(Types!$H:$H,MATCH($A1458&amp;"|"&amp;$D1458,Types!$A:$A,0)))))</f>
        <v/>
      </c>
      <c r="AK1458" s="43">
        <f>IF(AG1458=1,AF1458,MAX(AQ1458*AS1458,AF1458))</f>
        <v/>
      </c>
      <c r="AL1458" s="43">
        <f>IF(AG1458=1,AD1458,AK1458*(1+AJ1458)/2)</f>
        <v/>
      </c>
      <c r="AM1458" s="43">
        <f>IF(AG1458=1,AE1458,AK1458*(1-AJ1458)/2)</f>
        <v/>
      </c>
      <c r="AN1458" s="45">
        <f>IF(AH1458="","",AH1458-T1458)</f>
        <v/>
      </c>
      <c r="AO1458" s="51">
        <f>IF(AG1458=1,1,IF(U1458&gt;0,MIN(AF1458/U1458,0.99),0))</f>
        <v/>
      </c>
      <c r="AP1458" s="43">
        <f>IF(AG1458=1,AI1458*AF1458,0)</f>
        <v/>
      </c>
      <c r="AQ1458" s="43">
        <f>N1458*(F1458+G1458)/H1458</f>
        <v/>
      </c>
      <c r="AR1458" s="43">
        <f>O1458*AQ1458</f>
        <v/>
      </c>
      <c r="AS1458" s="52">
        <f>IF(AG1458=1,IF(AQ1458&gt;0,AF1458/AQ1458,1),IFERROR(INDEX(Types!$K:$K,MATCH($A1458&amp;"|"&amp;$D1458,Types!$A:$A,0)),INDEX(Dashboard!$X$6:$X$22,MATCH($A1458,Dashboard!$A$6:$A$22,0))))</f>
        <v/>
      </c>
      <c r="AT1458" s="43">
        <f>AQ1458*INDEX(Dashboard!$Y$6:$Y$22,MATCH($A1458,Dashboard!$A$6:$A$22,0))</f>
        <v/>
      </c>
      <c r="AU1458" s="53">
        <f>IF(AND(AG1458=1,AT1458&gt;0,AF1458&gt;0),100*AF1458/AT1458,"")</f>
        <v/>
      </c>
      <c r="AV1458" s="44">
        <f>IF(AU1458="","",T1458/(AU1458/100))</f>
        <v/>
      </c>
      <c r="AW1458" s="53">
        <f>IF(AU1458="","",IF(AND(ABS(AH1458)&gt;=0.1,ABS(T1458)&gt;=0.05,SIGN(AH1458)=SIGN(T1458)),100*T1458/AH1458,""))</f>
        <v/>
      </c>
      <c r="AX1458" s="45">
        <f>IF(AU1458="","",T1458-AV1458)</f>
        <v/>
      </c>
      <c r="AY1458" s="45">
        <f>IF(AU1458="","",AH1458-AV1458)</f>
        <v/>
      </c>
      <c r="AZ1458" s="54">
        <f>(AL1458-AM1458)-T1458*AT1458</f>
        <v/>
      </c>
      <c r="BA1458" s="43">
        <f>IF(AU1458="",0,(AH1458-T1458)*AF1458)</f>
        <v/>
      </c>
      <c r="BB1458" s="43">
        <f>IF(AU1458="",0,T1458*(AF1458-AT1458))</f>
        <v/>
      </c>
      <c r="BC1458" s="51" t="n">
        <v>0.2448324830379214</v>
      </c>
      <c r="BD1458" s="51" t="n">
        <v>0.06642823331404828</v>
      </c>
      <c r="BE1458" s="51" t="n">
        <v>0.1970926540117141</v>
      </c>
      <c r="BF1458" s="43" t="n">
        <v>19013</v>
      </c>
    </row>
    <row r="1459">
      <c r="A1459" s="42" t="inlineStr">
        <is>
          <t>VA</t>
        </is>
      </c>
      <c r="B1459" s="42" t="inlineStr">
        <is>
          <t>51830</t>
        </is>
      </c>
      <c r="C1459" s="42" t="inlineStr">
        <is>
          <t>Williamsburg city</t>
        </is>
      </c>
      <c r="D1459" s="42" t="inlineStr">
        <is>
          <t>Small town &amp; rural</t>
        </is>
      </c>
      <c r="E1459" s="42" t="inlineStr"/>
      <c r="F1459" s="43" t="n">
        <v>5613</v>
      </c>
      <c r="G1459" s="43" t="n">
        <v>2119</v>
      </c>
      <c r="H1459" s="43" t="n">
        <v>7851</v>
      </c>
      <c r="I1459" s="43" t="n">
        <v>4790</v>
      </c>
      <c r="J1459" s="43" t="n">
        <v>1963</v>
      </c>
      <c r="K1459" s="42" t="inlineStr">
        <is>
          <t>US House</t>
        </is>
      </c>
      <c r="L1459" s="43" t="n">
        <v>3352</v>
      </c>
      <c r="M1459" s="43" t="n">
        <v>1656</v>
      </c>
      <c r="N1459" s="43" t="n">
        <v>5095</v>
      </c>
      <c r="O1459" s="44">
        <f>IFERROR((F1459-G1459)/(F1459+G1459),"")</f>
        <v/>
      </c>
      <c r="P1459" s="44">
        <f>IFERROR((I1459-J1459)/(I1459+J1459),"")</f>
        <v/>
      </c>
      <c r="Q1459" s="45">
        <f>IFERROR(O1459-P1459,"")</f>
        <v/>
      </c>
      <c r="R1459" s="44">
        <f>IFERROR((L1459-M1459)/(L1459+M1459),"")</f>
        <v/>
      </c>
      <c r="S1459" s="46">
        <f>H1459/SUMIFS(Counties!$H$2:$H$1583,Counties!$A$2:$A$1583,$A1459)</f>
        <v/>
      </c>
      <c r="T1459" s="44">
        <f>O1459+INDEX(Dashboard!$F$6:$F$22,MATCH($A1459,Dashboard!$A$6:$A$22,0))</f>
        <v/>
      </c>
      <c r="U1459" s="43">
        <f>AQ1459*INDEX(Dashboard!$G$6:$G$22,MATCH($A1459,Dashboard!$A$6:$A$22,0))</f>
        <v/>
      </c>
      <c r="V1459" s="47" t="n"/>
      <c r="W1459" s="47" t="n"/>
      <c r="X1459" s="47" t="n"/>
      <c r="Y1459" s="48" t="n"/>
      <c r="Z1459" s="49" t="n"/>
      <c r="AA1459" s="49" t="n"/>
      <c r="AB1459" s="49" t="n"/>
      <c r="AC1459" s="50" t="n"/>
      <c r="AD1459" s="43">
        <f>IF(Z1459&lt;&gt;"",Z1459,N(V1459))</f>
        <v/>
      </c>
      <c r="AE1459" s="43">
        <f>IF(AA1459&lt;&gt;"",AA1459,N(W1459))</f>
        <v/>
      </c>
      <c r="AF1459" s="43">
        <f>AD1459+AE1459</f>
        <v/>
      </c>
      <c r="AG1459" s="42">
        <f>IF(UPPER(AC1459)="Y",1,IF(AF1459=0,0,IF(AND(Z1459="",Y1459&lt;&gt;""),IF(Y1459&gt;=0.999,1,0),IF(AF1459&gt;=U1459,1,0))))</f>
        <v/>
      </c>
      <c r="AH1459" s="44">
        <f>IF(AF1459&gt;0,(AD1459-AE1459)/AF1459,"")</f>
        <v/>
      </c>
      <c r="AI1459" s="45">
        <f>IF(AG1459=1,AH1459-O1459,"")</f>
        <v/>
      </c>
      <c r="AJ1459" s="44">
        <f>IF(AG1459=1,AH1459,MAX(-1,MIN(1,O1459+INDEX(Types!$H:$H,MATCH($A1459&amp;"|"&amp;$D1459,Types!$A:$A,0)))))</f>
        <v/>
      </c>
      <c r="AK1459" s="43">
        <f>IF(AG1459=1,AF1459,MAX(AQ1459*AS1459,AF1459))</f>
        <v/>
      </c>
      <c r="AL1459" s="43">
        <f>IF(AG1459=1,AD1459,AK1459*(1+AJ1459)/2)</f>
        <v/>
      </c>
      <c r="AM1459" s="43">
        <f>IF(AG1459=1,AE1459,AK1459*(1-AJ1459)/2)</f>
        <v/>
      </c>
      <c r="AN1459" s="45">
        <f>IF(AH1459="","",AH1459-T1459)</f>
        <v/>
      </c>
      <c r="AO1459" s="51">
        <f>IF(AG1459=1,1,IF(U1459&gt;0,MIN(AF1459/U1459,0.99),0))</f>
        <v/>
      </c>
      <c r="AP1459" s="43">
        <f>IF(AG1459=1,AI1459*AF1459,0)</f>
        <v/>
      </c>
      <c r="AQ1459" s="43">
        <f>N1459*(F1459+G1459)/H1459</f>
        <v/>
      </c>
      <c r="AR1459" s="43">
        <f>O1459*AQ1459</f>
        <v/>
      </c>
      <c r="AS1459" s="52">
        <f>IF(AG1459=1,IF(AQ1459&gt;0,AF1459/AQ1459,1),IFERROR(INDEX(Types!$K:$K,MATCH($A1459&amp;"|"&amp;$D1459,Types!$A:$A,0)),INDEX(Dashboard!$X$6:$X$22,MATCH($A1459,Dashboard!$A$6:$A$22,0))))</f>
        <v/>
      </c>
      <c r="AT1459" s="43">
        <f>AQ1459*INDEX(Dashboard!$Y$6:$Y$22,MATCH($A1459,Dashboard!$A$6:$A$22,0))</f>
        <v/>
      </c>
      <c r="AU1459" s="53">
        <f>IF(AND(AG1459=1,AT1459&gt;0,AF1459&gt;0),100*AF1459/AT1459,"")</f>
        <v/>
      </c>
      <c r="AV1459" s="44">
        <f>IF(AU1459="","",T1459/(AU1459/100))</f>
        <v/>
      </c>
      <c r="AW1459" s="53">
        <f>IF(AU1459="","",IF(AND(ABS(AH1459)&gt;=0.1,ABS(T1459)&gt;=0.05,SIGN(AH1459)=SIGN(T1459)),100*T1459/AH1459,""))</f>
        <v/>
      </c>
      <c r="AX1459" s="45">
        <f>IF(AU1459="","",T1459-AV1459)</f>
        <v/>
      </c>
      <c r="AY1459" s="45">
        <f>IF(AU1459="","",AH1459-AV1459)</f>
        <v/>
      </c>
      <c r="AZ1459" s="54">
        <f>(AL1459-AM1459)-T1459*AT1459</f>
        <v/>
      </c>
      <c r="BA1459" s="43">
        <f>IF(AU1459="",0,(AH1459-T1459)*AF1459)</f>
        <v/>
      </c>
      <c r="BB1459" s="43">
        <f>IF(AU1459="",0,T1459*(AF1459-AT1459))</f>
        <v/>
      </c>
      <c r="BC1459" s="51" t="n">
        <v>0.1475989146210639</v>
      </c>
      <c r="BD1459" s="51" t="n">
        <v>0.08651479775351802</v>
      </c>
      <c r="BE1459" s="51" t="n">
        <v>0.4847966302487824</v>
      </c>
      <c r="BF1459" s="43" t="n">
        <v>15847</v>
      </c>
    </row>
    <row r="1460">
      <c r="A1460" s="42" t="inlineStr">
        <is>
          <t>VA</t>
        </is>
      </c>
      <c r="B1460" s="42" t="inlineStr">
        <is>
          <t>51840</t>
        </is>
      </c>
      <c r="C1460" s="42" t="inlineStr">
        <is>
          <t>Winchester city</t>
        </is>
      </c>
      <c r="D1460" s="42" t="inlineStr">
        <is>
          <t>Small town &amp; rural</t>
        </is>
      </c>
      <c r="E1460" s="42" t="inlineStr"/>
      <c r="F1460" s="43" t="n">
        <v>6407</v>
      </c>
      <c r="G1460" s="43" t="n">
        <v>5252</v>
      </c>
      <c r="H1460" s="43" t="n">
        <v>11822</v>
      </c>
      <c r="I1460" s="43" t="n">
        <v>6610</v>
      </c>
      <c r="J1460" s="43" t="n">
        <v>5221</v>
      </c>
      <c r="K1460" s="42" t="inlineStr">
        <is>
          <t>US House</t>
        </is>
      </c>
      <c r="L1460" s="43" t="n">
        <v>4263</v>
      </c>
      <c r="M1460" s="43" t="n">
        <v>3621</v>
      </c>
      <c r="N1460" s="43" t="n">
        <v>7896</v>
      </c>
      <c r="O1460" s="44">
        <f>IFERROR((F1460-G1460)/(F1460+G1460),"")</f>
        <v/>
      </c>
      <c r="P1460" s="44">
        <f>IFERROR((I1460-J1460)/(I1460+J1460),"")</f>
        <v/>
      </c>
      <c r="Q1460" s="45">
        <f>IFERROR(O1460-P1460,"")</f>
        <v/>
      </c>
      <c r="R1460" s="44">
        <f>IFERROR((L1460-M1460)/(L1460+M1460),"")</f>
        <v/>
      </c>
      <c r="S1460" s="46">
        <f>H1460/SUMIFS(Counties!$H$2:$H$1583,Counties!$A$2:$A$1583,$A1460)</f>
        <v/>
      </c>
      <c r="T1460" s="44">
        <f>O1460+INDEX(Dashboard!$F$6:$F$22,MATCH($A1460,Dashboard!$A$6:$A$22,0))</f>
        <v/>
      </c>
      <c r="U1460" s="43">
        <f>AQ1460*INDEX(Dashboard!$G$6:$G$22,MATCH($A1460,Dashboard!$A$6:$A$22,0))</f>
        <v/>
      </c>
      <c r="V1460" s="47" t="n"/>
      <c r="W1460" s="47" t="n"/>
      <c r="X1460" s="47" t="n"/>
      <c r="Y1460" s="48" t="n"/>
      <c r="Z1460" s="49" t="n"/>
      <c r="AA1460" s="49" t="n"/>
      <c r="AB1460" s="49" t="n"/>
      <c r="AC1460" s="50" t="n"/>
      <c r="AD1460" s="43">
        <f>IF(Z1460&lt;&gt;"",Z1460,N(V1460))</f>
        <v/>
      </c>
      <c r="AE1460" s="43">
        <f>IF(AA1460&lt;&gt;"",AA1460,N(W1460))</f>
        <v/>
      </c>
      <c r="AF1460" s="43">
        <f>AD1460+AE1460</f>
        <v/>
      </c>
      <c r="AG1460" s="42">
        <f>IF(UPPER(AC1460)="Y",1,IF(AF1460=0,0,IF(AND(Z1460="",Y1460&lt;&gt;""),IF(Y1460&gt;=0.999,1,0),IF(AF1460&gt;=U1460,1,0))))</f>
        <v/>
      </c>
      <c r="AH1460" s="44">
        <f>IF(AF1460&gt;0,(AD1460-AE1460)/AF1460,"")</f>
        <v/>
      </c>
      <c r="AI1460" s="45">
        <f>IF(AG1460=1,AH1460-O1460,"")</f>
        <v/>
      </c>
      <c r="AJ1460" s="44">
        <f>IF(AG1460=1,AH1460,MAX(-1,MIN(1,O1460+INDEX(Types!$H:$H,MATCH($A1460&amp;"|"&amp;$D1460,Types!$A:$A,0)))))</f>
        <v/>
      </c>
      <c r="AK1460" s="43">
        <f>IF(AG1460=1,AF1460,MAX(AQ1460*AS1460,AF1460))</f>
        <v/>
      </c>
      <c r="AL1460" s="43">
        <f>IF(AG1460=1,AD1460,AK1460*(1+AJ1460)/2)</f>
        <v/>
      </c>
      <c r="AM1460" s="43">
        <f>IF(AG1460=1,AE1460,AK1460*(1-AJ1460)/2)</f>
        <v/>
      </c>
      <c r="AN1460" s="45">
        <f>IF(AH1460="","",AH1460-T1460)</f>
        <v/>
      </c>
      <c r="AO1460" s="51">
        <f>IF(AG1460=1,1,IF(U1460&gt;0,MIN(AF1460/U1460,0.99),0))</f>
        <v/>
      </c>
      <c r="AP1460" s="43">
        <f>IF(AG1460=1,AI1460*AF1460,0)</f>
        <v/>
      </c>
      <c r="AQ1460" s="43">
        <f>N1460*(F1460+G1460)/H1460</f>
        <v/>
      </c>
      <c r="AR1460" s="43">
        <f>O1460*AQ1460</f>
        <v/>
      </c>
      <c r="AS1460" s="52">
        <f>IF(AG1460=1,IF(AQ1460&gt;0,AF1460/AQ1460,1),IFERROR(INDEX(Types!$K:$K,MATCH($A1460&amp;"|"&amp;$D1460,Types!$A:$A,0)),INDEX(Dashboard!$X$6:$X$22,MATCH($A1460,Dashboard!$A$6:$A$22,0))))</f>
        <v/>
      </c>
      <c r="AT1460" s="43">
        <f>AQ1460*INDEX(Dashboard!$Y$6:$Y$22,MATCH($A1460,Dashboard!$A$6:$A$22,0))</f>
        <v/>
      </c>
      <c r="AU1460" s="53">
        <f>IF(AND(AG1460=1,AT1460&gt;0,AF1460&gt;0),100*AF1460/AT1460,"")</f>
        <v/>
      </c>
      <c r="AV1460" s="44">
        <f>IF(AU1460="","",T1460/(AU1460/100))</f>
        <v/>
      </c>
      <c r="AW1460" s="53">
        <f>IF(AU1460="","",IF(AND(ABS(AH1460)&gt;=0.1,ABS(T1460)&gt;=0.05,SIGN(AH1460)=SIGN(T1460)),100*T1460/AH1460,""))</f>
        <v/>
      </c>
      <c r="AX1460" s="45">
        <f>IF(AU1460="","",T1460-AV1460)</f>
        <v/>
      </c>
      <c r="AY1460" s="45">
        <f>IF(AU1460="","",AH1460-AV1460)</f>
        <v/>
      </c>
      <c r="AZ1460" s="54">
        <f>(AL1460-AM1460)-T1460*AT1460</f>
        <v/>
      </c>
      <c r="BA1460" s="43">
        <f>IF(AU1460="",0,(AH1460-T1460)*AF1460)</f>
        <v/>
      </c>
      <c r="BB1460" s="43">
        <f>IF(AU1460="",0,T1460*(AF1460-AT1460))</f>
        <v/>
      </c>
      <c r="BC1460" s="51" t="n">
        <v>0.102328276061846</v>
      </c>
      <c r="BD1460" s="51" t="n">
        <v>0.211319115037839</v>
      </c>
      <c r="BE1460" s="51" t="n">
        <v>0.3163963575623687</v>
      </c>
      <c r="BF1460" s="43" t="n">
        <v>27617</v>
      </c>
    </row>
    <row r="1461">
      <c r="A1461" s="42" t="inlineStr">
        <is>
          <t>VA</t>
        </is>
      </c>
      <c r="B1461" s="42" t="inlineStr">
        <is>
          <t>51195</t>
        </is>
      </c>
      <c r="C1461" s="42" t="inlineStr">
        <is>
          <t>Wise</t>
        </is>
      </c>
      <c r="D1461" s="42" t="inlineStr">
        <is>
          <t>Small town &amp; rural</t>
        </is>
      </c>
      <c r="E1461" s="42" t="inlineStr"/>
      <c r="F1461" s="43" t="n">
        <v>3036</v>
      </c>
      <c r="G1461" s="43" t="n">
        <v>13655</v>
      </c>
      <c r="H1461" s="43" t="n">
        <v>16776</v>
      </c>
      <c r="I1461" s="43" t="n">
        <v>3110</v>
      </c>
      <c r="J1461" s="43" t="n">
        <v>13366</v>
      </c>
      <c r="K1461" s="42" t="inlineStr">
        <is>
          <t>US House</t>
        </is>
      </c>
      <c r="L1461" s="43" t="n">
        <v>1783</v>
      </c>
      <c r="M1461" s="43" t="n">
        <v>7506</v>
      </c>
      <c r="N1461" s="43" t="n">
        <v>9315</v>
      </c>
      <c r="O1461" s="44">
        <f>IFERROR((F1461-G1461)/(F1461+G1461),"")</f>
        <v/>
      </c>
      <c r="P1461" s="44">
        <f>IFERROR((I1461-J1461)/(I1461+J1461),"")</f>
        <v/>
      </c>
      <c r="Q1461" s="45">
        <f>IFERROR(O1461-P1461,"")</f>
        <v/>
      </c>
      <c r="R1461" s="44">
        <f>IFERROR((L1461-M1461)/(L1461+M1461),"")</f>
        <v/>
      </c>
      <c r="S1461" s="46">
        <f>H1461/SUMIFS(Counties!$H$2:$H$1583,Counties!$A$2:$A$1583,$A1461)</f>
        <v/>
      </c>
      <c r="T1461" s="44">
        <f>O1461+INDEX(Dashboard!$F$6:$F$22,MATCH($A1461,Dashboard!$A$6:$A$22,0))</f>
        <v/>
      </c>
      <c r="U1461" s="43">
        <f>AQ1461*INDEX(Dashboard!$G$6:$G$22,MATCH($A1461,Dashboard!$A$6:$A$22,0))</f>
        <v/>
      </c>
      <c r="V1461" s="47" t="n"/>
      <c r="W1461" s="47" t="n"/>
      <c r="X1461" s="47" t="n"/>
      <c r="Y1461" s="48" t="n"/>
      <c r="Z1461" s="49" t="n"/>
      <c r="AA1461" s="49" t="n"/>
      <c r="AB1461" s="49" t="n"/>
      <c r="AC1461" s="50" t="n"/>
      <c r="AD1461" s="43">
        <f>IF(Z1461&lt;&gt;"",Z1461,N(V1461))</f>
        <v/>
      </c>
      <c r="AE1461" s="43">
        <f>IF(AA1461&lt;&gt;"",AA1461,N(W1461))</f>
        <v/>
      </c>
      <c r="AF1461" s="43">
        <f>AD1461+AE1461</f>
        <v/>
      </c>
      <c r="AG1461" s="42">
        <f>IF(UPPER(AC1461)="Y",1,IF(AF1461=0,0,IF(AND(Z1461="",Y1461&lt;&gt;""),IF(Y1461&gt;=0.999,1,0),IF(AF1461&gt;=U1461,1,0))))</f>
        <v/>
      </c>
      <c r="AH1461" s="44">
        <f>IF(AF1461&gt;0,(AD1461-AE1461)/AF1461,"")</f>
        <v/>
      </c>
      <c r="AI1461" s="45">
        <f>IF(AG1461=1,AH1461-O1461,"")</f>
        <v/>
      </c>
      <c r="AJ1461" s="44">
        <f>IF(AG1461=1,AH1461,MAX(-1,MIN(1,O1461+INDEX(Types!$H:$H,MATCH($A1461&amp;"|"&amp;$D1461,Types!$A:$A,0)))))</f>
        <v/>
      </c>
      <c r="AK1461" s="43">
        <f>IF(AG1461=1,AF1461,MAX(AQ1461*AS1461,AF1461))</f>
        <v/>
      </c>
      <c r="AL1461" s="43">
        <f>IF(AG1461=1,AD1461,AK1461*(1+AJ1461)/2)</f>
        <v/>
      </c>
      <c r="AM1461" s="43">
        <f>IF(AG1461=1,AE1461,AK1461*(1-AJ1461)/2)</f>
        <v/>
      </c>
      <c r="AN1461" s="45">
        <f>IF(AH1461="","",AH1461-T1461)</f>
        <v/>
      </c>
      <c r="AO1461" s="51">
        <f>IF(AG1461=1,1,IF(U1461&gt;0,MIN(AF1461/U1461,0.99),0))</f>
        <v/>
      </c>
      <c r="AP1461" s="43">
        <f>IF(AG1461=1,AI1461*AF1461,0)</f>
        <v/>
      </c>
      <c r="AQ1461" s="43">
        <f>N1461*(F1461+G1461)/H1461</f>
        <v/>
      </c>
      <c r="AR1461" s="43">
        <f>O1461*AQ1461</f>
        <v/>
      </c>
      <c r="AS1461" s="52">
        <f>IF(AG1461=1,IF(AQ1461&gt;0,AF1461/AQ1461,1),IFERROR(INDEX(Types!$K:$K,MATCH($A1461&amp;"|"&amp;$D1461,Types!$A:$A,0)),INDEX(Dashboard!$X$6:$X$22,MATCH($A1461,Dashboard!$A$6:$A$22,0))))</f>
        <v/>
      </c>
      <c r="AT1461" s="43">
        <f>AQ1461*INDEX(Dashboard!$Y$6:$Y$22,MATCH($A1461,Dashboard!$A$6:$A$22,0))</f>
        <v/>
      </c>
      <c r="AU1461" s="53">
        <f>IF(AND(AG1461=1,AT1461&gt;0,AF1461&gt;0),100*AF1461/AT1461,"")</f>
        <v/>
      </c>
      <c r="AV1461" s="44">
        <f>IF(AU1461="","",T1461/(AU1461/100))</f>
        <v/>
      </c>
      <c r="AW1461" s="53">
        <f>IF(AU1461="","",IF(AND(ABS(AH1461)&gt;=0.1,ABS(T1461)&gt;=0.05,SIGN(AH1461)=SIGN(T1461)),100*T1461/AH1461,""))</f>
        <v/>
      </c>
      <c r="AX1461" s="45">
        <f>IF(AU1461="","",T1461-AV1461)</f>
        <v/>
      </c>
      <c r="AY1461" s="45">
        <f>IF(AU1461="","",AH1461-AV1461)</f>
        <v/>
      </c>
      <c r="AZ1461" s="54">
        <f>(AL1461-AM1461)-T1461*AT1461</f>
        <v/>
      </c>
      <c r="BA1461" s="43">
        <f>IF(AU1461="",0,(AH1461-T1461)*AF1461)</f>
        <v/>
      </c>
      <c r="BB1461" s="43">
        <f>IF(AU1461="",0,T1461*(AF1461-AT1461))</f>
        <v/>
      </c>
      <c r="BC1461" s="51" t="n">
        <v>0.05967475976573605</v>
      </c>
      <c r="BD1461" s="51" t="n">
        <v>0.01518166827770512</v>
      </c>
      <c r="BE1461" s="51" t="n">
        <v>0.1560733916544089</v>
      </c>
      <c r="BF1461" s="43" t="n">
        <v>35174</v>
      </c>
    </row>
    <row r="1462">
      <c r="A1462" s="42" t="inlineStr">
        <is>
          <t>VA</t>
        </is>
      </c>
      <c r="B1462" s="42" t="inlineStr">
        <is>
          <t>51197</t>
        </is>
      </c>
      <c r="C1462" s="42" t="inlineStr">
        <is>
          <t>Wythe</t>
        </is>
      </c>
      <c r="D1462" s="42" t="inlineStr">
        <is>
          <t>Small town &amp; rural</t>
        </is>
      </c>
      <c r="E1462" s="42" t="inlineStr"/>
      <c r="F1462" s="43" t="n">
        <v>3075</v>
      </c>
      <c r="G1462" s="43" t="n">
        <v>12267</v>
      </c>
      <c r="H1462" s="43" t="n">
        <v>15439</v>
      </c>
      <c r="I1462" s="43" t="n">
        <v>3143</v>
      </c>
      <c r="J1462" s="43" t="n">
        <v>11733</v>
      </c>
      <c r="K1462" s="42" t="inlineStr">
        <is>
          <t>US House</t>
        </is>
      </c>
      <c r="L1462" s="43" t="n">
        <v>1824</v>
      </c>
      <c r="M1462" s="43" t="n">
        <v>7645</v>
      </c>
      <c r="N1462" s="43" t="n">
        <v>9491</v>
      </c>
      <c r="O1462" s="44">
        <f>IFERROR((F1462-G1462)/(F1462+G1462),"")</f>
        <v/>
      </c>
      <c r="P1462" s="44">
        <f>IFERROR((I1462-J1462)/(I1462+J1462),"")</f>
        <v/>
      </c>
      <c r="Q1462" s="45">
        <f>IFERROR(O1462-P1462,"")</f>
        <v/>
      </c>
      <c r="R1462" s="44">
        <f>IFERROR((L1462-M1462)/(L1462+M1462),"")</f>
        <v/>
      </c>
      <c r="S1462" s="46">
        <f>H1462/SUMIFS(Counties!$H$2:$H$1583,Counties!$A$2:$A$1583,$A1462)</f>
        <v/>
      </c>
      <c r="T1462" s="44">
        <f>O1462+INDEX(Dashboard!$F$6:$F$22,MATCH($A1462,Dashboard!$A$6:$A$22,0))</f>
        <v/>
      </c>
      <c r="U1462" s="43">
        <f>AQ1462*INDEX(Dashboard!$G$6:$G$22,MATCH($A1462,Dashboard!$A$6:$A$22,0))</f>
        <v/>
      </c>
      <c r="V1462" s="47" t="n"/>
      <c r="W1462" s="47" t="n"/>
      <c r="X1462" s="47" t="n"/>
      <c r="Y1462" s="48" t="n"/>
      <c r="Z1462" s="49" t="n"/>
      <c r="AA1462" s="49" t="n"/>
      <c r="AB1462" s="49" t="n"/>
      <c r="AC1462" s="50" t="n"/>
      <c r="AD1462" s="43">
        <f>IF(Z1462&lt;&gt;"",Z1462,N(V1462))</f>
        <v/>
      </c>
      <c r="AE1462" s="43">
        <f>IF(AA1462&lt;&gt;"",AA1462,N(W1462))</f>
        <v/>
      </c>
      <c r="AF1462" s="43">
        <f>AD1462+AE1462</f>
        <v/>
      </c>
      <c r="AG1462" s="42">
        <f>IF(UPPER(AC1462)="Y",1,IF(AF1462=0,0,IF(AND(Z1462="",Y1462&lt;&gt;""),IF(Y1462&gt;=0.999,1,0),IF(AF1462&gt;=U1462,1,0))))</f>
        <v/>
      </c>
      <c r="AH1462" s="44">
        <f>IF(AF1462&gt;0,(AD1462-AE1462)/AF1462,"")</f>
        <v/>
      </c>
      <c r="AI1462" s="45">
        <f>IF(AG1462=1,AH1462-O1462,"")</f>
        <v/>
      </c>
      <c r="AJ1462" s="44">
        <f>IF(AG1462=1,AH1462,MAX(-1,MIN(1,O1462+INDEX(Types!$H:$H,MATCH($A1462&amp;"|"&amp;$D1462,Types!$A:$A,0)))))</f>
        <v/>
      </c>
      <c r="AK1462" s="43">
        <f>IF(AG1462=1,AF1462,MAX(AQ1462*AS1462,AF1462))</f>
        <v/>
      </c>
      <c r="AL1462" s="43">
        <f>IF(AG1462=1,AD1462,AK1462*(1+AJ1462)/2)</f>
        <v/>
      </c>
      <c r="AM1462" s="43">
        <f>IF(AG1462=1,AE1462,AK1462*(1-AJ1462)/2)</f>
        <v/>
      </c>
      <c r="AN1462" s="45">
        <f>IF(AH1462="","",AH1462-T1462)</f>
        <v/>
      </c>
      <c r="AO1462" s="51">
        <f>IF(AG1462=1,1,IF(U1462&gt;0,MIN(AF1462/U1462,0.99),0))</f>
        <v/>
      </c>
      <c r="AP1462" s="43">
        <f>IF(AG1462=1,AI1462*AF1462,0)</f>
        <v/>
      </c>
      <c r="AQ1462" s="43">
        <f>N1462*(F1462+G1462)/H1462</f>
        <v/>
      </c>
      <c r="AR1462" s="43">
        <f>O1462*AQ1462</f>
        <v/>
      </c>
      <c r="AS1462" s="52">
        <f>IF(AG1462=1,IF(AQ1462&gt;0,AF1462/AQ1462,1),IFERROR(INDEX(Types!$K:$K,MATCH($A1462&amp;"|"&amp;$D1462,Types!$A:$A,0)),INDEX(Dashboard!$X$6:$X$22,MATCH($A1462,Dashboard!$A$6:$A$22,0))))</f>
        <v/>
      </c>
      <c r="AT1462" s="43">
        <f>AQ1462*INDEX(Dashboard!$Y$6:$Y$22,MATCH($A1462,Dashboard!$A$6:$A$22,0))</f>
        <v/>
      </c>
      <c r="AU1462" s="53">
        <f>IF(AND(AG1462=1,AT1462&gt;0,AF1462&gt;0),100*AF1462/AT1462,"")</f>
        <v/>
      </c>
      <c r="AV1462" s="44">
        <f>IF(AU1462="","",T1462/(AU1462/100))</f>
        <v/>
      </c>
      <c r="AW1462" s="53">
        <f>IF(AU1462="","",IF(AND(ABS(AH1462)&gt;=0.1,ABS(T1462)&gt;=0.05,SIGN(AH1462)=SIGN(T1462)),100*T1462/AH1462,""))</f>
        <v/>
      </c>
      <c r="AX1462" s="45">
        <f>IF(AU1462="","",T1462-AV1462)</f>
        <v/>
      </c>
      <c r="AY1462" s="45">
        <f>IF(AU1462="","",AH1462-AV1462)</f>
        <v/>
      </c>
      <c r="AZ1462" s="54">
        <f>(AL1462-AM1462)-T1462*AT1462</f>
        <v/>
      </c>
      <c r="BA1462" s="43">
        <f>IF(AU1462="",0,(AH1462-T1462)*AF1462)</f>
        <v/>
      </c>
      <c r="BB1462" s="43">
        <f>IF(AU1462="",0,T1462*(AF1462-AT1462))</f>
        <v/>
      </c>
      <c r="BC1462" s="51" t="n">
        <v>0.02643751779106177</v>
      </c>
      <c r="BD1462" s="51" t="n">
        <v>0.01757756902931967</v>
      </c>
      <c r="BE1462" s="51" t="n">
        <v>0.1971926101008152</v>
      </c>
      <c r="BF1462" s="43" t="n">
        <v>28104</v>
      </c>
    </row>
    <row r="1463">
      <c r="A1463" s="42" t="inlineStr">
        <is>
          <t>VA</t>
        </is>
      </c>
      <c r="B1463" s="42" t="inlineStr">
        <is>
          <t>51199</t>
        </is>
      </c>
      <c r="C1463" s="42" t="inlineStr">
        <is>
          <t>York</t>
        </is>
      </c>
      <c r="D1463" s="42" t="inlineStr">
        <is>
          <t>Small town &amp; rural</t>
        </is>
      </c>
      <c r="E1463" s="42" t="inlineStr"/>
      <c r="F1463" s="43" t="n">
        <v>18296</v>
      </c>
      <c r="G1463" s="43" t="n">
        <v>20722</v>
      </c>
      <c r="H1463" s="43" t="n">
        <v>39540</v>
      </c>
      <c r="I1463" s="43" t="n">
        <v>17683</v>
      </c>
      <c r="J1463" s="43" t="n">
        <v>20241</v>
      </c>
      <c r="K1463" s="42" t="inlineStr">
        <is>
          <t>US House</t>
        </is>
      </c>
      <c r="L1463" s="43" t="n">
        <v>11640</v>
      </c>
      <c r="M1463" s="43" t="n">
        <v>15914</v>
      </c>
      <c r="N1463" s="43" t="n">
        <v>27887</v>
      </c>
      <c r="O1463" s="44">
        <f>IFERROR((F1463-G1463)/(F1463+G1463),"")</f>
        <v/>
      </c>
      <c r="P1463" s="44">
        <f>IFERROR((I1463-J1463)/(I1463+J1463),"")</f>
        <v/>
      </c>
      <c r="Q1463" s="45">
        <f>IFERROR(O1463-P1463,"")</f>
        <v/>
      </c>
      <c r="R1463" s="44">
        <f>IFERROR((L1463-M1463)/(L1463+M1463),"")</f>
        <v/>
      </c>
      <c r="S1463" s="46">
        <f>H1463/SUMIFS(Counties!$H$2:$H$1583,Counties!$A$2:$A$1583,$A1463)</f>
        <v/>
      </c>
      <c r="T1463" s="44">
        <f>O1463+INDEX(Dashboard!$F$6:$F$22,MATCH($A1463,Dashboard!$A$6:$A$22,0))</f>
        <v/>
      </c>
      <c r="U1463" s="43">
        <f>AQ1463*INDEX(Dashboard!$G$6:$G$22,MATCH($A1463,Dashboard!$A$6:$A$22,0))</f>
        <v/>
      </c>
      <c r="V1463" s="47" t="n"/>
      <c r="W1463" s="47" t="n"/>
      <c r="X1463" s="47" t="n"/>
      <c r="Y1463" s="48" t="n"/>
      <c r="Z1463" s="49" t="n"/>
      <c r="AA1463" s="49" t="n"/>
      <c r="AB1463" s="49" t="n"/>
      <c r="AC1463" s="50" t="n"/>
      <c r="AD1463" s="43">
        <f>IF(Z1463&lt;&gt;"",Z1463,N(V1463))</f>
        <v/>
      </c>
      <c r="AE1463" s="43">
        <f>IF(AA1463&lt;&gt;"",AA1463,N(W1463))</f>
        <v/>
      </c>
      <c r="AF1463" s="43">
        <f>AD1463+AE1463</f>
        <v/>
      </c>
      <c r="AG1463" s="42">
        <f>IF(UPPER(AC1463)="Y",1,IF(AF1463=0,0,IF(AND(Z1463="",Y1463&lt;&gt;""),IF(Y1463&gt;=0.999,1,0),IF(AF1463&gt;=U1463,1,0))))</f>
        <v/>
      </c>
      <c r="AH1463" s="44">
        <f>IF(AF1463&gt;0,(AD1463-AE1463)/AF1463,"")</f>
        <v/>
      </c>
      <c r="AI1463" s="45">
        <f>IF(AG1463=1,AH1463-O1463,"")</f>
        <v/>
      </c>
      <c r="AJ1463" s="44">
        <f>IF(AG1463=1,AH1463,MAX(-1,MIN(1,O1463+INDEX(Types!$H:$H,MATCH($A1463&amp;"|"&amp;$D1463,Types!$A:$A,0)))))</f>
        <v/>
      </c>
      <c r="AK1463" s="43">
        <f>IF(AG1463=1,AF1463,MAX(AQ1463*AS1463,AF1463))</f>
        <v/>
      </c>
      <c r="AL1463" s="43">
        <f>IF(AG1463=1,AD1463,AK1463*(1+AJ1463)/2)</f>
        <v/>
      </c>
      <c r="AM1463" s="43">
        <f>IF(AG1463=1,AE1463,AK1463*(1-AJ1463)/2)</f>
        <v/>
      </c>
      <c r="AN1463" s="45">
        <f>IF(AH1463="","",AH1463-T1463)</f>
        <v/>
      </c>
      <c r="AO1463" s="51">
        <f>IF(AG1463=1,1,IF(U1463&gt;0,MIN(AF1463/U1463,0.99),0))</f>
        <v/>
      </c>
      <c r="AP1463" s="43">
        <f>IF(AG1463=1,AI1463*AF1463,0)</f>
        <v/>
      </c>
      <c r="AQ1463" s="43">
        <f>N1463*(F1463+G1463)/H1463</f>
        <v/>
      </c>
      <c r="AR1463" s="43">
        <f>O1463*AQ1463</f>
        <v/>
      </c>
      <c r="AS1463" s="52">
        <f>IF(AG1463=1,IF(AQ1463&gt;0,AF1463/AQ1463,1),IFERROR(INDEX(Types!$K:$K,MATCH($A1463&amp;"|"&amp;$D1463,Types!$A:$A,0)),INDEX(Dashboard!$X$6:$X$22,MATCH($A1463,Dashboard!$A$6:$A$22,0))))</f>
        <v/>
      </c>
      <c r="AT1463" s="43">
        <f>AQ1463*INDEX(Dashboard!$Y$6:$Y$22,MATCH($A1463,Dashboard!$A$6:$A$22,0))</f>
        <v/>
      </c>
      <c r="AU1463" s="53">
        <f>IF(AND(AG1463=1,AT1463&gt;0,AF1463&gt;0),100*AF1463/AT1463,"")</f>
        <v/>
      </c>
      <c r="AV1463" s="44">
        <f>IF(AU1463="","",T1463/(AU1463/100))</f>
        <v/>
      </c>
      <c r="AW1463" s="53">
        <f>IF(AU1463="","",IF(AND(ABS(AH1463)&gt;=0.1,ABS(T1463)&gt;=0.05,SIGN(AH1463)=SIGN(T1463)),100*T1463/AH1463,""))</f>
        <v/>
      </c>
      <c r="AX1463" s="45">
        <f>IF(AU1463="","",T1463-AV1463)</f>
        <v/>
      </c>
      <c r="AY1463" s="45">
        <f>IF(AU1463="","",AH1463-AV1463)</f>
        <v/>
      </c>
      <c r="AZ1463" s="54">
        <f>(AL1463-AM1463)-T1463*AT1463</f>
        <v/>
      </c>
      <c r="BA1463" s="43">
        <f>IF(AU1463="",0,(AH1463-T1463)*AF1463)</f>
        <v/>
      </c>
      <c r="BB1463" s="43">
        <f>IF(AU1463="",0,T1463*(AF1463-AT1463))</f>
        <v/>
      </c>
      <c r="BC1463" s="51" t="n">
        <v>0.1373181869432856</v>
      </c>
      <c r="BD1463" s="51" t="n">
        <v>0.08105479760965159</v>
      </c>
      <c r="BE1463" s="51" t="n">
        <v>0.5002293386706697</v>
      </c>
      <c r="BF1463" s="43" t="n">
        <v>70952</v>
      </c>
    </row>
    <row r="1464">
      <c r="A1464" s="42" t="inlineStr">
        <is>
          <t>KY</t>
        </is>
      </c>
      <c r="B1464" s="42" t="inlineStr">
        <is>
          <t>21001</t>
        </is>
      </c>
      <c r="C1464" s="42" t="inlineStr">
        <is>
          <t>Adair</t>
        </is>
      </c>
      <c r="D1464" s="42" t="inlineStr">
        <is>
          <t>Small town &amp; rural</t>
        </is>
      </c>
      <c r="E1464" s="42" t="inlineStr"/>
      <c r="F1464" s="43" t="n">
        <v>1257</v>
      </c>
      <c r="G1464" s="43" t="n">
        <v>7643</v>
      </c>
      <c r="H1464" s="43" t="n">
        <v>8971</v>
      </c>
      <c r="I1464" s="43" t="n">
        <v>1392</v>
      </c>
      <c r="J1464" s="43" t="n">
        <v>7276</v>
      </c>
      <c r="K1464" s="42" t="inlineStr">
        <is>
          <t>US Senate</t>
        </is>
      </c>
      <c r="L1464" s="43" t="n">
        <v>1075</v>
      </c>
      <c r="M1464" s="43" t="n">
        <v>5249</v>
      </c>
      <c r="N1464" s="43" t="n">
        <v>6324</v>
      </c>
      <c r="O1464" s="44">
        <f>IFERROR((F1464-G1464)/(F1464+G1464),"")</f>
        <v/>
      </c>
      <c r="P1464" s="44">
        <f>IFERROR((I1464-J1464)/(I1464+J1464),"")</f>
        <v/>
      </c>
      <c r="Q1464" s="45">
        <f>IFERROR(O1464-P1464,"")</f>
        <v/>
      </c>
      <c r="R1464" s="44">
        <f>IFERROR((L1464-M1464)/(L1464+M1464),"")</f>
        <v/>
      </c>
      <c r="S1464" s="46">
        <f>H1464/SUMIFS(Counties!$H$2:$H$1583,Counties!$A$2:$A$1583,$A1464)</f>
        <v/>
      </c>
      <c r="T1464" s="44">
        <f>O1464+INDEX(Dashboard!$F$6:$F$22,MATCH($A1464,Dashboard!$A$6:$A$22,0))</f>
        <v/>
      </c>
      <c r="U1464" s="43">
        <f>AQ1464*INDEX(Dashboard!$G$6:$G$22,MATCH($A1464,Dashboard!$A$6:$A$22,0))</f>
        <v/>
      </c>
      <c r="V1464" s="47" t="n"/>
      <c r="W1464" s="47" t="n"/>
      <c r="X1464" s="47" t="n"/>
      <c r="Y1464" s="48" t="n"/>
      <c r="Z1464" s="49" t="n"/>
      <c r="AA1464" s="49" t="n"/>
      <c r="AB1464" s="49" t="n"/>
      <c r="AC1464" s="50" t="n"/>
      <c r="AD1464" s="43">
        <f>IF(Z1464&lt;&gt;"",Z1464,N(V1464))</f>
        <v/>
      </c>
      <c r="AE1464" s="43">
        <f>IF(AA1464&lt;&gt;"",AA1464,N(W1464))</f>
        <v/>
      </c>
      <c r="AF1464" s="43">
        <f>AD1464+AE1464</f>
        <v/>
      </c>
      <c r="AG1464" s="42">
        <f>IF(UPPER(AC1464)="Y",1,IF(AF1464=0,0,IF(AND(Z1464="",Y1464&lt;&gt;""),IF(Y1464&gt;=0.999,1,0),IF(AF1464&gt;=U1464,1,0))))</f>
        <v/>
      </c>
      <c r="AH1464" s="44">
        <f>IF(AF1464&gt;0,(AD1464-AE1464)/AF1464,"")</f>
        <v/>
      </c>
      <c r="AI1464" s="45">
        <f>IF(AG1464=1,AH1464-O1464,"")</f>
        <v/>
      </c>
      <c r="AJ1464" s="44">
        <f>IF(AG1464=1,AH1464,MAX(-1,MIN(1,O1464+INDEX(Types!$H:$H,MATCH($A1464&amp;"|"&amp;$D1464,Types!$A:$A,0)))))</f>
        <v/>
      </c>
      <c r="AK1464" s="43">
        <f>IF(AG1464=1,AF1464,MAX(AQ1464*AS1464,AF1464))</f>
        <v/>
      </c>
      <c r="AL1464" s="43">
        <f>IF(AG1464=1,AD1464,AK1464*(1+AJ1464)/2)</f>
        <v/>
      </c>
      <c r="AM1464" s="43">
        <f>IF(AG1464=1,AE1464,AK1464*(1-AJ1464)/2)</f>
        <v/>
      </c>
      <c r="AN1464" s="45">
        <f>IF(AH1464="","",AH1464-T1464)</f>
        <v/>
      </c>
      <c r="AO1464" s="51">
        <f>IF(AG1464=1,1,IF(U1464&gt;0,MIN(AF1464/U1464,0.99),0))</f>
        <v/>
      </c>
      <c r="AP1464" s="43">
        <f>IF(AG1464=1,AI1464*AF1464,0)</f>
        <v/>
      </c>
      <c r="AQ1464" s="43">
        <f>N1464*(F1464+G1464)/H1464</f>
        <v/>
      </c>
      <c r="AR1464" s="43">
        <f>O1464*AQ1464</f>
        <v/>
      </c>
      <c r="AS1464" s="52">
        <f>IF(AG1464=1,IF(AQ1464&gt;0,AF1464/AQ1464,1),IFERROR(INDEX(Types!$K:$K,MATCH($A1464&amp;"|"&amp;$D1464,Types!$A:$A,0)),INDEX(Dashboard!$X$6:$X$22,MATCH($A1464,Dashboard!$A$6:$A$22,0))))</f>
        <v/>
      </c>
      <c r="AT1464" s="43">
        <f>AQ1464*INDEX(Dashboard!$Y$6:$Y$22,MATCH($A1464,Dashboard!$A$6:$A$22,0))</f>
        <v/>
      </c>
      <c r="AU1464" s="53">
        <f>IF(AND(AG1464=1,AT1464&gt;0,AF1464&gt;0),100*AF1464/AT1464,"")</f>
        <v/>
      </c>
      <c r="AV1464" s="44">
        <f>IF(AU1464="","",T1464/(AU1464/100))</f>
        <v/>
      </c>
      <c r="AW1464" s="53">
        <f>IF(AU1464="","",IF(AND(ABS(AH1464)&gt;=0.1,ABS(T1464)&gt;=0.05,SIGN(AH1464)=SIGN(T1464)),100*T1464/AH1464,""))</f>
        <v/>
      </c>
      <c r="AX1464" s="45">
        <f>IF(AU1464="","",T1464-AV1464)</f>
        <v/>
      </c>
      <c r="AY1464" s="45">
        <f>IF(AU1464="","",AH1464-AV1464)</f>
        <v/>
      </c>
      <c r="AZ1464" s="54">
        <f>(AL1464-AM1464)-T1464*AT1464</f>
        <v/>
      </c>
      <c r="BA1464" s="43">
        <f>IF(AU1464="",0,(AH1464-T1464)*AF1464)</f>
        <v/>
      </c>
      <c r="BB1464" s="43">
        <f>IF(AU1464="",0,T1464*(AF1464-AT1464))</f>
        <v/>
      </c>
      <c r="BC1464" s="51" t="n">
        <v>0.02647425249169435</v>
      </c>
      <c r="BD1464" s="51" t="n">
        <v>0.03400124584717608</v>
      </c>
      <c r="BE1464" s="51" t="n">
        <v>0.1875683273465563</v>
      </c>
      <c r="BF1464" s="43" t="n">
        <v>19264</v>
      </c>
    </row>
    <row r="1465">
      <c r="A1465" s="42" t="inlineStr">
        <is>
          <t>KY</t>
        </is>
      </c>
      <c r="B1465" s="42" t="inlineStr">
        <is>
          <t>21003</t>
        </is>
      </c>
      <c r="C1465" s="42" t="inlineStr">
        <is>
          <t>Allen</t>
        </is>
      </c>
      <c r="D1465" s="42" t="inlineStr">
        <is>
          <t>Small town &amp; rural</t>
        </is>
      </c>
      <c r="E1465" s="42" t="inlineStr"/>
      <c r="F1465" s="43" t="n">
        <v>1505</v>
      </c>
      <c r="G1465" s="43" t="n">
        <v>7824</v>
      </c>
      <c r="H1465" s="43" t="n">
        <v>9418</v>
      </c>
      <c r="I1465" s="43" t="n">
        <v>1642</v>
      </c>
      <c r="J1465" s="43" t="n">
        <v>7587</v>
      </c>
      <c r="K1465" s="42" t="inlineStr">
        <is>
          <t>US Senate</t>
        </is>
      </c>
      <c r="L1465" s="43" t="n">
        <v>1171</v>
      </c>
      <c r="M1465" s="43" t="n">
        <v>4931</v>
      </c>
      <c r="N1465" s="43" t="n">
        <v>6102</v>
      </c>
      <c r="O1465" s="44">
        <f>IFERROR((F1465-G1465)/(F1465+G1465),"")</f>
        <v/>
      </c>
      <c r="P1465" s="44">
        <f>IFERROR((I1465-J1465)/(I1465+J1465),"")</f>
        <v/>
      </c>
      <c r="Q1465" s="45">
        <f>IFERROR(O1465-P1465,"")</f>
        <v/>
      </c>
      <c r="R1465" s="44">
        <f>IFERROR((L1465-M1465)/(L1465+M1465),"")</f>
        <v/>
      </c>
      <c r="S1465" s="46">
        <f>H1465/SUMIFS(Counties!$H$2:$H$1583,Counties!$A$2:$A$1583,$A1465)</f>
        <v/>
      </c>
      <c r="T1465" s="44">
        <f>O1465+INDEX(Dashboard!$F$6:$F$22,MATCH($A1465,Dashboard!$A$6:$A$22,0))</f>
        <v/>
      </c>
      <c r="U1465" s="43">
        <f>AQ1465*INDEX(Dashboard!$G$6:$G$22,MATCH($A1465,Dashboard!$A$6:$A$22,0))</f>
        <v/>
      </c>
      <c r="V1465" s="47" t="n"/>
      <c r="W1465" s="47" t="n"/>
      <c r="X1465" s="47" t="n"/>
      <c r="Y1465" s="48" t="n"/>
      <c r="Z1465" s="49" t="n"/>
      <c r="AA1465" s="49" t="n"/>
      <c r="AB1465" s="49" t="n"/>
      <c r="AC1465" s="50" t="n"/>
      <c r="AD1465" s="43">
        <f>IF(Z1465&lt;&gt;"",Z1465,N(V1465))</f>
        <v/>
      </c>
      <c r="AE1465" s="43">
        <f>IF(AA1465&lt;&gt;"",AA1465,N(W1465))</f>
        <v/>
      </c>
      <c r="AF1465" s="43">
        <f>AD1465+AE1465</f>
        <v/>
      </c>
      <c r="AG1465" s="42">
        <f>IF(UPPER(AC1465)="Y",1,IF(AF1465=0,0,IF(AND(Z1465="",Y1465&lt;&gt;""),IF(Y1465&gt;=0.999,1,0),IF(AF1465&gt;=U1465,1,0))))</f>
        <v/>
      </c>
      <c r="AH1465" s="44">
        <f>IF(AF1465&gt;0,(AD1465-AE1465)/AF1465,"")</f>
        <v/>
      </c>
      <c r="AI1465" s="45">
        <f>IF(AG1465=1,AH1465-O1465,"")</f>
        <v/>
      </c>
      <c r="AJ1465" s="44">
        <f>IF(AG1465=1,AH1465,MAX(-1,MIN(1,O1465+INDEX(Types!$H:$H,MATCH($A1465&amp;"|"&amp;$D1465,Types!$A:$A,0)))))</f>
        <v/>
      </c>
      <c r="AK1465" s="43">
        <f>IF(AG1465=1,AF1465,MAX(AQ1465*AS1465,AF1465))</f>
        <v/>
      </c>
      <c r="AL1465" s="43">
        <f>IF(AG1465=1,AD1465,AK1465*(1+AJ1465)/2)</f>
        <v/>
      </c>
      <c r="AM1465" s="43">
        <f>IF(AG1465=1,AE1465,AK1465*(1-AJ1465)/2)</f>
        <v/>
      </c>
      <c r="AN1465" s="45">
        <f>IF(AH1465="","",AH1465-T1465)</f>
        <v/>
      </c>
      <c r="AO1465" s="51">
        <f>IF(AG1465=1,1,IF(U1465&gt;0,MIN(AF1465/U1465,0.99),0))</f>
        <v/>
      </c>
      <c r="AP1465" s="43">
        <f>IF(AG1465=1,AI1465*AF1465,0)</f>
        <v/>
      </c>
      <c r="AQ1465" s="43">
        <f>N1465*(F1465+G1465)/H1465</f>
        <v/>
      </c>
      <c r="AR1465" s="43">
        <f>O1465*AQ1465</f>
        <v/>
      </c>
      <c r="AS1465" s="52">
        <f>IF(AG1465=1,IF(AQ1465&gt;0,AF1465/AQ1465,1),IFERROR(INDEX(Types!$K:$K,MATCH($A1465&amp;"|"&amp;$D1465,Types!$A:$A,0)),INDEX(Dashboard!$X$6:$X$22,MATCH($A1465,Dashboard!$A$6:$A$22,0))))</f>
        <v/>
      </c>
      <c r="AT1465" s="43">
        <f>AQ1465*INDEX(Dashboard!$Y$6:$Y$22,MATCH($A1465,Dashboard!$A$6:$A$22,0))</f>
        <v/>
      </c>
      <c r="AU1465" s="53">
        <f>IF(AND(AG1465=1,AT1465&gt;0,AF1465&gt;0),100*AF1465/AT1465,"")</f>
        <v/>
      </c>
      <c r="AV1465" s="44">
        <f>IF(AU1465="","",T1465/(AU1465/100))</f>
        <v/>
      </c>
      <c r="AW1465" s="53">
        <f>IF(AU1465="","",IF(AND(ABS(AH1465)&gt;=0.1,ABS(T1465)&gt;=0.05,SIGN(AH1465)=SIGN(T1465)),100*T1465/AH1465,""))</f>
        <v/>
      </c>
      <c r="AX1465" s="45">
        <f>IF(AU1465="","",T1465-AV1465)</f>
        <v/>
      </c>
      <c r="AY1465" s="45">
        <f>IF(AU1465="","",AH1465-AV1465)</f>
        <v/>
      </c>
      <c r="AZ1465" s="54">
        <f>(AL1465-AM1465)-T1465*AT1465</f>
        <v/>
      </c>
      <c r="BA1465" s="43">
        <f>IF(AU1465="",0,(AH1465-T1465)*AF1465)</f>
        <v/>
      </c>
      <c r="BB1465" s="43">
        <f>IF(AU1465="",0,T1465*(AF1465-AT1465))</f>
        <v/>
      </c>
      <c r="BC1465" s="51" t="n">
        <v>0.01381494400587479</v>
      </c>
      <c r="BD1465" s="51" t="n">
        <v>0.0286855149623646</v>
      </c>
      <c r="BE1465" s="51" t="n">
        <v>0.1738002594033722</v>
      </c>
      <c r="BF1465" s="43" t="n">
        <v>21788</v>
      </c>
    </row>
    <row r="1466">
      <c r="A1466" s="42" t="inlineStr">
        <is>
          <t>KY</t>
        </is>
      </c>
      <c r="B1466" s="42" t="inlineStr">
        <is>
          <t>21005</t>
        </is>
      </c>
      <c r="C1466" s="42" t="inlineStr">
        <is>
          <t>Anderson</t>
        </is>
      </c>
      <c r="D1466" s="42" t="inlineStr">
        <is>
          <t>Small town &amp; rural</t>
        </is>
      </c>
      <c r="E1466" s="42" t="inlineStr"/>
      <c r="F1466" s="43" t="n">
        <v>3226</v>
      </c>
      <c r="G1466" s="43" t="n">
        <v>9650</v>
      </c>
      <c r="H1466" s="43" t="n">
        <v>13090</v>
      </c>
      <c r="I1466" s="43" t="n">
        <v>3348</v>
      </c>
      <c r="J1466" s="43" t="n">
        <v>9661</v>
      </c>
      <c r="K1466" s="42" t="inlineStr">
        <is>
          <t>US Senate</t>
        </is>
      </c>
      <c r="L1466" s="43" t="n">
        <v>2691</v>
      </c>
      <c r="M1466" s="43" t="n">
        <v>6687</v>
      </c>
      <c r="N1466" s="43" t="n">
        <v>9378</v>
      </c>
      <c r="O1466" s="44">
        <f>IFERROR((F1466-G1466)/(F1466+G1466),"")</f>
        <v/>
      </c>
      <c r="P1466" s="44">
        <f>IFERROR((I1466-J1466)/(I1466+J1466),"")</f>
        <v/>
      </c>
      <c r="Q1466" s="45">
        <f>IFERROR(O1466-P1466,"")</f>
        <v/>
      </c>
      <c r="R1466" s="44">
        <f>IFERROR((L1466-M1466)/(L1466+M1466),"")</f>
        <v/>
      </c>
      <c r="S1466" s="46">
        <f>H1466/SUMIFS(Counties!$H$2:$H$1583,Counties!$A$2:$A$1583,$A1466)</f>
        <v/>
      </c>
      <c r="T1466" s="44">
        <f>O1466+INDEX(Dashboard!$F$6:$F$22,MATCH($A1466,Dashboard!$A$6:$A$22,0))</f>
        <v/>
      </c>
      <c r="U1466" s="43">
        <f>AQ1466*INDEX(Dashboard!$G$6:$G$22,MATCH($A1466,Dashboard!$A$6:$A$22,0))</f>
        <v/>
      </c>
      <c r="V1466" s="47" t="n"/>
      <c r="W1466" s="47" t="n"/>
      <c r="X1466" s="47" t="n"/>
      <c r="Y1466" s="48" t="n"/>
      <c r="Z1466" s="49" t="n"/>
      <c r="AA1466" s="49" t="n"/>
      <c r="AB1466" s="49" t="n"/>
      <c r="AC1466" s="50" t="n"/>
      <c r="AD1466" s="43">
        <f>IF(Z1466&lt;&gt;"",Z1466,N(V1466))</f>
        <v/>
      </c>
      <c r="AE1466" s="43">
        <f>IF(AA1466&lt;&gt;"",AA1466,N(W1466))</f>
        <v/>
      </c>
      <c r="AF1466" s="43">
        <f>AD1466+AE1466</f>
        <v/>
      </c>
      <c r="AG1466" s="42">
        <f>IF(UPPER(AC1466)="Y",1,IF(AF1466=0,0,IF(AND(Z1466="",Y1466&lt;&gt;""),IF(Y1466&gt;=0.999,1,0),IF(AF1466&gt;=U1466,1,0))))</f>
        <v/>
      </c>
      <c r="AH1466" s="44">
        <f>IF(AF1466&gt;0,(AD1466-AE1466)/AF1466,"")</f>
        <v/>
      </c>
      <c r="AI1466" s="45">
        <f>IF(AG1466=1,AH1466-O1466,"")</f>
        <v/>
      </c>
      <c r="AJ1466" s="44">
        <f>IF(AG1466=1,AH1466,MAX(-1,MIN(1,O1466+INDEX(Types!$H:$H,MATCH($A1466&amp;"|"&amp;$D1466,Types!$A:$A,0)))))</f>
        <v/>
      </c>
      <c r="AK1466" s="43">
        <f>IF(AG1466=1,AF1466,MAX(AQ1466*AS1466,AF1466))</f>
        <v/>
      </c>
      <c r="AL1466" s="43">
        <f>IF(AG1466=1,AD1466,AK1466*(1+AJ1466)/2)</f>
        <v/>
      </c>
      <c r="AM1466" s="43">
        <f>IF(AG1466=1,AE1466,AK1466*(1-AJ1466)/2)</f>
        <v/>
      </c>
      <c r="AN1466" s="45">
        <f>IF(AH1466="","",AH1466-T1466)</f>
        <v/>
      </c>
      <c r="AO1466" s="51">
        <f>IF(AG1466=1,1,IF(U1466&gt;0,MIN(AF1466/U1466,0.99),0))</f>
        <v/>
      </c>
      <c r="AP1466" s="43">
        <f>IF(AG1466=1,AI1466*AF1466,0)</f>
        <v/>
      </c>
      <c r="AQ1466" s="43">
        <f>N1466*(F1466+G1466)/H1466</f>
        <v/>
      </c>
      <c r="AR1466" s="43">
        <f>O1466*AQ1466</f>
        <v/>
      </c>
      <c r="AS1466" s="52">
        <f>IF(AG1466=1,IF(AQ1466&gt;0,AF1466/AQ1466,1),IFERROR(INDEX(Types!$K:$K,MATCH($A1466&amp;"|"&amp;$D1466,Types!$A:$A,0)),INDEX(Dashboard!$X$6:$X$22,MATCH($A1466,Dashboard!$A$6:$A$22,0))))</f>
        <v/>
      </c>
      <c r="AT1466" s="43">
        <f>AQ1466*INDEX(Dashboard!$Y$6:$Y$22,MATCH($A1466,Dashboard!$A$6:$A$22,0))</f>
        <v/>
      </c>
      <c r="AU1466" s="53">
        <f>IF(AND(AG1466=1,AT1466&gt;0,AF1466&gt;0),100*AF1466/AT1466,"")</f>
        <v/>
      </c>
      <c r="AV1466" s="44">
        <f>IF(AU1466="","",T1466/(AU1466/100))</f>
        <v/>
      </c>
      <c r="AW1466" s="53">
        <f>IF(AU1466="","",IF(AND(ABS(AH1466)&gt;=0.1,ABS(T1466)&gt;=0.05,SIGN(AH1466)=SIGN(T1466)),100*T1466/AH1466,""))</f>
        <v/>
      </c>
      <c r="AX1466" s="45">
        <f>IF(AU1466="","",T1466-AV1466)</f>
        <v/>
      </c>
      <c r="AY1466" s="45">
        <f>IF(AU1466="","",AH1466-AV1466)</f>
        <v/>
      </c>
      <c r="AZ1466" s="54">
        <f>(AL1466-AM1466)-T1466*AT1466</f>
        <v/>
      </c>
      <c r="BA1466" s="43">
        <f>IF(AU1466="",0,(AH1466-T1466)*AF1466)</f>
        <v/>
      </c>
      <c r="BB1466" s="43">
        <f>IF(AU1466="",0,T1466*(AF1466-AT1466))</f>
        <v/>
      </c>
      <c r="BC1466" s="51" t="n">
        <v>0.02185836752935441</v>
      </c>
      <c r="BD1466" s="51" t="n">
        <v>0.02835899727786129</v>
      </c>
      <c r="BE1466" s="51" t="n">
        <v>0.25716340966311</v>
      </c>
      <c r="BF1466" s="43" t="n">
        <v>24613</v>
      </c>
    </row>
    <row r="1467">
      <c r="A1467" s="42" t="inlineStr">
        <is>
          <t>KY</t>
        </is>
      </c>
      <c r="B1467" s="42" t="inlineStr">
        <is>
          <t>21007</t>
        </is>
      </c>
      <c r="C1467" s="42" t="inlineStr">
        <is>
          <t>Ballard</t>
        </is>
      </c>
      <c r="D1467" s="42" t="inlineStr">
        <is>
          <t>Small town &amp; rural</t>
        </is>
      </c>
      <c r="E1467" s="42" t="inlineStr"/>
      <c r="F1467" s="43" t="n">
        <v>697</v>
      </c>
      <c r="G1467" s="43" t="n">
        <v>3331</v>
      </c>
      <c r="H1467" s="43" t="n">
        <v>4088</v>
      </c>
      <c r="I1467" s="43" t="n">
        <v>825</v>
      </c>
      <c r="J1467" s="43" t="n">
        <v>3356</v>
      </c>
      <c r="K1467" s="42" t="inlineStr">
        <is>
          <t>US Senate</t>
        </is>
      </c>
      <c r="L1467" s="43" t="n">
        <v>639</v>
      </c>
      <c r="M1467" s="43" t="n">
        <v>2488</v>
      </c>
      <c r="N1467" s="43" t="n">
        <v>3127</v>
      </c>
      <c r="O1467" s="44">
        <f>IFERROR((F1467-G1467)/(F1467+G1467),"")</f>
        <v/>
      </c>
      <c r="P1467" s="44">
        <f>IFERROR((I1467-J1467)/(I1467+J1467),"")</f>
        <v/>
      </c>
      <c r="Q1467" s="45">
        <f>IFERROR(O1467-P1467,"")</f>
        <v/>
      </c>
      <c r="R1467" s="44">
        <f>IFERROR((L1467-M1467)/(L1467+M1467),"")</f>
        <v/>
      </c>
      <c r="S1467" s="46">
        <f>H1467/SUMIFS(Counties!$H$2:$H$1583,Counties!$A$2:$A$1583,$A1467)</f>
        <v/>
      </c>
      <c r="T1467" s="44">
        <f>O1467+INDEX(Dashboard!$F$6:$F$22,MATCH($A1467,Dashboard!$A$6:$A$22,0))</f>
        <v/>
      </c>
      <c r="U1467" s="43">
        <f>AQ1467*INDEX(Dashboard!$G$6:$G$22,MATCH($A1467,Dashboard!$A$6:$A$22,0))</f>
        <v/>
      </c>
      <c r="V1467" s="47" t="n"/>
      <c r="W1467" s="47" t="n"/>
      <c r="X1467" s="47" t="n"/>
      <c r="Y1467" s="48" t="n"/>
      <c r="Z1467" s="49" t="n"/>
      <c r="AA1467" s="49" t="n"/>
      <c r="AB1467" s="49" t="n"/>
      <c r="AC1467" s="50" t="n"/>
      <c r="AD1467" s="43">
        <f>IF(Z1467&lt;&gt;"",Z1467,N(V1467))</f>
        <v/>
      </c>
      <c r="AE1467" s="43">
        <f>IF(AA1467&lt;&gt;"",AA1467,N(W1467))</f>
        <v/>
      </c>
      <c r="AF1467" s="43">
        <f>AD1467+AE1467</f>
        <v/>
      </c>
      <c r="AG1467" s="42">
        <f>IF(UPPER(AC1467)="Y",1,IF(AF1467=0,0,IF(AND(Z1467="",Y1467&lt;&gt;""),IF(Y1467&gt;=0.999,1,0),IF(AF1467&gt;=U1467,1,0))))</f>
        <v/>
      </c>
      <c r="AH1467" s="44">
        <f>IF(AF1467&gt;0,(AD1467-AE1467)/AF1467,"")</f>
        <v/>
      </c>
      <c r="AI1467" s="45">
        <f>IF(AG1467=1,AH1467-O1467,"")</f>
        <v/>
      </c>
      <c r="AJ1467" s="44">
        <f>IF(AG1467=1,AH1467,MAX(-1,MIN(1,O1467+INDEX(Types!$H:$H,MATCH($A1467&amp;"|"&amp;$D1467,Types!$A:$A,0)))))</f>
        <v/>
      </c>
      <c r="AK1467" s="43">
        <f>IF(AG1467=1,AF1467,MAX(AQ1467*AS1467,AF1467))</f>
        <v/>
      </c>
      <c r="AL1467" s="43">
        <f>IF(AG1467=1,AD1467,AK1467*(1+AJ1467)/2)</f>
        <v/>
      </c>
      <c r="AM1467" s="43">
        <f>IF(AG1467=1,AE1467,AK1467*(1-AJ1467)/2)</f>
        <v/>
      </c>
      <c r="AN1467" s="45">
        <f>IF(AH1467="","",AH1467-T1467)</f>
        <v/>
      </c>
      <c r="AO1467" s="51">
        <f>IF(AG1467=1,1,IF(U1467&gt;0,MIN(AF1467/U1467,0.99),0))</f>
        <v/>
      </c>
      <c r="AP1467" s="43">
        <f>IF(AG1467=1,AI1467*AF1467,0)</f>
        <v/>
      </c>
      <c r="AQ1467" s="43">
        <f>N1467*(F1467+G1467)/H1467</f>
        <v/>
      </c>
      <c r="AR1467" s="43">
        <f>O1467*AQ1467</f>
        <v/>
      </c>
      <c r="AS1467" s="52">
        <f>IF(AG1467=1,IF(AQ1467&gt;0,AF1467/AQ1467,1),IFERROR(INDEX(Types!$K:$K,MATCH($A1467&amp;"|"&amp;$D1467,Types!$A:$A,0)),INDEX(Dashboard!$X$6:$X$22,MATCH($A1467,Dashboard!$A$6:$A$22,0))))</f>
        <v/>
      </c>
      <c r="AT1467" s="43">
        <f>AQ1467*INDEX(Dashboard!$Y$6:$Y$22,MATCH($A1467,Dashboard!$A$6:$A$22,0))</f>
        <v/>
      </c>
      <c r="AU1467" s="53">
        <f>IF(AND(AG1467=1,AT1467&gt;0,AF1467&gt;0),100*AF1467/AT1467,"")</f>
        <v/>
      </c>
      <c r="AV1467" s="44">
        <f>IF(AU1467="","",T1467/(AU1467/100))</f>
        <v/>
      </c>
      <c r="AW1467" s="53">
        <f>IF(AU1467="","",IF(AND(ABS(AH1467)&gt;=0.1,ABS(T1467)&gt;=0.05,SIGN(AH1467)=SIGN(T1467)),100*T1467/AH1467,""))</f>
        <v/>
      </c>
      <c r="AX1467" s="45">
        <f>IF(AU1467="","",T1467-AV1467)</f>
        <v/>
      </c>
      <c r="AY1467" s="45">
        <f>IF(AU1467="","",AH1467-AV1467)</f>
        <v/>
      </c>
      <c r="AZ1467" s="54">
        <f>(AL1467-AM1467)-T1467*AT1467</f>
        <v/>
      </c>
      <c r="BA1467" s="43">
        <f>IF(AU1467="",0,(AH1467-T1467)*AF1467)</f>
        <v/>
      </c>
      <c r="BB1467" s="43">
        <f>IF(AU1467="",0,T1467*(AF1467-AT1467))</f>
        <v/>
      </c>
      <c r="BC1467" s="51" t="n">
        <v>0.0367976787127407</v>
      </c>
      <c r="BD1467" s="51" t="n">
        <v>0.01595884990767607</v>
      </c>
      <c r="BE1467" s="51" t="n">
        <v>0.1865021770682148</v>
      </c>
      <c r="BF1467" s="43" t="n">
        <v>7582</v>
      </c>
    </row>
    <row r="1468">
      <c r="A1468" s="42" t="inlineStr">
        <is>
          <t>KY</t>
        </is>
      </c>
      <c r="B1468" s="42" t="inlineStr">
        <is>
          <t>21009</t>
        </is>
      </c>
      <c r="C1468" s="42" t="inlineStr">
        <is>
          <t>Barren</t>
        </is>
      </c>
      <c r="D1468" s="42" t="inlineStr">
        <is>
          <t>Small town &amp; rural</t>
        </is>
      </c>
      <c r="E1468" s="42" t="inlineStr"/>
      <c r="F1468" s="43" t="n">
        <v>4565</v>
      </c>
      <c r="G1468" s="43" t="n">
        <v>15019</v>
      </c>
      <c r="H1468" s="43" t="n">
        <v>19799</v>
      </c>
      <c r="I1468" s="43" t="n">
        <v>5127</v>
      </c>
      <c r="J1468" s="43" t="n">
        <v>14654</v>
      </c>
      <c r="K1468" s="42" t="inlineStr">
        <is>
          <t>US Senate</t>
        </is>
      </c>
      <c r="L1468" s="43" t="n">
        <v>3845</v>
      </c>
      <c r="M1468" s="43" t="n">
        <v>10298</v>
      </c>
      <c r="N1468" s="43" t="n">
        <v>14143</v>
      </c>
      <c r="O1468" s="44">
        <f>IFERROR((F1468-G1468)/(F1468+G1468),"")</f>
        <v/>
      </c>
      <c r="P1468" s="44">
        <f>IFERROR((I1468-J1468)/(I1468+J1468),"")</f>
        <v/>
      </c>
      <c r="Q1468" s="45">
        <f>IFERROR(O1468-P1468,"")</f>
        <v/>
      </c>
      <c r="R1468" s="44">
        <f>IFERROR((L1468-M1468)/(L1468+M1468),"")</f>
        <v/>
      </c>
      <c r="S1468" s="46">
        <f>H1468/SUMIFS(Counties!$H$2:$H$1583,Counties!$A$2:$A$1583,$A1468)</f>
        <v/>
      </c>
      <c r="T1468" s="44">
        <f>O1468+INDEX(Dashboard!$F$6:$F$22,MATCH($A1468,Dashboard!$A$6:$A$22,0))</f>
        <v/>
      </c>
      <c r="U1468" s="43">
        <f>AQ1468*INDEX(Dashboard!$G$6:$G$22,MATCH($A1468,Dashboard!$A$6:$A$22,0))</f>
        <v/>
      </c>
      <c r="V1468" s="47" t="n"/>
      <c r="W1468" s="47" t="n"/>
      <c r="X1468" s="47" t="n"/>
      <c r="Y1468" s="48" t="n"/>
      <c r="Z1468" s="49" t="n"/>
      <c r="AA1468" s="49" t="n"/>
      <c r="AB1468" s="49" t="n"/>
      <c r="AC1468" s="50" t="n"/>
      <c r="AD1468" s="43">
        <f>IF(Z1468&lt;&gt;"",Z1468,N(V1468))</f>
        <v/>
      </c>
      <c r="AE1468" s="43">
        <f>IF(AA1468&lt;&gt;"",AA1468,N(W1468))</f>
        <v/>
      </c>
      <c r="AF1468" s="43">
        <f>AD1468+AE1468</f>
        <v/>
      </c>
      <c r="AG1468" s="42">
        <f>IF(UPPER(AC1468)="Y",1,IF(AF1468=0,0,IF(AND(Z1468="",Y1468&lt;&gt;""),IF(Y1468&gt;=0.999,1,0),IF(AF1468&gt;=U1468,1,0))))</f>
        <v/>
      </c>
      <c r="AH1468" s="44">
        <f>IF(AF1468&gt;0,(AD1468-AE1468)/AF1468,"")</f>
        <v/>
      </c>
      <c r="AI1468" s="45">
        <f>IF(AG1468=1,AH1468-O1468,"")</f>
        <v/>
      </c>
      <c r="AJ1468" s="44">
        <f>IF(AG1468=1,AH1468,MAX(-1,MIN(1,O1468+INDEX(Types!$H:$H,MATCH($A1468&amp;"|"&amp;$D1468,Types!$A:$A,0)))))</f>
        <v/>
      </c>
      <c r="AK1468" s="43">
        <f>IF(AG1468=1,AF1468,MAX(AQ1468*AS1468,AF1468))</f>
        <v/>
      </c>
      <c r="AL1468" s="43">
        <f>IF(AG1468=1,AD1468,AK1468*(1+AJ1468)/2)</f>
        <v/>
      </c>
      <c r="AM1468" s="43">
        <f>IF(AG1468=1,AE1468,AK1468*(1-AJ1468)/2)</f>
        <v/>
      </c>
      <c r="AN1468" s="45">
        <f>IF(AH1468="","",AH1468-T1468)</f>
        <v/>
      </c>
      <c r="AO1468" s="51">
        <f>IF(AG1468=1,1,IF(U1468&gt;0,MIN(AF1468/U1468,0.99),0))</f>
        <v/>
      </c>
      <c r="AP1468" s="43">
        <f>IF(AG1468=1,AI1468*AF1468,0)</f>
        <v/>
      </c>
      <c r="AQ1468" s="43">
        <f>N1468*(F1468+G1468)/H1468</f>
        <v/>
      </c>
      <c r="AR1468" s="43">
        <f>O1468*AQ1468</f>
        <v/>
      </c>
      <c r="AS1468" s="52">
        <f>IF(AG1468=1,IF(AQ1468&gt;0,AF1468/AQ1468,1),IFERROR(INDEX(Types!$K:$K,MATCH($A1468&amp;"|"&amp;$D1468,Types!$A:$A,0)),INDEX(Dashboard!$X$6:$X$22,MATCH($A1468,Dashboard!$A$6:$A$22,0))))</f>
        <v/>
      </c>
      <c r="AT1468" s="43">
        <f>AQ1468*INDEX(Dashboard!$Y$6:$Y$22,MATCH($A1468,Dashboard!$A$6:$A$22,0))</f>
        <v/>
      </c>
      <c r="AU1468" s="53">
        <f>IF(AND(AG1468=1,AT1468&gt;0,AF1468&gt;0),100*AF1468/AT1468,"")</f>
        <v/>
      </c>
      <c r="AV1468" s="44">
        <f>IF(AU1468="","",T1468/(AU1468/100))</f>
        <v/>
      </c>
      <c r="AW1468" s="53">
        <f>IF(AU1468="","",IF(AND(ABS(AH1468)&gt;=0.1,ABS(T1468)&gt;=0.05,SIGN(AH1468)=SIGN(T1468)),100*T1468/AH1468,""))</f>
        <v/>
      </c>
      <c r="AX1468" s="45">
        <f>IF(AU1468="","",T1468-AV1468)</f>
        <v/>
      </c>
      <c r="AY1468" s="45">
        <f>IF(AU1468="","",AH1468-AV1468)</f>
        <v/>
      </c>
      <c r="AZ1468" s="54">
        <f>(AL1468-AM1468)-T1468*AT1468</f>
        <v/>
      </c>
      <c r="BA1468" s="43">
        <f>IF(AU1468="",0,(AH1468-T1468)*AF1468)</f>
        <v/>
      </c>
      <c r="BB1468" s="43">
        <f>IF(AU1468="",0,T1468*(AF1468-AT1468))</f>
        <v/>
      </c>
      <c r="BC1468" s="51" t="n">
        <v>0.03914859580519019</v>
      </c>
      <c r="BD1468" s="51" t="n">
        <v>0.04408105225737647</v>
      </c>
      <c r="BE1468" s="51" t="n">
        <v>0.1781039398652151</v>
      </c>
      <c r="BF1468" s="43" t="n">
        <v>45008</v>
      </c>
    </row>
    <row r="1469">
      <c r="A1469" s="42" t="inlineStr">
        <is>
          <t>KY</t>
        </is>
      </c>
      <c r="B1469" s="42" t="inlineStr">
        <is>
          <t>21011</t>
        </is>
      </c>
      <c r="C1469" s="42" t="inlineStr">
        <is>
          <t>Bath</t>
        </is>
      </c>
      <c r="D1469" s="42" t="inlineStr">
        <is>
          <t>Small town &amp; rural</t>
        </is>
      </c>
      <c r="E1469" s="42" t="inlineStr"/>
      <c r="F1469" s="43" t="n">
        <v>1278</v>
      </c>
      <c r="G1469" s="43" t="n">
        <v>4041</v>
      </c>
      <c r="H1469" s="43" t="n">
        <v>5389</v>
      </c>
      <c r="I1469" s="43" t="n">
        <v>1573</v>
      </c>
      <c r="J1469" s="43" t="n">
        <v>3986</v>
      </c>
      <c r="K1469" s="42" t="inlineStr">
        <is>
          <t>US Senate</t>
        </is>
      </c>
      <c r="L1469" s="43" t="n">
        <v>1404</v>
      </c>
      <c r="M1469" s="43" t="n">
        <v>2827</v>
      </c>
      <c r="N1469" s="43" t="n">
        <v>4233</v>
      </c>
      <c r="O1469" s="44">
        <f>IFERROR((F1469-G1469)/(F1469+G1469),"")</f>
        <v/>
      </c>
      <c r="P1469" s="44">
        <f>IFERROR((I1469-J1469)/(I1469+J1469),"")</f>
        <v/>
      </c>
      <c r="Q1469" s="45">
        <f>IFERROR(O1469-P1469,"")</f>
        <v/>
      </c>
      <c r="R1469" s="44">
        <f>IFERROR((L1469-M1469)/(L1469+M1469),"")</f>
        <v/>
      </c>
      <c r="S1469" s="46">
        <f>H1469/SUMIFS(Counties!$H$2:$H$1583,Counties!$A$2:$A$1583,$A1469)</f>
        <v/>
      </c>
      <c r="T1469" s="44">
        <f>O1469+INDEX(Dashboard!$F$6:$F$22,MATCH($A1469,Dashboard!$A$6:$A$22,0))</f>
        <v/>
      </c>
      <c r="U1469" s="43">
        <f>AQ1469*INDEX(Dashboard!$G$6:$G$22,MATCH($A1469,Dashboard!$A$6:$A$22,0))</f>
        <v/>
      </c>
      <c r="V1469" s="47" t="n"/>
      <c r="W1469" s="47" t="n"/>
      <c r="X1469" s="47" t="n"/>
      <c r="Y1469" s="48" t="n"/>
      <c r="Z1469" s="49" t="n"/>
      <c r="AA1469" s="49" t="n"/>
      <c r="AB1469" s="49" t="n"/>
      <c r="AC1469" s="50" t="n"/>
      <c r="AD1469" s="43">
        <f>IF(Z1469&lt;&gt;"",Z1469,N(V1469))</f>
        <v/>
      </c>
      <c r="AE1469" s="43">
        <f>IF(AA1469&lt;&gt;"",AA1469,N(W1469))</f>
        <v/>
      </c>
      <c r="AF1469" s="43">
        <f>AD1469+AE1469</f>
        <v/>
      </c>
      <c r="AG1469" s="42">
        <f>IF(UPPER(AC1469)="Y",1,IF(AF1469=0,0,IF(AND(Z1469="",Y1469&lt;&gt;""),IF(Y1469&gt;=0.999,1,0),IF(AF1469&gt;=U1469,1,0))))</f>
        <v/>
      </c>
      <c r="AH1469" s="44">
        <f>IF(AF1469&gt;0,(AD1469-AE1469)/AF1469,"")</f>
        <v/>
      </c>
      <c r="AI1469" s="45">
        <f>IF(AG1469=1,AH1469-O1469,"")</f>
        <v/>
      </c>
      <c r="AJ1469" s="44">
        <f>IF(AG1469=1,AH1469,MAX(-1,MIN(1,O1469+INDEX(Types!$H:$H,MATCH($A1469&amp;"|"&amp;$D1469,Types!$A:$A,0)))))</f>
        <v/>
      </c>
      <c r="AK1469" s="43">
        <f>IF(AG1469=1,AF1469,MAX(AQ1469*AS1469,AF1469))</f>
        <v/>
      </c>
      <c r="AL1469" s="43">
        <f>IF(AG1469=1,AD1469,AK1469*(1+AJ1469)/2)</f>
        <v/>
      </c>
      <c r="AM1469" s="43">
        <f>IF(AG1469=1,AE1469,AK1469*(1-AJ1469)/2)</f>
        <v/>
      </c>
      <c r="AN1469" s="45">
        <f>IF(AH1469="","",AH1469-T1469)</f>
        <v/>
      </c>
      <c r="AO1469" s="51">
        <f>IF(AG1469=1,1,IF(U1469&gt;0,MIN(AF1469/U1469,0.99),0))</f>
        <v/>
      </c>
      <c r="AP1469" s="43">
        <f>IF(AG1469=1,AI1469*AF1469,0)</f>
        <v/>
      </c>
      <c r="AQ1469" s="43">
        <f>N1469*(F1469+G1469)/H1469</f>
        <v/>
      </c>
      <c r="AR1469" s="43">
        <f>O1469*AQ1469</f>
        <v/>
      </c>
      <c r="AS1469" s="52">
        <f>IF(AG1469=1,IF(AQ1469&gt;0,AF1469/AQ1469,1),IFERROR(INDEX(Types!$K:$K,MATCH($A1469&amp;"|"&amp;$D1469,Types!$A:$A,0)),INDEX(Dashboard!$X$6:$X$22,MATCH($A1469,Dashboard!$A$6:$A$22,0))))</f>
        <v/>
      </c>
      <c r="AT1469" s="43">
        <f>AQ1469*INDEX(Dashboard!$Y$6:$Y$22,MATCH($A1469,Dashboard!$A$6:$A$22,0))</f>
        <v/>
      </c>
      <c r="AU1469" s="53">
        <f>IF(AND(AG1469=1,AT1469&gt;0,AF1469&gt;0),100*AF1469/AT1469,"")</f>
        <v/>
      </c>
      <c r="AV1469" s="44">
        <f>IF(AU1469="","",T1469/(AU1469/100))</f>
        <v/>
      </c>
      <c r="AW1469" s="53">
        <f>IF(AU1469="","",IF(AND(ABS(AH1469)&gt;=0.1,ABS(T1469)&gt;=0.05,SIGN(AH1469)=SIGN(T1469)),100*T1469/AH1469,""))</f>
        <v/>
      </c>
      <c r="AX1469" s="45">
        <f>IF(AU1469="","",T1469-AV1469)</f>
        <v/>
      </c>
      <c r="AY1469" s="45">
        <f>IF(AU1469="","",AH1469-AV1469)</f>
        <v/>
      </c>
      <c r="AZ1469" s="54">
        <f>(AL1469-AM1469)-T1469*AT1469</f>
        <v/>
      </c>
      <c r="BA1469" s="43">
        <f>IF(AU1469="",0,(AH1469-T1469)*AF1469)</f>
        <v/>
      </c>
      <c r="BB1469" s="43">
        <f>IF(AU1469="",0,T1469*(AF1469-AT1469))</f>
        <v/>
      </c>
      <c r="BC1469" s="51" t="n">
        <v>0.01379576107899807</v>
      </c>
      <c r="BD1469" s="51" t="n">
        <v>0.01934489402697495</v>
      </c>
      <c r="BE1469" s="51" t="n">
        <v>0.143997183429175</v>
      </c>
      <c r="BF1469" s="43" t="n">
        <v>12975</v>
      </c>
    </row>
    <row r="1470">
      <c r="A1470" s="42" t="inlineStr">
        <is>
          <t>KY</t>
        </is>
      </c>
      <c r="B1470" s="42" t="inlineStr">
        <is>
          <t>21013</t>
        </is>
      </c>
      <c r="C1470" s="42" t="inlineStr">
        <is>
          <t>Bell</t>
        </is>
      </c>
      <c r="D1470" s="42" t="inlineStr">
        <is>
          <t>Small town &amp; rural</t>
        </is>
      </c>
      <c r="E1470" s="42" t="inlineStr"/>
      <c r="F1470" s="43" t="n">
        <v>1419</v>
      </c>
      <c r="G1470" s="43" t="n">
        <v>7831</v>
      </c>
      <c r="H1470" s="43" t="n">
        <v>9337</v>
      </c>
      <c r="I1470" s="43" t="n">
        <v>1789</v>
      </c>
      <c r="J1470" s="43" t="n">
        <v>8140</v>
      </c>
      <c r="K1470" s="42" t="inlineStr">
        <is>
          <t>US Senate</t>
        </is>
      </c>
      <c r="L1470" s="43" t="n">
        <v>1375</v>
      </c>
      <c r="M1470" s="43" t="n">
        <v>5420</v>
      </c>
      <c r="N1470" s="43" t="n">
        <v>6795</v>
      </c>
      <c r="O1470" s="44">
        <f>IFERROR((F1470-G1470)/(F1470+G1470),"")</f>
        <v/>
      </c>
      <c r="P1470" s="44">
        <f>IFERROR((I1470-J1470)/(I1470+J1470),"")</f>
        <v/>
      </c>
      <c r="Q1470" s="45">
        <f>IFERROR(O1470-P1470,"")</f>
        <v/>
      </c>
      <c r="R1470" s="44">
        <f>IFERROR((L1470-M1470)/(L1470+M1470),"")</f>
        <v/>
      </c>
      <c r="S1470" s="46">
        <f>H1470/SUMIFS(Counties!$H$2:$H$1583,Counties!$A$2:$A$1583,$A1470)</f>
        <v/>
      </c>
      <c r="T1470" s="44">
        <f>O1470+INDEX(Dashboard!$F$6:$F$22,MATCH($A1470,Dashboard!$A$6:$A$22,0))</f>
        <v/>
      </c>
      <c r="U1470" s="43">
        <f>AQ1470*INDEX(Dashboard!$G$6:$G$22,MATCH($A1470,Dashboard!$A$6:$A$22,0))</f>
        <v/>
      </c>
      <c r="V1470" s="47" t="n"/>
      <c r="W1470" s="47" t="n"/>
      <c r="X1470" s="47" t="n"/>
      <c r="Y1470" s="48" t="n"/>
      <c r="Z1470" s="49" t="n"/>
      <c r="AA1470" s="49" t="n"/>
      <c r="AB1470" s="49" t="n"/>
      <c r="AC1470" s="50" t="n"/>
      <c r="AD1470" s="43">
        <f>IF(Z1470&lt;&gt;"",Z1470,N(V1470))</f>
        <v/>
      </c>
      <c r="AE1470" s="43">
        <f>IF(AA1470&lt;&gt;"",AA1470,N(W1470))</f>
        <v/>
      </c>
      <c r="AF1470" s="43">
        <f>AD1470+AE1470</f>
        <v/>
      </c>
      <c r="AG1470" s="42">
        <f>IF(UPPER(AC1470)="Y",1,IF(AF1470=0,0,IF(AND(Z1470="",Y1470&lt;&gt;""),IF(Y1470&gt;=0.999,1,0),IF(AF1470&gt;=U1470,1,0))))</f>
        <v/>
      </c>
      <c r="AH1470" s="44">
        <f>IF(AF1470&gt;0,(AD1470-AE1470)/AF1470,"")</f>
        <v/>
      </c>
      <c r="AI1470" s="45">
        <f>IF(AG1470=1,AH1470-O1470,"")</f>
        <v/>
      </c>
      <c r="AJ1470" s="44">
        <f>IF(AG1470=1,AH1470,MAX(-1,MIN(1,O1470+INDEX(Types!$H:$H,MATCH($A1470&amp;"|"&amp;$D1470,Types!$A:$A,0)))))</f>
        <v/>
      </c>
      <c r="AK1470" s="43">
        <f>IF(AG1470=1,AF1470,MAX(AQ1470*AS1470,AF1470))</f>
        <v/>
      </c>
      <c r="AL1470" s="43">
        <f>IF(AG1470=1,AD1470,AK1470*(1+AJ1470)/2)</f>
        <v/>
      </c>
      <c r="AM1470" s="43">
        <f>IF(AG1470=1,AE1470,AK1470*(1-AJ1470)/2)</f>
        <v/>
      </c>
      <c r="AN1470" s="45">
        <f>IF(AH1470="","",AH1470-T1470)</f>
        <v/>
      </c>
      <c r="AO1470" s="51">
        <f>IF(AG1470=1,1,IF(U1470&gt;0,MIN(AF1470/U1470,0.99),0))</f>
        <v/>
      </c>
      <c r="AP1470" s="43">
        <f>IF(AG1470=1,AI1470*AF1470,0)</f>
        <v/>
      </c>
      <c r="AQ1470" s="43">
        <f>N1470*(F1470+G1470)/H1470</f>
        <v/>
      </c>
      <c r="AR1470" s="43">
        <f>O1470*AQ1470</f>
        <v/>
      </c>
      <c r="AS1470" s="52">
        <f>IF(AG1470=1,IF(AQ1470&gt;0,AF1470/AQ1470,1),IFERROR(INDEX(Types!$K:$K,MATCH($A1470&amp;"|"&amp;$D1470,Types!$A:$A,0)),INDEX(Dashboard!$X$6:$X$22,MATCH($A1470,Dashboard!$A$6:$A$22,0))))</f>
        <v/>
      </c>
      <c r="AT1470" s="43">
        <f>AQ1470*INDEX(Dashboard!$Y$6:$Y$22,MATCH($A1470,Dashboard!$A$6:$A$22,0))</f>
        <v/>
      </c>
      <c r="AU1470" s="53">
        <f>IF(AND(AG1470=1,AT1470&gt;0,AF1470&gt;0),100*AF1470/AT1470,"")</f>
        <v/>
      </c>
      <c r="AV1470" s="44">
        <f>IF(AU1470="","",T1470/(AU1470/100))</f>
        <v/>
      </c>
      <c r="AW1470" s="53">
        <f>IF(AU1470="","",IF(AND(ABS(AH1470)&gt;=0.1,ABS(T1470)&gt;=0.05,SIGN(AH1470)=SIGN(T1470)),100*T1470/AH1470,""))</f>
        <v/>
      </c>
      <c r="AX1470" s="45">
        <f>IF(AU1470="","",T1470-AV1470)</f>
        <v/>
      </c>
      <c r="AY1470" s="45">
        <f>IF(AU1470="","",AH1470-AV1470)</f>
        <v/>
      </c>
      <c r="AZ1470" s="54">
        <f>(AL1470-AM1470)-T1470*AT1470</f>
        <v/>
      </c>
      <c r="BA1470" s="43">
        <f>IF(AU1470="",0,(AH1470-T1470)*AF1470)</f>
        <v/>
      </c>
      <c r="BB1470" s="43">
        <f>IF(AU1470="",0,T1470*(AF1470-AT1470))</f>
        <v/>
      </c>
      <c r="BC1470" s="51" t="n">
        <v>0.02894883561350088</v>
      </c>
      <c r="BD1470" s="51" t="n">
        <v>0.01209418021186259</v>
      </c>
      <c r="BE1470" s="51" t="n">
        <v>0.1394310878362295</v>
      </c>
      <c r="BF1470" s="43" t="n">
        <v>23317</v>
      </c>
    </row>
    <row r="1471">
      <c r="A1471" s="42" t="inlineStr">
        <is>
          <t>KY</t>
        </is>
      </c>
      <c r="B1471" s="42" t="inlineStr">
        <is>
          <t>21015</t>
        </is>
      </c>
      <c r="C1471" s="42" t="inlineStr">
        <is>
          <t>Boone</t>
        </is>
      </c>
      <c r="D1471" s="42" t="inlineStr">
        <is>
          <t>Mid-size/working metro</t>
        </is>
      </c>
      <c r="E1471" s="42" t="inlineStr">
        <is>
          <t>★</t>
        </is>
      </c>
      <c r="F1471" s="43" t="n">
        <v>20601</v>
      </c>
      <c r="G1471" s="43" t="n">
        <v>45650</v>
      </c>
      <c r="H1471" s="43" t="n">
        <v>67382</v>
      </c>
      <c r="I1471" s="43" t="n">
        <v>20901</v>
      </c>
      <c r="J1471" s="43" t="n">
        <v>44814</v>
      </c>
      <c r="K1471" s="42" t="inlineStr">
        <is>
          <t>US Senate</t>
        </is>
      </c>
      <c r="L1471" s="43" t="n">
        <v>14409</v>
      </c>
      <c r="M1471" s="43" t="n">
        <v>30898</v>
      </c>
      <c r="N1471" s="43" t="n">
        <v>45318</v>
      </c>
      <c r="O1471" s="44">
        <f>IFERROR((F1471-G1471)/(F1471+G1471),"")</f>
        <v/>
      </c>
      <c r="P1471" s="44">
        <f>IFERROR((I1471-J1471)/(I1471+J1471),"")</f>
        <v/>
      </c>
      <c r="Q1471" s="45">
        <f>IFERROR(O1471-P1471,"")</f>
        <v/>
      </c>
      <c r="R1471" s="44">
        <f>IFERROR((L1471-M1471)/(L1471+M1471),"")</f>
        <v/>
      </c>
      <c r="S1471" s="46">
        <f>H1471/SUMIFS(Counties!$H$2:$H$1583,Counties!$A$2:$A$1583,$A1471)</f>
        <v/>
      </c>
      <c r="T1471" s="44">
        <f>O1471+INDEX(Dashboard!$F$6:$F$22,MATCH($A1471,Dashboard!$A$6:$A$22,0))</f>
        <v/>
      </c>
      <c r="U1471" s="43">
        <f>AQ1471*INDEX(Dashboard!$G$6:$G$22,MATCH($A1471,Dashboard!$A$6:$A$22,0))</f>
        <v/>
      </c>
      <c r="V1471" s="47" t="n"/>
      <c r="W1471" s="47" t="n"/>
      <c r="X1471" s="47" t="n"/>
      <c r="Y1471" s="48" t="n"/>
      <c r="Z1471" s="49" t="n"/>
      <c r="AA1471" s="49" t="n"/>
      <c r="AB1471" s="49" t="n"/>
      <c r="AC1471" s="50" t="n"/>
      <c r="AD1471" s="43">
        <f>IF(Z1471&lt;&gt;"",Z1471,N(V1471))</f>
        <v/>
      </c>
      <c r="AE1471" s="43">
        <f>IF(AA1471&lt;&gt;"",AA1471,N(W1471))</f>
        <v/>
      </c>
      <c r="AF1471" s="43">
        <f>AD1471+AE1471</f>
        <v/>
      </c>
      <c r="AG1471" s="42">
        <f>IF(UPPER(AC1471)="Y",1,IF(AF1471=0,0,IF(AND(Z1471="",Y1471&lt;&gt;""),IF(Y1471&gt;=0.999,1,0),IF(AF1471&gt;=U1471,1,0))))</f>
        <v/>
      </c>
      <c r="AH1471" s="44">
        <f>IF(AF1471&gt;0,(AD1471-AE1471)/AF1471,"")</f>
        <v/>
      </c>
      <c r="AI1471" s="45">
        <f>IF(AG1471=1,AH1471-O1471,"")</f>
        <v/>
      </c>
      <c r="AJ1471" s="44">
        <f>IF(AG1471=1,AH1471,MAX(-1,MIN(1,O1471+INDEX(Types!$H:$H,MATCH($A1471&amp;"|"&amp;$D1471,Types!$A:$A,0)))))</f>
        <v/>
      </c>
      <c r="AK1471" s="43">
        <f>IF(AG1471=1,AF1471,MAX(AQ1471*AS1471,AF1471))</f>
        <v/>
      </c>
      <c r="AL1471" s="43">
        <f>IF(AG1471=1,AD1471,AK1471*(1+AJ1471)/2)</f>
        <v/>
      </c>
      <c r="AM1471" s="43">
        <f>IF(AG1471=1,AE1471,AK1471*(1-AJ1471)/2)</f>
        <v/>
      </c>
      <c r="AN1471" s="45">
        <f>IF(AH1471="","",AH1471-T1471)</f>
        <v/>
      </c>
      <c r="AO1471" s="51">
        <f>IF(AG1471=1,1,IF(U1471&gt;0,MIN(AF1471/U1471,0.99),0))</f>
        <v/>
      </c>
      <c r="AP1471" s="43">
        <f>IF(AG1471=1,AI1471*AF1471,0)</f>
        <v/>
      </c>
      <c r="AQ1471" s="43">
        <f>N1471*(F1471+G1471)/H1471</f>
        <v/>
      </c>
      <c r="AR1471" s="43">
        <f>O1471*AQ1471</f>
        <v/>
      </c>
      <c r="AS1471" s="52">
        <f>IF(AG1471=1,IF(AQ1471&gt;0,AF1471/AQ1471,1),IFERROR(INDEX(Types!$K:$K,MATCH($A1471&amp;"|"&amp;$D1471,Types!$A:$A,0)),INDEX(Dashboard!$X$6:$X$22,MATCH($A1471,Dashboard!$A$6:$A$22,0))))</f>
        <v/>
      </c>
      <c r="AT1471" s="43">
        <f>AQ1471*INDEX(Dashboard!$Y$6:$Y$22,MATCH($A1471,Dashboard!$A$6:$A$22,0))</f>
        <v/>
      </c>
      <c r="AU1471" s="53">
        <f>IF(AND(AG1471=1,AT1471&gt;0,AF1471&gt;0),100*AF1471/AT1471,"")</f>
        <v/>
      </c>
      <c r="AV1471" s="44">
        <f>IF(AU1471="","",T1471/(AU1471/100))</f>
        <v/>
      </c>
      <c r="AW1471" s="53">
        <f>IF(AU1471="","",IF(AND(ABS(AH1471)&gt;=0.1,ABS(T1471)&gt;=0.05,SIGN(AH1471)=SIGN(T1471)),100*T1471/AH1471,""))</f>
        <v/>
      </c>
      <c r="AX1471" s="45">
        <f>IF(AU1471="","",T1471-AV1471)</f>
        <v/>
      </c>
      <c r="AY1471" s="45">
        <f>IF(AU1471="","",AH1471-AV1471)</f>
        <v/>
      </c>
      <c r="AZ1471" s="54">
        <f>(AL1471-AM1471)-T1471*AT1471</f>
        <v/>
      </c>
      <c r="BA1471" s="43">
        <f>IF(AU1471="",0,(AH1471-T1471)*AF1471)</f>
        <v/>
      </c>
      <c r="BB1471" s="43">
        <f>IF(AU1471="",0,T1471*(AF1471-AT1471))</f>
        <v/>
      </c>
      <c r="BC1471" s="51" t="n">
        <v>0.05221500967999089</v>
      </c>
      <c r="BD1471" s="51" t="n">
        <v>0.05965294385605284</v>
      </c>
      <c r="BE1471" s="51" t="n">
        <v>0.3537601391135911</v>
      </c>
      <c r="BF1471" s="43" t="n">
        <v>140496</v>
      </c>
    </row>
    <row r="1472">
      <c r="A1472" s="42" t="inlineStr">
        <is>
          <t>KY</t>
        </is>
      </c>
      <c r="B1472" s="42" t="inlineStr">
        <is>
          <t>21017</t>
        </is>
      </c>
      <c r="C1472" s="42" t="inlineStr">
        <is>
          <t>Bourbon</t>
        </is>
      </c>
      <c r="D1472" s="42" t="inlineStr">
        <is>
          <t>Small town &amp; rural</t>
        </is>
      </c>
      <c r="E1472" s="42" t="inlineStr"/>
      <c r="F1472" s="43" t="n">
        <v>3088</v>
      </c>
      <c r="G1472" s="43" t="n">
        <v>6284</v>
      </c>
      <c r="H1472" s="43" t="n">
        <v>9535</v>
      </c>
      <c r="I1472" s="43" t="n">
        <v>3296</v>
      </c>
      <c r="J1472" s="43" t="n">
        <v>6190</v>
      </c>
      <c r="K1472" s="42" t="inlineStr">
        <is>
          <t>US Senate</t>
        </is>
      </c>
      <c r="L1472" s="43" t="n">
        <v>2429</v>
      </c>
      <c r="M1472" s="43" t="n">
        <v>4381</v>
      </c>
      <c r="N1472" s="43" t="n">
        <v>6810</v>
      </c>
      <c r="O1472" s="44">
        <f>IFERROR((F1472-G1472)/(F1472+G1472),"")</f>
        <v/>
      </c>
      <c r="P1472" s="44">
        <f>IFERROR((I1472-J1472)/(I1472+J1472),"")</f>
        <v/>
      </c>
      <c r="Q1472" s="45">
        <f>IFERROR(O1472-P1472,"")</f>
        <v/>
      </c>
      <c r="R1472" s="44">
        <f>IFERROR((L1472-M1472)/(L1472+M1472),"")</f>
        <v/>
      </c>
      <c r="S1472" s="46">
        <f>H1472/SUMIFS(Counties!$H$2:$H$1583,Counties!$A$2:$A$1583,$A1472)</f>
        <v/>
      </c>
      <c r="T1472" s="44">
        <f>O1472+INDEX(Dashboard!$F$6:$F$22,MATCH($A1472,Dashboard!$A$6:$A$22,0))</f>
        <v/>
      </c>
      <c r="U1472" s="43">
        <f>AQ1472*INDEX(Dashboard!$G$6:$G$22,MATCH($A1472,Dashboard!$A$6:$A$22,0))</f>
        <v/>
      </c>
      <c r="V1472" s="47" t="n"/>
      <c r="W1472" s="47" t="n"/>
      <c r="X1472" s="47" t="n"/>
      <c r="Y1472" s="48" t="n"/>
      <c r="Z1472" s="49" t="n"/>
      <c r="AA1472" s="49" t="n"/>
      <c r="AB1472" s="49" t="n"/>
      <c r="AC1472" s="50" t="n"/>
      <c r="AD1472" s="43">
        <f>IF(Z1472&lt;&gt;"",Z1472,N(V1472))</f>
        <v/>
      </c>
      <c r="AE1472" s="43">
        <f>IF(AA1472&lt;&gt;"",AA1472,N(W1472))</f>
        <v/>
      </c>
      <c r="AF1472" s="43">
        <f>AD1472+AE1472</f>
        <v/>
      </c>
      <c r="AG1472" s="42">
        <f>IF(UPPER(AC1472)="Y",1,IF(AF1472=0,0,IF(AND(Z1472="",Y1472&lt;&gt;""),IF(Y1472&gt;=0.999,1,0),IF(AF1472&gt;=U1472,1,0))))</f>
        <v/>
      </c>
      <c r="AH1472" s="44">
        <f>IF(AF1472&gt;0,(AD1472-AE1472)/AF1472,"")</f>
        <v/>
      </c>
      <c r="AI1472" s="45">
        <f>IF(AG1472=1,AH1472-O1472,"")</f>
        <v/>
      </c>
      <c r="AJ1472" s="44">
        <f>IF(AG1472=1,AH1472,MAX(-1,MIN(1,O1472+INDEX(Types!$H:$H,MATCH($A1472&amp;"|"&amp;$D1472,Types!$A:$A,0)))))</f>
        <v/>
      </c>
      <c r="AK1472" s="43">
        <f>IF(AG1472=1,AF1472,MAX(AQ1472*AS1472,AF1472))</f>
        <v/>
      </c>
      <c r="AL1472" s="43">
        <f>IF(AG1472=1,AD1472,AK1472*(1+AJ1472)/2)</f>
        <v/>
      </c>
      <c r="AM1472" s="43">
        <f>IF(AG1472=1,AE1472,AK1472*(1-AJ1472)/2)</f>
        <v/>
      </c>
      <c r="AN1472" s="45">
        <f>IF(AH1472="","",AH1472-T1472)</f>
        <v/>
      </c>
      <c r="AO1472" s="51">
        <f>IF(AG1472=1,1,IF(U1472&gt;0,MIN(AF1472/U1472,0.99),0))</f>
        <v/>
      </c>
      <c r="AP1472" s="43">
        <f>IF(AG1472=1,AI1472*AF1472,0)</f>
        <v/>
      </c>
      <c r="AQ1472" s="43">
        <f>N1472*(F1472+G1472)/H1472</f>
        <v/>
      </c>
      <c r="AR1472" s="43">
        <f>O1472*AQ1472</f>
        <v/>
      </c>
      <c r="AS1472" s="52">
        <f>IF(AG1472=1,IF(AQ1472&gt;0,AF1472/AQ1472,1),IFERROR(INDEX(Types!$K:$K,MATCH($A1472&amp;"|"&amp;$D1472,Types!$A:$A,0)),INDEX(Dashboard!$X$6:$X$22,MATCH($A1472,Dashboard!$A$6:$A$22,0))))</f>
        <v/>
      </c>
      <c r="AT1472" s="43">
        <f>AQ1472*INDEX(Dashboard!$Y$6:$Y$22,MATCH($A1472,Dashboard!$A$6:$A$22,0))</f>
        <v/>
      </c>
      <c r="AU1472" s="53">
        <f>IF(AND(AG1472=1,AT1472&gt;0,AF1472&gt;0),100*AF1472/AT1472,"")</f>
        <v/>
      </c>
      <c r="AV1472" s="44">
        <f>IF(AU1472="","",T1472/(AU1472/100))</f>
        <v/>
      </c>
      <c r="AW1472" s="53">
        <f>IF(AU1472="","",IF(AND(ABS(AH1472)&gt;=0.1,ABS(T1472)&gt;=0.05,SIGN(AH1472)=SIGN(T1472)),100*T1472/AH1472,""))</f>
        <v/>
      </c>
      <c r="AX1472" s="45">
        <f>IF(AU1472="","",T1472-AV1472)</f>
        <v/>
      </c>
      <c r="AY1472" s="45">
        <f>IF(AU1472="","",AH1472-AV1472)</f>
        <v/>
      </c>
      <c r="AZ1472" s="54">
        <f>(AL1472-AM1472)-T1472*AT1472</f>
        <v/>
      </c>
      <c r="BA1472" s="43">
        <f>IF(AU1472="",0,(AH1472-T1472)*AF1472)</f>
        <v/>
      </c>
      <c r="BB1472" s="43">
        <f>IF(AU1472="",0,T1472*(AF1472-AT1472))</f>
        <v/>
      </c>
      <c r="BC1472" s="51" t="n">
        <v>0.05483262143637628</v>
      </c>
      <c r="BD1472" s="51" t="n">
        <v>0.07847422270785735</v>
      </c>
      <c r="BE1472" s="51" t="n">
        <v>0.2545912855599568</v>
      </c>
      <c r="BF1472" s="43" t="n">
        <v>20134</v>
      </c>
    </row>
    <row r="1473">
      <c r="A1473" s="42" t="inlineStr">
        <is>
          <t>KY</t>
        </is>
      </c>
      <c r="B1473" s="42" t="inlineStr">
        <is>
          <t>21019</t>
        </is>
      </c>
      <c r="C1473" s="42" t="inlineStr">
        <is>
          <t>Boyd</t>
        </is>
      </c>
      <c r="D1473" s="42" t="inlineStr">
        <is>
          <t>Small town &amp; rural</t>
        </is>
      </c>
      <c r="E1473" s="42" t="inlineStr"/>
      <c r="F1473" s="43" t="n">
        <v>6291</v>
      </c>
      <c r="G1473" s="43" t="n">
        <v>14363</v>
      </c>
      <c r="H1473" s="43" t="n">
        <v>20951</v>
      </c>
      <c r="I1473" s="43" t="n">
        <v>7083</v>
      </c>
      <c r="J1473" s="43" t="n">
        <v>14295</v>
      </c>
      <c r="K1473" s="42" t="inlineStr">
        <is>
          <t>US Senate</t>
        </is>
      </c>
      <c r="L1473" s="43" t="n">
        <v>5098</v>
      </c>
      <c r="M1473" s="43" t="n">
        <v>9071</v>
      </c>
      <c r="N1473" s="43" t="n">
        <v>14169</v>
      </c>
      <c r="O1473" s="44">
        <f>IFERROR((F1473-G1473)/(F1473+G1473),"")</f>
        <v/>
      </c>
      <c r="P1473" s="44">
        <f>IFERROR((I1473-J1473)/(I1473+J1473),"")</f>
        <v/>
      </c>
      <c r="Q1473" s="45">
        <f>IFERROR(O1473-P1473,"")</f>
        <v/>
      </c>
      <c r="R1473" s="44">
        <f>IFERROR((L1473-M1473)/(L1473+M1473),"")</f>
        <v/>
      </c>
      <c r="S1473" s="46">
        <f>H1473/SUMIFS(Counties!$H$2:$H$1583,Counties!$A$2:$A$1583,$A1473)</f>
        <v/>
      </c>
      <c r="T1473" s="44">
        <f>O1473+INDEX(Dashboard!$F$6:$F$22,MATCH($A1473,Dashboard!$A$6:$A$22,0))</f>
        <v/>
      </c>
      <c r="U1473" s="43">
        <f>AQ1473*INDEX(Dashboard!$G$6:$G$22,MATCH($A1473,Dashboard!$A$6:$A$22,0))</f>
        <v/>
      </c>
      <c r="V1473" s="47" t="n"/>
      <c r="W1473" s="47" t="n"/>
      <c r="X1473" s="47" t="n"/>
      <c r="Y1473" s="48" t="n"/>
      <c r="Z1473" s="49" t="n"/>
      <c r="AA1473" s="49" t="n"/>
      <c r="AB1473" s="49" t="n"/>
      <c r="AC1473" s="50" t="n"/>
      <c r="AD1473" s="43">
        <f>IF(Z1473&lt;&gt;"",Z1473,N(V1473))</f>
        <v/>
      </c>
      <c r="AE1473" s="43">
        <f>IF(AA1473&lt;&gt;"",AA1473,N(W1473))</f>
        <v/>
      </c>
      <c r="AF1473" s="43">
        <f>AD1473+AE1473</f>
        <v/>
      </c>
      <c r="AG1473" s="42">
        <f>IF(UPPER(AC1473)="Y",1,IF(AF1473=0,0,IF(AND(Z1473="",Y1473&lt;&gt;""),IF(Y1473&gt;=0.999,1,0),IF(AF1473&gt;=U1473,1,0))))</f>
        <v/>
      </c>
      <c r="AH1473" s="44">
        <f>IF(AF1473&gt;0,(AD1473-AE1473)/AF1473,"")</f>
        <v/>
      </c>
      <c r="AI1473" s="45">
        <f>IF(AG1473=1,AH1473-O1473,"")</f>
        <v/>
      </c>
      <c r="AJ1473" s="44">
        <f>IF(AG1473=1,AH1473,MAX(-1,MIN(1,O1473+INDEX(Types!$H:$H,MATCH($A1473&amp;"|"&amp;$D1473,Types!$A:$A,0)))))</f>
        <v/>
      </c>
      <c r="AK1473" s="43">
        <f>IF(AG1473=1,AF1473,MAX(AQ1473*AS1473,AF1473))</f>
        <v/>
      </c>
      <c r="AL1473" s="43">
        <f>IF(AG1473=1,AD1473,AK1473*(1+AJ1473)/2)</f>
        <v/>
      </c>
      <c r="AM1473" s="43">
        <f>IF(AG1473=1,AE1473,AK1473*(1-AJ1473)/2)</f>
        <v/>
      </c>
      <c r="AN1473" s="45">
        <f>IF(AH1473="","",AH1473-T1473)</f>
        <v/>
      </c>
      <c r="AO1473" s="51">
        <f>IF(AG1473=1,1,IF(U1473&gt;0,MIN(AF1473/U1473,0.99),0))</f>
        <v/>
      </c>
      <c r="AP1473" s="43">
        <f>IF(AG1473=1,AI1473*AF1473,0)</f>
        <v/>
      </c>
      <c r="AQ1473" s="43">
        <f>N1473*(F1473+G1473)/H1473</f>
        <v/>
      </c>
      <c r="AR1473" s="43">
        <f>O1473*AQ1473</f>
        <v/>
      </c>
      <c r="AS1473" s="52">
        <f>IF(AG1473=1,IF(AQ1473&gt;0,AF1473/AQ1473,1),IFERROR(INDEX(Types!$K:$K,MATCH($A1473&amp;"|"&amp;$D1473,Types!$A:$A,0)),INDEX(Dashboard!$X$6:$X$22,MATCH($A1473,Dashboard!$A$6:$A$22,0))))</f>
        <v/>
      </c>
      <c r="AT1473" s="43">
        <f>AQ1473*INDEX(Dashboard!$Y$6:$Y$22,MATCH($A1473,Dashboard!$A$6:$A$22,0))</f>
        <v/>
      </c>
      <c r="AU1473" s="53">
        <f>IF(AND(AG1473=1,AT1473&gt;0,AF1473&gt;0),100*AF1473/AT1473,"")</f>
        <v/>
      </c>
      <c r="AV1473" s="44">
        <f>IF(AU1473="","",T1473/(AU1473/100))</f>
        <v/>
      </c>
      <c r="AW1473" s="53">
        <f>IF(AU1473="","",IF(AND(ABS(AH1473)&gt;=0.1,ABS(T1473)&gt;=0.05,SIGN(AH1473)=SIGN(T1473)),100*T1473/AH1473,""))</f>
        <v/>
      </c>
      <c r="AX1473" s="45">
        <f>IF(AU1473="","",T1473-AV1473)</f>
        <v/>
      </c>
      <c r="AY1473" s="45">
        <f>IF(AU1473="","",AH1473-AV1473)</f>
        <v/>
      </c>
      <c r="AZ1473" s="54">
        <f>(AL1473-AM1473)-T1473*AT1473</f>
        <v/>
      </c>
      <c r="BA1473" s="43">
        <f>IF(AU1473="",0,(AH1473-T1473)*AF1473)</f>
        <v/>
      </c>
      <c r="BB1473" s="43">
        <f>IF(AU1473="",0,T1473*(AF1473-AT1473))</f>
        <v/>
      </c>
      <c r="BC1473" s="51" t="n">
        <v>0.02829005143645716</v>
      </c>
      <c r="BD1473" s="51" t="n">
        <v>0.01929912599841091</v>
      </c>
      <c r="BE1473" s="51" t="n">
        <v>0.1937514572161343</v>
      </c>
      <c r="BF1473" s="43" t="n">
        <v>47826</v>
      </c>
    </row>
    <row r="1474">
      <c r="A1474" s="42" t="inlineStr">
        <is>
          <t>KY</t>
        </is>
      </c>
      <c r="B1474" s="42" t="inlineStr">
        <is>
          <t>21021</t>
        </is>
      </c>
      <c r="C1474" s="42" t="inlineStr">
        <is>
          <t>Boyle</t>
        </is>
      </c>
      <c r="D1474" s="42" t="inlineStr">
        <is>
          <t>Small town &amp; rural</t>
        </is>
      </c>
      <c r="E1474" s="42" t="inlineStr"/>
      <c r="F1474" s="43" t="n">
        <v>4990</v>
      </c>
      <c r="G1474" s="43" t="n">
        <v>9159</v>
      </c>
      <c r="H1474" s="43" t="n">
        <v>14371</v>
      </c>
      <c r="I1474" s="43" t="n">
        <v>5298</v>
      </c>
      <c r="J1474" s="43" t="n">
        <v>8872</v>
      </c>
      <c r="K1474" s="42" t="inlineStr">
        <is>
          <t>US Senate</t>
        </is>
      </c>
      <c r="L1474" s="43" t="n">
        <v>4021</v>
      </c>
      <c r="M1474" s="43" t="n">
        <v>6304</v>
      </c>
      <c r="N1474" s="43" t="n">
        <v>10326</v>
      </c>
      <c r="O1474" s="44">
        <f>IFERROR((F1474-G1474)/(F1474+G1474),"")</f>
        <v/>
      </c>
      <c r="P1474" s="44">
        <f>IFERROR((I1474-J1474)/(I1474+J1474),"")</f>
        <v/>
      </c>
      <c r="Q1474" s="45">
        <f>IFERROR(O1474-P1474,"")</f>
        <v/>
      </c>
      <c r="R1474" s="44">
        <f>IFERROR((L1474-M1474)/(L1474+M1474),"")</f>
        <v/>
      </c>
      <c r="S1474" s="46">
        <f>H1474/SUMIFS(Counties!$H$2:$H$1583,Counties!$A$2:$A$1583,$A1474)</f>
        <v/>
      </c>
      <c r="T1474" s="44">
        <f>O1474+INDEX(Dashboard!$F$6:$F$22,MATCH($A1474,Dashboard!$A$6:$A$22,0))</f>
        <v/>
      </c>
      <c r="U1474" s="43">
        <f>AQ1474*INDEX(Dashboard!$G$6:$G$22,MATCH($A1474,Dashboard!$A$6:$A$22,0))</f>
        <v/>
      </c>
      <c r="V1474" s="47" t="n"/>
      <c r="W1474" s="47" t="n"/>
      <c r="X1474" s="47" t="n"/>
      <c r="Y1474" s="48" t="n"/>
      <c r="Z1474" s="49" t="n"/>
      <c r="AA1474" s="49" t="n"/>
      <c r="AB1474" s="49" t="n"/>
      <c r="AC1474" s="50" t="n"/>
      <c r="AD1474" s="43">
        <f>IF(Z1474&lt;&gt;"",Z1474,N(V1474))</f>
        <v/>
      </c>
      <c r="AE1474" s="43">
        <f>IF(AA1474&lt;&gt;"",AA1474,N(W1474))</f>
        <v/>
      </c>
      <c r="AF1474" s="43">
        <f>AD1474+AE1474</f>
        <v/>
      </c>
      <c r="AG1474" s="42">
        <f>IF(UPPER(AC1474)="Y",1,IF(AF1474=0,0,IF(AND(Z1474="",Y1474&lt;&gt;""),IF(Y1474&gt;=0.999,1,0),IF(AF1474&gt;=U1474,1,0))))</f>
        <v/>
      </c>
      <c r="AH1474" s="44">
        <f>IF(AF1474&gt;0,(AD1474-AE1474)/AF1474,"")</f>
        <v/>
      </c>
      <c r="AI1474" s="45">
        <f>IF(AG1474=1,AH1474-O1474,"")</f>
        <v/>
      </c>
      <c r="AJ1474" s="44">
        <f>IF(AG1474=1,AH1474,MAX(-1,MIN(1,O1474+INDEX(Types!$H:$H,MATCH($A1474&amp;"|"&amp;$D1474,Types!$A:$A,0)))))</f>
        <v/>
      </c>
      <c r="AK1474" s="43">
        <f>IF(AG1474=1,AF1474,MAX(AQ1474*AS1474,AF1474))</f>
        <v/>
      </c>
      <c r="AL1474" s="43">
        <f>IF(AG1474=1,AD1474,AK1474*(1+AJ1474)/2)</f>
        <v/>
      </c>
      <c r="AM1474" s="43">
        <f>IF(AG1474=1,AE1474,AK1474*(1-AJ1474)/2)</f>
        <v/>
      </c>
      <c r="AN1474" s="45">
        <f>IF(AH1474="","",AH1474-T1474)</f>
        <v/>
      </c>
      <c r="AO1474" s="51">
        <f>IF(AG1474=1,1,IF(U1474&gt;0,MIN(AF1474/U1474,0.99),0))</f>
        <v/>
      </c>
      <c r="AP1474" s="43">
        <f>IF(AG1474=1,AI1474*AF1474,0)</f>
        <v/>
      </c>
      <c r="AQ1474" s="43">
        <f>N1474*(F1474+G1474)/H1474</f>
        <v/>
      </c>
      <c r="AR1474" s="43">
        <f>O1474*AQ1474</f>
        <v/>
      </c>
      <c r="AS1474" s="52">
        <f>IF(AG1474=1,IF(AQ1474&gt;0,AF1474/AQ1474,1),IFERROR(INDEX(Types!$K:$K,MATCH($A1474&amp;"|"&amp;$D1474,Types!$A:$A,0)),INDEX(Dashboard!$X$6:$X$22,MATCH($A1474,Dashboard!$A$6:$A$22,0))))</f>
        <v/>
      </c>
      <c r="AT1474" s="43">
        <f>AQ1474*INDEX(Dashboard!$Y$6:$Y$22,MATCH($A1474,Dashboard!$A$6:$A$22,0))</f>
        <v/>
      </c>
      <c r="AU1474" s="53">
        <f>IF(AND(AG1474=1,AT1474&gt;0,AF1474&gt;0),100*AF1474/AT1474,"")</f>
        <v/>
      </c>
      <c r="AV1474" s="44">
        <f>IF(AU1474="","",T1474/(AU1474/100))</f>
        <v/>
      </c>
      <c r="AW1474" s="53">
        <f>IF(AU1474="","",IF(AND(ABS(AH1474)&gt;=0.1,ABS(T1474)&gt;=0.05,SIGN(AH1474)=SIGN(T1474)),100*T1474/AH1474,""))</f>
        <v/>
      </c>
      <c r="AX1474" s="45">
        <f>IF(AU1474="","",T1474-AV1474)</f>
        <v/>
      </c>
      <c r="AY1474" s="45">
        <f>IF(AU1474="","",AH1474-AV1474)</f>
        <v/>
      </c>
      <c r="AZ1474" s="54">
        <f>(AL1474-AM1474)-T1474*AT1474</f>
        <v/>
      </c>
      <c r="BA1474" s="43">
        <f>IF(AU1474="",0,(AH1474-T1474)*AF1474)</f>
        <v/>
      </c>
      <c r="BB1474" s="43">
        <f>IF(AU1474="",0,T1474*(AF1474-AT1474))</f>
        <v/>
      </c>
      <c r="BC1474" s="51" t="n">
        <v>0.07925648638182523</v>
      </c>
      <c r="BD1474" s="51" t="n">
        <v>0.04656641280495676</v>
      </c>
      <c r="BE1474" s="51" t="n">
        <v>0.2737101211448429</v>
      </c>
      <c r="BF1474" s="43" t="n">
        <v>30988</v>
      </c>
    </row>
    <row r="1475">
      <c r="A1475" s="42" t="inlineStr">
        <is>
          <t>KY</t>
        </is>
      </c>
      <c r="B1475" s="42" t="inlineStr">
        <is>
          <t>21023</t>
        </is>
      </c>
      <c r="C1475" s="42" t="inlineStr">
        <is>
          <t>Bracken</t>
        </is>
      </c>
      <c r="D1475" s="42" t="inlineStr">
        <is>
          <t>Small town &amp; rural</t>
        </is>
      </c>
      <c r="E1475" s="42" t="inlineStr"/>
      <c r="F1475" s="43" t="n">
        <v>702</v>
      </c>
      <c r="G1475" s="43" t="n">
        <v>3399</v>
      </c>
      <c r="H1475" s="43" t="n">
        <v>4146</v>
      </c>
      <c r="I1475" s="43" t="n">
        <v>800</v>
      </c>
      <c r="J1475" s="43" t="n">
        <v>3398</v>
      </c>
      <c r="K1475" s="42" t="inlineStr">
        <is>
          <t>US Senate</t>
        </is>
      </c>
      <c r="L1475" s="43" t="n">
        <v>756</v>
      </c>
      <c r="M1475" s="43" t="n">
        <v>2478</v>
      </c>
      <c r="N1475" s="43" t="n">
        <v>3234</v>
      </c>
      <c r="O1475" s="44">
        <f>IFERROR((F1475-G1475)/(F1475+G1475),"")</f>
        <v/>
      </c>
      <c r="P1475" s="44">
        <f>IFERROR((I1475-J1475)/(I1475+J1475),"")</f>
        <v/>
      </c>
      <c r="Q1475" s="45">
        <f>IFERROR(O1475-P1475,"")</f>
        <v/>
      </c>
      <c r="R1475" s="44">
        <f>IFERROR((L1475-M1475)/(L1475+M1475),"")</f>
        <v/>
      </c>
      <c r="S1475" s="46">
        <f>H1475/SUMIFS(Counties!$H$2:$H$1583,Counties!$A$2:$A$1583,$A1475)</f>
        <v/>
      </c>
      <c r="T1475" s="44">
        <f>O1475+INDEX(Dashboard!$F$6:$F$22,MATCH($A1475,Dashboard!$A$6:$A$22,0))</f>
        <v/>
      </c>
      <c r="U1475" s="43">
        <f>AQ1475*INDEX(Dashboard!$G$6:$G$22,MATCH($A1475,Dashboard!$A$6:$A$22,0))</f>
        <v/>
      </c>
      <c r="V1475" s="47" t="n"/>
      <c r="W1475" s="47" t="n"/>
      <c r="X1475" s="47" t="n"/>
      <c r="Y1475" s="48" t="n"/>
      <c r="Z1475" s="49" t="n"/>
      <c r="AA1475" s="49" t="n"/>
      <c r="AB1475" s="49" t="n"/>
      <c r="AC1475" s="50" t="n"/>
      <c r="AD1475" s="43">
        <f>IF(Z1475&lt;&gt;"",Z1475,N(V1475))</f>
        <v/>
      </c>
      <c r="AE1475" s="43">
        <f>IF(AA1475&lt;&gt;"",AA1475,N(W1475))</f>
        <v/>
      </c>
      <c r="AF1475" s="43">
        <f>AD1475+AE1475</f>
        <v/>
      </c>
      <c r="AG1475" s="42">
        <f>IF(UPPER(AC1475)="Y",1,IF(AF1475=0,0,IF(AND(Z1475="",Y1475&lt;&gt;""),IF(Y1475&gt;=0.999,1,0),IF(AF1475&gt;=U1475,1,0))))</f>
        <v/>
      </c>
      <c r="AH1475" s="44">
        <f>IF(AF1475&gt;0,(AD1475-AE1475)/AF1475,"")</f>
        <v/>
      </c>
      <c r="AI1475" s="45">
        <f>IF(AG1475=1,AH1475-O1475,"")</f>
        <v/>
      </c>
      <c r="AJ1475" s="44">
        <f>IF(AG1475=1,AH1475,MAX(-1,MIN(1,O1475+INDEX(Types!$H:$H,MATCH($A1475&amp;"|"&amp;$D1475,Types!$A:$A,0)))))</f>
        <v/>
      </c>
      <c r="AK1475" s="43">
        <f>IF(AG1475=1,AF1475,MAX(AQ1475*AS1475,AF1475))</f>
        <v/>
      </c>
      <c r="AL1475" s="43">
        <f>IF(AG1475=1,AD1475,AK1475*(1+AJ1475)/2)</f>
        <v/>
      </c>
      <c r="AM1475" s="43">
        <f>IF(AG1475=1,AE1475,AK1475*(1-AJ1475)/2)</f>
        <v/>
      </c>
      <c r="AN1475" s="45">
        <f>IF(AH1475="","",AH1475-T1475)</f>
        <v/>
      </c>
      <c r="AO1475" s="51">
        <f>IF(AG1475=1,1,IF(U1475&gt;0,MIN(AF1475/U1475,0.99),0))</f>
        <v/>
      </c>
      <c r="AP1475" s="43">
        <f>IF(AG1475=1,AI1475*AF1475,0)</f>
        <v/>
      </c>
      <c r="AQ1475" s="43">
        <f>N1475*(F1475+G1475)/H1475</f>
        <v/>
      </c>
      <c r="AR1475" s="43">
        <f>O1475*AQ1475</f>
        <v/>
      </c>
      <c r="AS1475" s="52">
        <f>IF(AG1475=1,IF(AQ1475&gt;0,AF1475/AQ1475,1),IFERROR(INDEX(Types!$K:$K,MATCH($A1475&amp;"|"&amp;$D1475,Types!$A:$A,0)),INDEX(Dashboard!$X$6:$X$22,MATCH($A1475,Dashboard!$A$6:$A$22,0))))</f>
        <v/>
      </c>
      <c r="AT1475" s="43">
        <f>AQ1475*INDEX(Dashboard!$Y$6:$Y$22,MATCH($A1475,Dashboard!$A$6:$A$22,0))</f>
        <v/>
      </c>
      <c r="AU1475" s="53">
        <f>IF(AND(AG1475=1,AT1475&gt;0,AF1475&gt;0),100*AF1475/AT1475,"")</f>
        <v/>
      </c>
      <c r="AV1475" s="44">
        <f>IF(AU1475="","",T1475/(AU1475/100))</f>
        <v/>
      </c>
      <c r="AW1475" s="53">
        <f>IF(AU1475="","",IF(AND(ABS(AH1475)&gt;=0.1,ABS(T1475)&gt;=0.05,SIGN(AH1475)=SIGN(T1475)),100*T1475/AH1475,""))</f>
        <v/>
      </c>
      <c r="AX1475" s="45">
        <f>IF(AU1475="","",T1475-AV1475)</f>
        <v/>
      </c>
      <c r="AY1475" s="45">
        <f>IF(AU1475="","",AH1475-AV1475)</f>
        <v/>
      </c>
      <c r="AZ1475" s="54">
        <f>(AL1475-AM1475)-T1475*AT1475</f>
        <v/>
      </c>
      <c r="BA1475" s="43">
        <f>IF(AU1475="",0,(AH1475-T1475)*AF1475)</f>
        <v/>
      </c>
      <c r="BB1475" s="43">
        <f>IF(AU1475="",0,T1475*(AF1475-AT1475))</f>
        <v/>
      </c>
      <c r="BC1475" s="51" t="n">
        <v>0.009494422027059102</v>
      </c>
      <c r="BD1475" s="51" t="n">
        <v>0.01483503441727985</v>
      </c>
      <c r="BE1475" s="51" t="n">
        <v>0.1699828473413379</v>
      </c>
      <c r="BF1475" s="43" t="n">
        <v>8426</v>
      </c>
    </row>
    <row r="1476">
      <c r="A1476" s="42" t="inlineStr">
        <is>
          <t>KY</t>
        </is>
      </c>
      <c r="B1476" s="42" t="inlineStr">
        <is>
          <t>21025</t>
        </is>
      </c>
      <c r="C1476" s="42" t="inlineStr">
        <is>
          <t>Breathitt</t>
        </is>
      </c>
      <c r="D1476" s="42" t="inlineStr">
        <is>
          <t>Small town &amp; rural</t>
        </is>
      </c>
      <c r="E1476" s="42" t="inlineStr"/>
      <c r="F1476" s="43" t="n">
        <v>1002</v>
      </c>
      <c r="G1476" s="43" t="n">
        <v>4036</v>
      </c>
      <c r="H1476" s="43" t="n">
        <v>5113</v>
      </c>
      <c r="I1476" s="43" t="n">
        <v>1301</v>
      </c>
      <c r="J1476" s="43" t="n">
        <v>4265</v>
      </c>
      <c r="K1476" s="42" t="inlineStr">
        <is>
          <t>US Senate</t>
        </is>
      </c>
      <c r="L1476" s="43" t="n">
        <v>1267</v>
      </c>
      <c r="M1476" s="43" t="n">
        <v>2285</v>
      </c>
      <c r="N1476" s="43" t="n">
        <v>3552</v>
      </c>
      <c r="O1476" s="44">
        <f>IFERROR((F1476-G1476)/(F1476+G1476),"")</f>
        <v/>
      </c>
      <c r="P1476" s="44">
        <f>IFERROR((I1476-J1476)/(I1476+J1476),"")</f>
        <v/>
      </c>
      <c r="Q1476" s="45">
        <f>IFERROR(O1476-P1476,"")</f>
        <v/>
      </c>
      <c r="R1476" s="44">
        <f>IFERROR((L1476-M1476)/(L1476+M1476),"")</f>
        <v/>
      </c>
      <c r="S1476" s="46">
        <f>H1476/SUMIFS(Counties!$H$2:$H$1583,Counties!$A$2:$A$1583,$A1476)</f>
        <v/>
      </c>
      <c r="T1476" s="44">
        <f>O1476+INDEX(Dashboard!$F$6:$F$22,MATCH($A1476,Dashboard!$A$6:$A$22,0))</f>
        <v/>
      </c>
      <c r="U1476" s="43">
        <f>AQ1476*INDEX(Dashboard!$G$6:$G$22,MATCH($A1476,Dashboard!$A$6:$A$22,0))</f>
        <v/>
      </c>
      <c r="V1476" s="47" t="n"/>
      <c r="W1476" s="47" t="n"/>
      <c r="X1476" s="47" t="n"/>
      <c r="Y1476" s="48" t="n"/>
      <c r="Z1476" s="49" t="n"/>
      <c r="AA1476" s="49" t="n"/>
      <c r="AB1476" s="49" t="n"/>
      <c r="AC1476" s="50" t="n"/>
      <c r="AD1476" s="43">
        <f>IF(Z1476&lt;&gt;"",Z1476,N(V1476))</f>
        <v/>
      </c>
      <c r="AE1476" s="43">
        <f>IF(AA1476&lt;&gt;"",AA1476,N(W1476))</f>
        <v/>
      </c>
      <c r="AF1476" s="43">
        <f>AD1476+AE1476</f>
        <v/>
      </c>
      <c r="AG1476" s="42">
        <f>IF(UPPER(AC1476)="Y",1,IF(AF1476=0,0,IF(AND(Z1476="",Y1476&lt;&gt;""),IF(Y1476&gt;=0.999,1,0),IF(AF1476&gt;=U1476,1,0))))</f>
        <v/>
      </c>
      <c r="AH1476" s="44">
        <f>IF(AF1476&gt;0,(AD1476-AE1476)/AF1476,"")</f>
        <v/>
      </c>
      <c r="AI1476" s="45">
        <f>IF(AG1476=1,AH1476-O1476,"")</f>
        <v/>
      </c>
      <c r="AJ1476" s="44">
        <f>IF(AG1476=1,AH1476,MAX(-1,MIN(1,O1476+INDEX(Types!$H:$H,MATCH($A1476&amp;"|"&amp;$D1476,Types!$A:$A,0)))))</f>
        <v/>
      </c>
      <c r="AK1476" s="43">
        <f>IF(AG1476=1,AF1476,MAX(AQ1476*AS1476,AF1476))</f>
        <v/>
      </c>
      <c r="AL1476" s="43">
        <f>IF(AG1476=1,AD1476,AK1476*(1+AJ1476)/2)</f>
        <v/>
      </c>
      <c r="AM1476" s="43">
        <f>IF(AG1476=1,AE1476,AK1476*(1-AJ1476)/2)</f>
        <v/>
      </c>
      <c r="AN1476" s="45">
        <f>IF(AH1476="","",AH1476-T1476)</f>
        <v/>
      </c>
      <c r="AO1476" s="51">
        <f>IF(AG1476=1,1,IF(U1476&gt;0,MIN(AF1476/U1476,0.99),0))</f>
        <v/>
      </c>
      <c r="AP1476" s="43">
        <f>IF(AG1476=1,AI1476*AF1476,0)</f>
        <v/>
      </c>
      <c r="AQ1476" s="43">
        <f>N1476*(F1476+G1476)/H1476</f>
        <v/>
      </c>
      <c r="AR1476" s="43">
        <f>O1476*AQ1476</f>
        <v/>
      </c>
      <c r="AS1476" s="52">
        <f>IF(AG1476=1,IF(AQ1476&gt;0,AF1476/AQ1476,1),IFERROR(INDEX(Types!$K:$K,MATCH($A1476&amp;"|"&amp;$D1476,Types!$A:$A,0)),INDEX(Dashboard!$X$6:$X$22,MATCH($A1476,Dashboard!$A$6:$A$22,0))))</f>
        <v/>
      </c>
      <c r="AT1476" s="43">
        <f>AQ1476*INDEX(Dashboard!$Y$6:$Y$22,MATCH($A1476,Dashboard!$A$6:$A$22,0))</f>
        <v/>
      </c>
      <c r="AU1476" s="53">
        <f>IF(AND(AG1476=1,AT1476&gt;0,AF1476&gt;0),100*AF1476/AT1476,"")</f>
        <v/>
      </c>
      <c r="AV1476" s="44">
        <f>IF(AU1476="","",T1476/(AU1476/100))</f>
        <v/>
      </c>
      <c r="AW1476" s="53">
        <f>IF(AU1476="","",IF(AND(ABS(AH1476)&gt;=0.1,ABS(T1476)&gt;=0.05,SIGN(AH1476)=SIGN(T1476)),100*T1476/AH1476,""))</f>
        <v/>
      </c>
      <c r="AX1476" s="45">
        <f>IF(AU1476="","",T1476-AV1476)</f>
        <v/>
      </c>
      <c r="AY1476" s="45">
        <f>IF(AU1476="","",AH1476-AV1476)</f>
        <v/>
      </c>
      <c r="AZ1476" s="54">
        <f>(AL1476-AM1476)-T1476*AT1476</f>
        <v/>
      </c>
      <c r="BA1476" s="43">
        <f>IF(AU1476="",0,(AH1476-T1476)*AF1476)</f>
        <v/>
      </c>
      <c r="BB1476" s="43">
        <f>IF(AU1476="",0,T1476*(AF1476-AT1476))</f>
        <v/>
      </c>
      <c r="BC1476" s="51" t="n">
        <v>0.005790164440670115</v>
      </c>
      <c r="BD1476" s="51" t="n">
        <v>0.01134872230371343</v>
      </c>
      <c r="BE1476" s="51" t="n">
        <v>0.1652263374485597</v>
      </c>
      <c r="BF1476" s="43" t="n">
        <v>12953</v>
      </c>
    </row>
    <row r="1477">
      <c r="A1477" s="42" t="inlineStr">
        <is>
          <t>KY</t>
        </is>
      </c>
      <c r="B1477" s="42" t="inlineStr">
        <is>
          <t>21027</t>
        </is>
      </c>
      <c r="C1477" s="42" t="inlineStr">
        <is>
          <t>Breckinridge</t>
        </is>
      </c>
      <c r="D1477" s="42" t="inlineStr">
        <is>
          <t>Small town &amp; rural</t>
        </is>
      </c>
      <c r="E1477" s="42" t="inlineStr"/>
      <c r="F1477" s="43" t="n">
        <v>2038</v>
      </c>
      <c r="G1477" s="43" t="n">
        <v>7882</v>
      </c>
      <c r="H1477" s="43" t="n">
        <v>10046</v>
      </c>
      <c r="I1477" s="43" t="n">
        <v>2350</v>
      </c>
      <c r="J1477" s="43" t="n">
        <v>7701</v>
      </c>
      <c r="K1477" s="42" t="inlineStr">
        <is>
          <t>US Senate</t>
        </is>
      </c>
      <c r="L1477" s="43" t="n">
        <v>1723</v>
      </c>
      <c r="M1477" s="43" t="n">
        <v>5076</v>
      </c>
      <c r="N1477" s="43" t="n">
        <v>6799</v>
      </c>
      <c r="O1477" s="44">
        <f>IFERROR((F1477-G1477)/(F1477+G1477),"")</f>
        <v/>
      </c>
      <c r="P1477" s="44">
        <f>IFERROR((I1477-J1477)/(I1477+J1477),"")</f>
        <v/>
      </c>
      <c r="Q1477" s="45">
        <f>IFERROR(O1477-P1477,"")</f>
        <v/>
      </c>
      <c r="R1477" s="44">
        <f>IFERROR((L1477-M1477)/(L1477+M1477),"")</f>
        <v/>
      </c>
      <c r="S1477" s="46">
        <f>H1477/SUMIFS(Counties!$H$2:$H$1583,Counties!$A$2:$A$1583,$A1477)</f>
        <v/>
      </c>
      <c r="T1477" s="44">
        <f>O1477+INDEX(Dashboard!$F$6:$F$22,MATCH($A1477,Dashboard!$A$6:$A$22,0))</f>
        <v/>
      </c>
      <c r="U1477" s="43">
        <f>AQ1477*INDEX(Dashboard!$G$6:$G$22,MATCH($A1477,Dashboard!$A$6:$A$22,0))</f>
        <v/>
      </c>
      <c r="V1477" s="47" t="n"/>
      <c r="W1477" s="47" t="n"/>
      <c r="X1477" s="47" t="n"/>
      <c r="Y1477" s="48" t="n"/>
      <c r="Z1477" s="49" t="n"/>
      <c r="AA1477" s="49" t="n"/>
      <c r="AB1477" s="49" t="n"/>
      <c r="AC1477" s="50" t="n"/>
      <c r="AD1477" s="43">
        <f>IF(Z1477&lt;&gt;"",Z1477,N(V1477))</f>
        <v/>
      </c>
      <c r="AE1477" s="43">
        <f>IF(AA1477&lt;&gt;"",AA1477,N(W1477))</f>
        <v/>
      </c>
      <c r="AF1477" s="43">
        <f>AD1477+AE1477</f>
        <v/>
      </c>
      <c r="AG1477" s="42">
        <f>IF(UPPER(AC1477)="Y",1,IF(AF1477=0,0,IF(AND(Z1477="",Y1477&lt;&gt;""),IF(Y1477&gt;=0.999,1,0),IF(AF1477&gt;=U1477,1,0))))</f>
        <v/>
      </c>
      <c r="AH1477" s="44">
        <f>IF(AF1477&gt;0,(AD1477-AE1477)/AF1477,"")</f>
        <v/>
      </c>
      <c r="AI1477" s="45">
        <f>IF(AG1477=1,AH1477-O1477,"")</f>
        <v/>
      </c>
      <c r="AJ1477" s="44">
        <f>IF(AG1477=1,AH1477,MAX(-1,MIN(1,O1477+INDEX(Types!$H:$H,MATCH($A1477&amp;"|"&amp;$D1477,Types!$A:$A,0)))))</f>
        <v/>
      </c>
      <c r="AK1477" s="43">
        <f>IF(AG1477=1,AF1477,MAX(AQ1477*AS1477,AF1477))</f>
        <v/>
      </c>
      <c r="AL1477" s="43">
        <f>IF(AG1477=1,AD1477,AK1477*(1+AJ1477)/2)</f>
        <v/>
      </c>
      <c r="AM1477" s="43">
        <f>IF(AG1477=1,AE1477,AK1477*(1-AJ1477)/2)</f>
        <v/>
      </c>
      <c r="AN1477" s="45">
        <f>IF(AH1477="","",AH1477-T1477)</f>
        <v/>
      </c>
      <c r="AO1477" s="51">
        <f>IF(AG1477=1,1,IF(U1477&gt;0,MIN(AF1477/U1477,0.99),0))</f>
        <v/>
      </c>
      <c r="AP1477" s="43">
        <f>IF(AG1477=1,AI1477*AF1477,0)</f>
        <v/>
      </c>
      <c r="AQ1477" s="43">
        <f>N1477*(F1477+G1477)/H1477</f>
        <v/>
      </c>
      <c r="AR1477" s="43">
        <f>O1477*AQ1477</f>
        <v/>
      </c>
      <c r="AS1477" s="52">
        <f>IF(AG1477=1,IF(AQ1477&gt;0,AF1477/AQ1477,1),IFERROR(INDEX(Types!$K:$K,MATCH($A1477&amp;"|"&amp;$D1477,Types!$A:$A,0)),INDEX(Dashboard!$X$6:$X$22,MATCH($A1477,Dashboard!$A$6:$A$22,0))))</f>
        <v/>
      </c>
      <c r="AT1477" s="43">
        <f>AQ1477*INDEX(Dashboard!$Y$6:$Y$22,MATCH($A1477,Dashboard!$A$6:$A$22,0))</f>
        <v/>
      </c>
      <c r="AU1477" s="53">
        <f>IF(AND(AG1477=1,AT1477&gt;0,AF1477&gt;0),100*AF1477/AT1477,"")</f>
        <v/>
      </c>
      <c r="AV1477" s="44">
        <f>IF(AU1477="","",T1477/(AU1477/100))</f>
        <v/>
      </c>
      <c r="AW1477" s="53">
        <f>IF(AU1477="","",IF(AND(ABS(AH1477)&gt;=0.1,ABS(T1477)&gt;=0.05,SIGN(AH1477)=SIGN(T1477)),100*T1477/AH1477,""))</f>
        <v/>
      </c>
      <c r="AX1477" s="45">
        <f>IF(AU1477="","",T1477-AV1477)</f>
        <v/>
      </c>
      <c r="AY1477" s="45">
        <f>IF(AU1477="","",AH1477-AV1477)</f>
        <v/>
      </c>
      <c r="AZ1477" s="54">
        <f>(AL1477-AM1477)-T1477*AT1477</f>
        <v/>
      </c>
      <c r="BA1477" s="43">
        <f>IF(AU1477="",0,(AH1477-T1477)*AF1477)</f>
        <v/>
      </c>
      <c r="BB1477" s="43">
        <f>IF(AU1477="",0,T1477*(AF1477-AT1477))</f>
        <v/>
      </c>
      <c r="BC1477" s="51" t="n">
        <v>0.02277030865366408</v>
      </c>
      <c r="BD1477" s="51" t="n">
        <v>0.0173736034841886</v>
      </c>
      <c r="BE1477" s="51" t="n">
        <v>0.1491461366181411</v>
      </c>
      <c r="BF1477" s="43" t="n">
        <v>21124</v>
      </c>
    </row>
    <row r="1478">
      <c r="A1478" s="42" t="inlineStr">
        <is>
          <t>KY</t>
        </is>
      </c>
      <c r="B1478" s="42" t="inlineStr">
        <is>
          <t>21029</t>
        </is>
      </c>
      <c r="C1478" s="42" t="inlineStr">
        <is>
          <t>Bullitt</t>
        </is>
      </c>
      <c r="D1478" s="42" t="inlineStr">
        <is>
          <t>Small town &amp; rural</t>
        </is>
      </c>
      <c r="E1478" s="42" t="inlineStr"/>
      <c r="F1478" s="43" t="n">
        <v>10280</v>
      </c>
      <c r="G1478" s="43" t="n">
        <v>32299</v>
      </c>
      <c r="H1478" s="43" t="n">
        <v>43187</v>
      </c>
      <c r="I1478" s="43" t="n">
        <v>10552</v>
      </c>
      <c r="J1478" s="43" t="n">
        <v>30708</v>
      </c>
      <c r="K1478" s="42" t="inlineStr">
        <is>
          <t>US Senate</t>
        </is>
      </c>
      <c r="L1478" s="43" t="n">
        <v>6895</v>
      </c>
      <c r="M1478" s="43" t="n">
        <v>17945</v>
      </c>
      <c r="N1478" s="43" t="n">
        <v>24842</v>
      </c>
      <c r="O1478" s="44">
        <f>IFERROR((F1478-G1478)/(F1478+G1478),"")</f>
        <v/>
      </c>
      <c r="P1478" s="44">
        <f>IFERROR((I1478-J1478)/(I1478+J1478),"")</f>
        <v/>
      </c>
      <c r="Q1478" s="45">
        <f>IFERROR(O1478-P1478,"")</f>
        <v/>
      </c>
      <c r="R1478" s="44">
        <f>IFERROR((L1478-M1478)/(L1478+M1478),"")</f>
        <v/>
      </c>
      <c r="S1478" s="46">
        <f>H1478/SUMIFS(Counties!$H$2:$H$1583,Counties!$A$2:$A$1583,$A1478)</f>
        <v/>
      </c>
      <c r="T1478" s="44">
        <f>O1478+INDEX(Dashboard!$F$6:$F$22,MATCH($A1478,Dashboard!$A$6:$A$22,0))</f>
        <v/>
      </c>
      <c r="U1478" s="43">
        <f>AQ1478*INDEX(Dashboard!$G$6:$G$22,MATCH($A1478,Dashboard!$A$6:$A$22,0))</f>
        <v/>
      </c>
      <c r="V1478" s="47" t="n"/>
      <c r="W1478" s="47" t="n"/>
      <c r="X1478" s="47" t="n"/>
      <c r="Y1478" s="48" t="n"/>
      <c r="Z1478" s="49" t="n"/>
      <c r="AA1478" s="49" t="n"/>
      <c r="AB1478" s="49" t="n"/>
      <c r="AC1478" s="50" t="n"/>
      <c r="AD1478" s="43">
        <f>IF(Z1478&lt;&gt;"",Z1478,N(V1478))</f>
        <v/>
      </c>
      <c r="AE1478" s="43">
        <f>IF(AA1478&lt;&gt;"",AA1478,N(W1478))</f>
        <v/>
      </c>
      <c r="AF1478" s="43">
        <f>AD1478+AE1478</f>
        <v/>
      </c>
      <c r="AG1478" s="42">
        <f>IF(UPPER(AC1478)="Y",1,IF(AF1478=0,0,IF(AND(Z1478="",Y1478&lt;&gt;""),IF(Y1478&gt;=0.999,1,0),IF(AF1478&gt;=U1478,1,0))))</f>
        <v/>
      </c>
      <c r="AH1478" s="44">
        <f>IF(AF1478&gt;0,(AD1478-AE1478)/AF1478,"")</f>
        <v/>
      </c>
      <c r="AI1478" s="45">
        <f>IF(AG1478=1,AH1478-O1478,"")</f>
        <v/>
      </c>
      <c r="AJ1478" s="44">
        <f>IF(AG1478=1,AH1478,MAX(-1,MIN(1,O1478+INDEX(Types!$H:$H,MATCH($A1478&amp;"|"&amp;$D1478,Types!$A:$A,0)))))</f>
        <v/>
      </c>
      <c r="AK1478" s="43">
        <f>IF(AG1478=1,AF1478,MAX(AQ1478*AS1478,AF1478))</f>
        <v/>
      </c>
      <c r="AL1478" s="43">
        <f>IF(AG1478=1,AD1478,AK1478*(1+AJ1478)/2)</f>
        <v/>
      </c>
      <c r="AM1478" s="43">
        <f>IF(AG1478=1,AE1478,AK1478*(1-AJ1478)/2)</f>
        <v/>
      </c>
      <c r="AN1478" s="45">
        <f>IF(AH1478="","",AH1478-T1478)</f>
        <v/>
      </c>
      <c r="AO1478" s="51">
        <f>IF(AG1478=1,1,IF(U1478&gt;0,MIN(AF1478/U1478,0.99),0))</f>
        <v/>
      </c>
      <c r="AP1478" s="43">
        <f>IF(AG1478=1,AI1478*AF1478,0)</f>
        <v/>
      </c>
      <c r="AQ1478" s="43">
        <f>N1478*(F1478+G1478)/H1478</f>
        <v/>
      </c>
      <c r="AR1478" s="43">
        <f>O1478*AQ1478</f>
        <v/>
      </c>
      <c r="AS1478" s="52">
        <f>IF(AG1478=1,IF(AQ1478&gt;0,AF1478/AQ1478,1),IFERROR(INDEX(Types!$K:$K,MATCH($A1478&amp;"|"&amp;$D1478,Types!$A:$A,0)),INDEX(Dashboard!$X$6:$X$22,MATCH($A1478,Dashboard!$A$6:$A$22,0))))</f>
        <v/>
      </c>
      <c r="AT1478" s="43">
        <f>AQ1478*INDEX(Dashboard!$Y$6:$Y$22,MATCH($A1478,Dashboard!$A$6:$A$22,0))</f>
        <v/>
      </c>
      <c r="AU1478" s="53">
        <f>IF(AND(AG1478=1,AT1478&gt;0,AF1478&gt;0),100*AF1478/AT1478,"")</f>
        <v/>
      </c>
      <c r="AV1478" s="44">
        <f>IF(AU1478="","",T1478/(AU1478/100))</f>
        <v/>
      </c>
      <c r="AW1478" s="53">
        <f>IF(AU1478="","",IF(AND(ABS(AH1478)&gt;=0.1,ABS(T1478)&gt;=0.05,SIGN(AH1478)=SIGN(T1478)),100*T1478/AH1478,""))</f>
        <v/>
      </c>
      <c r="AX1478" s="45">
        <f>IF(AU1478="","",T1478-AV1478)</f>
        <v/>
      </c>
      <c r="AY1478" s="45">
        <f>IF(AU1478="","",AH1478-AV1478)</f>
        <v/>
      </c>
      <c r="AZ1478" s="54">
        <f>(AL1478-AM1478)-T1478*AT1478</f>
        <v/>
      </c>
      <c r="BA1478" s="43">
        <f>IF(AU1478="",0,(AH1478-T1478)*AF1478)</f>
        <v/>
      </c>
      <c r="BB1478" s="43">
        <f>IF(AU1478="",0,T1478*(AF1478-AT1478))</f>
        <v/>
      </c>
      <c r="BC1478" s="51" t="n">
        <v>0.0203268797944923</v>
      </c>
      <c r="BD1478" s="51" t="n">
        <v>0.03512720502456901</v>
      </c>
      <c r="BE1478" s="51" t="n">
        <v>0.1890642919786818</v>
      </c>
      <c r="BF1478" s="43" t="n">
        <v>84863</v>
      </c>
    </row>
    <row r="1479">
      <c r="A1479" s="42" t="inlineStr">
        <is>
          <t>KY</t>
        </is>
      </c>
      <c r="B1479" s="42" t="inlineStr">
        <is>
          <t>21031</t>
        </is>
      </c>
      <c r="C1479" s="42" t="inlineStr">
        <is>
          <t>Butler</t>
        </is>
      </c>
      <c r="D1479" s="42" t="inlineStr">
        <is>
          <t>Small town &amp; rural</t>
        </is>
      </c>
      <c r="E1479" s="42" t="inlineStr"/>
      <c r="F1479" s="43" t="n">
        <v>965</v>
      </c>
      <c r="G1479" s="43" t="n">
        <v>4905</v>
      </c>
      <c r="H1479" s="43" t="n">
        <v>5942</v>
      </c>
      <c r="I1479" s="43" t="n">
        <v>1079</v>
      </c>
      <c r="J1479" s="43" t="n">
        <v>4960</v>
      </c>
      <c r="K1479" s="42" t="inlineStr">
        <is>
          <t>US Senate</t>
        </is>
      </c>
      <c r="L1479" s="43" t="n">
        <v>766</v>
      </c>
      <c r="M1479" s="43" t="n">
        <v>3429</v>
      </c>
      <c r="N1479" s="43" t="n">
        <v>4195</v>
      </c>
      <c r="O1479" s="44">
        <f>IFERROR((F1479-G1479)/(F1479+G1479),"")</f>
        <v/>
      </c>
      <c r="P1479" s="44">
        <f>IFERROR((I1479-J1479)/(I1479+J1479),"")</f>
        <v/>
      </c>
      <c r="Q1479" s="45">
        <f>IFERROR(O1479-P1479,"")</f>
        <v/>
      </c>
      <c r="R1479" s="44">
        <f>IFERROR((L1479-M1479)/(L1479+M1479),"")</f>
        <v/>
      </c>
      <c r="S1479" s="46">
        <f>H1479/SUMIFS(Counties!$H$2:$H$1583,Counties!$A$2:$A$1583,$A1479)</f>
        <v/>
      </c>
      <c r="T1479" s="44">
        <f>O1479+INDEX(Dashboard!$F$6:$F$22,MATCH($A1479,Dashboard!$A$6:$A$22,0))</f>
        <v/>
      </c>
      <c r="U1479" s="43">
        <f>AQ1479*INDEX(Dashboard!$G$6:$G$22,MATCH($A1479,Dashboard!$A$6:$A$22,0))</f>
        <v/>
      </c>
      <c r="V1479" s="47" t="n"/>
      <c r="W1479" s="47" t="n"/>
      <c r="X1479" s="47" t="n"/>
      <c r="Y1479" s="48" t="n"/>
      <c r="Z1479" s="49" t="n"/>
      <c r="AA1479" s="49" t="n"/>
      <c r="AB1479" s="49" t="n"/>
      <c r="AC1479" s="50" t="n"/>
      <c r="AD1479" s="43">
        <f>IF(Z1479&lt;&gt;"",Z1479,N(V1479))</f>
        <v/>
      </c>
      <c r="AE1479" s="43">
        <f>IF(AA1479&lt;&gt;"",AA1479,N(W1479))</f>
        <v/>
      </c>
      <c r="AF1479" s="43">
        <f>AD1479+AE1479</f>
        <v/>
      </c>
      <c r="AG1479" s="42">
        <f>IF(UPPER(AC1479)="Y",1,IF(AF1479=0,0,IF(AND(Z1479="",Y1479&lt;&gt;""),IF(Y1479&gt;=0.999,1,0),IF(AF1479&gt;=U1479,1,0))))</f>
        <v/>
      </c>
      <c r="AH1479" s="44">
        <f>IF(AF1479&gt;0,(AD1479-AE1479)/AF1479,"")</f>
        <v/>
      </c>
      <c r="AI1479" s="45">
        <f>IF(AG1479=1,AH1479-O1479,"")</f>
        <v/>
      </c>
      <c r="AJ1479" s="44">
        <f>IF(AG1479=1,AH1479,MAX(-1,MIN(1,O1479+INDEX(Types!$H:$H,MATCH($A1479&amp;"|"&amp;$D1479,Types!$A:$A,0)))))</f>
        <v/>
      </c>
      <c r="AK1479" s="43">
        <f>IF(AG1479=1,AF1479,MAX(AQ1479*AS1479,AF1479))</f>
        <v/>
      </c>
      <c r="AL1479" s="43">
        <f>IF(AG1479=1,AD1479,AK1479*(1+AJ1479)/2)</f>
        <v/>
      </c>
      <c r="AM1479" s="43">
        <f>IF(AG1479=1,AE1479,AK1479*(1-AJ1479)/2)</f>
        <v/>
      </c>
      <c r="AN1479" s="45">
        <f>IF(AH1479="","",AH1479-T1479)</f>
        <v/>
      </c>
      <c r="AO1479" s="51">
        <f>IF(AG1479=1,1,IF(U1479&gt;0,MIN(AF1479/U1479,0.99),0))</f>
        <v/>
      </c>
      <c r="AP1479" s="43">
        <f>IF(AG1479=1,AI1479*AF1479,0)</f>
        <v/>
      </c>
      <c r="AQ1479" s="43">
        <f>N1479*(F1479+G1479)/H1479</f>
        <v/>
      </c>
      <c r="AR1479" s="43">
        <f>O1479*AQ1479</f>
        <v/>
      </c>
      <c r="AS1479" s="52">
        <f>IF(AG1479=1,IF(AQ1479&gt;0,AF1479/AQ1479,1),IFERROR(INDEX(Types!$K:$K,MATCH($A1479&amp;"|"&amp;$D1479,Types!$A:$A,0)),INDEX(Dashboard!$X$6:$X$22,MATCH($A1479,Dashboard!$A$6:$A$22,0))))</f>
        <v/>
      </c>
      <c r="AT1479" s="43">
        <f>AQ1479*INDEX(Dashboard!$Y$6:$Y$22,MATCH($A1479,Dashboard!$A$6:$A$22,0))</f>
        <v/>
      </c>
      <c r="AU1479" s="53">
        <f>IF(AND(AG1479=1,AT1479&gt;0,AF1479&gt;0),100*AF1479/AT1479,"")</f>
        <v/>
      </c>
      <c r="AV1479" s="44">
        <f>IF(AU1479="","",T1479/(AU1479/100))</f>
        <v/>
      </c>
      <c r="AW1479" s="53">
        <f>IF(AU1479="","",IF(AND(ABS(AH1479)&gt;=0.1,ABS(T1479)&gt;=0.05,SIGN(AH1479)=SIGN(T1479)),100*T1479/AH1479,""))</f>
        <v/>
      </c>
      <c r="AX1479" s="45">
        <f>IF(AU1479="","",T1479-AV1479)</f>
        <v/>
      </c>
      <c r="AY1479" s="45">
        <f>IF(AU1479="","",AH1479-AV1479)</f>
        <v/>
      </c>
      <c r="AZ1479" s="54">
        <f>(AL1479-AM1479)-T1479*AT1479</f>
        <v/>
      </c>
      <c r="BA1479" s="43">
        <f>IF(AU1479="",0,(AH1479-T1479)*AF1479)</f>
        <v/>
      </c>
      <c r="BB1479" s="43">
        <f>IF(AU1479="",0,T1479*(AF1479-AT1479))</f>
        <v/>
      </c>
      <c r="BC1479" s="51" t="n">
        <v>0.007676767676767677</v>
      </c>
      <c r="BD1479" s="51" t="n">
        <v>0.05624242424242424</v>
      </c>
      <c r="BE1479" s="51" t="n">
        <v>0.0951832219405393</v>
      </c>
      <c r="BF1479" s="43" t="n">
        <v>12375</v>
      </c>
    </row>
    <row r="1480">
      <c r="A1480" s="42" t="inlineStr">
        <is>
          <t>KY</t>
        </is>
      </c>
      <c r="B1480" s="42" t="inlineStr">
        <is>
          <t>21033</t>
        </is>
      </c>
      <c r="C1480" s="42" t="inlineStr">
        <is>
          <t>Caldwell</t>
        </is>
      </c>
      <c r="D1480" s="42" t="inlineStr">
        <is>
          <t>Small town &amp; rural</t>
        </is>
      </c>
      <c r="E1480" s="42" t="inlineStr"/>
      <c r="F1480" s="43" t="n">
        <v>1256</v>
      </c>
      <c r="G1480" s="43" t="n">
        <v>4860</v>
      </c>
      <c r="H1480" s="43" t="n">
        <v>6188</v>
      </c>
      <c r="I1480" s="43" t="n">
        <v>1433</v>
      </c>
      <c r="J1480" s="43" t="n">
        <v>4906</v>
      </c>
      <c r="K1480" s="42" t="inlineStr">
        <is>
          <t>US Senate</t>
        </is>
      </c>
      <c r="L1480" s="43" t="n">
        <v>1104</v>
      </c>
      <c r="M1480" s="43" t="n">
        <v>3580</v>
      </c>
      <c r="N1480" s="43" t="n">
        <v>4684</v>
      </c>
      <c r="O1480" s="44">
        <f>IFERROR((F1480-G1480)/(F1480+G1480),"")</f>
        <v/>
      </c>
      <c r="P1480" s="44">
        <f>IFERROR((I1480-J1480)/(I1480+J1480),"")</f>
        <v/>
      </c>
      <c r="Q1480" s="45">
        <f>IFERROR(O1480-P1480,"")</f>
        <v/>
      </c>
      <c r="R1480" s="44">
        <f>IFERROR((L1480-M1480)/(L1480+M1480),"")</f>
        <v/>
      </c>
      <c r="S1480" s="46">
        <f>H1480/SUMIFS(Counties!$H$2:$H$1583,Counties!$A$2:$A$1583,$A1480)</f>
        <v/>
      </c>
      <c r="T1480" s="44">
        <f>O1480+INDEX(Dashboard!$F$6:$F$22,MATCH($A1480,Dashboard!$A$6:$A$22,0))</f>
        <v/>
      </c>
      <c r="U1480" s="43">
        <f>AQ1480*INDEX(Dashboard!$G$6:$G$22,MATCH($A1480,Dashboard!$A$6:$A$22,0))</f>
        <v/>
      </c>
      <c r="V1480" s="47" t="n"/>
      <c r="W1480" s="47" t="n"/>
      <c r="X1480" s="47" t="n"/>
      <c r="Y1480" s="48" t="n"/>
      <c r="Z1480" s="49" t="n"/>
      <c r="AA1480" s="49" t="n"/>
      <c r="AB1480" s="49" t="n"/>
      <c r="AC1480" s="50" t="n"/>
      <c r="AD1480" s="43">
        <f>IF(Z1480&lt;&gt;"",Z1480,N(V1480))</f>
        <v/>
      </c>
      <c r="AE1480" s="43">
        <f>IF(AA1480&lt;&gt;"",AA1480,N(W1480))</f>
        <v/>
      </c>
      <c r="AF1480" s="43">
        <f>AD1480+AE1480</f>
        <v/>
      </c>
      <c r="AG1480" s="42">
        <f>IF(UPPER(AC1480)="Y",1,IF(AF1480=0,0,IF(AND(Z1480="",Y1480&lt;&gt;""),IF(Y1480&gt;=0.999,1,0),IF(AF1480&gt;=U1480,1,0))))</f>
        <v/>
      </c>
      <c r="AH1480" s="44">
        <f>IF(AF1480&gt;0,(AD1480-AE1480)/AF1480,"")</f>
        <v/>
      </c>
      <c r="AI1480" s="45">
        <f>IF(AG1480=1,AH1480-O1480,"")</f>
        <v/>
      </c>
      <c r="AJ1480" s="44">
        <f>IF(AG1480=1,AH1480,MAX(-1,MIN(1,O1480+INDEX(Types!$H:$H,MATCH($A1480&amp;"|"&amp;$D1480,Types!$A:$A,0)))))</f>
        <v/>
      </c>
      <c r="AK1480" s="43">
        <f>IF(AG1480=1,AF1480,MAX(AQ1480*AS1480,AF1480))</f>
        <v/>
      </c>
      <c r="AL1480" s="43">
        <f>IF(AG1480=1,AD1480,AK1480*(1+AJ1480)/2)</f>
        <v/>
      </c>
      <c r="AM1480" s="43">
        <f>IF(AG1480=1,AE1480,AK1480*(1-AJ1480)/2)</f>
        <v/>
      </c>
      <c r="AN1480" s="45">
        <f>IF(AH1480="","",AH1480-T1480)</f>
        <v/>
      </c>
      <c r="AO1480" s="51">
        <f>IF(AG1480=1,1,IF(U1480&gt;0,MIN(AF1480/U1480,0.99),0))</f>
        <v/>
      </c>
      <c r="AP1480" s="43">
        <f>IF(AG1480=1,AI1480*AF1480,0)</f>
        <v/>
      </c>
      <c r="AQ1480" s="43">
        <f>N1480*(F1480+G1480)/H1480</f>
        <v/>
      </c>
      <c r="AR1480" s="43">
        <f>O1480*AQ1480</f>
        <v/>
      </c>
      <c r="AS1480" s="52">
        <f>IF(AG1480=1,IF(AQ1480&gt;0,AF1480/AQ1480,1),IFERROR(INDEX(Types!$K:$K,MATCH($A1480&amp;"|"&amp;$D1480,Types!$A:$A,0)),INDEX(Dashboard!$X$6:$X$22,MATCH($A1480,Dashboard!$A$6:$A$22,0))))</f>
        <v/>
      </c>
      <c r="AT1480" s="43">
        <f>AQ1480*INDEX(Dashboard!$Y$6:$Y$22,MATCH($A1480,Dashboard!$A$6:$A$22,0))</f>
        <v/>
      </c>
      <c r="AU1480" s="53">
        <f>IF(AND(AG1480=1,AT1480&gt;0,AF1480&gt;0),100*AF1480/AT1480,"")</f>
        <v/>
      </c>
      <c r="AV1480" s="44">
        <f>IF(AU1480="","",T1480/(AU1480/100))</f>
        <v/>
      </c>
      <c r="AW1480" s="53">
        <f>IF(AU1480="","",IF(AND(ABS(AH1480)&gt;=0.1,ABS(T1480)&gt;=0.05,SIGN(AH1480)=SIGN(T1480)),100*T1480/AH1480,""))</f>
        <v/>
      </c>
      <c r="AX1480" s="45">
        <f>IF(AU1480="","",T1480-AV1480)</f>
        <v/>
      </c>
      <c r="AY1480" s="45">
        <f>IF(AU1480="","",AH1480-AV1480)</f>
        <v/>
      </c>
      <c r="AZ1480" s="54">
        <f>(AL1480-AM1480)-T1480*AT1480</f>
        <v/>
      </c>
      <c r="BA1480" s="43">
        <f>IF(AU1480="",0,(AH1480-T1480)*AF1480)</f>
        <v/>
      </c>
      <c r="BB1480" s="43">
        <f>IF(AU1480="",0,T1480*(AF1480-AT1480))</f>
        <v/>
      </c>
      <c r="BC1480" s="51" t="n">
        <v>0.05417894988447135</v>
      </c>
      <c r="BD1480" s="51" t="n">
        <v>0.01816588319655804</v>
      </c>
      <c r="BE1480" s="51" t="n">
        <v>0.1806927881885292</v>
      </c>
      <c r="BF1480" s="43" t="n">
        <v>12551</v>
      </c>
    </row>
    <row r="1481">
      <c r="A1481" s="42" t="inlineStr">
        <is>
          <t>KY</t>
        </is>
      </c>
      <c r="B1481" s="42" t="inlineStr">
        <is>
          <t>21035</t>
        </is>
      </c>
      <c r="C1481" s="42" t="inlineStr">
        <is>
          <t>Calloway</t>
        </is>
      </c>
      <c r="D1481" s="42" t="inlineStr">
        <is>
          <t>Small town &amp; rural</t>
        </is>
      </c>
      <c r="E1481" s="42" t="inlineStr"/>
      <c r="F1481" s="43" t="n">
        <v>5111</v>
      </c>
      <c r="G1481" s="43" t="n">
        <v>11539</v>
      </c>
      <c r="H1481" s="43" t="n">
        <v>16936</v>
      </c>
      <c r="I1481" s="43" t="n">
        <v>5797</v>
      </c>
      <c r="J1481" s="43" t="n">
        <v>11352</v>
      </c>
      <c r="K1481" s="42" t="inlineStr">
        <is>
          <t>US Senate</t>
        </is>
      </c>
      <c r="L1481" s="43" t="n">
        <v>3934</v>
      </c>
      <c r="M1481" s="43" t="n">
        <v>7906</v>
      </c>
      <c r="N1481" s="43" t="n">
        <v>11841</v>
      </c>
      <c r="O1481" s="44">
        <f>IFERROR((F1481-G1481)/(F1481+G1481),"")</f>
        <v/>
      </c>
      <c r="P1481" s="44">
        <f>IFERROR((I1481-J1481)/(I1481+J1481),"")</f>
        <v/>
      </c>
      <c r="Q1481" s="45">
        <f>IFERROR(O1481-P1481,"")</f>
        <v/>
      </c>
      <c r="R1481" s="44">
        <f>IFERROR((L1481-M1481)/(L1481+M1481),"")</f>
        <v/>
      </c>
      <c r="S1481" s="46">
        <f>H1481/SUMIFS(Counties!$H$2:$H$1583,Counties!$A$2:$A$1583,$A1481)</f>
        <v/>
      </c>
      <c r="T1481" s="44">
        <f>O1481+INDEX(Dashboard!$F$6:$F$22,MATCH($A1481,Dashboard!$A$6:$A$22,0))</f>
        <v/>
      </c>
      <c r="U1481" s="43">
        <f>AQ1481*INDEX(Dashboard!$G$6:$G$22,MATCH($A1481,Dashboard!$A$6:$A$22,0))</f>
        <v/>
      </c>
      <c r="V1481" s="47" t="n"/>
      <c r="W1481" s="47" t="n"/>
      <c r="X1481" s="47" t="n"/>
      <c r="Y1481" s="48" t="n"/>
      <c r="Z1481" s="49" t="n"/>
      <c r="AA1481" s="49" t="n"/>
      <c r="AB1481" s="49" t="n"/>
      <c r="AC1481" s="50" t="n"/>
      <c r="AD1481" s="43">
        <f>IF(Z1481&lt;&gt;"",Z1481,N(V1481))</f>
        <v/>
      </c>
      <c r="AE1481" s="43">
        <f>IF(AA1481&lt;&gt;"",AA1481,N(W1481))</f>
        <v/>
      </c>
      <c r="AF1481" s="43">
        <f>AD1481+AE1481</f>
        <v/>
      </c>
      <c r="AG1481" s="42">
        <f>IF(UPPER(AC1481)="Y",1,IF(AF1481=0,0,IF(AND(Z1481="",Y1481&lt;&gt;""),IF(Y1481&gt;=0.999,1,0),IF(AF1481&gt;=U1481,1,0))))</f>
        <v/>
      </c>
      <c r="AH1481" s="44">
        <f>IF(AF1481&gt;0,(AD1481-AE1481)/AF1481,"")</f>
        <v/>
      </c>
      <c r="AI1481" s="45">
        <f>IF(AG1481=1,AH1481-O1481,"")</f>
        <v/>
      </c>
      <c r="AJ1481" s="44">
        <f>IF(AG1481=1,AH1481,MAX(-1,MIN(1,O1481+INDEX(Types!$H:$H,MATCH($A1481&amp;"|"&amp;$D1481,Types!$A:$A,0)))))</f>
        <v/>
      </c>
      <c r="AK1481" s="43">
        <f>IF(AG1481=1,AF1481,MAX(AQ1481*AS1481,AF1481))</f>
        <v/>
      </c>
      <c r="AL1481" s="43">
        <f>IF(AG1481=1,AD1481,AK1481*(1+AJ1481)/2)</f>
        <v/>
      </c>
      <c r="AM1481" s="43">
        <f>IF(AG1481=1,AE1481,AK1481*(1-AJ1481)/2)</f>
        <v/>
      </c>
      <c r="AN1481" s="45">
        <f>IF(AH1481="","",AH1481-T1481)</f>
        <v/>
      </c>
      <c r="AO1481" s="51">
        <f>IF(AG1481=1,1,IF(U1481&gt;0,MIN(AF1481/U1481,0.99),0))</f>
        <v/>
      </c>
      <c r="AP1481" s="43">
        <f>IF(AG1481=1,AI1481*AF1481,0)</f>
        <v/>
      </c>
      <c r="AQ1481" s="43">
        <f>N1481*(F1481+G1481)/H1481</f>
        <v/>
      </c>
      <c r="AR1481" s="43">
        <f>O1481*AQ1481</f>
        <v/>
      </c>
      <c r="AS1481" s="52">
        <f>IF(AG1481=1,IF(AQ1481&gt;0,AF1481/AQ1481,1),IFERROR(INDEX(Types!$K:$K,MATCH($A1481&amp;"|"&amp;$D1481,Types!$A:$A,0)),INDEX(Dashboard!$X$6:$X$22,MATCH($A1481,Dashboard!$A$6:$A$22,0))))</f>
        <v/>
      </c>
      <c r="AT1481" s="43">
        <f>AQ1481*INDEX(Dashboard!$Y$6:$Y$22,MATCH($A1481,Dashboard!$A$6:$A$22,0))</f>
        <v/>
      </c>
      <c r="AU1481" s="53">
        <f>IF(AND(AG1481=1,AT1481&gt;0,AF1481&gt;0),100*AF1481/AT1481,"")</f>
        <v/>
      </c>
      <c r="AV1481" s="44">
        <f>IF(AU1481="","",T1481/(AU1481/100))</f>
        <v/>
      </c>
      <c r="AW1481" s="53">
        <f>IF(AU1481="","",IF(AND(ABS(AH1481)&gt;=0.1,ABS(T1481)&gt;=0.05,SIGN(AH1481)=SIGN(T1481)),100*T1481/AH1481,""))</f>
        <v/>
      </c>
      <c r="AX1481" s="45">
        <f>IF(AU1481="","",T1481-AV1481)</f>
        <v/>
      </c>
      <c r="AY1481" s="45">
        <f>IF(AU1481="","",AH1481-AV1481)</f>
        <v/>
      </c>
      <c r="AZ1481" s="54">
        <f>(AL1481-AM1481)-T1481*AT1481</f>
        <v/>
      </c>
      <c r="BA1481" s="43">
        <f>IF(AU1481="",0,(AH1481-T1481)*AF1481)</f>
        <v/>
      </c>
      <c r="BB1481" s="43">
        <f>IF(AU1481="",0,T1481*(AF1481-AT1481))</f>
        <v/>
      </c>
      <c r="BC1481" s="51" t="n">
        <v>0.04341692789968652</v>
      </c>
      <c r="BD1481" s="51" t="n">
        <v>0.0369644723092999</v>
      </c>
      <c r="BE1481" s="51" t="n">
        <v>0.3232249786142002</v>
      </c>
      <c r="BF1481" s="43" t="n">
        <v>38280</v>
      </c>
    </row>
    <row r="1482">
      <c r="A1482" s="42" t="inlineStr">
        <is>
          <t>KY</t>
        </is>
      </c>
      <c r="B1482" s="42" t="inlineStr">
        <is>
          <t>21037</t>
        </is>
      </c>
      <c r="C1482" s="42" t="inlineStr">
        <is>
          <t>Campbell</t>
        </is>
      </c>
      <c r="D1482" s="42" t="inlineStr">
        <is>
          <t>Small town &amp; rural</t>
        </is>
      </c>
      <c r="E1482" s="42" t="inlineStr"/>
      <c r="F1482" s="43" t="n">
        <v>18952</v>
      </c>
      <c r="G1482" s="43" t="n">
        <v>28450</v>
      </c>
      <c r="H1482" s="43" t="n">
        <v>48302</v>
      </c>
      <c r="I1482" s="43" t="n">
        <v>19374</v>
      </c>
      <c r="J1482" s="43" t="n">
        <v>28482</v>
      </c>
      <c r="K1482" s="42" t="inlineStr">
        <is>
          <t>US Senate</t>
        </is>
      </c>
      <c r="L1482" s="43" t="n">
        <v>14812</v>
      </c>
      <c r="M1482" s="43" t="n">
        <v>20849</v>
      </c>
      <c r="N1482" s="43" t="n">
        <v>35664</v>
      </c>
      <c r="O1482" s="44">
        <f>IFERROR((F1482-G1482)/(F1482+G1482),"")</f>
        <v/>
      </c>
      <c r="P1482" s="44">
        <f>IFERROR((I1482-J1482)/(I1482+J1482),"")</f>
        <v/>
      </c>
      <c r="Q1482" s="45">
        <f>IFERROR(O1482-P1482,"")</f>
        <v/>
      </c>
      <c r="R1482" s="44">
        <f>IFERROR((L1482-M1482)/(L1482+M1482),"")</f>
        <v/>
      </c>
      <c r="S1482" s="46">
        <f>H1482/SUMIFS(Counties!$H$2:$H$1583,Counties!$A$2:$A$1583,$A1482)</f>
        <v/>
      </c>
      <c r="T1482" s="44">
        <f>O1482+INDEX(Dashboard!$F$6:$F$22,MATCH($A1482,Dashboard!$A$6:$A$22,0))</f>
        <v/>
      </c>
      <c r="U1482" s="43">
        <f>AQ1482*INDEX(Dashboard!$G$6:$G$22,MATCH($A1482,Dashboard!$A$6:$A$22,0))</f>
        <v/>
      </c>
      <c r="V1482" s="47" t="n"/>
      <c r="W1482" s="47" t="n"/>
      <c r="X1482" s="47" t="n"/>
      <c r="Y1482" s="48" t="n"/>
      <c r="Z1482" s="49" t="n"/>
      <c r="AA1482" s="49" t="n"/>
      <c r="AB1482" s="49" t="n"/>
      <c r="AC1482" s="50" t="n"/>
      <c r="AD1482" s="43">
        <f>IF(Z1482&lt;&gt;"",Z1482,N(V1482))</f>
        <v/>
      </c>
      <c r="AE1482" s="43">
        <f>IF(AA1482&lt;&gt;"",AA1482,N(W1482))</f>
        <v/>
      </c>
      <c r="AF1482" s="43">
        <f>AD1482+AE1482</f>
        <v/>
      </c>
      <c r="AG1482" s="42">
        <f>IF(UPPER(AC1482)="Y",1,IF(AF1482=0,0,IF(AND(Z1482="",Y1482&lt;&gt;""),IF(Y1482&gt;=0.999,1,0),IF(AF1482&gt;=U1482,1,0))))</f>
        <v/>
      </c>
      <c r="AH1482" s="44">
        <f>IF(AF1482&gt;0,(AD1482-AE1482)/AF1482,"")</f>
        <v/>
      </c>
      <c r="AI1482" s="45">
        <f>IF(AG1482=1,AH1482-O1482,"")</f>
        <v/>
      </c>
      <c r="AJ1482" s="44">
        <f>IF(AG1482=1,AH1482,MAX(-1,MIN(1,O1482+INDEX(Types!$H:$H,MATCH($A1482&amp;"|"&amp;$D1482,Types!$A:$A,0)))))</f>
        <v/>
      </c>
      <c r="AK1482" s="43">
        <f>IF(AG1482=1,AF1482,MAX(AQ1482*AS1482,AF1482))</f>
        <v/>
      </c>
      <c r="AL1482" s="43">
        <f>IF(AG1482=1,AD1482,AK1482*(1+AJ1482)/2)</f>
        <v/>
      </c>
      <c r="AM1482" s="43">
        <f>IF(AG1482=1,AE1482,AK1482*(1-AJ1482)/2)</f>
        <v/>
      </c>
      <c r="AN1482" s="45">
        <f>IF(AH1482="","",AH1482-T1482)</f>
        <v/>
      </c>
      <c r="AO1482" s="51">
        <f>IF(AG1482=1,1,IF(U1482&gt;0,MIN(AF1482/U1482,0.99),0))</f>
        <v/>
      </c>
      <c r="AP1482" s="43">
        <f>IF(AG1482=1,AI1482*AF1482,0)</f>
        <v/>
      </c>
      <c r="AQ1482" s="43">
        <f>N1482*(F1482+G1482)/H1482</f>
        <v/>
      </c>
      <c r="AR1482" s="43">
        <f>O1482*AQ1482</f>
        <v/>
      </c>
      <c r="AS1482" s="52">
        <f>IF(AG1482=1,IF(AQ1482&gt;0,AF1482/AQ1482,1),IFERROR(INDEX(Types!$K:$K,MATCH($A1482&amp;"|"&amp;$D1482,Types!$A:$A,0)),INDEX(Dashboard!$X$6:$X$22,MATCH($A1482,Dashboard!$A$6:$A$22,0))))</f>
        <v/>
      </c>
      <c r="AT1482" s="43">
        <f>AQ1482*INDEX(Dashboard!$Y$6:$Y$22,MATCH($A1482,Dashboard!$A$6:$A$22,0))</f>
        <v/>
      </c>
      <c r="AU1482" s="53">
        <f>IF(AND(AG1482=1,AT1482&gt;0,AF1482&gt;0),100*AF1482/AT1482,"")</f>
        <v/>
      </c>
      <c r="AV1482" s="44">
        <f>IF(AU1482="","",T1482/(AU1482/100))</f>
        <v/>
      </c>
      <c r="AW1482" s="53">
        <f>IF(AU1482="","",IF(AND(ABS(AH1482)&gt;=0.1,ABS(T1482)&gt;=0.05,SIGN(AH1482)=SIGN(T1482)),100*T1482/AH1482,""))</f>
        <v/>
      </c>
      <c r="AX1482" s="45">
        <f>IF(AU1482="","",T1482-AV1482)</f>
        <v/>
      </c>
      <c r="AY1482" s="45">
        <f>IF(AU1482="","",AH1482-AV1482)</f>
        <v/>
      </c>
      <c r="AZ1482" s="54">
        <f>(AL1482-AM1482)-T1482*AT1482</f>
        <v/>
      </c>
      <c r="BA1482" s="43">
        <f>IF(AU1482="",0,(AH1482-T1482)*AF1482)</f>
        <v/>
      </c>
      <c r="BB1482" s="43">
        <f>IF(AU1482="",0,T1482*(AF1482-AT1482))</f>
        <v/>
      </c>
      <c r="BC1482" s="51" t="n">
        <v>0.0293163433011035</v>
      </c>
      <c r="BD1482" s="51" t="n">
        <v>0.02617873684659879</v>
      </c>
      <c r="BE1482" s="51" t="n">
        <v>0.3945498173592749</v>
      </c>
      <c r="BF1482" s="43" t="n">
        <v>93702</v>
      </c>
    </row>
    <row r="1483">
      <c r="A1483" s="42" t="inlineStr">
        <is>
          <t>KY</t>
        </is>
      </c>
      <c r="B1483" s="42" t="inlineStr">
        <is>
          <t>21039</t>
        </is>
      </c>
      <c r="C1483" s="42" t="inlineStr">
        <is>
          <t>Carlisle</t>
        </is>
      </c>
      <c r="D1483" s="42" t="inlineStr">
        <is>
          <t>Small town &amp; rural</t>
        </is>
      </c>
      <c r="E1483" s="42" t="inlineStr"/>
      <c r="F1483" s="43" t="n">
        <v>408</v>
      </c>
      <c r="G1483" s="43" t="n">
        <v>2182</v>
      </c>
      <c r="H1483" s="43" t="n">
        <v>2610</v>
      </c>
      <c r="I1483" s="43" t="n">
        <v>463</v>
      </c>
      <c r="J1483" s="43" t="n">
        <v>2159</v>
      </c>
      <c r="K1483" s="42" t="inlineStr">
        <is>
          <t>US Senate</t>
        </is>
      </c>
      <c r="L1483" s="43" t="n">
        <v>377</v>
      </c>
      <c r="M1483" s="43" t="n">
        <v>1750</v>
      </c>
      <c r="N1483" s="43" t="n">
        <v>2127</v>
      </c>
      <c r="O1483" s="44">
        <f>IFERROR((F1483-G1483)/(F1483+G1483),"")</f>
        <v/>
      </c>
      <c r="P1483" s="44">
        <f>IFERROR((I1483-J1483)/(I1483+J1483),"")</f>
        <v/>
      </c>
      <c r="Q1483" s="45">
        <f>IFERROR(O1483-P1483,"")</f>
        <v/>
      </c>
      <c r="R1483" s="44">
        <f>IFERROR((L1483-M1483)/(L1483+M1483),"")</f>
        <v/>
      </c>
      <c r="S1483" s="46">
        <f>H1483/SUMIFS(Counties!$H$2:$H$1583,Counties!$A$2:$A$1583,$A1483)</f>
        <v/>
      </c>
      <c r="T1483" s="44">
        <f>O1483+INDEX(Dashboard!$F$6:$F$22,MATCH($A1483,Dashboard!$A$6:$A$22,0))</f>
        <v/>
      </c>
      <c r="U1483" s="43">
        <f>AQ1483*INDEX(Dashboard!$G$6:$G$22,MATCH($A1483,Dashboard!$A$6:$A$22,0))</f>
        <v/>
      </c>
      <c r="V1483" s="47" t="n"/>
      <c r="W1483" s="47" t="n"/>
      <c r="X1483" s="47" t="n"/>
      <c r="Y1483" s="48" t="n"/>
      <c r="Z1483" s="49" t="n"/>
      <c r="AA1483" s="49" t="n"/>
      <c r="AB1483" s="49" t="n"/>
      <c r="AC1483" s="50" t="n"/>
      <c r="AD1483" s="43">
        <f>IF(Z1483&lt;&gt;"",Z1483,N(V1483))</f>
        <v/>
      </c>
      <c r="AE1483" s="43">
        <f>IF(AA1483&lt;&gt;"",AA1483,N(W1483))</f>
        <v/>
      </c>
      <c r="AF1483" s="43">
        <f>AD1483+AE1483</f>
        <v/>
      </c>
      <c r="AG1483" s="42">
        <f>IF(UPPER(AC1483)="Y",1,IF(AF1483=0,0,IF(AND(Z1483="",Y1483&lt;&gt;""),IF(Y1483&gt;=0.999,1,0),IF(AF1483&gt;=U1483,1,0))))</f>
        <v/>
      </c>
      <c r="AH1483" s="44">
        <f>IF(AF1483&gt;0,(AD1483-AE1483)/AF1483,"")</f>
        <v/>
      </c>
      <c r="AI1483" s="45">
        <f>IF(AG1483=1,AH1483-O1483,"")</f>
        <v/>
      </c>
      <c r="AJ1483" s="44">
        <f>IF(AG1483=1,AH1483,MAX(-1,MIN(1,O1483+INDEX(Types!$H:$H,MATCH($A1483&amp;"|"&amp;$D1483,Types!$A:$A,0)))))</f>
        <v/>
      </c>
      <c r="AK1483" s="43">
        <f>IF(AG1483=1,AF1483,MAX(AQ1483*AS1483,AF1483))</f>
        <v/>
      </c>
      <c r="AL1483" s="43">
        <f>IF(AG1483=1,AD1483,AK1483*(1+AJ1483)/2)</f>
        <v/>
      </c>
      <c r="AM1483" s="43">
        <f>IF(AG1483=1,AE1483,AK1483*(1-AJ1483)/2)</f>
        <v/>
      </c>
      <c r="AN1483" s="45">
        <f>IF(AH1483="","",AH1483-T1483)</f>
        <v/>
      </c>
      <c r="AO1483" s="51">
        <f>IF(AG1483=1,1,IF(U1483&gt;0,MIN(AF1483/U1483,0.99),0))</f>
        <v/>
      </c>
      <c r="AP1483" s="43">
        <f>IF(AG1483=1,AI1483*AF1483,0)</f>
        <v/>
      </c>
      <c r="AQ1483" s="43">
        <f>N1483*(F1483+G1483)/H1483</f>
        <v/>
      </c>
      <c r="AR1483" s="43">
        <f>O1483*AQ1483</f>
        <v/>
      </c>
      <c r="AS1483" s="52">
        <f>IF(AG1483=1,IF(AQ1483&gt;0,AF1483/AQ1483,1),IFERROR(INDEX(Types!$K:$K,MATCH($A1483&amp;"|"&amp;$D1483,Types!$A:$A,0)),INDEX(Dashboard!$X$6:$X$22,MATCH($A1483,Dashboard!$A$6:$A$22,0))))</f>
        <v/>
      </c>
      <c r="AT1483" s="43">
        <f>AQ1483*INDEX(Dashboard!$Y$6:$Y$22,MATCH($A1483,Dashboard!$A$6:$A$22,0))</f>
        <v/>
      </c>
      <c r="AU1483" s="53">
        <f>IF(AND(AG1483=1,AT1483&gt;0,AF1483&gt;0),100*AF1483/AT1483,"")</f>
        <v/>
      </c>
      <c r="AV1483" s="44">
        <f>IF(AU1483="","",T1483/(AU1483/100))</f>
        <v/>
      </c>
      <c r="AW1483" s="53">
        <f>IF(AU1483="","",IF(AND(ABS(AH1483)&gt;=0.1,ABS(T1483)&gt;=0.05,SIGN(AH1483)=SIGN(T1483)),100*T1483/AH1483,""))</f>
        <v/>
      </c>
      <c r="AX1483" s="45">
        <f>IF(AU1483="","",T1483-AV1483)</f>
        <v/>
      </c>
      <c r="AY1483" s="45">
        <f>IF(AU1483="","",AH1483-AV1483)</f>
        <v/>
      </c>
      <c r="AZ1483" s="54">
        <f>(AL1483-AM1483)-T1483*AT1483</f>
        <v/>
      </c>
      <c r="BA1483" s="43">
        <f>IF(AU1483="",0,(AH1483-T1483)*AF1483)</f>
        <v/>
      </c>
      <c r="BB1483" s="43">
        <f>IF(AU1483="",0,T1483*(AF1483-AT1483))</f>
        <v/>
      </c>
      <c r="BC1483" s="51" t="n">
        <v>0.01743197278911564</v>
      </c>
      <c r="BD1483" s="51" t="n">
        <v>0.03125</v>
      </c>
      <c r="BE1483" s="51" t="n">
        <v>0.1461794019933555</v>
      </c>
      <c r="BF1483" s="43" t="n">
        <v>4704</v>
      </c>
    </row>
    <row r="1484">
      <c r="A1484" s="42" t="inlineStr">
        <is>
          <t>KY</t>
        </is>
      </c>
      <c r="B1484" s="42" t="inlineStr">
        <is>
          <t>21041</t>
        </is>
      </c>
      <c r="C1484" s="42" t="inlineStr">
        <is>
          <t>Carroll</t>
        </is>
      </c>
      <c r="D1484" s="42" t="inlineStr">
        <is>
          <t>Small town &amp; rural</t>
        </is>
      </c>
      <c r="E1484" s="42" t="inlineStr"/>
      <c r="F1484" s="43" t="n">
        <v>963</v>
      </c>
      <c r="G1484" s="43" t="n">
        <v>3014</v>
      </c>
      <c r="H1484" s="43" t="n">
        <v>4025</v>
      </c>
      <c r="I1484" s="43" t="n">
        <v>1116</v>
      </c>
      <c r="J1484" s="43" t="n">
        <v>2954</v>
      </c>
      <c r="K1484" s="42" t="inlineStr">
        <is>
          <t>US Senate</t>
        </is>
      </c>
      <c r="L1484" s="43" t="n">
        <v>886</v>
      </c>
      <c r="M1484" s="43" t="n">
        <v>1992</v>
      </c>
      <c r="N1484" s="43" t="n">
        <v>2878</v>
      </c>
      <c r="O1484" s="44">
        <f>IFERROR((F1484-G1484)/(F1484+G1484),"")</f>
        <v/>
      </c>
      <c r="P1484" s="44">
        <f>IFERROR((I1484-J1484)/(I1484+J1484),"")</f>
        <v/>
      </c>
      <c r="Q1484" s="45">
        <f>IFERROR(O1484-P1484,"")</f>
        <v/>
      </c>
      <c r="R1484" s="44">
        <f>IFERROR((L1484-M1484)/(L1484+M1484),"")</f>
        <v/>
      </c>
      <c r="S1484" s="46">
        <f>H1484/SUMIFS(Counties!$H$2:$H$1583,Counties!$A$2:$A$1583,$A1484)</f>
        <v/>
      </c>
      <c r="T1484" s="44">
        <f>O1484+INDEX(Dashboard!$F$6:$F$22,MATCH($A1484,Dashboard!$A$6:$A$22,0))</f>
        <v/>
      </c>
      <c r="U1484" s="43">
        <f>AQ1484*INDEX(Dashboard!$G$6:$G$22,MATCH($A1484,Dashboard!$A$6:$A$22,0))</f>
        <v/>
      </c>
      <c r="V1484" s="47" t="n"/>
      <c r="W1484" s="47" t="n"/>
      <c r="X1484" s="47" t="n"/>
      <c r="Y1484" s="48" t="n"/>
      <c r="Z1484" s="49" t="n"/>
      <c r="AA1484" s="49" t="n"/>
      <c r="AB1484" s="49" t="n"/>
      <c r="AC1484" s="50" t="n"/>
      <c r="AD1484" s="43">
        <f>IF(Z1484&lt;&gt;"",Z1484,N(V1484))</f>
        <v/>
      </c>
      <c r="AE1484" s="43">
        <f>IF(AA1484&lt;&gt;"",AA1484,N(W1484))</f>
        <v/>
      </c>
      <c r="AF1484" s="43">
        <f>AD1484+AE1484</f>
        <v/>
      </c>
      <c r="AG1484" s="42">
        <f>IF(UPPER(AC1484)="Y",1,IF(AF1484=0,0,IF(AND(Z1484="",Y1484&lt;&gt;""),IF(Y1484&gt;=0.999,1,0),IF(AF1484&gt;=U1484,1,0))))</f>
        <v/>
      </c>
      <c r="AH1484" s="44">
        <f>IF(AF1484&gt;0,(AD1484-AE1484)/AF1484,"")</f>
        <v/>
      </c>
      <c r="AI1484" s="45">
        <f>IF(AG1484=1,AH1484-O1484,"")</f>
        <v/>
      </c>
      <c r="AJ1484" s="44">
        <f>IF(AG1484=1,AH1484,MAX(-1,MIN(1,O1484+INDEX(Types!$H:$H,MATCH($A1484&amp;"|"&amp;$D1484,Types!$A:$A,0)))))</f>
        <v/>
      </c>
      <c r="AK1484" s="43">
        <f>IF(AG1484=1,AF1484,MAX(AQ1484*AS1484,AF1484))</f>
        <v/>
      </c>
      <c r="AL1484" s="43">
        <f>IF(AG1484=1,AD1484,AK1484*(1+AJ1484)/2)</f>
        <v/>
      </c>
      <c r="AM1484" s="43">
        <f>IF(AG1484=1,AE1484,AK1484*(1-AJ1484)/2)</f>
        <v/>
      </c>
      <c r="AN1484" s="45">
        <f>IF(AH1484="","",AH1484-T1484)</f>
        <v/>
      </c>
      <c r="AO1484" s="51">
        <f>IF(AG1484=1,1,IF(U1484&gt;0,MIN(AF1484/U1484,0.99),0))</f>
        <v/>
      </c>
      <c r="AP1484" s="43">
        <f>IF(AG1484=1,AI1484*AF1484,0)</f>
        <v/>
      </c>
      <c r="AQ1484" s="43">
        <f>N1484*(F1484+G1484)/H1484</f>
        <v/>
      </c>
      <c r="AR1484" s="43">
        <f>O1484*AQ1484</f>
        <v/>
      </c>
      <c r="AS1484" s="52">
        <f>IF(AG1484=1,IF(AQ1484&gt;0,AF1484/AQ1484,1),IFERROR(INDEX(Types!$K:$K,MATCH($A1484&amp;"|"&amp;$D1484,Types!$A:$A,0)),INDEX(Dashboard!$X$6:$X$22,MATCH($A1484,Dashboard!$A$6:$A$22,0))))</f>
        <v/>
      </c>
      <c r="AT1484" s="43">
        <f>AQ1484*INDEX(Dashboard!$Y$6:$Y$22,MATCH($A1484,Dashboard!$A$6:$A$22,0))</f>
        <v/>
      </c>
      <c r="AU1484" s="53">
        <f>IF(AND(AG1484=1,AT1484&gt;0,AF1484&gt;0),100*AF1484/AT1484,"")</f>
        <v/>
      </c>
      <c r="AV1484" s="44">
        <f>IF(AU1484="","",T1484/(AU1484/100))</f>
        <v/>
      </c>
      <c r="AW1484" s="53">
        <f>IF(AU1484="","",IF(AND(ABS(AH1484)&gt;=0.1,ABS(T1484)&gt;=0.05,SIGN(AH1484)=SIGN(T1484)),100*T1484/AH1484,""))</f>
        <v/>
      </c>
      <c r="AX1484" s="45">
        <f>IF(AU1484="","",T1484-AV1484)</f>
        <v/>
      </c>
      <c r="AY1484" s="45">
        <f>IF(AU1484="","",AH1484-AV1484)</f>
        <v/>
      </c>
      <c r="AZ1484" s="54">
        <f>(AL1484-AM1484)-T1484*AT1484</f>
        <v/>
      </c>
      <c r="BA1484" s="43">
        <f>IF(AU1484="",0,(AH1484-T1484)*AF1484)</f>
        <v/>
      </c>
      <c r="BB1484" s="43">
        <f>IF(AU1484="",0,T1484*(AF1484-AT1484))</f>
        <v/>
      </c>
      <c r="BC1484" s="51" t="n">
        <v>0.01838536452170747</v>
      </c>
      <c r="BD1484" s="51" t="n">
        <v>0.07426959133521434</v>
      </c>
      <c r="BE1484" s="51" t="n">
        <v>0.08863763260748185</v>
      </c>
      <c r="BF1484" s="43" t="n">
        <v>10987</v>
      </c>
    </row>
    <row r="1485">
      <c r="A1485" s="42" t="inlineStr">
        <is>
          <t>KY</t>
        </is>
      </c>
      <c r="B1485" s="42" t="inlineStr">
        <is>
          <t>21043</t>
        </is>
      </c>
      <c r="C1485" s="42" t="inlineStr">
        <is>
          <t>Carter</t>
        </is>
      </c>
      <c r="D1485" s="42" t="inlineStr">
        <is>
          <t>Small town &amp; rural</t>
        </is>
      </c>
      <c r="E1485" s="42" t="inlineStr"/>
      <c r="F1485" s="43" t="n">
        <v>2305</v>
      </c>
      <c r="G1485" s="43" t="n">
        <v>8981</v>
      </c>
      <c r="H1485" s="43" t="n">
        <v>11420</v>
      </c>
      <c r="I1485" s="43" t="n">
        <v>2642</v>
      </c>
      <c r="J1485" s="43" t="n">
        <v>8775</v>
      </c>
      <c r="K1485" s="42" t="inlineStr">
        <is>
          <t>US Senate</t>
        </is>
      </c>
      <c r="L1485" s="43" t="n">
        <v>2383</v>
      </c>
      <c r="M1485" s="43" t="n">
        <v>5792</v>
      </c>
      <c r="N1485" s="43" t="n">
        <v>8176</v>
      </c>
      <c r="O1485" s="44">
        <f>IFERROR((F1485-G1485)/(F1485+G1485),"")</f>
        <v/>
      </c>
      <c r="P1485" s="44">
        <f>IFERROR((I1485-J1485)/(I1485+J1485),"")</f>
        <v/>
      </c>
      <c r="Q1485" s="45">
        <f>IFERROR(O1485-P1485,"")</f>
        <v/>
      </c>
      <c r="R1485" s="44">
        <f>IFERROR((L1485-M1485)/(L1485+M1485),"")</f>
        <v/>
      </c>
      <c r="S1485" s="46">
        <f>H1485/SUMIFS(Counties!$H$2:$H$1583,Counties!$A$2:$A$1583,$A1485)</f>
        <v/>
      </c>
      <c r="T1485" s="44">
        <f>O1485+INDEX(Dashboard!$F$6:$F$22,MATCH($A1485,Dashboard!$A$6:$A$22,0))</f>
        <v/>
      </c>
      <c r="U1485" s="43">
        <f>AQ1485*INDEX(Dashboard!$G$6:$G$22,MATCH($A1485,Dashboard!$A$6:$A$22,0))</f>
        <v/>
      </c>
      <c r="V1485" s="47" t="n"/>
      <c r="W1485" s="47" t="n"/>
      <c r="X1485" s="47" t="n"/>
      <c r="Y1485" s="48" t="n"/>
      <c r="Z1485" s="49" t="n"/>
      <c r="AA1485" s="49" t="n"/>
      <c r="AB1485" s="49" t="n"/>
      <c r="AC1485" s="50" t="n"/>
      <c r="AD1485" s="43">
        <f>IF(Z1485&lt;&gt;"",Z1485,N(V1485))</f>
        <v/>
      </c>
      <c r="AE1485" s="43">
        <f>IF(AA1485&lt;&gt;"",AA1485,N(W1485))</f>
        <v/>
      </c>
      <c r="AF1485" s="43">
        <f>AD1485+AE1485</f>
        <v/>
      </c>
      <c r="AG1485" s="42">
        <f>IF(UPPER(AC1485)="Y",1,IF(AF1485=0,0,IF(AND(Z1485="",Y1485&lt;&gt;""),IF(Y1485&gt;=0.999,1,0),IF(AF1485&gt;=U1485,1,0))))</f>
        <v/>
      </c>
      <c r="AH1485" s="44">
        <f>IF(AF1485&gt;0,(AD1485-AE1485)/AF1485,"")</f>
        <v/>
      </c>
      <c r="AI1485" s="45">
        <f>IF(AG1485=1,AH1485-O1485,"")</f>
        <v/>
      </c>
      <c r="AJ1485" s="44">
        <f>IF(AG1485=1,AH1485,MAX(-1,MIN(1,O1485+INDEX(Types!$H:$H,MATCH($A1485&amp;"|"&amp;$D1485,Types!$A:$A,0)))))</f>
        <v/>
      </c>
      <c r="AK1485" s="43">
        <f>IF(AG1485=1,AF1485,MAX(AQ1485*AS1485,AF1485))</f>
        <v/>
      </c>
      <c r="AL1485" s="43">
        <f>IF(AG1485=1,AD1485,AK1485*(1+AJ1485)/2)</f>
        <v/>
      </c>
      <c r="AM1485" s="43">
        <f>IF(AG1485=1,AE1485,AK1485*(1-AJ1485)/2)</f>
        <v/>
      </c>
      <c r="AN1485" s="45">
        <f>IF(AH1485="","",AH1485-T1485)</f>
        <v/>
      </c>
      <c r="AO1485" s="51">
        <f>IF(AG1485=1,1,IF(U1485&gt;0,MIN(AF1485/U1485,0.99),0))</f>
        <v/>
      </c>
      <c r="AP1485" s="43">
        <f>IF(AG1485=1,AI1485*AF1485,0)</f>
        <v/>
      </c>
      <c r="AQ1485" s="43">
        <f>N1485*(F1485+G1485)/H1485</f>
        <v/>
      </c>
      <c r="AR1485" s="43">
        <f>O1485*AQ1485</f>
        <v/>
      </c>
      <c r="AS1485" s="52">
        <f>IF(AG1485=1,IF(AQ1485&gt;0,AF1485/AQ1485,1),IFERROR(INDEX(Types!$K:$K,MATCH($A1485&amp;"|"&amp;$D1485,Types!$A:$A,0)),INDEX(Dashboard!$X$6:$X$22,MATCH($A1485,Dashboard!$A$6:$A$22,0))))</f>
        <v/>
      </c>
      <c r="AT1485" s="43">
        <f>AQ1485*INDEX(Dashboard!$Y$6:$Y$22,MATCH($A1485,Dashboard!$A$6:$A$22,0))</f>
        <v/>
      </c>
      <c r="AU1485" s="53">
        <f>IF(AND(AG1485=1,AT1485&gt;0,AF1485&gt;0),100*AF1485/AT1485,"")</f>
        <v/>
      </c>
      <c r="AV1485" s="44">
        <f>IF(AU1485="","",T1485/(AU1485/100))</f>
        <v/>
      </c>
      <c r="AW1485" s="53">
        <f>IF(AU1485="","",IF(AND(ABS(AH1485)&gt;=0.1,ABS(T1485)&gt;=0.05,SIGN(AH1485)=SIGN(T1485)),100*T1485/AH1485,""))</f>
        <v/>
      </c>
      <c r="AX1485" s="45">
        <f>IF(AU1485="","",T1485-AV1485)</f>
        <v/>
      </c>
      <c r="AY1485" s="45">
        <f>IF(AU1485="","",AH1485-AV1485)</f>
        <v/>
      </c>
      <c r="AZ1485" s="54">
        <f>(AL1485-AM1485)-T1485*AT1485</f>
        <v/>
      </c>
      <c r="BA1485" s="43">
        <f>IF(AU1485="",0,(AH1485-T1485)*AF1485)</f>
        <v/>
      </c>
      <c r="BB1485" s="43">
        <f>IF(AU1485="",0,T1485*(AF1485-AT1485))</f>
        <v/>
      </c>
      <c r="BC1485" s="51" t="n">
        <v>0.007623454448911477</v>
      </c>
      <c r="BD1485" s="51" t="n">
        <v>0.01206098763559129</v>
      </c>
      <c r="BE1485" s="51" t="n">
        <v>0.1543091655266758</v>
      </c>
      <c r="BF1485" s="43" t="n">
        <v>26366</v>
      </c>
    </row>
    <row r="1486">
      <c r="A1486" s="42" t="inlineStr">
        <is>
          <t>KY</t>
        </is>
      </c>
      <c r="B1486" s="42" t="inlineStr">
        <is>
          <t>21045</t>
        </is>
      </c>
      <c r="C1486" s="42" t="inlineStr">
        <is>
          <t>Casey</t>
        </is>
      </c>
      <c r="D1486" s="42" t="inlineStr">
        <is>
          <t>Small town &amp; rural</t>
        </is>
      </c>
      <c r="E1486" s="42" t="inlineStr"/>
      <c r="F1486" s="43" t="n">
        <v>804</v>
      </c>
      <c r="G1486" s="43" t="n">
        <v>6216</v>
      </c>
      <c r="H1486" s="43" t="n">
        <v>7080</v>
      </c>
      <c r="I1486" s="43" t="n">
        <v>918</v>
      </c>
      <c r="J1486" s="43" t="n">
        <v>6179</v>
      </c>
      <c r="K1486" s="42" t="inlineStr">
        <is>
          <t>US Senate</t>
        </is>
      </c>
      <c r="L1486" s="43" t="n">
        <v>751</v>
      </c>
      <c r="M1486" s="43" t="n">
        <v>4396</v>
      </c>
      <c r="N1486" s="43" t="n">
        <v>5148</v>
      </c>
      <c r="O1486" s="44">
        <f>IFERROR((F1486-G1486)/(F1486+G1486),"")</f>
        <v/>
      </c>
      <c r="P1486" s="44">
        <f>IFERROR((I1486-J1486)/(I1486+J1486),"")</f>
        <v/>
      </c>
      <c r="Q1486" s="45">
        <f>IFERROR(O1486-P1486,"")</f>
        <v/>
      </c>
      <c r="R1486" s="44">
        <f>IFERROR((L1486-M1486)/(L1486+M1486),"")</f>
        <v/>
      </c>
      <c r="S1486" s="46">
        <f>H1486/SUMIFS(Counties!$H$2:$H$1583,Counties!$A$2:$A$1583,$A1486)</f>
        <v/>
      </c>
      <c r="T1486" s="44">
        <f>O1486+INDEX(Dashboard!$F$6:$F$22,MATCH($A1486,Dashboard!$A$6:$A$22,0))</f>
        <v/>
      </c>
      <c r="U1486" s="43">
        <f>AQ1486*INDEX(Dashboard!$G$6:$G$22,MATCH($A1486,Dashboard!$A$6:$A$22,0))</f>
        <v/>
      </c>
      <c r="V1486" s="47" t="n"/>
      <c r="W1486" s="47" t="n"/>
      <c r="X1486" s="47" t="n"/>
      <c r="Y1486" s="48" t="n"/>
      <c r="Z1486" s="49" t="n"/>
      <c r="AA1486" s="49" t="n"/>
      <c r="AB1486" s="49" t="n"/>
      <c r="AC1486" s="50" t="n"/>
      <c r="AD1486" s="43">
        <f>IF(Z1486&lt;&gt;"",Z1486,N(V1486))</f>
        <v/>
      </c>
      <c r="AE1486" s="43">
        <f>IF(AA1486&lt;&gt;"",AA1486,N(W1486))</f>
        <v/>
      </c>
      <c r="AF1486" s="43">
        <f>AD1486+AE1486</f>
        <v/>
      </c>
      <c r="AG1486" s="42">
        <f>IF(UPPER(AC1486)="Y",1,IF(AF1486=0,0,IF(AND(Z1486="",Y1486&lt;&gt;""),IF(Y1486&gt;=0.999,1,0),IF(AF1486&gt;=U1486,1,0))))</f>
        <v/>
      </c>
      <c r="AH1486" s="44">
        <f>IF(AF1486&gt;0,(AD1486-AE1486)/AF1486,"")</f>
        <v/>
      </c>
      <c r="AI1486" s="45">
        <f>IF(AG1486=1,AH1486-O1486,"")</f>
        <v/>
      </c>
      <c r="AJ1486" s="44">
        <f>IF(AG1486=1,AH1486,MAX(-1,MIN(1,O1486+INDEX(Types!$H:$H,MATCH($A1486&amp;"|"&amp;$D1486,Types!$A:$A,0)))))</f>
        <v/>
      </c>
      <c r="AK1486" s="43">
        <f>IF(AG1486=1,AF1486,MAX(AQ1486*AS1486,AF1486))</f>
        <v/>
      </c>
      <c r="AL1486" s="43">
        <f>IF(AG1486=1,AD1486,AK1486*(1+AJ1486)/2)</f>
        <v/>
      </c>
      <c r="AM1486" s="43">
        <f>IF(AG1486=1,AE1486,AK1486*(1-AJ1486)/2)</f>
        <v/>
      </c>
      <c r="AN1486" s="45">
        <f>IF(AH1486="","",AH1486-T1486)</f>
        <v/>
      </c>
      <c r="AO1486" s="51">
        <f>IF(AG1486=1,1,IF(U1486&gt;0,MIN(AF1486/U1486,0.99),0))</f>
        <v/>
      </c>
      <c r="AP1486" s="43">
        <f>IF(AG1486=1,AI1486*AF1486,0)</f>
        <v/>
      </c>
      <c r="AQ1486" s="43">
        <f>N1486*(F1486+G1486)/H1486</f>
        <v/>
      </c>
      <c r="AR1486" s="43">
        <f>O1486*AQ1486</f>
        <v/>
      </c>
      <c r="AS1486" s="52">
        <f>IF(AG1486=1,IF(AQ1486&gt;0,AF1486/AQ1486,1),IFERROR(INDEX(Types!$K:$K,MATCH($A1486&amp;"|"&amp;$D1486,Types!$A:$A,0)),INDEX(Dashboard!$X$6:$X$22,MATCH($A1486,Dashboard!$A$6:$A$22,0))))</f>
        <v/>
      </c>
      <c r="AT1486" s="43">
        <f>AQ1486*INDEX(Dashboard!$Y$6:$Y$22,MATCH($A1486,Dashboard!$A$6:$A$22,0))</f>
        <v/>
      </c>
      <c r="AU1486" s="53">
        <f>IF(AND(AG1486=1,AT1486&gt;0,AF1486&gt;0),100*AF1486/AT1486,"")</f>
        <v/>
      </c>
      <c r="AV1486" s="44">
        <f>IF(AU1486="","",T1486/(AU1486/100))</f>
        <v/>
      </c>
      <c r="AW1486" s="53">
        <f>IF(AU1486="","",IF(AND(ABS(AH1486)&gt;=0.1,ABS(T1486)&gt;=0.05,SIGN(AH1486)=SIGN(T1486)),100*T1486/AH1486,""))</f>
        <v/>
      </c>
      <c r="AX1486" s="45">
        <f>IF(AU1486="","",T1486-AV1486)</f>
        <v/>
      </c>
      <c r="AY1486" s="45">
        <f>IF(AU1486="","",AH1486-AV1486)</f>
        <v/>
      </c>
      <c r="AZ1486" s="54">
        <f>(AL1486-AM1486)-T1486*AT1486</f>
        <v/>
      </c>
      <c r="BA1486" s="43">
        <f>IF(AU1486="",0,(AH1486-T1486)*AF1486)</f>
        <v/>
      </c>
      <c r="BB1486" s="43">
        <f>IF(AU1486="",0,T1486*(AF1486-AT1486))</f>
        <v/>
      </c>
      <c r="BC1486" s="51" t="n">
        <v>0.01137077522301797</v>
      </c>
      <c r="BD1486" s="51" t="n">
        <v>0.03536876492021611</v>
      </c>
      <c r="BE1486" s="51" t="n">
        <v>0.1180467475992028</v>
      </c>
      <c r="BF1486" s="43" t="n">
        <v>15918</v>
      </c>
    </row>
    <row r="1487">
      <c r="A1487" s="42" t="inlineStr">
        <is>
          <t>KY</t>
        </is>
      </c>
      <c r="B1487" s="42" t="inlineStr">
        <is>
          <t>21047</t>
        </is>
      </c>
      <c r="C1487" s="42" t="inlineStr">
        <is>
          <t>Christian</t>
        </is>
      </c>
      <c r="D1487" s="42" t="inlineStr">
        <is>
          <t>Small town &amp; rural</t>
        </is>
      </c>
      <c r="E1487" s="42" t="inlineStr"/>
      <c r="F1487" s="43" t="n">
        <v>7055</v>
      </c>
      <c r="G1487" s="43" t="n">
        <v>14332</v>
      </c>
      <c r="H1487" s="43" t="n">
        <v>21671</v>
      </c>
      <c r="I1487" s="43" t="n">
        <v>8296</v>
      </c>
      <c r="J1487" s="43" t="n">
        <v>15080</v>
      </c>
      <c r="K1487" s="42" t="inlineStr">
        <is>
          <t>US Senate</t>
        </is>
      </c>
      <c r="L1487" s="43" t="n">
        <v>5210</v>
      </c>
      <c r="M1487" s="43" t="n">
        <v>10255</v>
      </c>
      <c r="N1487" s="43" t="n">
        <v>15465</v>
      </c>
      <c r="O1487" s="44">
        <f>IFERROR((F1487-G1487)/(F1487+G1487),"")</f>
        <v/>
      </c>
      <c r="P1487" s="44">
        <f>IFERROR((I1487-J1487)/(I1487+J1487),"")</f>
        <v/>
      </c>
      <c r="Q1487" s="45">
        <f>IFERROR(O1487-P1487,"")</f>
        <v/>
      </c>
      <c r="R1487" s="44">
        <f>IFERROR((L1487-M1487)/(L1487+M1487),"")</f>
        <v/>
      </c>
      <c r="S1487" s="46">
        <f>H1487/SUMIFS(Counties!$H$2:$H$1583,Counties!$A$2:$A$1583,$A1487)</f>
        <v/>
      </c>
      <c r="T1487" s="44">
        <f>O1487+INDEX(Dashboard!$F$6:$F$22,MATCH($A1487,Dashboard!$A$6:$A$22,0))</f>
        <v/>
      </c>
      <c r="U1487" s="43">
        <f>AQ1487*INDEX(Dashboard!$G$6:$G$22,MATCH($A1487,Dashboard!$A$6:$A$22,0))</f>
        <v/>
      </c>
      <c r="V1487" s="47" t="n"/>
      <c r="W1487" s="47" t="n"/>
      <c r="X1487" s="47" t="n"/>
      <c r="Y1487" s="48" t="n"/>
      <c r="Z1487" s="49" t="n"/>
      <c r="AA1487" s="49" t="n"/>
      <c r="AB1487" s="49" t="n"/>
      <c r="AC1487" s="50" t="n"/>
      <c r="AD1487" s="43">
        <f>IF(Z1487&lt;&gt;"",Z1487,N(V1487))</f>
        <v/>
      </c>
      <c r="AE1487" s="43">
        <f>IF(AA1487&lt;&gt;"",AA1487,N(W1487))</f>
        <v/>
      </c>
      <c r="AF1487" s="43">
        <f>AD1487+AE1487</f>
        <v/>
      </c>
      <c r="AG1487" s="42">
        <f>IF(UPPER(AC1487)="Y",1,IF(AF1487=0,0,IF(AND(Z1487="",Y1487&lt;&gt;""),IF(Y1487&gt;=0.999,1,0),IF(AF1487&gt;=U1487,1,0))))</f>
        <v/>
      </c>
      <c r="AH1487" s="44">
        <f>IF(AF1487&gt;0,(AD1487-AE1487)/AF1487,"")</f>
        <v/>
      </c>
      <c r="AI1487" s="45">
        <f>IF(AG1487=1,AH1487-O1487,"")</f>
        <v/>
      </c>
      <c r="AJ1487" s="44">
        <f>IF(AG1487=1,AH1487,MAX(-1,MIN(1,O1487+INDEX(Types!$H:$H,MATCH($A1487&amp;"|"&amp;$D1487,Types!$A:$A,0)))))</f>
        <v/>
      </c>
      <c r="AK1487" s="43">
        <f>IF(AG1487=1,AF1487,MAX(AQ1487*AS1487,AF1487))</f>
        <v/>
      </c>
      <c r="AL1487" s="43">
        <f>IF(AG1487=1,AD1487,AK1487*(1+AJ1487)/2)</f>
        <v/>
      </c>
      <c r="AM1487" s="43">
        <f>IF(AG1487=1,AE1487,AK1487*(1-AJ1487)/2)</f>
        <v/>
      </c>
      <c r="AN1487" s="45">
        <f>IF(AH1487="","",AH1487-T1487)</f>
        <v/>
      </c>
      <c r="AO1487" s="51">
        <f>IF(AG1487=1,1,IF(U1487&gt;0,MIN(AF1487/U1487,0.99),0))</f>
        <v/>
      </c>
      <c r="AP1487" s="43">
        <f>IF(AG1487=1,AI1487*AF1487,0)</f>
        <v/>
      </c>
      <c r="AQ1487" s="43">
        <f>N1487*(F1487+G1487)/H1487</f>
        <v/>
      </c>
      <c r="AR1487" s="43">
        <f>O1487*AQ1487</f>
        <v/>
      </c>
      <c r="AS1487" s="52">
        <f>IF(AG1487=1,IF(AQ1487&gt;0,AF1487/AQ1487,1),IFERROR(INDEX(Types!$K:$K,MATCH($A1487&amp;"|"&amp;$D1487,Types!$A:$A,0)),INDEX(Dashboard!$X$6:$X$22,MATCH($A1487,Dashboard!$A$6:$A$22,0))))</f>
        <v/>
      </c>
      <c r="AT1487" s="43">
        <f>AQ1487*INDEX(Dashboard!$Y$6:$Y$22,MATCH($A1487,Dashboard!$A$6:$A$22,0))</f>
        <v/>
      </c>
      <c r="AU1487" s="53">
        <f>IF(AND(AG1487=1,AT1487&gt;0,AF1487&gt;0),100*AF1487/AT1487,"")</f>
        <v/>
      </c>
      <c r="AV1487" s="44">
        <f>IF(AU1487="","",T1487/(AU1487/100))</f>
        <v/>
      </c>
      <c r="AW1487" s="53">
        <f>IF(AU1487="","",IF(AND(ABS(AH1487)&gt;=0.1,ABS(T1487)&gt;=0.05,SIGN(AH1487)=SIGN(T1487)),100*T1487/AH1487,""))</f>
        <v/>
      </c>
      <c r="AX1487" s="45">
        <f>IF(AU1487="","",T1487-AV1487)</f>
        <v/>
      </c>
      <c r="AY1487" s="45">
        <f>IF(AU1487="","",AH1487-AV1487)</f>
        <v/>
      </c>
      <c r="AZ1487" s="54">
        <f>(AL1487-AM1487)-T1487*AT1487</f>
        <v/>
      </c>
      <c r="BA1487" s="43">
        <f>IF(AU1487="",0,(AH1487-T1487)*AF1487)</f>
        <v/>
      </c>
      <c r="BB1487" s="43">
        <f>IF(AU1487="",0,T1487*(AF1487-AT1487))</f>
        <v/>
      </c>
      <c r="BC1487" s="51" t="n">
        <v>0.2115865171035096</v>
      </c>
      <c r="BD1487" s="51" t="n">
        <v>0.09054309195912928</v>
      </c>
      <c r="BE1487" s="51" t="n">
        <v>0.1997449347899321</v>
      </c>
      <c r="BF1487" s="43" t="n">
        <v>72032</v>
      </c>
    </row>
    <row r="1488">
      <c r="A1488" s="42" t="inlineStr">
        <is>
          <t>KY</t>
        </is>
      </c>
      <c r="B1488" s="42" t="inlineStr">
        <is>
          <t>21049</t>
        </is>
      </c>
      <c r="C1488" s="42" t="inlineStr">
        <is>
          <t>Clark</t>
        </is>
      </c>
      <c r="D1488" s="42" t="inlineStr">
        <is>
          <t>Small town &amp; rural</t>
        </is>
      </c>
      <c r="E1488" s="42" t="inlineStr"/>
      <c r="F1488" s="43" t="n">
        <v>5639</v>
      </c>
      <c r="G1488" s="43" t="n">
        <v>11950</v>
      </c>
      <c r="H1488" s="43" t="n">
        <v>17868</v>
      </c>
      <c r="I1488" s="43" t="n">
        <v>6004</v>
      </c>
      <c r="J1488" s="43" t="n">
        <v>11811</v>
      </c>
      <c r="K1488" s="42" t="inlineStr">
        <is>
          <t>US Senate</t>
        </is>
      </c>
      <c r="L1488" s="43" t="n">
        <v>4533</v>
      </c>
      <c r="M1488" s="43" t="n">
        <v>8270</v>
      </c>
      <c r="N1488" s="43" t="n">
        <v>12805</v>
      </c>
      <c r="O1488" s="44">
        <f>IFERROR((F1488-G1488)/(F1488+G1488),"")</f>
        <v/>
      </c>
      <c r="P1488" s="44">
        <f>IFERROR((I1488-J1488)/(I1488+J1488),"")</f>
        <v/>
      </c>
      <c r="Q1488" s="45">
        <f>IFERROR(O1488-P1488,"")</f>
        <v/>
      </c>
      <c r="R1488" s="44">
        <f>IFERROR((L1488-M1488)/(L1488+M1488),"")</f>
        <v/>
      </c>
      <c r="S1488" s="46">
        <f>H1488/SUMIFS(Counties!$H$2:$H$1583,Counties!$A$2:$A$1583,$A1488)</f>
        <v/>
      </c>
      <c r="T1488" s="44">
        <f>O1488+INDEX(Dashboard!$F$6:$F$22,MATCH($A1488,Dashboard!$A$6:$A$22,0))</f>
        <v/>
      </c>
      <c r="U1488" s="43">
        <f>AQ1488*INDEX(Dashboard!$G$6:$G$22,MATCH($A1488,Dashboard!$A$6:$A$22,0))</f>
        <v/>
      </c>
      <c r="V1488" s="47" t="n"/>
      <c r="W1488" s="47" t="n"/>
      <c r="X1488" s="47" t="n"/>
      <c r="Y1488" s="48" t="n"/>
      <c r="Z1488" s="49" t="n"/>
      <c r="AA1488" s="49" t="n"/>
      <c r="AB1488" s="49" t="n"/>
      <c r="AC1488" s="50" t="n"/>
      <c r="AD1488" s="43">
        <f>IF(Z1488&lt;&gt;"",Z1488,N(V1488))</f>
        <v/>
      </c>
      <c r="AE1488" s="43">
        <f>IF(AA1488&lt;&gt;"",AA1488,N(W1488))</f>
        <v/>
      </c>
      <c r="AF1488" s="43">
        <f>AD1488+AE1488</f>
        <v/>
      </c>
      <c r="AG1488" s="42">
        <f>IF(UPPER(AC1488)="Y",1,IF(AF1488=0,0,IF(AND(Z1488="",Y1488&lt;&gt;""),IF(Y1488&gt;=0.999,1,0),IF(AF1488&gt;=U1488,1,0))))</f>
        <v/>
      </c>
      <c r="AH1488" s="44">
        <f>IF(AF1488&gt;0,(AD1488-AE1488)/AF1488,"")</f>
        <v/>
      </c>
      <c r="AI1488" s="45">
        <f>IF(AG1488=1,AH1488-O1488,"")</f>
        <v/>
      </c>
      <c r="AJ1488" s="44">
        <f>IF(AG1488=1,AH1488,MAX(-1,MIN(1,O1488+INDEX(Types!$H:$H,MATCH($A1488&amp;"|"&amp;$D1488,Types!$A:$A,0)))))</f>
        <v/>
      </c>
      <c r="AK1488" s="43">
        <f>IF(AG1488=1,AF1488,MAX(AQ1488*AS1488,AF1488))</f>
        <v/>
      </c>
      <c r="AL1488" s="43">
        <f>IF(AG1488=1,AD1488,AK1488*(1+AJ1488)/2)</f>
        <v/>
      </c>
      <c r="AM1488" s="43">
        <f>IF(AG1488=1,AE1488,AK1488*(1-AJ1488)/2)</f>
        <v/>
      </c>
      <c r="AN1488" s="45">
        <f>IF(AH1488="","",AH1488-T1488)</f>
        <v/>
      </c>
      <c r="AO1488" s="51">
        <f>IF(AG1488=1,1,IF(U1488&gt;0,MIN(AF1488/U1488,0.99),0))</f>
        <v/>
      </c>
      <c r="AP1488" s="43">
        <f>IF(AG1488=1,AI1488*AF1488,0)</f>
        <v/>
      </c>
      <c r="AQ1488" s="43">
        <f>N1488*(F1488+G1488)/H1488</f>
        <v/>
      </c>
      <c r="AR1488" s="43">
        <f>O1488*AQ1488</f>
        <v/>
      </c>
      <c r="AS1488" s="52">
        <f>IF(AG1488=1,IF(AQ1488&gt;0,AF1488/AQ1488,1),IFERROR(INDEX(Types!$K:$K,MATCH($A1488&amp;"|"&amp;$D1488,Types!$A:$A,0)),INDEX(Dashboard!$X$6:$X$22,MATCH($A1488,Dashboard!$A$6:$A$22,0))))</f>
        <v/>
      </c>
      <c r="AT1488" s="43">
        <f>AQ1488*INDEX(Dashboard!$Y$6:$Y$22,MATCH($A1488,Dashboard!$A$6:$A$22,0))</f>
        <v/>
      </c>
      <c r="AU1488" s="53">
        <f>IF(AND(AG1488=1,AT1488&gt;0,AF1488&gt;0),100*AF1488/AT1488,"")</f>
        <v/>
      </c>
      <c r="AV1488" s="44">
        <f>IF(AU1488="","",T1488/(AU1488/100))</f>
        <v/>
      </c>
      <c r="AW1488" s="53">
        <f>IF(AU1488="","",IF(AND(ABS(AH1488)&gt;=0.1,ABS(T1488)&gt;=0.05,SIGN(AH1488)=SIGN(T1488)),100*T1488/AH1488,""))</f>
        <v/>
      </c>
      <c r="AX1488" s="45">
        <f>IF(AU1488="","",T1488-AV1488)</f>
        <v/>
      </c>
      <c r="AY1488" s="45">
        <f>IF(AU1488="","",AH1488-AV1488)</f>
        <v/>
      </c>
      <c r="AZ1488" s="54">
        <f>(AL1488-AM1488)-T1488*AT1488</f>
        <v/>
      </c>
      <c r="BA1488" s="43">
        <f>IF(AU1488="",0,(AH1488-T1488)*AF1488)</f>
        <v/>
      </c>
      <c r="BB1488" s="43">
        <f>IF(AU1488="",0,T1488*(AF1488-AT1488))</f>
        <v/>
      </c>
      <c r="BC1488" s="51" t="n">
        <v>0.04449924941025091</v>
      </c>
      <c r="BD1488" s="51" t="n">
        <v>0.04259596826077632</v>
      </c>
      <c r="BE1488" s="51" t="n">
        <v>0.2223804209797206</v>
      </c>
      <c r="BF1488" s="43" t="n">
        <v>37304</v>
      </c>
    </row>
    <row r="1489">
      <c r="A1489" s="42" t="inlineStr">
        <is>
          <t>KY</t>
        </is>
      </c>
      <c r="B1489" s="42" t="inlineStr">
        <is>
          <t>21051</t>
        </is>
      </c>
      <c r="C1489" s="42" t="inlineStr">
        <is>
          <t>Clay</t>
        </is>
      </c>
      <c r="D1489" s="42" t="inlineStr">
        <is>
          <t>Small town &amp; rural</t>
        </is>
      </c>
      <c r="E1489" s="42" t="inlineStr"/>
      <c r="F1489" s="43" t="n">
        <v>692</v>
      </c>
      <c r="G1489" s="43" t="n">
        <v>6729</v>
      </c>
      <c r="H1489" s="43" t="n">
        <v>7517</v>
      </c>
      <c r="I1489" s="43" t="n">
        <v>831</v>
      </c>
      <c r="J1489" s="43" t="n">
        <v>6677</v>
      </c>
      <c r="K1489" s="42" t="inlineStr">
        <is>
          <t>US Senate</t>
        </is>
      </c>
      <c r="L1489" s="43" t="n">
        <v>687</v>
      </c>
      <c r="M1489" s="43" t="n">
        <v>4238</v>
      </c>
      <c r="N1489" s="43" t="n">
        <v>4925</v>
      </c>
      <c r="O1489" s="44">
        <f>IFERROR((F1489-G1489)/(F1489+G1489),"")</f>
        <v/>
      </c>
      <c r="P1489" s="44">
        <f>IFERROR((I1489-J1489)/(I1489+J1489),"")</f>
        <v/>
      </c>
      <c r="Q1489" s="45">
        <f>IFERROR(O1489-P1489,"")</f>
        <v/>
      </c>
      <c r="R1489" s="44">
        <f>IFERROR((L1489-M1489)/(L1489+M1489),"")</f>
        <v/>
      </c>
      <c r="S1489" s="46">
        <f>H1489/SUMIFS(Counties!$H$2:$H$1583,Counties!$A$2:$A$1583,$A1489)</f>
        <v/>
      </c>
      <c r="T1489" s="44">
        <f>O1489+INDEX(Dashboard!$F$6:$F$22,MATCH($A1489,Dashboard!$A$6:$A$22,0))</f>
        <v/>
      </c>
      <c r="U1489" s="43">
        <f>AQ1489*INDEX(Dashboard!$G$6:$G$22,MATCH($A1489,Dashboard!$A$6:$A$22,0))</f>
        <v/>
      </c>
      <c r="V1489" s="47" t="n"/>
      <c r="W1489" s="47" t="n"/>
      <c r="X1489" s="47" t="n"/>
      <c r="Y1489" s="48" t="n"/>
      <c r="Z1489" s="49" t="n"/>
      <c r="AA1489" s="49" t="n"/>
      <c r="AB1489" s="49" t="n"/>
      <c r="AC1489" s="50" t="n"/>
      <c r="AD1489" s="43">
        <f>IF(Z1489&lt;&gt;"",Z1489,N(V1489))</f>
        <v/>
      </c>
      <c r="AE1489" s="43">
        <f>IF(AA1489&lt;&gt;"",AA1489,N(W1489))</f>
        <v/>
      </c>
      <c r="AF1489" s="43">
        <f>AD1489+AE1489</f>
        <v/>
      </c>
      <c r="AG1489" s="42">
        <f>IF(UPPER(AC1489)="Y",1,IF(AF1489=0,0,IF(AND(Z1489="",Y1489&lt;&gt;""),IF(Y1489&gt;=0.999,1,0),IF(AF1489&gt;=U1489,1,0))))</f>
        <v/>
      </c>
      <c r="AH1489" s="44">
        <f>IF(AF1489&gt;0,(AD1489-AE1489)/AF1489,"")</f>
        <v/>
      </c>
      <c r="AI1489" s="45">
        <f>IF(AG1489=1,AH1489-O1489,"")</f>
        <v/>
      </c>
      <c r="AJ1489" s="44">
        <f>IF(AG1489=1,AH1489,MAX(-1,MIN(1,O1489+INDEX(Types!$H:$H,MATCH($A1489&amp;"|"&amp;$D1489,Types!$A:$A,0)))))</f>
        <v/>
      </c>
      <c r="AK1489" s="43">
        <f>IF(AG1489=1,AF1489,MAX(AQ1489*AS1489,AF1489))</f>
        <v/>
      </c>
      <c r="AL1489" s="43">
        <f>IF(AG1489=1,AD1489,AK1489*(1+AJ1489)/2)</f>
        <v/>
      </c>
      <c r="AM1489" s="43">
        <f>IF(AG1489=1,AE1489,AK1489*(1-AJ1489)/2)</f>
        <v/>
      </c>
      <c r="AN1489" s="45">
        <f>IF(AH1489="","",AH1489-T1489)</f>
        <v/>
      </c>
      <c r="AO1489" s="51">
        <f>IF(AG1489=1,1,IF(U1489&gt;0,MIN(AF1489/U1489,0.99),0))</f>
        <v/>
      </c>
      <c r="AP1489" s="43">
        <f>IF(AG1489=1,AI1489*AF1489,0)</f>
        <v/>
      </c>
      <c r="AQ1489" s="43">
        <f>N1489*(F1489+G1489)/H1489</f>
        <v/>
      </c>
      <c r="AR1489" s="43">
        <f>O1489*AQ1489</f>
        <v/>
      </c>
      <c r="AS1489" s="52">
        <f>IF(AG1489=1,IF(AQ1489&gt;0,AF1489/AQ1489,1),IFERROR(INDEX(Types!$K:$K,MATCH($A1489&amp;"|"&amp;$D1489,Types!$A:$A,0)),INDEX(Dashboard!$X$6:$X$22,MATCH($A1489,Dashboard!$A$6:$A$22,0))))</f>
        <v/>
      </c>
      <c r="AT1489" s="43">
        <f>AQ1489*INDEX(Dashboard!$Y$6:$Y$22,MATCH($A1489,Dashboard!$A$6:$A$22,0))</f>
        <v/>
      </c>
      <c r="AU1489" s="53">
        <f>IF(AND(AG1489=1,AT1489&gt;0,AF1489&gt;0),100*AF1489/AT1489,"")</f>
        <v/>
      </c>
      <c r="AV1489" s="44">
        <f>IF(AU1489="","",T1489/(AU1489/100))</f>
        <v/>
      </c>
      <c r="AW1489" s="53">
        <f>IF(AU1489="","",IF(AND(ABS(AH1489)&gt;=0.1,ABS(T1489)&gt;=0.05,SIGN(AH1489)=SIGN(T1489)),100*T1489/AH1489,""))</f>
        <v/>
      </c>
      <c r="AX1489" s="45">
        <f>IF(AU1489="","",T1489-AV1489)</f>
        <v/>
      </c>
      <c r="AY1489" s="45">
        <f>IF(AU1489="","",AH1489-AV1489)</f>
        <v/>
      </c>
      <c r="AZ1489" s="54">
        <f>(AL1489-AM1489)-T1489*AT1489</f>
        <v/>
      </c>
      <c r="BA1489" s="43">
        <f>IF(AU1489="",0,(AH1489-T1489)*AF1489)</f>
        <v/>
      </c>
      <c r="BB1489" s="43">
        <f>IF(AU1489="",0,T1489*(AF1489-AT1489))</f>
        <v/>
      </c>
      <c r="BC1489" s="51" t="n">
        <v>0.03898615635179153</v>
      </c>
      <c r="BD1489" s="51" t="n">
        <v>0.02280130293159609</v>
      </c>
      <c r="BE1489" s="51" t="n">
        <v>0.1657606825844629</v>
      </c>
      <c r="BF1489" s="43" t="n">
        <v>19648</v>
      </c>
    </row>
    <row r="1490">
      <c r="A1490" s="42" t="inlineStr">
        <is>
          <t>KY</t>
        </is>
      </c>
      <c r="B1490" s="42" t="inlineStr">
        <is>
          <t>21053</t>
        </is>
      </c>
      <c r="C1490" s="42" t="inlineStr">
        <is>
          <t>Clinton</t>
        </is>
      </c>
      <c r="D1490" s="42" t="inlineStr">
        <is>
          <t>Small town &amp; rural</t>
        </is>
      </c>
      <c r="E1490" s="42" t="inlineStr"/>
      <c r="F1490" s="43" t="n">
        <v>549</v>
      </c>
      <c r="G1490" s="43" t="n">
        <v>4276</v>
      </c>
      <c r="H1490" s="43" t="n">
        <v>4880</v>
      </c>
      <c r="I1490" s="43" t="n">
        <v>603</v>
      </c>
      <c r="J1490" s="43" t="n">
        <v>4280</v>
      </c>
      <c r="K1490" s="42" t="inlineStr">
        <is>
          <t>US Senate</t>
        </is>
      </c>
      <c r="L1490" s="43" t="n">
        <v>409</v>
      </c>
      <c r="M1490" s="43" t="n">
        <v>3016</v>
      </c>
      <c r="N1490" s="43" t="n">
        <v>3425</v>
      </c>
      <c r="O1490" s="44">
        <f>IFERROR((F1490-G1490)/(F1490+G1490),"")</f>
        <v/>
      </c>
      <c r="P1490" s="44">
        <f>IFERROR((I1490-J1490)/(I1490+J1490),"")</f>
        <v/>
      </c>
      <c r="Q1490" s="45">
        <f>IFERROR(O1490-P1490,"")</f>
        <v/>
      </c>
      <c r="R1490" s="44">
        <f>IFERROR((L1490-M1490)/(L1490+M1490),"")</f>
        <v/>
      </c>
      <c r="S1490" s="46">
        <f>H1490/SUMIFS(Counties!$H$2:$H$1583,Counties!$A$2:$A$1583,$A1490)</f>
        <v/>
      </c>
      <c r="T1490" s="44">
        <f>O1490+INDEX(Dashboard!$F$6:$F$22,MATCH($A1490,Dashboard!$A$6:$A$22,0))</f>
        <v/>
      </c>
      <c r="U1490" s="43">
        <f>AQ1490*INDEX(Dashboard!$G$6:$G$22,MATCH($A1490,Dashboard!$A$6:$A$22,0))</f>
        <v/>
      </c>
      <c r="V1490" s="47" t="n"/>
      <c r="W1490" s="47" t="n"/>
      <c r="X1490" s="47" t="n"/>
      <c r="Y1490" s="48" t="n"/>
      <c r="Z1490" s="49" t="n"/>
      <c r="AA1490" s="49" t="n"/>
      <c r="AB1490" s="49" t="n"/>
      <c r="AC1490" s="50" t="n"/>
      <c r="AD1490" s="43">
        <f>IF(Z1490&lt;&gt;"",Z1490,N(V1490))</f>
        <v/>
      </c>
      <c r="AE1490" s="43">
        <f>IF(AA1490&lt;&gt;"",AA1490,N(W1490))</f>
        <v/>
      </c>
      <c r="AF1490" s="43">
        <f>AD1490+AE1490</f>
        <v/>
      </c>
      <c r="AG1490" s="42">
        <f>IF(UPPER(AC1490)="Y",1,IF(AF1490=0,0,IF(AND(Z1490="",Y1490&lt;&gt;""),IF(Y1490&gt;=0.999,1,0),IF(AF1490&gt;=U1490,1,0))))</f>
        <v/>
      </c>
      <c r="AH1490" s="44">
        <f>IF(AF1490&gt;0,(AD1490-AE1490)/AF1490,"")</f>
        <v/>
      </c>
      <c r="AI1490" s="45">
        <f>IF(AG1490=1,AH1490-O1490,"")</f>
        <v/>
      </c>
      <c r="AJ1490" s="44">
        <f>IF(AG1490=1,AH1490,MAX(-1,MIN(1,O1490+INDEX(Types!$H:$H,MATCH($A1490&amp;"|"&amp;$D1490,Types!$A:$A,0)))))</f>
        <v/>
      </c>
      <c r="AK1490" s="43">
        <f>IF(AG1490=1,AF1490,MAX(AQ1490*AS1490,AF1490))</f>
        <v/>
      </c>
      <c r="AL1490" s="43">
        <f>IF(AG1490=1,AD1490,AK1490*(1+AJ1490)/2)</f>
        <v/>
      </c>
      <c r="AM1490" s="43">
        <f>IF(AG1490=1,AE1490,AK1490*(1-AJ1490)/2)</f>
        <v/>
      </c>
      <c r="AN1490" s="45">
        <f>IF(AH1490="","",AH1490-T1490)</f>
        <v/>
      </c>
      <c r="AO1490" s="51">
        <f>IF(AG1490=1,1,IF(U1490&gt;0,MIN(AF1490/U1490,0.99),0))</f>
        <v/>
      </c>
      <c r="AP1490" s="43">
        <f>IF(AG1490=1,AI1490*AF1490,0)</f>
        <v/>
      </c>
      <c r="AQ1490" s="43">
        <f>N1490*(F1490+G1490)/H1490</f>
        <v/>
      </c>
      <c r="AR1490" s="43">
        <f>O1490*AQ1490</f>
        <v/>
      </c>
      <c r="AS1490" s="52">
        <f>IF(AG1490=1,IF(AQ1490&gt;0,AF1490/AQ1490,1),IFERROR(INDEX(Types!$K:$K,MATCH($A1490&amp;"|"&amp;$D1490,Types!$A:$A,0)),INDEX(Dashboard!$X$6:$X$22,MATCH($A1490,Dashboard!$A$6:$A$22,0))))</f>
        <v/>
      </c>
      <c r="AT1490" s="43">
        <f>AQ1490*INDEX(Dashboard!$Y$6:$Y$22,MATCH($A1490,Dashboard!$A$6:$A$22,0))</f>
        <v/>
      </c>
      <c r="AU1490" s="53">
        <f>IF(AND(AG1490=1,AT1490&gt;0,AF1490&gt;0),100*AF1490/AT1490,"")</f>
        <v/>
      </c>
      <c r="AV1490" s="44">
        <f>IF(AU1490="","",T1490/(AU1490/100))</f>
        <v/>
      </c>
      <c r="AW1490" s="53">
        <f>IF(AU1490="","",IF(AND(ABS(AH1490)&gt;=0.1,ABS(T1490)&gt;=0.05,SIGN(AH1490)=SIGN(T1490)),100*T1490/AH1490,""))</f>
        <v/>
      </c>
      <c r="AX1490" s="45">
        <f>IF(AU1490="","",T1490-AV1490)</f>
        <v/>
      </c>
      <c r="AY1490" s="45">
        <f>IF(AU1490="","",AH1490-AV1490)</f>
        <v/>
      </c>
      <c r="AZ1490" s="54">
        <f>(AL1490-AM1490)-T1490*AT1490</f>
        <v/>
      </c>
      <c r="BA1490" s="43">
        <f>IF(AU1490="",0,(AH1490-T1490)*AF1490)</f>
        <v/>
      </c>
      <c r="BB1490" s="43">
        <f>IF(AU1490="",0,T1490*(AF1490-AT1490))</f>
        <v/>
      </c>
      <c r="BC1490" s="51" t="n">
        <v>0.007761259291648448</v>
      </c>
      <c r="BD1490" s="51" t="n">
        <v>0.03563620463489287</v>
      </c>
      <c r="BE1490" s="51" t="n">
        <v>0.165095773791426</v>
      </c>
      <c r="BF1490" s="43" t="n">
        <v>9148</v>
      </c>
    </row>
    <row r="1491">
      <c r="A1491" s="42" t="inlineStr">
        <is>
          <t>KY</t>
        </is>
      </c>
      <c r="B1491" s="42" t="inlineStr">
        <is>
          <t>21055</t>
        </is>
      </c>
      <c r="C1491" s="42" t="inlineStr">
        <is>
          <t>Crittenden</t>
        </is>
      </c>
      <c r="D1491" s="42" t="inlineStr">
        <is>
          <t>Small town &amp; rural</t>
        </is>
      </c>
      <c r="E1491" s="42" t="inlineStr"/>
      <c r="F1491" s="43" t="n">
        <v>608</v>
      </c>
      <c r="G1491" s="43" t="n">
        <v>3349</v>
      </c>
      <c r="H1491" s="43" t="n">
        <v>4008</v>
      </c>
      <c r="I1491" s="43" t="n">
        <v>731</v>
      </c>
      <c r="J1491" s="43" t="n">
        <v>3451</v>
      </c>
      <c r="K1491" s="42" t="inlineStr">
        <is>
          <t>US Senate</t>
        </is>
      </c>
      <c r="L1491" s="43" t="n">
        <v>534</v>
      </c>
      <c r="M1491" s="43" t="n">
        <v>2540</v>
      </c>
      <c r="N1491" s="43" t="n">
        <v>3074</v>
      </c>
      <c r="O1491" s="44">
        <f>IFERROR((F1491-G1491)/(F1491+G1491),"")</f>
        <v/>
      </c>
      <c r="P1491" s="44">
        <f>IFERROR((I1491-J1491)/(I1491+J1491),"")</f>
        <v/>
      </c>
      <c r="Q1491" s="45">
        <f>IFERROR(O1491-P1491,"")</f>
        <v/>
      </c>
      <c r="R1491" s="44">
        <f>IFERROR((L1491-M1491)/(L1491+M1491),"")</f>
        <v/>
      </c>
      <c r="S1491" s="46">
        <f>H1491/SUMIFS(Counties!$H$2:$H$1583,Counties!$A$2:$A$1583,$A1491)</f>
        <v/>
      </c>
      <c r="T1491" s="44">
        <f>O1491+INDEX(Dashboard!$F$6:$F$22,MATCH($A1491,Dashboard!$A$6:$A$22,0))</f>
        <v/>
      </c>
      <c r="U1491" s="43">
        <f>AQ1491*INDEX(Dashboard!$G$6:$G$22,MATCH($A1491,Dashboard!$A$6:$A$22,0))</f>
        <v/>
      </c>
      <c r="V1491" s="47" t="n"/>
      <c r="W1491" s="47" t="n"/>
      <c r="X1491" s="47" t="n"/>
      <c r="Y1491" s="48" t="n"/>
      <c r="Z1491" s="49" t="n"/>
      <c r="AA1491" s="49" t="n"/>
      <c r="AB1491" s="49" t="n"/>
      <c r="AC1491" s="50" t="n"/>
      <c r="AD1491" s="43">
        <f>IF(Z1491&lt;&gt;"",Z1491,N(V1491))</f>
        <v/>
      </c>
      <c r="AE1491" s="43">
        <f>IF(AA1491&lt;&gt;"",AA1491,N(W1491))</f>
        <v/>
      </c>
      <c r="AF1491" s="43">
        <f>AD1491+AE1491</f>
        <v/>
      </c>
      <c r="AG1491" s="42">
        <f>IF(UPPER(AC1491)="Y",1,IF(AF1491=0,0,IF(AND(Z1491="",Y1491&lt;&gt;""),IF(Y1491&gt;=0.999,1,0),IF(AF1491&gt;=U1491,1,0))))</f>
        <v/>
      </c>
      <c r="AH1491" s="44">
        <f>IF(AF1491&gt;0,(AD1491-AE1491)/AF1491,"")</f>
        <v/>
      </c>
      <c r="AI1491" s="45">
        <f>IF(AG1491=1,AH1491-O1491,"")</f>
        <v/>
      </c>
      <c r="AJ1491" s="44">
        <f>IF(AG1491=1,AH1491,MAX(-1,MIN(1,O1491+INDEX(Types!$H:$H,MATCH($A1491&amp;"|"&amp;$D1491,Types!$A:$A,0)))))</f>
        <v/>
      </c>
      <c r="AK1491" s="43">
        <f>IF(AG1491=1,AF1491,MAX(AQ1491*AS1491,AF1491))</f>
        <v/>
      </c>
      <c r="AL1491" s="43">
        <f>IF(AG1491=1,AD1491,AK1491*(1+AJ1491)/2)</f>
        <v/>
      </c>
      <c r="AM1491" s="43">
        <f>IF(AG1491=1,AE1491,AK1491*(1-AJ1491)/2)</f>
        <v/>
      </c>
      <c r="AN1491" s="45">
        <f>IF(AH1491="","",AH1491-T1491)</f>
        <v/>
      </c>
      <c r="AO1491" s="51">
        <f>IF(AG1491=1,1,IF(U1491&gt;0,MIN(AF1491/U1491,0.99),0))</f>
        <v/>
      </c>
      <c r="AP1491" s="43">
        <f>IF(AG1491=1,AI1491*AF1491,0)</f>
        <v/>
      </c>
      <c r="AQ1491" s="43">
        <f>N1491*(F1491+G1491)/H1491</f>
        <v/>
      </c>
      <c r="AR1491" s="43">
        <f>O1491*AQ1491</f>
        <v/>
      </c>
      <c r="AS1491" s="52">
        <f>IF(AG1491=1,IF(AQ1491&gt;0,AF1491/AQ1491,1),IFERROR(INDEX(Types!$K:$K,MATCH($A1491&amp;"|"&amp;$D1491,Types!$A:$A,0)),INDEX(Dashboard!$X$6:$X$22,MATCH($A1491,Dashboard!$A$6:$A$22,0))))</f>
        <v/>
      </c>
      <c r="AT1491" s="43">
        <f>AQ1491*INDEX(Dashboard!$Y$6:$Y$22,MATCH($A1491,Dashboard!$A$6:$A$22,0))</f>
        <v/>
      </c>
      <c r="AU1491" s="53">
        <f>IF(AND(AG1491=1,AT1491&gt;0,AF1491&gt;0),100*AF1491/AT1491,"")</f>
        <v/>
      </c>
      <c r="AV1491" s="44">
        <f>IF(AU1491="","",T1491/(AU1491/100))</f>
        <v/>
      </c>
      <c r="AW1491" s="53">
        <f>IF(AU1491="","",IF(AND(ABS(AH1491)&gt;=0.1,ABS(T1491)&gt;=0.05,SIGN(AH1491)=SIGN(T1491)),100*T1491/AH1491,""))</f>
        <v/>
      </c>
      <c r="AX1491" s="45">
        <f>IF(AU1491="","",T1491-AV1491)</f>
        <v/>
      </c>
      <c r="AY1491" s="45">
        <f>IF(AU1491="","",AH1491-AV1491)</f>
        <v/>
      </c>
      <c r="AZ1491" s="54">
        <f>(AL1491-AM1491)-T1491*AT1491</f>
        <v/>
      </c>
      <c r="BA1491" s="43">
        <f>IF(AU1491="",0,(AH1491-T1491)*AF1491)</f>
        <v/>
      </c>
      <c r="BB1491" s="43">
        <f>IF(AU1491="",0,T1491*(AF1491-AT1491))</f>
        <v/>
      </c>
      <c r="BC1491" s="51" t="n">
        <v>0.01337196344996657</v>
      </c>
      <c r="BD1491" s="51" t="n">
        <v>0.02072654334744818</v>
      </c>
      <c r="BE1491" s="51" t="n">
        <v>0.125611488085845</v>
      </c>
      <c r="BF1491" s="43" t="n">
        <v>8974</v>
      </c>
    </row>
    <row r="1492">
      <c r="A1492" s="42" t="inlineStr">
        <is>
          <t>KY</t>
        </is>
      </c>
      <c r="B1492" s="42" t="inlineStr">
        <is>
          <t>21057</t>
        </is>
      </c>
      <c r="C1492" s="42" t="inlineStr">
        <is>
          <t>Cumberland</t>
        </is>
      </c>
      <c r="D1492" s="42" t="inlineStr">
        <is>
          <t>Small town &amp; rural</t>
        </is>
      </c>
      <c r="E1492" s="42" t="inlineStr"/>
      <c r="F1492" s="43" t="n">
        <v>483</v>
      </c>
      <c r="G1492" s="43" t="n">
        <v>2922</v>
      </c>
      <c r="H1492" s="43" t="n">
        <v>3439</v>
      </c>
      <c r="I1492" s="43" t="n">
        <v>508</v>
      </c>
      <c r="J1492" s="43" t="n">
        <v>2769</v>
      </c>
      <c r="K1492" s="42" t="inlineStr">
        <is>
          <t>US Senate</t>
        </is>
      </c>
      <c r="L1492" s="43" t="n">
        <v>355</v>
      </c>
      <c r="M1492" s="43" t="n">
        <v>2123</v>
      </c>
      <c r="N1492" s="43" t="n">
        <v>2478</v>
      </c>
      <c r="O1492" s="44">
        <f>IFERROR((F1492-G1492)/(F1492+G1492),"")</f>
        <v/>
      </c>
      <c r="P1492" s="44">
        <f>IFERROR((I1492-J1492)/(I1492+J1492),"")</f>
        <v/>
      </c>
      <c r="Q1492" s="45">
        <f>IFERROR(O1492-P1492,"")</f>
        <v/>
      </c>
      <c r="R1492" s="44">
        <f>IFERROR((L1492-M1492)/(L1492+M1492),"")</f>
        <v/>
      </c>
      <c r="S1492" s="46">
        <f>H1492/SUMIFS(Counties!$H$2:$H$1583,Counties!$A$2:$A$1583,$A1492)</f>
        <v/>
      </c>
      <c r="T1492" s="44">
        <f>O1492+INDEX(Dashboard!$F$6:$F$22,MATCH($A1492,Dashboard!$A$6:$A$22,0))</f>
        <v/>
      </c>
      <c r="U1492" s="43">
        <f>AQ1492*INDEX(Dashboard!$G$6:$G$22,MATCH($A1492,Dashboard!$A$6:$A$22,0))</f>
        <v/>
      </c>
      <c r="V1492" s="47" t="n"/>
      <c r="W1492" s="47" t="n"/>
      <c r="X1492" s="47" t="n"/>
      <c r="Y1492" s="48" t="n"/>
      <c r="Z1492" s="49" t="n"/>
      <c r="AA1492" s="49" t="n"/>
      <c r="AB1492" s="49" t="n"/>
      <c r="AC1492" s="50" t="n"/>
      <c r="AD1492" s="43">
        <f>IF(Z1492&lt;&gt;"",Z1492,N(V1492))</f>
        <v/>
      </c>
      <c r="AE1492" s="43">
        <f>IF(AA1492&lt;&gt;"",AA1492,N(W1492))</f>
        <v/>
      </c>
      <c r="AF1492" s="43">
        <f>AD1492+AE1492</f>
        <v/>
      </c>
      <c r="AG1492" s="42">
        <f>IF(UPPER(AC1492)="Y",1,IF(AF1492=0,0,IF(AND(Z1492="",Y1492&lt;&gt;""),IF(Y1492&gt;=0.999,1,0),IF(AF1492&gt;=U1492,1,0))))</f>
        <v/>
      </c>
      <c r="AH1492" s="44">
        <f>IF(AF1492&gt;0,(AD1492-AE1492)/AF1492,"")</f>
        <v/>
      </c>
      <c r="AI1492" s="45">
        <f>IF(AG1492=1,AH1492-O1492,"")</f>
        <v/>
      </c>
      <c r="AJ1492" s="44">
        <f>IF(AG1492=1,AH1492,MAX(-1,MIN(1,O1492+INDEX(Types!$H:$H,MATCH($A1492&amp;"|"&amp;$D1492,Types!$A:$A,0)))))</f>
        <v/>
      </c>
      <c r="AK1492" s="43">
        <f>IF(AG1492=1,AF1492,MAX(AQ1492*AS1492,AF1492))</f>
        <v/>
      </c>
      <c r="AL1492" s="43">
        <f>IF(AG1492=1,AD1492,AK1492*(1+AJ1492)/2)</f>
        <v/>
      </c>
      <c r="AM1492" s="43">
        <f>IF(AG1492=1,AE1492,AK1492*(1-AJ1492)/2)</f>
        <v/>
      </c>
      <c r="AN1492" s="45">
        <f>IF(AH1492="","",AH1492-T1492)</f>
        <v/>
      </c>
      <c r="AO1492" s="51">
        <f>IF(AG1492=1,1,IF(U1492&gt;0,MIN(AF1492/U1492,0.99),0))</f>
        <v/>
      </c>
      <c r="AP1492" s="43">
        <f>IF(AG1492=1,AI1492*AF1492,0)</f>
        <v/>
      </c>
      <c r="AQ1492" s="43">
        <f>N1492*(F1492+G1492)/H1492</f>
        <v/>
      </c>
      <c r="AR1492" s="43">
        <f>O1492*AQ1492</f>
        <v/>
      </c>
      <c r="AS1492" s="52">
        <f>IF(AG1492=1,IF(AQ1492&gt;0,AF1492/AQ1492,1),IFERROR(INDEX(Types!$K:$K,MATCH($A1492&amp;"|"&amp;$D1492,Types!$A:$A,0)),INDEX(Dashboard!$X$6:$X$22,MATCH($A1492,Dashboard!$A$6:$A$22,0))))</f>
        <v/>
      </c>
      <c r="AT1492" s="43">
        <f>AQ1492*INDEX(Dashboard!$Y$6:$Y$22,MATCH($A1492,Dashboard!$A$6:$A$22,0))</f>
        <v/>
      </c>
      <c r="AU1492" s="53">
        <f>IF(AND(AG1492=1,AT1492&gt;0,AF1492&gt;0),100*AF1492/AT1492,"")</f>
        <v/>
      </c>
      <c r="AV1492" s="44">
        <f>IF(AU1492="","",T1492/(AU1492/100))</f>
        <v/>
      </c>
      <c r="AW1492" s="53">
        <f>IF(AU1492="","",IF(AND(ABS(AH1492)&gt;=0.1,ABS(T1492)&gt;=0.05,SIGN(AH1492)=SIGN(T1492)),100*T1492/AH1492,""))</f>
        <v/>
      </c>
      <c r="AX1492" s="45">
        <f>IF(AU1492="","",T1492-AV1492)</f>
        <v/>
      </c>
      <c r="AY1492" s="45">
        <f>IF(AU1492="","",AH1492-AV1492)</f>
        <v/>
      </c>
      <c r="AZ1492" s="54">
        <f>(AL1492-AM1492)-T1492*AT1492</f>
        <v/>
      </c>
      <c r="BA1492" s="43">
        <f>IF(AU1492="",0,(AH1492-T1492)*AF1492)</f>
        <v/>
      </c>
      <c r="BB1492" s="43">
        <f>IF(AU1492="",0,T1492*(AF1492-AT1492))</f>
        <v/>
      </c>
      <c r="BC1492" s="51" t="n">
        <v>0.03216666666666667</v>
      </c>
      <c r="BD1492" s="51" t="n">
        <v>0.021</v>
      </c>
      <c r="BE1492" s="51" t="n">
        <v>0.1745152354570637</v>
      </c>
      <c r="BF1492" s="43" t="n">
        <v>6000</v>
      </c>
    </row>
    <row r="1493">
      <c r="A1493" s="42" t="inlineStr">
        <is>
          <t>KY</t>
        </is>
      </c>
      <c r="B1493" s="42" t="inlineStr">
        <is>
          <t>21059</t>
        </is>
      </c>
      <c r="C1493" s="42" t="inlineStr">
        <is>
          <t>Daviess</t>
        </is>
      </c>
      <c r="D1493" s="42" t="inlineStr">
        <is>
          <t>Mid-size/working metro</t>
        </is>
      </c>
      <c r="E1493" s="42" t="inlineStr"/>
      <c r="F1493" s="43" t="n">
        <v>15673</v>
      </c>
      <c r="G1493" s="43" t="n">
        <v>30705</v>
      </c>
      <c r="H1493" s="43" t="n">
        <v>47067</v>
      </c>
      <c r="I1493" s="43" t="n">
        <v>17286</v>
      </c>
      <c r="J1493" s="43" t="n">
        <v>31025</v>
      </c>
      <c r="K1493" s="42" t="inlineStr">
        <is>
          <t>US Senate</t>
        </is>
      </c>
      <c r="L1493" s="43" t="n">
        <v>11906</v>
      </c>
      <c r="M1493" s="43" t="n">
        <v>20998</v>
      </c>
      <c r="N1493" s="43" t="n">
        <v>32906</v>
      </c>
      <c r="O1493" s="44">
        <f>IFERROR((F1493-G1493)/(F1493+G1493),"")</f>
        <v/>
      </c>
      <c r="P1493" s="44">
        <f>IFERROR((I1493-J1493)/(I1493+J1493),"")</f>
        <v/>
      </c>
      <c r="Q1493" s="45">
        <f>IFERROR(O1493-P1493,"")</f>
        <v/>
      </c>
      <c r="R1493" s="44">
        <f>IFERROR((L1493-M1493)/(L1493+M1493),"")</f>
        <v/>
      </c>
      <c r="S1493" s="46">
        <f>H1493/SUMIFS(Counties!$H$2:$H$1583,Counties!$A$2:$A$1583,$A1493)</f>
        <v/>
      </c>
      <c r="T1493" s="44">
        <f>O1493+INDEX(Dashboard!$F$6:$F$22,MATCH($A1493,Dashboard!$A$6:$A$22,0))</f>
        <v/>
      </c>
      <c r="U1493" s="43">
        <f>AQ1493*INDEX(Dashboard!$G$6:$G$22,MATCH($A1493,Dashboard!$A$6:$A$22,0))</f>
        <v/>
      </c>
      <c r="V1493" s="47" t="n"/>
      <c r="W1493" s="47" t="n"/>
      <c r="X1493" s="47" t="n"/>
      <c r="Y1493" s="48" t="n"/>
      <c r="Z1493" s="49" t="n"/>
      <c r="AA1493" s="49" t="n"/>
      <c r="AB1493" s="49" t="n"/>
      <c r="AC1493" s="50" t="n"/>
      <c r="AD1493" s="43">
        <f>IF(Z1493&lt;&gt;"",Z1493,N(V1493))</f>
        <v/>
      </c>
      <c r="AE1493" s="43">
        <f>IF(AA1493&lt;&gt;"",AA1493,N(W1493))</f>
        <v/>
      </c>
      <c r="AF1493" s="43">
        <f>AD1493+AE1493</f>
        <v/>
      </c>
      <c r="AG1493" s="42">
        <f>IF(UPPER(AC1493)="Y",1,IF(AF1493=0,0,IF(AND(Z1493="",Y1493&lt;&gt;""),IF(Y1493&gt;=0.999,1,0),IF(AF1493&gt;=U1493,1,0))))</f>
        <v/>
      </c>
      <c r="AH1493" s="44">
        <f>IF(AF1493&gt;0,(AD1493-AE1493)/AF1493,"")</f>
        <v/>
      </c>
      <c r="AI1493" s="45">
        <f>IF(AG1493=1,AH1493-O1493,"")</f>
        <v/>
      </c>
      <c r="AJ1493" s="44">
        <f>IF(AG1493=1,AH1493,MAX(-1,MIN(1,O1493+INDEX(Types!$H:$H,MATCH($A1493&amp;"|"&amp;$D1493,Types!$A:$A,0)))))</f>
        <v/>
      </c>
      <c r="AK1493" s="43">
        <f>IF(AG1493=1,AF1493,MAX(AQ1493*AS1493,AF1493))</f>
        <v/>
      </c>
      <c r="AL1493" s="43">
        <f>IF(AG1493=1,AD1493,AK1493*(1+AJ1493)/2)</f>
        <v/>
      </c>
      <c r="AM1493" s="43">
        <f>IF(AG1493=1,AE1493,AK1493*(1-AJ1493)/2)</f>
        <v/>
      </c>
      <c r="AN1493" s="45">
        <f>IF(AH1493="","",AH1493-T1493)</f>
        <v/>
      </c>
      <c r="AO1493" s="51">
        <f>IF(AG1493=1,1,IF(U1493&gt;0,MIN(AF1493/U1493,0.99),0))</f>
        <v/>
      </c>
      <c r="AP1493" s="43">
        <f>IF(AG1493=1,AI1493*AF1493,0)</f>
        <v/>
      </c>
      <c r="AQ1493" s="43">
        <f>N1493*(F1493+G1493)/H1493</f>
        <v/>
      </c>
      <c r="AR1493" s="43">
        <f>O1493*AQ1493</f>
        <v/>
      </c>
      <c r="AS1493" s="52">
        <f>IF(AG1493=1,IF(AQ1493&gt;0,AF1493/AQ1493,1),IFERROR(INDEX(Types!$K:$K,MATCH($A1493&amp;"|"&amp;$D1493,Types!$A:$A,0)),INDEX(Dashboard!$X$6:$X$22,MATCH($A1493,Dashboard!$A$6:$A$22,0))))</f>
        <v/>
      </c>
      <c r="AT1493" s="43">
        <f>AQ1493*INDEX(Dashboard!$Y$6:$Y$22,MATCH($A1493,Dashboard!$A$6:$A$22,0))</f>
        <v/>
      </c>
      <c r="AU1493" s="53">
        <f>IF(AND(AG1493=1,AT1493&gt;0,AF1493&gt;0),100*AF1493/AT1493,"")</f>
        <v/>
      </c>
      <c r="AV1493" s="44">
        <f>IF(AU1493="","",T1493/(AU1493/100))</f>
        <v/>
      </c>
      <c r="AW1493" s="53">
        <f>IF(AU1493="","",IF(AND(ABS(AH1493)&gt;=0.1,ABS(T1493)&gt;=0.05,SIGN(AH1493)=SIGN(T1493)),100*T1493/AH1493,""))</f>
        <v/>
      </c>
      <c r="AX1493" s="45">
        <f>IF(AU1493="","",T1493-AV1493)</f>
        <v/>
      </c>
      <c r="AY1493" s="45">
        <f>IF(AU1493="","",AH1493-AV1493)</f>
        <v/>
      </c>
      <c r="AZ1493" s="54">
        <f>(AL1493-AM1493)-T1493*AT1493</f>
        <v/>
      </c>
      <c r="BA1493" s="43">
        <f>IF(AU1493="",0,(AH1493-T1493)*AF1493)</f>
        <v/>
      </c>
      <c r="BB1493" s="43">
        <f>IF(AU1493="",0,T1493*(AF1493-AT1493))</f>
        <v/>
      </c>
      <c r="BC1493" s="51" t="n">
        <v>0.04916004562237816</v>
      </c>
      <c r="BD1493" s="51" t="n">
        <v>0.0420750449457751</v>
      </c>
      <c r="BE1493" s="51" t="n">
        <v>0.2524151454854803</v>
      </c>
      <c r="BF1493" s="43" t="n">
        <v>103458</v>
      </c>
    </row>
    <row r="1494">
      <c r="A1494" s="42" t="inlineStr">
        <is>
          <t>KY</t>
        </is>
      </c>
      <c r="B1494" s="42" t="inlineStr">
        <is>
          <t>21061</t>
        </is>
      </c>
      <c r="C1494" s="42" t="inlineStr">
        <is>
          <t>Edmonson</t>
        </is>
      </c>
      <c r="D1494" s="42" t="inlineStr">
        <is>
          <t>Small town &amp; rural</t>
        </is>
      </c>
      <c r="E1494" s="42" t="inlineStr"/>
      <c r="F1494" s="43" t="n">
        <v>1118</v>
      </c>
      <c r="G1494" s="43" t="n">
        <v>5048</v>
      </c>
      <c r="H1494" s="43" t="n">
        <v>6247</v>
      </c>
      <c r="I1494" s="43" t="n">
        <v>1227</v>
      </c>
      <c r="J1494" s="43" t="n">
        <v>4828</v>
      </c>
      <c r="K1494" s="42" t="inlineStr">
        <is>
          <t>US Senate</t>
        </is>
      </c>
      <c r="L1494" s="43" t="n">
        <v>957</v>
      </c>
      <c r="M1494" s="43" t="n">
        <v>3309</v>
      </c>
      <c r="N1494" s="43" t="n">
        <v>4266</v>
      </c>
      <c r="O1494" s="44">
        <f>IFERROR((F1494-G1494)/(F1494+G1494),"")</f>
        <v/>
      </c>
      <c r="P1494" s="44">
        <f>IFERROR((I1494-J1494)/(I1494+J1494),"")</f>
        <v/>
      </c>
      <c r="Q1494" s="45">
        <f>IFERROR(O1494-P1494,"")</f>
        <v/>
      </c>
      <c r="R1494" s="44">
        <f>IFERROR((L1494-M1494)/(L1494+M1494),"")</f>
        <v/>
      </c>
      <c r="S1494" s="46">
        <f>H1494/SUMIFS(Counties!$H$2:$H$1583,Counties!$A$2:$A$1583,$A1494)</f>
        <v/>
      </c>
      <c r="T1494" s="44">
        <f>O1494+INDEX(Dashboard!$F$6:$F$22,MATCH($A1494,Dashboard!$A$6:$A$22,0))</f>
        <v/>
      </c>
      <c r="U1494" s="43">
        <f>AQ1494*INDEX(Dashboard!$G$6:$G$22,MATCH($A1494,Dashboard!$A$6:$A$22,0))</f>
        <v/>
      </c>
      <c r="V1494" s="47" t="n"/>
      <c r="W1494" s="47" t="n"/>
      <c r="X1494" s="47" t="n"/>
      <c r="Y1494" s="48" t="n"/>
      <c r="Z1494" s="49" t="n"/>
      <c r="AA1494" s="49" t="n"/>
      <c r="AB1494" s="49" t="n"/>
      <c r="AC1494" s="50" t="n"/>
      <c r="AD1494" s="43">
        <f>IF(Z1494&lt;&gt;"",Z1494,N(V1494))</f>
        <v/>
      </c>
      <c r="AE1494" s="43">
        <f>IF(AA1494&lt;&gt;"",AA1494,N(W1494))</f>
        <v/>
      </c>
      <c r="AF1494" s="43">
        <f>AD1494+AE1494</f>
        <v/>
      </c>
      <c r="AG1494" s="42">
        <f>IF(UPPER(AC1494)="Y",1,IF(AF1494=0,0,IF(AND(Z1494="",Y1494&lt;&gt;""),IF(Y1494&gt;=0.999,1,0),IF(AF1494&gt;=U1494,1,0))))</f>
        <v/>
      </c>
      <c r="AH1494" s="44">
        <f>IF(AF1494&gt;0,(AD1494-AE1494)/AF1494,"")</f>
        <v/>
      </c>
      <c r="AI1494" s="45">
        <f>IF(AG1494=1,AH1494-O1494,"")</f>
        <v/>
      </c>
      <c r="AJ1494" s="44">
        <f>IF(AG1494=1,AH1494,MAX(-1,MIN(1,O1494+INDEX(Types!$H:$H,MATCH($A1494&amp;"|"&amp;$D1494,Types!$A:$A,0)))))</f>
        <v/>
      </c>
      <c r="AK1494" s="43">
        <f>IF(AG1494=1,AF1494,MAX(AQ1494*AS1494,AF1494))</f>
        <v/>
      </c>
      <c r="AL1494" s="43">
        <f>IF(AG1494=1,AD1494,AK1494*(1+AJ1494)/2)</f>
        <v/>
      </c>
      <c r="AM1494" s="43">
        <f>IF(AG1494=1,AE1494,AK1494*(1-AJ1494)/2)</f>
        <v/>
      </c>
      <c r="AN1494" s="45">
        <f>IF(AH1494="","",AH1494-T1494)</f>
        <v/>
      </c>
      <c r="AO1494" s="51">
        <f>IF(AG1494=1,1,IF(U1494&gt;0,MIN(AF1494/U1494,0.99),0))</f>
        <v/>
      </c>
      <c r="AP1494" s="43">
        <f>IF(AG1494=1,AI1494*AF1494,0)</f>
        <v/>
      </c>
      <c r="AQ1494" s="43">
        <f>N1494*(F1494+G1494)/H1494</f>
        <v/>
      </c>
      <c r="AR1494" s="43">
        <f>O1494*AQ1494</f>
        <v/>
      </c>
      <c r="AS1494" s="52">
        <f>IF(AG1494=1,IF(AQ1494&gt;0,AF1494/AQ1494,1),IFERROR(INDEX(Types!$K:$K,MATCH($A1494&amp;"|"&amp;$D1494,Types!$A:$A,0)),INDEX(Dashboard!$X$6:$X$22,MATCH($A1494,Dashboard!$A$6:$A$22,0))))</f>
        <v/>
      </c>
      <c r="AT1494" s="43">
        <f>AQ1494*INDEX(Dashboard!$Y$6:$Y$22,MATCH($A1494,Dashboard!$A$6:$A$22,0))</f>
        <v/>
      </c>
      <c r="AU1494" s="53">
        <f>IF(AND(AG1494=1,AT1494&gt;0,AF1494&gt;0),100*AF1494/AT1494,"")</f>
        <v/>
      </c>
      <c r="AV1494" s="44">
        <f>IF(AU1494="","",T1494/(AU1494/100))</f>
        <v/>
      </c>
      <c r="AW1494" s="53">
        <f>IF(AU1494="","",IF(AND(ABS(AH1494)&gt;=0.1,ABS(T1494)&gt;=0.05,SIGN(AH1494)=SIGN(T1494)),100*T1494/AH1494,""))</f>
        <v/>
      </c>
      <c r="AX1494" s="45">
        <f>IF(AU1494="","",T1494-AV1494)</f>
        <v/>
      </c>
      <c r="AY1494" s="45">
        <f>IF(AU1494="","",AH1494-AV1494)</f>
        <v/>
      </c>
      <c r="AZ1494" s="54">
        <f>(AL1494-AM1494)-T1494*AT1494</f>
        <v/>
      </c>
      <c r="BA1494" s="43">
        <f>IF(AU1494="",0,(AH1494-T1494)*AF1494)</f>
        <v/>
      </c>
      <c r="BB1494" s="43">
        <f>IF(AU1494="",0,T1494*(AF1494-AT1494))</f>
        <v/>
      </c>
      <c r="BC1494" s="51" t="n">
        <v>0.01277313624678663</v>
      </c>
      <c r="BD1494" s="51" t="n">
        <v>0.01783419023136247</v>
      </c>
      <c r="BE1494" s="51" t="n">
        <v>0.1030848611263585</v>
      </c>
      <c r="BF1494" s="43" t="n">
        <v>12448</v>
      </c>
    </row>
    <row r="1495">
      <c r="A1495" s="42" t="inlineStr">
        <is>
          <t>KY</t>
        </is>
      </c>
      <c r="B1495" s="42" t="inlineStr">
        <is>
          <t>21063</t>
        </is>
      </c>
      <c r="C1495" s="42" t="inlineStr">
        <is>
          <t>Elliott</t>
        </is>
      </c>
      <c r="D1495" s="42" t="inlineStr">
        <is>
          <t>Small town &amp; rural</t>
        </is>
      </c>
      <c r="E1495" s="42" t="inlineStr"/>
      <c r="F1495" s="43" t="n">
        <v>532</v>
      </c>
      <c r="G1495" s="43" t="n">
        <v>2335</v>
      </c>
      <c r="H1495" s="43" t="n">
        <v>2911</v>
      </c>
      <c r="I1495" s="43" t="n">
        <v>712</v>
      </c>
      <c r="J1495" s="43" t="n">
        <v>2246</v>
      </c>
      <c r="K1495" s="42" t="inlineStr">
        <is>
          <t>US Senate</t>
        </is>
      </c>
      <c r="L1495" s="43" t="n">
        <v>658</v>
      </c>
      <c r="M1495" s="43" t="n">
        <v>1406</v>
      </c>
      <c r="N1495" s="43" t="n">
        <v>2064</v>
      </c>
      <c r="O1495" s="44">
        <f>IFERROR((F1495-G1495)/(F1495+G1495),"")</f>
        <v/>
      </c>
      <c r="P1495" s="44">
        <f>IFERROR((I1495-J1495)/(I1495+J1495),"")</f>
        <v/>
      </c>
      <c r="Q1495" s="45">
        <f>IFERROR(O1495-P1495,"")</f>
        <v/>
      </c>
      <c r="R1495" s="44">
        <f>IFERROR((L1495-M1495)/(L1495+M1495),"")</f>
        <v/>
      </c>
      <c r="S1495" s="46">
        <f>H1495/SUMIFS(Counties!$H$2:$H$1583,Counties!$A$2:$A$1583,$A1495)</f>
        <v/>
      </c>
      <c r="T1495" s="44">
        <f>O1495+INDEX(Dashboard!$F$6:$F$22,MATCH($A1495,Dashboard!$A$6:$A$22,0))</f>
        <v/>
      </c>
      <c r="U1495" s="43">
        <f>AQ1495*INDEX(Dashboard!$G$6:$G$22,MATCH($A1495,Dashboard!$A$6:$A$22,0))</f>
        <v/>
      </c>
      <c r="V1495" s="47" t="n"/>
      <c r="W1495" s="47" t="n"/>
      <c r="X1495" s="47" t="n"/>
      <c r="Y1495" s="48" t="n"/>
      <c r="Z1495" s="49" t="n"/>
      <c r="AA1495" s="49" t="n"/>
      <c r="AB1495" s="49" t="n"/>
      <c r="AC1495" s="50" t="n"/>
      <c r="AD1495" s="43">
        <f>IF(Z1495&lt;&gt;"",Z1495,N(V1495))</f>
        <v/>
      </c>
      <c r="AE1495" s="43">
        <f>IF(AA1495&lt;&gt;"",AA1495,N(W1495))</f>
        <v/>
      </c>
      <c r="AF1495" s="43">
        <f>AD1495+AE1495</f>
        <v/>
      </c>
      <c r="AG1495" s="42">
        <f>IF(UPPER(AC1495)="Y",1,IF(AF1495=0,0,IF(AND(Z1495="",Y1495&lt;&gt;""),IF(Y1495&gt;=0.999,1,0),IF(AF1495&gt;=U1495,1,0))))</f>
        <v/>
      </c>
      <c r="AH1495" s="44">
        <f>IF(AF1495&gt;0,(AD1495-AE1495)/AF1495,"")</f>
        <v/>
      </c>
      <c r="AI1495" s="45">
        <f>IF(AG1495=1,AH1495-O1495,"")</f>
        <v/>
      </c>
      <c r="AJ1495" s="44">
        <f>IF(AG1495=1,AH1495,MAX(-1,MIN(1,O1495+INDEX(Types!$H:$H,MATCH($A1495&amp;"|"&amp;$D1495,Types!$A:$A,0)))))</f>
        <v/>
      </c>
      <c r="AK1495" s="43">
        <f>IF(AG1495=1,AF1495,MAX(AQ1495*AS1495,AF1495))</f>
        <v/>
      </c>
      <c r="AL1495" s="43">
        <f>IF(AG1495=1,AD1495,AK1495*(1+AJ1495)/2)</f>
        <v/>
      </c>
      <c r="AM1495" s="43">
        <f>IF(AG1495=1,AE1495,AK1495*(1-AJ1495)/2)</f>
        <v/>
      </c>
      <c r="AN1495" s="45">
        <f>IF(AH1495="","",AH1495-T1495)</f>
        <v/>
      </c>
      <c r="AO1495" s="51">
        <f>IF(AG1495=1,1,IF(U1495&gt;0,MIN(AF1495/U1495,0.99),0))</f>
        <v/>
      </c>
      <c r="AP1495" s="43">
        <f>IF(AG1495=1,AI1495*AF1495,0)</f>
        <v/>
      </c>
      <c r="AQ1495" s="43">
        <f>N1495*(F1495+G1495)/H1495</f>
        <v/>
      </c>
      <c r="AR1495" s="43">
        <f>O1495*AQ1495</f>
        <v/>
      </c>
      <c r="AS1495" s="52">
        <f>IF(AG1495=1,IF(AQ1495&gt;0,AF1495/AQ1495,1),IFERROR(INDEX(Types!$K:$K,MATCH($A1495&amp;"|"&amp;$D1495,Types!$A:$A,0)),INDEX(Dashboard!$X$6:$X$22,MATCH($A1495,Dashboard!$A$6:$A$22,0))))</f>
        <v/>
      </c>
      <c r="AT1495" s="43">
        <f>AQ1495*INDEX(Dashboard!$Y$6:$Y$22,MATCH($A1495,Dashboard!$A$6:$A$22,0))</f>
        <v/>
      </c>
      <c r="AU1495" s="53">
        <f>IF(AND(AG1495=1,AT1495&gt;0,AF1495&gt;0),100*AF1495/AT1495,"")</f>
        <v/>
      </c>
      <c r="AV1495" s="44">
        <f>IF(AU1495="","",T1495/(AU1495/100))</f>
        <v/>
      </c>
      <c r="AW1495" s="53">
        <f>IF(AU1495="","",IF(AND(ABS(AH1495)&gt;=0.1,ABS(T1495)&gt;=0.05,SIGN(AH1495)=SIGN(T1495)),100*T1495/AH1495,""))</f>
        <v/>
      </c>
      <c r="AX1495" s="45">
        <f>IF(AU1495="","",T1495-AV1495)</f>
        <v/>
      </c>
      <c r="AY1495" s="45">
        <f>IF(AU1495="","",AH1495-AV1495)</f>
        <v/>
      </c>
      <c r="AZ1495" s="54">
        <f>(AL1495-AM1495)-T1495*AT1495</f>
        <v/>
      </c>
      <c r="BA1495" s="43">
        <f>IF(AU1495="",0,(AH1495-T1495)*AF1495)</f>
        <v/>
      </c>
      <c r="BB1495" s="43">
        <f>IF(AU1495="",0,T1495*(AF1495-AT1495))</f>
        <v/>
      </c>
      <c r="BC1495" s="51" t="n">
        <v>0.04251207729468599</v>
      </c>
      <c r="BD1495" s="51" t="n">
        <v>0.01711525189786059</v>
      </c>
      <c r="BE1495" s="51" t="n">
        <v>0.06224362404137685</v>
      </c>
      <c r="BF1495" s="43" t="n">
        <v>7245</v>
      </c>
    </row>
    <row r="1496">
      <c r="A1496" s="42" t="inlineStr">
        <is>
          <t>KY</t>
        </is>
      </c>
      <c r="B1496" s="42" t="inlineStr">
        <is>
          <t>21065</t>
        </is>
      </c>
      <c r="C1496" s="42" t="inlineStr">
        <is>
          <t>Estill</t>
        </is>
      </c>
      <c r="D1496" s="42" t="inlineStr">
        <is>
          <t>Small town &amp; rural</t>
        </is>
      </c>
      <c r="E1496" s="42" t="inlineStr"/>
      <c r="F1496" s="43" t="n">
        <v>1114</v>
      </c>
      <c r="G1496" s="43" t="n">
        <v>5091</v>
      </c>
      <c r="H1496" s="43" t="n">
        <v>6289</v>
      </c>
      <c r="I1496" s="43" t="n">
        <v>1355</v>
      </c>
      <c r="J1496" s="43" t="n">
        <v>5100</v>
      </c>
      <c r="K1496" s="42" t="inlineStr">
        <is>
          <t>US Senate</t>
        </is>
      </c>
      <c r="L1496" s="43" t="n">
        <v>1110</v>
      </c>
      <c r="M1496" s="43" t="n">
        <v>3511</v>
      </c>
      <c r="N1496" s="43" t="n">
        <v>4621</v>
      </c>
      <c r="O1496" s="44">
        <f>IFERROR((F1496-G1496)/(F1496+G1496),"")</f>
        <v/>
      </c>
      <c r="P1496" s="44">
        <f>IFERROR((I1496-J1496)/(I1496+J1496),"")</f>
        <v/>
      </c>
      <c r="Q1496" s="45">
        <f>IFERROR(O1496-P1496,"")</f>
        <v/>
      </c>
      <c r="R1496" s="44">
        <f>IFERROR((L1496-M1496)/(L1496+M1496),"")</f>
        <v/>
      </c>
      <c r="S1496" s="46">
        <f>H1496/SUMIFS(Counties!$H$2:$H$1583,Counties!$A$2:$A$1583,$A1496)</f>
        <v/>
      </c>
      <c r="T1496" s="44">
        <f>O1496+INDEX(Dashboard!$F$6:$F$22,MATCH($A1496,Dashboard!$A$6:$A$22,0))</f>
        <v/>
      </c>
      <c r="U1496" s="43">
        <f>AQ1496*INDEX(Dashboard!$G$6:$G$22,MATCH($A1496,Dashboard!$A$6:$A$22,0))</f>
        <v/>
      </c>
      <c r="V1496" s="47" t="n"/>
      <c r="W1496" s="47" t="n"/>
      <c r="X1496" s="47" t="n"/>
      <c r="Y1496" s="48" t="n"/>
      <c r="Z1496" s="49" t="n"/>
      <c r="AA1496" s="49" t="n"/>
      <c r="AB1496" s="49" t="n"/>
      <c r="AC1496" s="50" t="n"/>
      <c r="AD1496" s="43">
        <f>IF(Z1496&lt;&gt;"",Z1496,N(V1496))</f>
        <v/>
      </c>
      <c r="AE1496" s="43">
        <f>IF(AA1496&lt;&gt;"",AA1496,N(W1496))</f>
        <v/>
      </c>
      <c r="AF1496" s="43">
        <f>AD1496+AE1496</f>
        <v/>
      </c>
      <c r="AG1496" s="42">
        <f>IF(UPPER(AC1496)="Y",1,IF(AF1496=0,0,IF(AND(Z1496="",Y1496&lt;&gt;""),IF(Y1496&gt;=0.999,1,0),IF(AF1496&gt;=U1496,1,0))))</f>
        <v/>
      </c>
      <c r="AH1496" s="44">
        <f>IF(AF1496&gt;0,(AD1496-AE1496)/AF1496,"")</f>
        <v/>
      </c>
      <c r="AI1496" s="45">
        <f>IF(AG1496=1,AH1496-O1496,"")</f>
        <v/>
      </c>
      <c r="AJ1496" s="44">
        <f>IF(AG1496=1,AH1496,MAX(-1,MIN(1,O1496+INDEX(Types!$H:$H,MATCH($A1496&amp;"|"&amp;$D1496,Types!$A:$A,0)))))</f>
        <v/>
      </c>
      <c r="AK1496" s="43">
        <f>IF(AG1496=1,AF1496,MAX(AQ1496*AS1496,AF1496))</f>
        <v/>
      </c>
      <c r="AL1496" s="43">
        <f>IF(AG1496=1,AD1496,AK1496*(1+AJ1496)/2)</f>
        <v/>
      </c>
      <c r="AM1496" s="43">
        <f>IF(AG1496=1,AE1496,AK1496*(1-AJ1496)/2)</f>
        <v/>
      </c>
      <c r="AN1496" s="45">
        <f>IF(AH1496="","",AH1496-T1496)</f>
        <v/>
      </c>
      <c r="AO1496" s="51">
        <f>IF(AG1496=1,1,IF(U1496&gt;0,MIN(AF1496/U1496,0.99),0))</f>
        <v/>
      </c>
      <c r="AP1496" s="43">
        <f>IF(AG1496=1,AI1496*AF1496,0)</f>
        <v/>
      </c>
      <c r="AQ1496" s="43">
        <f>N1496*(F1496+G1496)/H1496</f>
        <v/>
      </c>
      <c r="AR1496" s="43">
        <f>O1496*AQ1496</f>
        <v/>
      </c>
      <c r="AS1496" s="52">
        <f>IF(AG1496=1,IF(AQ1496&gt;0,AF1496/AQ1496,1),IFERROR(INDEX(Types!$K:$K,MATCH($A1496&amp;"|"&amp;$D1496,Types!$A:$A,0)),INDEX(Dashboard!$X$6:$X$22,MATCH($A1496,Dashboard!$A$6:$A$22,0))))</f>
        <v/>
      </c>
      <c r="AT1496" s="43">
        <f>AQ1496*INDEX(Dashboard!$Y$6:$Y$22,MATCH($A1496,Dashboard!$A$6:$A$22,0))</f>
        <v/>
      </c>
      <c r="AU1496" s="53">
        <f>IF(AND(AG1496=1,AT1496&gt;0,AF1496&gt;0),100*AF1496/AT1496,"")</f>
        <v/>
      </c>
      <c r="AV1496" s="44">
        <f>IF(AU1496="","",T1496/(AU1496/100))</f>
        <v/>
      </c>
      <c r="AW1496" s="53">
        <f>IF(AU1496="","",IF(AND(ABS(AH1496)&gt;=0.1,ABS(T1496)&gt;=0.05,SIGN(AH1496)=SIGN(T1496)),100*T1496/AH1496,""))</f>
        <v/>
      </c>
      <c r="AX1496" s="45">
        <f>IF(AU1496="","",T1496-AV1496)</f>
        <v/>
      </c>
      <c r="AY1496" s="45">
        <f>IF(AU1496="","",AH1496-AV1496)</f>
        <v/>
      </c>
      <c r="AZ1496" s="54">
        <f>(AL1496-AM1496)-T1496*AT1496</f>
        <v/>
      </c>
      <c r="BA1496" s="43">
        <f>IF(AU1496="",0,(AH1496-T1496)*AF1496)</f>
        <v/>
      </c>
      <c r="BB1496" s="43">
        <f>IF(AU1496="",0,T1496*(AF1496-AT1496))</f>
        <v/>
      </c>
      <c r="BC1496" s="51" t="n">
        <v>0.00574052812858783</v>
      </c>
      <c r="BD1496" s="51" t="n">
        <v>0.01607347876004592</v>
      </c>
      <c r="BE1496" s="51" t="n">
        <v>0.09857213195470212</v>
      </c>
      <c r="BF1496" s="43" t="n">
        <v>13936</v>
      </c>
    </row>
    <row r="1497">
      <c r="A1497" s="42" t="inlineStr">
        <is>
          <t>KY</t>
        </is>
      </c>
      <c r="B1497" s="42" t="inlineStr">
        <is>
          <t>21067</t>
        </is>
      </c>
      <c r="C1497" s="42" t="inlineStr">
        <is>
          <t>Fayette</t>
        </is>
      </c>
      <c r="D1497" s="42" t="inlineStr">
        <is>
          <t>College suburb/metro</t>
        </is>
      </c>
      <c r="E1497" s="42" t="inlineStr">
        <is>
          <t>★</t>
        </is>
      </c>
      <c r="F1497" s="43" t="n">
        <v>83387</v>
      </c>
      <c r="G1497" s="43" t="n">
        <v>57347</v>
      </c>
      <c r="H1497" s="43" t="n">
        <v>143762</v>
      </c>
      <c r="I1497" s="43" t="n">
        <v>90600</v>
      </c>
      <c r="J1497" s="43" t="n">
        <v>58860</v>
      </c>
      <c r="K1497" s="42" t="inlineStr">
        <is>
          <t>US Senate</t>
        </is>
      </c>
      <c r="L1497" s="43" t="n">
        <v>64465</v>
      </c>
      <c r="M1497" s="43" t="n">
        <v>42041</v>
      </c>
      <c r="N1497" s="43" t="n">
        <v>106548</v>
      </c>
      <c r="O1497" s="44">
        <f>IFERROR((F1497-G1497)/(F1497+G1497),"")</f>
        <v/>
      </c>
      <c r="P1497" s="44">
        <f>IFERROR((I1497-J1497)/(I1497+J1497),"")</f>
        <v/>
      </c>
      <c r="Q1497" s="45">
        <f>IFERROR(O1497-P1497,"")</f>
        <v/>
      </c>
      <c r="R1497" s="44">
        <f>IFERROR((L1497-M1497)/(L1497+M1497),"")</f>
        <v/>
      </c>
      <c r="S1497" s="46">
        <f>H1497/SUMIFS(Counties!$H$2:$H$1583,Counties!$A$2:$A$1583,$A1497)</f>
        <v/>
      </c>
      <c r="T1497" s="44">
        <f>O1497+INDEX(Dashboard!$F$6:$F$22,MATCH($A1497,Dashboard!$A$6:$A$22,0))</f>
        <v/>
      </c>
      <c r="U1497" s="43">
        <f>AQ1497*INDEX(Dashboard!$G$6:$G$22,MATCH($A1497,Dashboard!$A$6:$A$22,0))</f>
        <v/>
      </c>
      <c r="V1497" s="47" t="n"/>
      <c r="W1497" s="47" t="n"/>
      <c r="X1497" s="47" t="n"/>
      <c r="Y1497" s="48" t="n"/>
      <c r="Z1497" s="49" t="n"/>
      <c r="AA1497" s="49" t="n"/>
      <c r="AB1497" s="49" t="n"/>
      <c r="AC1497" s="50" t="n"/>
      <c r="AD1497" s="43">
        <f>IF(Z1497&lt;&gt;"",Z1497,N(V1497))</f>
        <v/>
      </c>
      <c r="AE1497" s="43">
        <f>IF(AA1497&lt;&gt;"",AA1497,N(W1497))</f>
        <v/>
      </c>
      <c r="AF1497" s="43">
        <f>AD1497+AE1497</f>
        <v/>
      </c>
      <c r="AG1497" s="42">
        <f>IF(UPPER(AC1497)="Y",1,IF(AF1497=0,0,IF(AND(Z1497="",Y1497&lt;&gt;""),IF(Y1497&gt;=0.999,1,0),IF(AF1497&gt;=U1497,1,0))))</f>
        <v/>
      </c>
      <c r="AH1497" s="44">
        <f>IF(AF1497&gt;0,(AD1497-AE1497)/AF1497,"")</f>
        <v/>
      </c>
      <c r="AI1497" s="45">
        <f>IF(AG1497=1,AH1497-O1497,"")</f>
        <v/>
      </c>
      <c r="AJ1497" s="44">
        <f>IF(AG1497=1,AH1497,MAX(-1,MIN(1,O1497+INDEX(Types!$H:$H,MATCH($A1497&amp;"|"&amp;$D1497,Types!$A:$A,0)))))</f>
        <v/>
      </c>
      <c r="AK1497" s="43">
        <f>IF(AG1497=1,AF1497,MAX(AQ1497*AS1497,AF1497))</f>
        <v/>
      </c>
      <c r="AL1497" s="43">
        <f>IF(AG1497=1,AD1497,AK1497*(1+AJ1497)/2)</f>
        <v/>
      </c>
      <c r="AM1497" s="43">
        <f>IF(AG1497=1,AE1497,AK1497*(1-AJ1497)/2)</f>
        <v/>
      </c>
      <c r="AN1497" s="45">
        <f>IF(AH1497="","",AH1497-T1497)</f>
        <v/>
      </c>
      <c r="AO1497" s="51">
        <f>IF(AG1497=1,1,IF(U1497&gt;0,MIN(AF1497/U1497,0.99),0))</f>
        <v/>
      </c>
      <c r="AP1497" s="43">
        <f>IF(AG1497=1,AI1497*AF1497,0)</f>
        <v/>
      </c>
      <c r="AQ1497" s="43">
        <f>N1497*(F1497+G1497)/H1497</f>
        <v/>
      </c>
      <c r="AR1497" s="43">
        <f>O1497*AQ1497</f>
        <v/>
      </c>
      <c r="AS1497" s="52">
        <f>IF(AG1497=1,IF(AQ1497&gt;0,AF1497/AQ1497,1),IFERROR(INDEX(Types!$K:$K,MATCH($A1497&amp;"|"&amp;$D1497,Types!$A:$A,0)),INDEX(Dashboard!$X$6:$X$22,MATCH($A1497,Dashboard!$A$6:$A$22,0))))</f>
        <v/>
      </c>
      <c r="AT1497" s="43">
        <f>AQ1497*INDEX(Dashboard!$Y$6:$Y$22,MATCH($A1497,Dashboard!$A$6:$A$22,0))</f>
        <v/>
      </c>
      <c r="AU1497" s="53">
        <f>IF(AND(AG1497=1,AT1497&gt;0,AF1497&gt;0),100*AF1497/AT1497,"")</f>
        <v/>
      </c>
      <c r="AV1497" s="44">
        <f>IF(AU1497="","",T1497/(AU1497/100))</f>
        <v/>
      </c>
      <c r="AW1497" s="53">
        <f>IF(AU1497="","",IF(AND(ABS(AH1497)&gt;=0.1,ABS(T1497)&gt;=0.05,SIGN(AH1497)=SIGN(T1497)),100*T1497/AH1497,""))</f>
        <v/>
      </c>
      <c r="AX1497" s="45">
        <f>IF(AU1497="","",T1497-AV1497)</f>
        <v/>
      </c>
      <c r="AY1497" s="45">
        <f>IF(AU1497="","",AH1497-AV1497)</f>
        <v/>
      </c>
      <c r="AZ1497" s="54">
        <f>(AL1497-AM1497)-T1497*AT1497</f>
        <v/>
      </c>
      <c r="BA1497" s="43">
        <f>IF(AU1497="",0,(AH1497-T1497)*AF1497)</f>
        <v/>
      </c>
      <c r="BB1497" s="43">
        <f>IF(AU1497="",0,T1497*(AF1497-AT1497))</f>
        <v/>
      </c>
      <c r="BC1497" s="51" t="n">
        <v>0.1562185698132774</v>
      </c>
      <c r="BD1497" s="51" t="n">
        <v>0.09356122366111309</v>
      </c>
      <c r="BE1497" s="51" t="n">
        <v>0.4731032442183429</v>
      </c>
      <c r="BF1497" s="43" t="n">
        <v>320154</v>
      </c>
    </row>
    <row r="1498">
      <c r="A1498" s="42" t="inlineStr">
        <is>
          <t>KY</t>
        </is>
      </c>
      <c r="B1498" s="42" t="inlineStr">
        <is>
          <t>21069</t>
        </is>
      </c>
      <c r="C1498" s="42" t="inlineStr">
        <is>
          <t>Fleming</t>
        </is>
      </c>
      <c r="D1498" s="42" t="inlineStr">
        <is>
          <t>Small town &amp; rural</t>
        </is>
      </c>
      <c r="E1498" s="42" t="inlineStr"/>
      <c r="F1498" s="43" t="n">
        <v>1334</v>
      </c>
      <c r="G1498" s="43" t="n">
        <v>5578</v>
      </c>
      <c r="H1498" s="43" t="n">
        <v>7000</v>
      </c>
      <c r="I1498" s="43" t="n">
        <v>1474</v>
      </c>
      <c r="J1498" s="43" t="n">
        <v>5534</v>
      </c>
      <c r="K1498" s="42" t="inlineStr">
        <is>
          <t>US Senate</t>
        </is>
      </c>
      <c r="L1498" s="43" t="n">
        <v>1254</v>
      </c>
      <c r="M1498" s="43" t="n">
        <v>3803</v>
      </c>
      <c r="N1498" s="43" t="n">
        <v>5057</v>
      </c>
      <c r="O1498" s="44">
        <f>IFERROR((F1498-G1498)/(F1498+G1498),"")</f>
        <v/>
      </c>
      <c r="P1498" s="44">
        <f>IFERROR((I1498-J1498)/(I1498+J1498),"")</f>
        <v/>
      </c>
      <c r="Q1498" s="45">
        <f>IFERROR(O1498-P1498,"")</f>
        <v/>
      </c>
      <c r="R1498" s="44">
        <f>IFERROR((L1498-M1498)/(L1498+M1498),"")</f>
        <v/>
      </c>
      <c r="S1498" s="46">
        <f>H1498/SUMIFS(Counties!$H$2:$H$1583,Counties!$A$2:$A$1583,$A1498)</f>
        <v/>
      </c>
      <c r="T1498" s="44">
        <f>O1498+INDEX(Dashboard!$F$6:$F$22,MATCH($A1498,Dashboard!$A$6:$A$22,0))</f>
        <v/>
      </c>
      <c r="U1498" s="43">
        <f>AQ1498*INDEX(Dashboard!$G$6:$G$22,MATCH($A1498,Dashboard!$A$6:$A$22,0))</f>
        <v/>
      </c>
      <c r="V1498" s="47" t="n"/>
      <c r="W1498" s="47" t="n"/>
      <c r="X1498" s="47" t="n"/>
      <c r="Y1498" s="48" t="n"/>
      <c r="Z1498" s="49" t="n"/>
      <c r="AA1498" s="49" t="n"/>
      <c r="AB1498" s="49" t="n"/>
      <c r="AC1498" s="50" t="n"/>
      <c r="AD1498" s="43">
        <f>IF(Z1498&lt;&gt;"",Z1498,N(V1498))</f>
        <v/>
      </c>
      <c r="AE1498" s="43">
        <f>IF(AA1498&lt;&gt;"",AA1498,N(W1498))</f>
        <v/>
      </c>
      <c r="AF1498" s="43">
        <f>AD1498+AE1498</f>
        <v/>
      </c>
      <c r="AG1498" s="42">
        <f>IF(UPPER(AC1498)="Y",1,IF(AF1498=0,0,IF(AND(Z1498="",Y1498&lt;&gt;""),IF(Y1498&gt;=0.999,1,0),IF(AF1498&gt;=U1498,1,0))))</f>
        <v/>
      </c>
      <c r="AH1498" s="44">
        <f>IF(AF1498&gt;0,(AD1498-AE1498)/AF1498,"")</f>
        <v/>
      </c>
      <c r="AI1498" s="45">
        <f>IF(AG1498=1,AH1498-O1498,"")</f>
        <v/>
      </c>
      <c r="AJ1498" s="44">
        <f>IF(AG1498=1,AH1498,MAX(-1,MIN(1,O1498+INDEX(Types!$H:$H,MATCH($A1498&amp;"|"&amp;$D1498,Types!$A:$A,0)))))</f>
        <v/>
      </c>
      <c r="AK1498" s="43">
        <f>IF(AG1498=1,AF1498,MAX(AQ1498*AS1498,AF1498))</f>
        <v/>
      </c>
      <c r="AL1498" s="43">
        <f>IF(AG1498=1,AD1498,AK1498*(1+AJ1498)/2)</f>
        <v/>
      </c>
      <c r="AM1498" s="43">
        <f>IF(AG1498=1,AE1498,AK1498*(1-AJ1498)/2)</f>
        <v/>
      </c>
      <c r="AN1498" s="45">
        <f>IF(AH1498="","",AH1498-T1498)</f>
        <v/>
      </c>
      <c r="AO1498" s="51">
        <f>IF(AG1498=1,1,IF(U1498&gt;0,MIN(AF1498/U1498,0.99),0))</f>
        <v/>
      </c>
      <c r="AP1498" s="43">
        <f>IF(AG1498=1,AI1498*AF1498,0)</f>
        <v/>
      </c>
      <c r="AQ1498" s="43">
        <f>N1498*(F1498+G1498)/H1498</f>
        <v/>
      </c>
      <c r="AR1498" s="43">
        <f>O1498*AQ1498</f>
        <v/>
      </c>
      <c r="AS1498" s="52">
        <f>IF(AG1498=1,IF(AQ1498&gt;0,AF1498/AQ1498,1),IFERROR(INDEX(Types!$K:$K,MATCH($A1498&amp;"|"&amp;$D1498,Types!$A:$A,0)),INDEX(Dashboard!$X$6:$X$22,MATCH($A1498,Dashboard!$A$6:$A$22,0))))</f>
        <v/>
      </c>
      <c r="AT1498" s="43">
        <f>AQ1498*INDEX(Dashboard!$Y$6:$Y$22,MATCH($A1498,Dashboard!$A$6:$A$22,0))</f>
        <v/>
      </c>
      <c r="AU1498" s="53">
        <f>IF(AND(AG1498=1,AT1498&gt;0,AF1498&gt;0),100*AF1498/AT1498,"")</f>
        <v/>
      </c>
      <c r="AV1498" s="44">
        <f>IF(AU1498="","",T1498/(AU1498/100))</f>
        <v/>
      </c>
      <c r="AW1498" s="53">
        <f>IF(AU1498="","",IF(AND(ABS(AH1498)&gt;=0.1,ABS(T1498)&gt;=0.05,SIGN(AH1498)=SIGN(T1498)),100*T1498/AH1498,""))</f>
        <v/>
      </c>
      <c r="AX1498" s="45">
        <f>IF(AU1498="","",T1498-AV1498)</f>
        <v/>
      </c>
      <c r="AY1498" s="45">
        <f>IF(AU1498="","",AH1498-AV1498)</f>
        <v/>
      </c>
      <c r="AZ1498" s="54">
        <f>(AL1498-AM1498)-T1498*AT1498</f>
        <v/>
      </c>
      <c r="BA1498" s="43">
        <f>IF(AU1498="",0,(AH1498-T1498)*AF1498)</f>
        <v/>
      </c>
      <c r="BB1498" s="43">
        <f>IF(AU1498="",0,T1498*(AF1498-AT1498))</f>
        <v/>
      </c>
      <c r="BC1498" s="51" t="n">
        <v>0.0159953373915296</v>
      </c>
      <c r="BD1498" s="51" t="n">
        <v>0.01813236627379873</v>
      </c>
      <c r="BE1498" s="51" t="n">
        <v>0.1636907634398224</v>
      </c>
      <c r="BF1498" s="43" t="n">
        <v>15442</v>
      </c>
    </row>
    <row r="1499">
      <c r="A1499" s="42" t="inlineStr">
        <is>
          <t>KY</t>
        </is>
      </c>
      <c r="B1499" s="42" t="inlineStr">
        <is>
          <t>21071</t>
        </is>
      </c>
      <c r="C1499" s="42" t="inlineStr">
        <is>
          <t>Floyd</t>
        </is>
      </c>
      <c r="D1499" s="42" t="inlineStr">
        <is>
          <t>Small town &amp; rural</t>
        </is>
      </c>
      <c r="E1499" s="42" t="inlineStr">
        <is>
          <t>★</t>
        </is>
      </c>
      <c r="F1499" s="43" t="n">
        <v>3061</v>
      </c>
      <c r="G1499" s="43" t="n">
        <v>12326</v>
      </c>
      <c r="H1499" s="43" t="n">
        <v>15650</v>
      </c>
      <c r="I1499" s="43" t="n">
        <v>3884</v>
      </c>
      <c r="J1499" s="43" t="n">
        <v>12250</v>
      </c>
      <c r="K1499" s="42" t="inlineStr">
        <is>
          <t>US Senate</t>
        </is>
      </c>
      <c r="L1499" s="43" t="n">
        <v>4000</v>
      </c>
      <c r="M1499" s="43" t="n">
        <v>7636</v>
      </c>
      <c r="N1499" s="43" t="n">
        <v>11636</v>
      </c>
      <c r="O1499" s="44">
        <f>IFERROR((F1499-G1499)/(F1499+G1499),"")</f>
        <v/>
      </c>
      <c r="P1499" s="44">
        <f>IFERROR((I1499-J1499)/(I1499+J1499),"")</f>
        <v/>
      </c>
      <c r="Q1499" s="45">
        <f>IFERROR(O1499-P1499,"")</f>
        <v/>
      </c>
      <c r="R1499" s="44">
        <f>IFERROR((L1499-M1499)/(L1499+M1499),"")</f>
        <v/>
      </c>
      <c r="S1499" s="46">
        <f>H1499/SUMIFS(Counties!$H$2:$H$1583,Counties!$A$2:$A$1583,$A1499)</f>
        <v/>
      </c>
      <c r="T1499" s="44">
        <f>O1499+INDEX(Dashboard!$F$6:$F$22,MATCH($A1499,Dashboard!$A$6:$A$22,0))</f>
        <v/>
      </c>
      <c r="U1499" s="43">
        <f>AQ1499*INDEX(Dashboard!$G$6:$G$22,MATCH($A1499,Dashboard!$A$6:$A$22,0))</f>
        <v/>
      </c>
      <c r="V1499" s="47" t="n"/>
      <c r="W1499" s="47" t="n"/>
      <c r="X1499" s="47" t="n"/>
      <c r="Y1499" s="48" t="n"/>
      <c r="Z1499" s="49" t="n"/>
      <c r="AA1499" s="49" t="n"/>
      <c r="AB1499" s="49" t="n"/>
      <c r="AC1499" s="50" t="n"/>
      <c r="AD1499" s="43">
        <f>IF(Z1499&lt;&gt;"",Z1499,N(V1499))</f>
        <v/>
      </c>
      <c r="AE1499" s="43">
        <f>IF(AA1499&lt;&gt;"",AA1499,N(W1499))</f>
        <v/>
      </c>
      <c r="AF1499" s="43">
        <f>AD1499+AE1499</f>
        <v/>
      </c>
      <c r="AG1499" s="42">
        <f>IF(UPPER(AC1499)="Y",1,IF(AF1499=0,0,IF(AND(Z1499="",Y1499&lt;&gt;""),IF(Y1499&gt;=0.999,1,0),IF(AF1499&gt;=U1499,1,0))))</f>
        <v/>
      </c>
      <c r="AH1499" s="44">
        <f>IF(AF1499&gt;0,(AD1499-AE1499)/AF1499,"")</f>
        <v/>
      </c>
      <c r="AI1499" s="45">
        <f>IF(AG1499=1,AH1499-O1499,"")</f>
        <v/>
      </c>
      <c r="AJ1499" s="44">
        <f>IF(AG1499=1,AH1499,MAX(-1,MIN(1,O1499+INDEX(Types!$H:$H,MATCH($A1499&amp;"|"&amp;$D1499,Types!$A:$A,0)))))</f>
        <v/>
      </c>
      <c r="AK1499" s="43">
        <f>IF(AG1499=1,AF1499,MAX(AQ1499*AS1499,AF1499))</f>
        <v/>
      </c>
      <c r="AL1499" s="43">
        <f>IF(AG1499=1,AD1499,AK1499*(1+AJ1499)/2)</f>
        <v/>
      </c>
      <c r="AM1499" s="43">
        <f>IF(AG1499=1,AE1499,AK1499*(1-AJ1499)/2)</f>
        <v/>
      </c>
      <c r="AN1499" s="45">
        <f>IF(AH1499="","",AH1499-T1499)</f>
        <v/>
      </c>
      <c r="AO1499" s="51">
        <f>IF(AG1499=1,1,IF(U1499&gt;0,MIN(AF1499/U1499,0.99),0))</f>
        <v/>
      </c>
      <c r="AP1499" s="43">
        <f>IF(AG1499=1,AI1499*AF1499,0)</f>
        <v/>
      </c>
      <c r="AQ1499" s="43">
        <f>N1499*(F1499+G1499)/H1499</f>
        <v/>
      </c>
      <c r="AR1499" s="43">
        <f>O1499*AQ1499</f>
        <v/>
      </c>
      <c r="AS1499" s="52">
        <f>IF(AG1499=1,IF(AQ1499&gt;0,AF1499/AQ1499,1),IFERROR(INDEX(Types!$K:$K,MATCH($A1499&amp;"|"&amp;$D1499,Types!$A:$A,0)),INDEX(Dashboard!$X$6:$X$22,MATCH($A1499,Dashboard!$A$6:$A$22,0))))</f>
        <v/>
      </c>
      <c r="AT1499" s="43">
        <f>AQ1499*INDEX(Dashboard!$Y$6:$Y$22,MATCH($A1499,Dashboard!$A$6:$A$22,0))</f>
        <v/>
      </c>
      <c r="AU1499" s="53">
        <f>IF(AND(AG1499=1,AT1499&gt;0,AF1499&gt;0),100*AF1499/AT1499,"")</f>
        <v/>
      </c>
      <c r="AV1499" s="44">
        <f>IF(AU1499="","",T1499/(AU1499/100))</f>
        <v/>
      </c>
      <c r="AW1499" s="53">
        <f>IF(AU1499="","",IF(AND(ABS(AH1499)&gt;=0.1,ABS(T1499)&gt;=0.05,SIGN(AH1499)=SIGN(T1499)),100*T1499/AH1499,""))</f>
        <v/>
      </c>
      <c r="AX1499" s="45">
        <f>IF(AU1499="","",T1499-AV1499)</f>
        <v/>
      </c>
      <c r="AY1499" s="45">
        <f>IF(AU1499="","",AH1499-AV1499)</f>
        <v/>
      </c>
      <c r="AZ1499" s="54">
        <f>(AL1499-AM1499)-T1499*AT1499</f>
        <v/>
      </c>
      <c r="BA1499" s="43">
        <f>IF(AU1499="",0,(AH1499-T1499)*AF1499)</f>
        <v/>
      </c>
      <c r="BB1499" s="43">
        <f>IF(AU1499="",0,T1499*(AF1499-AT1499))</f>
        <v/>
      </c>
      <c r="BC1499" s="51" t="n">
        <v>0.007378787438631147</v>
      </c>
      <c r="BD1499" s="51" t="n">
        <v>0.009470412224384859</v>
      </c>
      <c r="BE1499" s="51" t="n">
        <v>0.1508656883521932</v>
      </c>
      <c r="BF1499" s="43" t="n">
        <v>34423</v>
      </c>
    </row>
    <row r="1500">
      <c r="A1500" s="42" t="inlineStr">
        <is>
          <t>KY</t>
        </is>
      </c>
      <c r="B1500" s="42" t="inlineStr">
        <is>
          <t>21073</t>
        </is>
      </c>
      <c r="C1500" s="42" t="inlineStr">
        <is>
          <t>Franklin</t>
        </is>
      </c>
      <c r="D1500" s="42" t="inlineStr">
        <is>
          <t>Small town &amp; rural</t>
        </is>
      </c>
      <c r="E1500" s="42" t="inlineStr"/>
      <c r="F1500" s="43" t="n">
        <v>11996</v>
      </c>
      <c r="G1500" s="43" t="n">
        <v>13246</v>
      </c>
      <c r="H1500" s="43" t="n">
        <v>25749</v>
      </c>
      <c r="I1500" s="43" t="n">
        <v>12652</v>
      </c>
      <c r="J1500" s="43" t="n">
        <v>12900</v>
      </c>
      <c r="K1500" s="42" t="inlineStr">
        <is>
          <t>US Senate</t>
        </is>
      </c>
      <c r="L1500" s="43" t="n">
        <v>10589</v>
      </c>
      <c r="M1500" s="43" t="n">
        <v>9570</v>
      </c>
      <c r="N1500" s="43" t="n">
        <v>20162</v>
      </c>
      <c r="O1500" s="44">
        <f>IFERROR((F1500-G1500)/(F1500+G1500),"")</f>
        <v/>
      </c>
      <c r="P1500" s="44">
        <f>IFERROR((I1500-J1500)/(I1500+J1500),"")</f>
        <v/>
      </c>
      <c r="Q1500" s="45">
        <f>IFERROR(O1500-P1500,"")</f>
        <v/>
      </c>
      <c r="R1500" s="44">
        <f>IFERROR((L1500-M1500)/(L1500+M1500),"")</f>
        <v/>
      </c>
      <c r="S1500" s="46">
        <f>H1500/SUMIFS(Counties!$H$2:$H$1583,Counties!$A$2:$A$1583,$A1500)</f>
        <v/>
      </c>
      <c r="T1500" s="44">
        <f>O1500+INDEX(Dashboard!$F$6:$F$22,MATCH($A1500,Dashboard!$A$6:$A$22,0))</f>
        <v/>
      </c>
      <c r="U1500" s="43">
        <f>AQ1500*INDEX(Dashboard!$G$6:$G$22,MATCH($A1500,Dashboard!$A$6:$A$22,0))</f>
        <v/>
      </c>
      <c r="V1500" s="47" t="n"/>
      <c r="W1500" s="47" t="n"/>
      <c r="X1500" s="47" t="n"/>
      <c r="Y1500" s="48" t="n"/>
      <c r="Z1500" s="49" t="n"/>
      <c r="AA1500" s="49" t="n"/>
      <c r="AB1500" s="49" t="n"/>
      <c r="AC1500" s="50" t="n"/>
      <c r="AD1500" s="43">
        <f>IF(Z1500&lt;&gt;"",Z1500,N(V1500))</f>
        <v/>
      </c>
      <c r="AE1500" s="43">
        <f>IF(AA1500&lt;&gt;"",AA1500,N(W1500))</f>
        <v/>
      </c>
      <c r="AF1500" s="43">
        <f>AD1500+AE1500</f>
        <v/>
      </c>
      <c r="AG1500" s="42">
        <f>IF(UPPER(AC1500)="Y",1,IF(AF1500=0,0,IF(AND(Z1500="",Y1500&lt;&gt;""),IF(Y1500&gt;=0.999,1,0),IF(AF1500&gt;=U1500,1,0))))</f>
        <v/>
      </c>
      <c r="AH1500" s="44">
        <f>IF(AF1500&gt;0,(AD1500-AE1500)/AF1500,"")</f>
        <v/>
      </c>
      <c r="AI1500" s="45">
        <f>IF(AG1500=1,AH1500-O1500,"")</f>
        <v/>
      </c>
      <c r="AJ1500" s="44">
        <f>IF(AG1500=1,AH1500,MAX(-1,MIN(1,O1500+INDEX(Types!$H:$H,MATCH($A1500&amp;"|"&amp;$D1500,Types!$A:$A,0)))))</f>
        <v/>
      </c>
      <c r="AK1500" s="43">
        <f>IF(AG1500=1,AF1500,MAX(AQ1500*AS1500,AF1500))</f>
        <v/>
      </c>
      <c r="AL1500" s="43">
        <f>IF(AG1500=1,AD1500,AK1500*(1+AJ1500)/2)</f>
        <v/>
      </c>
      <c r="AM1500" s="43">
        <f>IF(AG1500=1,AE1500,AK1500*(1-AJ1500)/2)</f>
        <v/>
      </c>
      <c r="AN1500" s="45">
        <f>IF(AH1500="","",AH1500-T1500)</f>
        <v/>
      </c>
      <c r="AO1500" s="51">
        <f>IF(AG1500=1,1,IF(U1500&gt;0,MIN(AF1500/U1500,0.99),0))</f>
        <v/>
      </c>
      <c r="AP1500" s="43">
        <f>IF(AG1500=1,AI1500*AF1500,0)</f>
        <v/>
      </c>
      <c r="AQ1500" s="43">
        <f>N1500*(F1500+G1500)/H1500</f>
        <v/>
      </c>
      <c r="AR1500" s="43">
        <f>O1500*AQ1500</f>
        <v/>
      </c>
      <c r="AS1500" s="52">
        <f>IF(AG1500=1,IF(AQ1500&gt;0,AF1500/AQ1500,1),IFERROR(INDEX(Types!$K:$K,MATCH($A1500&amp;"|"&amp;$D1500,Types!$A:$A,0)),INDEX(Dashboard!$X$6:$X$22,MATCH($A1500,Dashboard!$A$6:$A$22,0))))</f>
        <v/>
      </c>
      <c r="AT1500" s="43">
        <f>AQ1500*INDEX(Dashboard!$Y$6:$Y$22,MATCH($A1500,Dashboard!$A$6:$A$22,0))</f>
        <v/>
      </c>
      <c r="AU1500" s="53">
        <f>IF(AND(AG1500=1,AT1500&gt;0,AF1500&gt;0),100*AF1500/AT1500,"")</f>
        <v/>
      </c>
      <c r="AV1500" s="44">
        <f>IF(AU1500="","",T1500/(AU1500/100))</f>
        <v/>
      </c>
      <c r="AW1500" s="53">
        <f>IF(AU1500="","",IF(AND(ABS(AH1500)&gt;=0.1,ABS(T1500)&gt;=0.05,SIGN(AH1500)=SIGN(T1500)),100*T1500/AH1500,""))</f>
        <v/>
      </c>
      <c r="AX1500" s="45">
        <f>IF(AU1500="","",T1500-AV1500)</f>
        <v/>
      </c>
      <c r="AY1500" s="45">
        <f>IF(AU1500="","",AH1500-AV1500)</f>
        <v/>
      </c>
      <c r="AZ1500" s="54">
        <f>(AL1500-AM1500)-T1500*AT1500</f>
        <v/>
      </c>
      <c r="BA1500" s="43">
        <f>IF(AU1500="",0,(AH1500-T1500)*AF1500)</f>
        <v/>
      </c>
      <c r="BB1500" s="43">
        <f>IF(AU1500="",0,T1500*(AF1500-AT1500))</f>
        <v/>
      </c>
      <c r="BC1500" s="51" t="n">
        <v>0.09631322128417628</v>
      </c>
      <c r="BD1500" s="51" t="n">
        <v>0.0439160405855472</v>
      </c>
      <c r="BE1500" s="51" t="n">
        <v>0.318318483987532</v>
      </c>
      <c r="BF1500" s="43" t="n">
        <v>51644</v>
      </c>
    </row>
    <row r="1501">
      <c r="A1501" s="42" t="inlineStr">
        <is>
          <t>KY</t>
        </is>
      </c>
      <c r="B1501" s="42" t="inlineStr">
        <is>
          <t>21075</t>
        </is>
      </c>
      <c r="C1501" s="42" t="inlineStr">
        <is>
          <t>Fulton</t>
        </is>
      </c>
      <c r="D1501" s="42" t="inlineStr">
        <is>
          <t>Small town &amp; rural</t>
        </is>
      </c>
      <c r="E1501" s="42" t="inlineStr"/>
      <c r="F1501" s="43" t="n">
        <v>636</v>
      </c>
      <c r="G1501" s="43" t="n">
        <v>1491</v>
      </c>
      <c r="H1501" s="43" t="n">
        <v>2145</v>
      </c>
      <c r="I1501" s="43" t="n">
        <v>794</v>
      </c>
      <c r="J1501" s="43" t="n">
        <v>1606</v>
      </c>
      <c r="K1501" s="42" t="inlineStr">
        <is>
          <t>US Senate</t>
        </is>
      </c>
      <c r="L1501" s="43" t="n">
        <v>445</v>
      </c>
      <c r="M1501" s="43" t="n">
        <v>1087</v>
      </c>
      <c r="N1501" s="43" t="n">
        <v>1532</v>
      </c>
      <c r="O1501" s="44">
        <f>IFERROR((F1501-G1501)/(F1501+G1501),"")</f>
        <v/>
      </c>
      <c r="P1501" s="44">
        <f>IFERROR((I1501-J1501)/(I1501+J1501),"")</f>
        <v/>
      </c>
      <c r="Q1501" s="45">
        <f>IFERROR(O1501-P1501,"")</f>
        <v/>
      </c>
      <c r="R1501" s="44">
        <f>IFERROR((L1501-M1501)/(L1501+M1501),"")</f>
        <v/>
      </c>
      <c r="S1501" s="46">
        <f>H1501/SUMIFS(Counties!$H$2:$H$1583,Counties!$A$2:$A$1583,$A1501)</f>
        <v/>
      </c>
      <c r="T1501" s="44">
        <f>O1501+INDEX(Dashboard!$F$6:$F$22,MATCH($A1501,Dashboard!$A$6:$A$22,0))</f>
        <v/>
      </c>
      <c r="U1501" s="43">
        <f>AQ1501*INDEX(Dashboard!$G$6:$G$22,MATCH($A1501,Dashboard!$A$6:$A$22,0))</f>
        <v/>
      </c>
      <c r="V1501" s="47" t="n"/>
      <c r="W1501" s="47" t="n"/>
      <c r="X1501" s="47" t="n"/>
      <c r="Y1501" s="48" t="n"/>
      <c r="Z1501" s="49" t="n"/>
      <c r="AA1501" s="49" t="n"/>
      <c r="AB1501" s="49" t="n"/>
      <c r="AC1501" s="50" t="n"/>
      <c r="AD1501" s="43">
        <f>IF(Z1501&lt;&gt;"",Z1501,N(V1501))</f>
        <v/>
      </c>
      <c r="AE1501" s="43">
        <f>IF(AA1501&lt;&gt;"",AA1501,N(W1501))</f>
        <v/>
      </c>
      <c r="AF1501" s="43">
        <f>AD1501+AE1501</f>
        <v/>
      </c>
      <c r="AG1501" s="42">
        <f>IF(UPPER(AC1501)="Y",1,IF(AF1501=0,0,IF(AND(Z1501="",Y1501&lt;&gt;""),IF(Y1501&gt;=0.999,1,0),IF(AF1501&gt;=U1501,1,0))))</f>
        <v/>
      </c>
      <c r="AH1501" s="44">
        <f>IF(AF1501&gt;0,(AD1501-AE1501)/AF1501,"")</f>
        <v/>
      </c>
      <c r="AI1501" s="45">
        <f>IF(AG1501=1,AH1501-O1501,"")</f>
        <v/>
      </c>
      <c r="AJ1501" s="44">
        <f>IF(AG1501=1,AH1501,MAX(-1,MIN(1,O1501+INDEX(Types!$H:$H,MATCH($A1501&amp;"|"&amp;$D1501,Types!$A:$A,0)))))</f>
        <v/>
      </c>
      <c r="AK1501" s="43">
        <f>IF(AG1501=1,AF1501,MAX(AQ1501*AS1501,AF1501))</f>
        <v/>
      </c>
      <c r="AL1501" s="43">
        <f>IF(AG1501=1,AD1501,AK1501*(1+AJ1501)/2)</f>
        <v/>
      </c>
      <c r="AM1501" s="43">
        <f>IF(AG1501=1,AE1501,AK1501*(1-AJ1501)/2)</f>
        <v/>
      </c>
      <c r="AN1501" s="45">
        <f>IF(AH1501="","",AH1501-T1501)</f>
        <v/>
      </c>
      <c r="AO1501" s="51">
        <f>IF(AG1501=1,1,IF(U1501&gt;0,MIN(AF1501/U1501,0.99),0))</f>
        <v/>
      </c>
      <c r="AP1501" s="43">
        <f>IF(AG1501=1,AI1501*AF1501,0)</f>
        <v/>
      </c>
      <c r="AQ1501" s="43">
        <f>N1501*(F1501+G1501)/H1501</f>
        <v/>
      </c>
      <c r="AR1501" s="43">
        <f>O1501*AQ1501</f>
        <v/>
      </c>
      <c r="AS1501" s="52">
        <f>IF(AG1501=1,IF(AQ1501&gt;0,AF1501/AQ1501,1),IFERROR(INDEX(Types!$K:$K,MATCH($A1501&amp;"|"&amp;$D1501,Types!$A:$A,0)),INDEX(Dashboard!$X$6:$X$22,MATCH($A1501,Dashboard!$A$6:$A$22,0))))</f>
        <v/>
      </c>
      <c r="AT1501" s="43">
        <f>AQ1501*INDEX(Dashboard!$Y$6:$Y$22,MATCH($A1501,Dashboard!$A$6:$A$22,0))</f>
        <v/>
      </c>
      <c r="AU1501" s="53">
        <f>IF(AND(AG1501=1,AT1501&gt;0,AF1501&gt;0),100*AF1501/AT1501,"")</f>
        <v/>
      </c>
      <c r="AV1501" s="44">
        <f>IF(AU1501="","",T1501/(AU1501/100))</f>
        <v/>
      </c>
      <c r="AW1501" s="53">
        <f>IF(AU1501="","",IF(AND(ABS(AH1501)&gt;=0.1,ABS(T1501)&gt;=0.05,SIGN(AH1501)=SIGN(T1501)),100*T1501/AH1501,""))</f>
        <v/>
      </c>
      <c r="AX1501" s="45">
        <f>IF(AU1501="","",T1501-AV1501)</f>
        <v/>
      </c>
      <c r="AY1501" s="45">
        <f>IF(AU1501="","",AH1501-AV1501)</f>
        <v/>
      </c>
      <c r="AZ1501" s="54">
        <f>(AL1501-AM1501)-T1501*AT1501</f>
        <v/>
      </c>
      <c r="BA1501" s="43">
        <f>IF(AU1501="",0,(AH1501-T1501)*AF1501)</f>
        <v/>
      </c>
      <c r="BB1501" s="43">
        <f>IF(AU1501="",0,T1501*(AF1501-AT1501))</f>
        <v/>
      </c>
      <c r="BC1501" s="51" t="n">
        <v>0.2396655096244872</v>
      </c>
      <c r="BD1501" s="51" t="n">
        <v>0.02871568318081414</v>
      </c>
      <c r="BE1501" s="51" t="n">
        <v>0.1726730046429361</v>
      </c>
      <c r="BF1501" s="43" t="n">
        <v>6338</v>
      </c>
    </row>
    <row r="1502">
      <c r="A1502" s="42" t="inlineStr">
        <is>
          <t>KY</t>
        </is>
      </c>
      <c r="B1502" s="42" t="inlineStr">
        <is>
          <t>21077</t>
        </is>
      </c>
      <c r="C1502" s="42" t="inlineStr">
        <is>
          <t>Gallatin</t>
        </is>
      </c>
      <c r="D1502" s="42" t="inlineStr">
        <is>
          <t>Small town &amp; rural</t>
        </is>
      </c>
      <c r="E1502" s="42" t="inlineStr"/>
      <c r="F1502" s="43" t="n">
        <v>761</v>
      </c>
      <c r="G1502" s="43" t="n">
        <v>3109</v>
      </c>
      <c r="H1502" s="43" t="n">
        <v>3917</v>
      </c>
      <c r="I1502" s="43" t="n">
        <v>822</v>
      </c>
      <c r="J1502" s="43" t="n">
        <v>2955</v>
      </c>
      <c r="K1502" s="42" t="inlineStr">
        <is>
          <t>US Senate</t>
        </is>
      </c>
      <c r="L1502" s="43" t="n">
        <v>788</v>
      </c>
      <c r="M1502" s="43" t="n">
        <v>2224</v>
      </c>
      <c r="N1502" s="43" t="n">
        <v>3012</v>
      </c>
      <c r="O1502" s="44">
        <f>IFERROR((F1502-G1502)/(F1502+G1502),"")</f>
        <v/>
      </c>
      <c r="P1502" s="44">
        <f>IFERROR((I1502-J1502)/(I1502+J1502),"")</f>
        <v/>
      </c>
      <c r="Q1502" s="45">
        <f>IFERROR(O1502-P1502,"")</f>
        <v/>
      </c>
      <c r="R1502" s="44">
        <f>IFERROR((L1502-M1502)/(L1502+M1502),"")</f>
        <v/>
      </c>
      <c r="S1502" s="46">
        <f>H1502/SUMIFS(Counties!$H$2:$H$1583,Counties!$A$2:$A$1583,$A1502)</f>
        <v/>
      </c>
      <c r="T1502" s="44">
        <f>O1502+INDEX(Dashboard!$F$6:$F$22,MATCH($A1502,Dashboard!$A$6:$A$22,0))</f>
        <v/>
      </c>
      <c r="U1502" s="43">
        <f>AQ1502*INDEX(Dashboard!$G$6:$G$22,MATCH($A1502,Dashboard!$A$6:$A$22,0))</f>
        <v/>
      </c>
      <c r="V1502" s="47" t="n"/>
      <c r="W1502" s="47" t="n"/>
      <c r="X1502" s="47" t="n"/>
      <c r="Y1502" s="48" t="n"/>
      <c r="Z1502" s="49" t="n"/>
      <c r="AA1502" s="49" t="n"/>
      <c r="AB1502" s="49" t="n"/>
      <c r="AC1502" s="50" t="n"/>
      <c r="AD1502" s="43">
        <f>IF(Z1502&lt;&gt;"",Z1502,N(V1502))</f>
        <v/>
      </c>
      <c r="AE1502" s="43">
        <f>IF(AA1502&lt;&gt;"",AA1502,N(W1502))</f>
        <v/>
      </c>
      <c r="AF1502" s="43">
        <f>AD1502+AE1502</f>
        <v/>
      </c>
      <c r="AG1502" s="42">
        <f>IF(UPPER(AC1502)="Y",1,IF(AF1502=0,0,IF(AND(Z1502="",Y1502&lt;&gt;""),IF(Y1502&gt;=0.999,1,0),IF(AF1502&gt;=U1502,1,0))))</f>
        <v/>
      </c>
      <c r="AH1502" s="44">
        <f>IF(AF1502&gt;0,(AD1502-AE1502)/AF1502,"")</f>
        <v/>
      </c>
      <c r="AI1502" s="45">
        <f>IF(AG1502=1,AH1502-O1502,"")</f>
        <v/>
      </c>
      <c r="AJ1502" s="44">
        <f>IF(AG1502=1,AH1502,MAX(-1,MIN(1,O1502+INDEX(Types!$H:$H,MATCH($A1502&amp;"|"&amp;$D1502,Types!$A:$A,0)))))</f>
        <v/>
      </c>
      <c r="AK1502" s="43">
        <f>IF(AG1502=1,AF1502,MAX(AQ1502*AS1502,AF1502))</f>
        <v/>
      </c>
      <c r="AL1502" s="43">
        <f>IF(AG1502=1,AD1502,AK1502*(1+AJ1502)/2)</f>
        <v/>
      </c>
      <c r="AM1502" s="43">
        <f>IF(AG1502=1,AE1502,AK1502*(1-AJ1502)/2)</f>
        <v/>
      </c>
      <c r="AN1502" s="45">
        <f>IF(AH1502="","",AH1502-T1502)</f>
        <v/>
      </c>
      <c r="AO1502" s="51">
        <f>IF(AG1502=1,1,IF(U1502&gt;0,MIN(AF1502/U1502,0.99),0))</f>
        <v/>
      </c>
      <c r="AP1502" s="43">
        <f>IF(AG1502=1,AI1502*AF1502,0)</f>
        <v/>
      </c>
      <c r="AQ1502" s="43">
        <f>N1502*(F1502+G1502)/H1502</f>
        <v/>
      </c>
      <c r="AR1502" s="43">
        <f>O1502*AQ1502</f>
        <v/>
      </c>
      <c r="AS1502" s="52">
        <f>IF(AG1502=1,IF(AQ1502&gt;0,AF1502/AQ1502,1),IFERROR(INDEX(Types!$K:$K,MATCH($A1502&amp;"|"&amp;$D1502,Types!$A:$A,0)),INDEX(Dashboard!$X$6:$X$22,MATCH($A1502,Dashboard!$A$6:$A$22,0))))</f>
        <v/>
      </c>
      <c r="AT1502" s="43">
        <f>AQ1502*INDEX(Dashboard!$Y$6:$Y$22,MATCH($A1502,Dashboard!$A$6:$A$22,0))</f>
        <v/>
      </c>
      <c r="AU1502" s="53">
        <f>IF(AND(AG1502=1,AT1502&gt;0,AF1502&gt;0),100*AF1502/AT1502,"")</f>
        <v/>
      </c>
      <c r="AV1502" s="44">
        <f>IF(AU1502="","",T1502/(AU1502/100))</f>
        <v/>
      </c>
      <c r="AW1502" s="53">
        <f>IF(AU1502="","",IF(AND(ABS(AH1502)&gt;=0.1,ABS(T1502)&gt;=0.05,SIGN(AH1502)=SIGN(T1502)),100*T1502/AH1502,""))</f>
        <v/>
      </c>
      <c r="AX1502" s="45">
        <f>IF(AU1502="","",T1502-AV1502)</f>
        <v/>
      </c>
      <c r="AY1502" s="45">
        <f>IF(AU1502="","",AH1502-AV1502)</f>
        <v/>
      </c>
      <c r="AZ1502" s="54">
        <f>(AL1502-AM1502)-T1502*AT1502</f>
        <v/>
      </c>
      <c r="BA1502" s="43">
        <f>IF(AU1502="",0,(AH1502-T1502)*AF1502)</f>
        <v/>
      </c>
      <c r="BB1502" s="43">
        <f>IF(AU1502="",0,T1502*(AF1502-AT1502))</f>
        <v/>
      </c>
      <c r="BC1502" s="51" t="n">
        <v>0.0171747042766151</v>
      </c>
      <c r="BD1502" s="51" t="n">
        <v>0.05243403093721565</v>
      </c>
      <c r="BE1502" s="51" t="n">
        <v>0.1319340329835083</v>
      </c>
      <c r="BF1502" s="43" t="n">
        <v>8792</v>
      </c>
    </row>
    <row r="1503">
      <c r="A1503" s="42" t="inlineStr">
        <is>
          <t>KY</t>
        </is>
      </c>
      <c r="B1503" s="42" t="inlineStr">
        <is>
          <t>21079</t>
        </is>
      </c>
      <c r="C1503" s="42" t="inlineStr">
        <is>
          <t>Garrard</t>
        </is>
      </c>
      <c r="D1503" s="42" t="inlineStr">
        <is>
          <t>Small town &amp; rural</t>
        </is>
      </c>
      <c r="E1503" s="42" t="inlineStr"/>
      <c r="F1503" s="43" t="n">
        <v>1719</v>
      </c>
      <c r="G1503" s="43" t="n">
        <v>7086</v>
      </c>
      <c r="H1503" s="43" t="n">
        <v>8917</v>
      </c>
      <c r="I1503" s="43" t="n">
        <v>1830</v>
      </c>
      <c r="J1503" s="43" t="n">
        <v>6754</v>
      </c>
      <c r="K1503" s="42" t="inlineStr">
        <is>
          <t>US Senate</t>
        </is>
      </c>
      <c r="L1503" s="43" t="n">
        <v>1346</v>
      </c>
      <c r="M1503" s="43" t="n">
        <v>4560</v>
      </c>
      <c r="N1503" s="43" t="n">
        <v>5906</v>
      </c>
      <c r="O1503" s="44">
        <f>IFERROR((F1503-G1503)/(F1503+G1503),"")</f>
        <v/>
      </c>
      <c r="P1503" s="44">
        <f>IFERROR((I1503-J1503)/(I1503+J1503),"")</f>
        <v/>
      </c>
      <c r="Q1503" s="45">
        <f>IFERROR(O1503-P1503,"")</f>
        <v/>
      </c>
      <c r="R1503" s="44">
        <f>IFERROR((L1503-M1503)/(L1503+M1503),"")</f>
        <v/>
      </c>
      <c r="S1503" s="46">
        <f>H1503/SUMIFS(Counties!$H$2:$H$1583,Counties!$A$2:$A$1583,$A1503)</f>
        <v/>
      </c>
      <c r="T1503" s="44">
        <f>O1503+INDEX(Dashboard!$F$6:$F$22,MATCH($A1503,Dashboard!$A$6:$A$22,0))</f>
        <v/>
      </c>
      <c r="U1503" s="43">
        <f>AQ1503*INDEX(Dashboard!$G$6:$G$22,MATCH($A1503,Dashboard!$A$6:$A$22,0))</f>
        <v/>
      </c>
      <c r="V1503" s="47" t="n"/>
      <c r="W1503" s="47" t="n"/>
      <c r="X1503" s="47" t="n"/>
      <c r="Y1503" s="48" t="n"/>
      <c r="Z1503" s="49" t="n"/>
      <c r="AA1503" s="49" t="n"/>
      <c r="AB1503" s="49" t="n"/>
      <c r="AC1503" s="50" t="n"/>
      <c r="AD1503" s="43">
        <f>IF(Z1503&lt;&gt;"",Z1503,N(V1503))</f>
        <v/>
      </c>
      <c r="AE1503" s="43">
        <f>IF(AA1503&lt;&gt;"",AA1503,N(W1503))</f>
        <v/>
      </c>
      <c r="AF1503" s="43">
        <f>AD1503+AE1503</f>
        <v/>
      </c>
      <c r="AG1503" s="42">
        <f>IF(UPPER(AC1503)="Y",1,IF(AF1503=0,0,IF(AND(Z1503="",Y1503&lt;&gt;""),IF(Y1503&gt;=0.999,1,0),IF(AF1503&gt;=U1503,1,0))))</f>
        <v/>
      </c>
      <c r="AH1503" s="44">
        <f>IF(AF1503&gt;0,(AD1503-AE1503)/AF1503,"")</f>
        <v/>
      </c>
      <c r="AI1503" s="45">
        <f>IF(AG1503=1,AH1503-O1503,"")</f>
        <v/>
      </c>
      <c r="AJ1503" s="44">
        <f>IF(AG1503=1,AH1503,MAX(-1,MIN(1,O1503+INDEX(Types!$H:$H,MATCH($A1503&amp;"|"&amp;$D1503,Types!$A:$A,0)))))</f>
        <v/>
      </c>
      <c r="AK1503" s="43">
        <f>IF(AG1503=1,AF1503,MAX(AQ1503*AS1503,AF1503))</f>
        <v/>
      </c>
      <c r="AL1503" s="43">
        <f>IF(AG1503=1,AD1503,AK1503*(1+AJ1503)/2)</f>
        <v/>
      </c>
      <c r="AM1503" s="43">
        <f>IF(AG1503=1,AE1503,AK1503*(1-AJ1503)/2)</f>
        <v/>
      </c>
      <c r="AN1503" s="45">
        <f>IF(AH1503="","",AH1503-T1503)</f>
        <v/>
      </c>
      <c r="AO1503" s="51">
        <f>IF(AG1503=1,1,IF(U1503&gt;0,MIN(AF1503/U1503,0.99),0))</f>
        <v/>
      </c>
      <c r="AP1503" s="43">
        <f>IF(AG1503=1,AI1503*AF1503,0)</f>
        <v/>
      </c>
      <c r="AQ1503" s="43">
        <f>N1503*(F1503+G1503)/H1503</f>
        <v/>
      </c>
      <c r="AR1503" s="43">
        <f>O1503*AQ1503</f>
        <v/>
      </c>
      <c r="AS1503" s="52">
        <f>IF(AG1503=1,IF(AQ1503&gt;0,AF1503/AQ1503,1),IFERROR(INDEX(Types!$K:$K,MATCH($A1503&amp;"|"&amp;$D1503,Types!$A:$A,0)),INDEX(Dashboard!$X$6:$X$22,MATCH($A1503,Dashboard!$A$6:$A$22,0))))</f>
        <v/>
      </c>
      <c r="AT1503" s="43">
        <f>AQ1503*INDEX(Dashboard!$Y$6:$Y$22,MATCH($A1503,Dashboard!$A$6:$A$22,0))</f>
        <v/>
      </c>
      <c r="AU1503" s="53">
        <f>IF(AND(AG1503=1,AT1503&gt;0,AF1503&gt;0),100*AF1503/AT1503,"")</f>
        <v/>
      </c>
      <c r="AV1503" s="44">
        <f>IF(AU1503="","",T1503/(AU1503/100))</f>
        <v/>
      </c>
      <c r="AW1503" s="53">
        <f>IF(AU1503="","",IF(AND(ABS(AH1503)&gt;=0.1,ABS(T1503)&gt;=0.05,SIGN(AH1503)=SIGN(T1503)),100*T1503/AH1503,""))</f>
        <v/>
      </c>
      <c r="AX1503" s="45">
        <f>IF(AU1503="","",T1503-AV1503)</f>
        <v/>
      </c>
      <c r="AY1503" s="45">
        <f>IF(AU1503="","",AH1503-AV1503)</f>
        <v/>
      </c>
      <c r="AZ1503" s="54">
        <f>(AL1503-AM1503)-T1503*AT1503</f>
        <v/>
      </c>
      <c r="BA1503" s="43">
        <f>IF(AU1503="",0,(AH1503-T1503)*AF1503)</f>
        <v/>
      </c>
      <c r="BB1503" s="43">
        <f>IF(AU1503="",0,T1503*(AF1503-AT1503))</f>
        <v/>
      </c>
      <c r="BC1503" s="51" t="n">
        <v>0.02226709293847103</v>
      </c>
      <c r="BD1503" s="51" t="n">
        <v>0.02950249593359134</v>
      </c>
      <c r="BE1503" s="51" t="n">
        <v>0.1907233214401557</v>
      </c>
      <c r="BF1503" s="43" t="n">
        <v>17829</v>
      </c>
    </row>
    <row r="1504">
      <c r="A1504" s="42" t="inlineStr">
        <is>
          <t>KY</t>
        </is>
      </c>
      <c r="B1504" s="42" t="inlineStr">
        <is>
          <t>21081</t>
        </is>
      </c>
      <c r="C1504" s="42" t="inlineStr">
        <is>
          <t>Grant</t>
        </is>
      </c>
      <c r="D1504" s="42" t="inlineStr">
        <is>
          <t>Small town &amp; rural</t>
        </is>
      </c>
      <c r="E1504" s="42" t="inlineStr"/>
      <c r="F1504" s="43" t="n">
        <v>1944</v>
      </c>
      <c r="G1504" s="43" t="n">
        <v>9372</v>
      </c>
      <c r="H1504" s="43" t="n">
        <v>11466</v>
      </c>
      <c r="I1504" s="43" t="n">
        <v>2205</v>
      </c>
      <c r="J1504" s="43" t="n">
        <v>8725</v>
      </c>
      <c r="K1504" s="42" t="inlineStr">
        <is>
          <t>US Senate</t>
        </is>
      </c>
      <c r="L1504" s="43" t="n">
        <v>1592</v>
      </c>
      <c r="M1504" s="43" t="n">
        <v>5847</v>
      </c>
      <c r="N1504" s="43" t="n">
        <v>7441</v>
      </c>
      <c r="O1504" s="44">
        <f>IFERROR((F1504-G1504)/(F1504+G1504),"")</f>
        <v/>
      </c>
      <c r="P1504" s="44">
        <f>IFERROR((I1504-J1504)/(I1504+J1504),"")</f>
        <v/>
      </c>
      <c r="Q1504" s="45">
        <f>IFERROR(O1504-P1504,"")</f>
        <v/>
      </c>
      <c r="R1504" s="44">
        <f>IFERROR((L1504-M1504)/(L1504+M1504),"")</f>
        <v/>
      </c>
      <c r="S1504" s="46">
        <f>H1504/SUMIFS(Counties!$H$2:$H$1583,Counties!$A$2:$A$1583,$A1504)</f>
        <v/>
      </c>
      <c r="T1504" s="44">
        <f>O1504+INDEX(Dashboard!$F$6:$F$22,MATCH($A1504,Dashboard!$A$6:$A$22,0))</f>
        <v/>
      </c>
      <c r="U1504" s="43">
        <f>AQ1504*INDEX(Dashboard!$G$6:$G$22,MATCH($A1504,Dashboard!$A$6:$A$22,0))</f>
        <v/>
      </c>
      <c r="V1504" s="47" t="n"/>
      <c r="W1504" s="47" t="n"/>
      <c r="X1504" s="47" t="n"/>
      <c r="Y1504" s="48" t="n"/>
      <c r="Z1504" s="49" t="n"/>
      <c r="AA1504" s="49" t="n"/>
      <c r="AB1504" s="49" t="n"/>
      <c r="AC1504" s="50" t="n"/>
      <c r="AD1504" s="43">
        <f>IF(Z1504&lt;&gt;"",Z1504,N(V1504))</f>
        <v/>
      </c>
      <c r="AE1504" s="43">
        <f>IF(AA1504&lt;&gt;"",AA1504,N(W1504))</f>
        <v/>
      </c>
      <c r="AF1504" s="43">
        <f>AD1504+AE1504</f>
        <v/>
      </c>
      <c r="AG1504" s="42">
        <f>IF(UPPER(AC1504)="Y",1,IF(AF1504=0,0,IF(AND(Z1504="",Y1504&lt;&gt;""),IF(Y1504&gt;=0.999,1,0),IF(AF1504&gt;=U1504,1,0))))</f>
        <v/>
      </c>
      <c r="AH1504" s="44">
        <f>IF(AF1504&gt;0,(AD1504-AE1504)/AF1504,"")</f>
        <v/>
      </c>
      <c r="AI1504" s="45">
        <f>IF(AG1504=1,AH1504-O1504,"")</f>
        <v/>
      </c>
      <c r="AJ1504" s="44">
        <f>IF(AG1504=1,AH1504,MAX(-1,MIN(1,O1504+INDEX(Types!$H:$H,MATCH($A1504&amp;"|"&amp;$D1504,Types!$A:$A,0)))))</f>
        <v/>
      </c>
      <c r="AK1504" s="43">
        <f>IF(AG1504=1,AF1504,MAX(AQ1504*AS1504,AF1504))</f>
        <v/>
      </c>
      <c r="AL1504" s="43">
        <f>IF(AG1504=1,AD1504,AK1504*(1+AJ1504)/2)</f>
        <v/>
      </c>
      <c r="AM1504" s="43">
        <f>IF(AG1504=1,AE1504,AK1504*(1-AJ1504)/2)</f>
        <v/>
      </c>
      <c r="AN1504" s="45">
        <f>IF(AH1504="","",AH1504-T1504)</f>
        <v/>
      </c>
      <c r="AO1504" s="51">
        <f>IF(AG1504=1,1,IF(U1504&gt;0,MIN(AF1504/U1504,0.99),0))</f>
        <v/>
      </c>
      <c r="AP1504" s="43">
        <f>IF(AG1504=1,AI1504*AF1504,0)</f>
        <v/>
      </c>
      <c r="AQ1504" s="43">
        <f>N1504*(F1504+G1504)/H1504</f>
        <v/>
      </c>
      <c r="AR1504" s="43">
        <f>O1504*AQ1504</f>
        <v/>
      </c>
      <c r="AS1504" s="52">
        <f>IF(AG1504=1,IF(AQ1504&gt;0,AF1504/AQ1504,1),IFERROR(INDEX(Types!$K:$K,MATCH($A1504&amp;"|"&amp;$D1504,Types!$A:$A,0)),INDEX(Dashboard!$X$6:$X$22,MATCH($A1504,Dashboard!$A$6:$A$22,0))))</f>
        <v/>
      </c>
      <c r="AT1504" s="43">
        <f>AQ1504*INDEX(Dashboard!$Y$6:$Y$22,MATCH($A1504,Dashboard!$A$6:$A$22,0))</f>
        <v/>
      </c>
      <c r="AU1504" s="53">
        <f>IF(AND(AG1504=1,AT1504&gt;0,AF1504&gt;0),100*AF1504/AT1504,"")</f>
        <v/>
      </c>
      <c r="AV1504" s="44">
        <f>IF(AU1504="","",T1504/(AU1504/100))</f>
        <v/>
      </c>
      <c r="AW1504" s="53">
        <f>IF(AU1504="","",IF(AND(ABS(AH1504)&gt;=0.1,ABS(T1504)&gt;=0.05,SIGN(AH1504)=SIGN(T1504)),100*T1504/AH1504,""))</f>
        <v/>
      </c>
      <c r="AX1504" s="45">
        <f>IF(AU1504="","",T1504-AV1504)</f>
        <v/>
      </c>
      <c r="AY1504" s="45">
        <f>IF(AU1504="","",AH1504-AV1504)</f>
        <v/>
      </c>
      <c r="AZ1504" s="54">
        <f>(AL1504-AM1504)-T1504*AT1504</f>
        <v/>
      </c>
      <c r="BA1504" s="43">
        <f>IF(AU1504="",0,(AH1504-T1504)*AF1504)</f>
        <v/>
      </c>
      <c r="BB1504" s="43">
        <f>IF(AU1504="",0,T1504*(AF1504-AT1504))</f>
        <v/>
      </c>
      <c r="BC1504" s="51" t="n">
        <v>0.0105000195167649</v>
      </c>
      <c r="BD1504" s="51" t="n">
        <v>0.0339201373980249</v>
      </c>
      <c r="BE1504" s="51" t="n">
        <v>0.1511313330054107</v>
      </c>
      <c r="BF1504" s="43" t="n">
        <v>25619</v>
      </c>
    </row>
    <row r="1505">
      <c r="A1505" s="42" t="inlineStr">
        <is>
          <t>KY</t>
        </is>
      </c>
      <c r="B1505" s="42" t="inlineStr">
        <is>
          <t>21083</t>
        </is>
      </c>
      <c r="C1505" s="42" t="inlineStr">
        <is>
          <t>Graves</t>
        </is>
      </c>
      <c r="D1505" s="42" t="inlineStr">
        <is>
          <t>Small town &amp; rural</t>
        </is>
      </c>
      <c r="E1505" s="42" t="inlineStr"/>
      <c r="F1505" s="43" t="n">
        <v>3105</v>
      </c>
      <c r="G1505" s="43" t="n">
        <v>13378</v>
      </c>
      <c r="H1505" s="43" t="n">
        <v>16678</v>
      </c>
      <c r="I1505" s="43" t="n">
        <v>3560</v>
      </c>
      <c r="J1505" s="43" t="n">
        <v>13206</v>
      </c>
      <c r="K1505" s="42" t="inlineStr">
        <is>
          <t>US Senate</t>
        </is>
      </c>
      <c r="L1505" s="43" t="n">
        <v>2575</v>
      </c>
      <c r="M1505" s="43" t="n">
        <v>9514</v>
      </c>
      <c r="N1505" s="43" t="n">
        <v>12093</v>
      </c>
      <c r="O1505" s="44">
        <f>IFERROR((F1505-G1505)/(F1505+G1505),"")</f>
        <v/>
      </c>
      <c r="P1505" s="44">
        <f>IFERROR((I1505-J1505)/(I1505+J1505),"")</f>
        <v/>
      </c>
      <c r="Q1505" s="45">
        <f>IFERROR(O1505-P1505,"")</f>
        <v/>
      </c>
      <c r="R1505" s="44">
        <f>IFERROR((L1505-M1505)/(L1505+M1505),"")</f>
        <v/>
      </c>
      <c r="S1505" s="46">
        <f>H1505/SUMIFS(Counties!$H$2:$H$1583,Counties!$A$2:$A$1583,$A1505)</f>
        <v/>
      </c>
      <c r="T1505" s="44">
        <f>O1505+INDEX(Dashboard!$F$6:$F$22,MATCH($A1505,Dashboard!$A$6:$A$22,0))</f>
        <v/>
      </c>
      <c r="U1505" s="43">
        <f>AQ1505*INDEX(Dashboard!$G$6:$G$22,MATCH($A1505,Dashboard!$A$6:$A$22,0))</f>
        <v/>
      </c>
      <c r="V1505" s="47" t="n"/>
      <c r="W1505" s="47" t="n"/>
      <c r="X1505" s="47" t="n"/>
      <c r="Y1505" s="48" t="n"/>
      <c r="Z1505" s="49" t="n"/>
      <c r="AA1505" s="49" t="n"/>
      <c r="AB1505" s="49" t="n"/>
      <c r="AC1505" s="50" t="n"/>
      <c r="AD1505" s="43">
        <f>IF(Z1505&lt;&gt;"",Z1505,N(V1505))</f>
        <v/>
      </c>
      <c r="AE1505" s="43">
        <f>IF(AA1505&lt;&gt;"",AA1505,N(W1505))</f>
        <v/>
      </c>
      <c r="AF1505" s="43">
        <f>AD1505+AE1505</f>
        <v/>
      </c>
      <c r="AG1505" s="42">
        <f>IF(UPPER(AC1505)="Y",1,IF(AF1505=0,0,IF(AND(Z1505="",Y1505&lt;&gt;""),IF(Y1505&gt;=0.999,1,0),IF(AF1505&gt;=U1505,1,0))))</f>
        <v/>
      </c>
      <c r="AH1505" s="44">
        <f>IF(AF1505&gt;0,(AD1505-AE1505)/AF1505,"")</f>
        <v/>
      </c>
      <c r="AI1505" s="45">
        <f>IF(AG1505=1,AH1505-O1505,"")</f>
        <v/>
      </c>
      <c r="AJ1505" s="44">
        <f>IF(AG1505=1,AH1505,MAX(-1,MIN(1,O1505+INDEX(Types!$H:$H,MATCH($A1505&amp;"|"&amp;$D1505,Types!$A:$A,0)))))</f>
        <v/>
      </c>
      <c r="AK1505" s="43">
        <f>IF(AG1505=1,AF1505,MAX(AQ1505*AS1505,AF1505))</f>
        <v/>
      </c>
      <c r="AL1505" s="43">
        <f>IF(AG1505=1,AD1505,AK1505*(1+AJ1505)/2)</f>
        <v/>
      </c>
      <c r="AM1505" s="43">
        <f>IF(AG1505=1,AE1505,AK1505*(1-AJ1505)/2)</f>
        <v/>
      </c>
      <c r="AN1505" s="45">
        <f>IF(AH1505="","",AH1505-T1505)</f>
        <v/>
      </c>
      <c r="AO1505" s="51">
        <f>IF(AG1505=1,1,IF(U1505&gt;0,MIN(AF1505/U1505,0.99),0))</f>
        <v/>
      </c>
      <c r="AP1505" s="43">
        <f>IF(AG1505=1,AI1505*AF1505,0)</f>
        <v/>
      </c>
      <c r="AQ1505" s="43">
        <f>N1505*(F1505+G1505)/H1505</f>
        <v/>
      </c>
      <c r="AR1505" s="43">
        <f>O1505*AQ1505</f>
        <v/>
      </c>
      <c r="AS1505" s="52">
        <f>IF(AG1505=1,IF(AQ1505&gt;0,AF1505/AQ1505,1),IFERROR(INDEX(Types!$K:$K,MATCH($A1505&amp;"|"&amp;$D1505,Types!$A:$A,0)),INDEX(Dashboard!$X$6:$X$22,MATCH($A1505,Dashboard!$A$6:$A$22,0))))</f>
        <v/>
      </c>
      <c r="AT1505" s="43">
        <f>AQ1505*INDEX(Dashboard!$Y$6:$Y$22,MATCH($A1505,Dashboard!$A$6:$A$22,0))</f>
        <v/>
      </c>
      <c r="AU1505" s="53">
        <f>IF(AND(AG1505=1,AT1505&gt;0,AF1505&gt;0),100*AF1505/AT1505,"")</f>
        <v/>
      </c>
      <c r="AV1505" s="44">
        <f>IF(AU1505="","",T1505/(AU1505/100))</f>
        <v/>
      </c>
      <c r="AW1505" s="53">
        <f>IF(AU1505="","",IF(AND(ABS(AH1505)&gt;=0.1,ABS(T1505)&gt;=0.05,SIGN(AH1505)=SIGN(T1505)),100*T1505/AH1505,""))</f>
        <v/>
      </c>
      <c r="AX1505" s="45">
        <f>IF(AU1505="","",T1505-AV1505)</f>
        <v/>
      </c>
      <c r="AY1505" s="45">
        <f>IF(AU1505="","",AH1505-AV1505)</f>
        <v/>
      </c>
      <c r="AZ1505" s="54">
        <f>(AL1505-AM1505)-T1505*AT1505</f>
        <v/>
      </c>
      <c r="BA1505" s="43">
        <f>IF(AU1505="",0,(AH1505-T1505)*AF1505)</f>
        <v/>
      </c>
      <c r="BB1505" s="43">
        <f>IF(AU1505="",0,T1505*(AF1505-AT1505))</f>
        <v/>
      </c>
      <c r="BC1505" s="51" t="n">
        <v>0.03924741504621376</v>
      </c>
      <c r="BD1505" s="51" t="n">
        <v>0.08216998985217082</v>
      </c>
      <c r="BE1505" s="51" t="n">
        <v>0.1743078715795395</v>
      </c>
      <c r="BF1505" s="43" t="n">
        <v>36461</v>
      </c>
    </row>
    <row r="1506">
      <c r="A1506" s="42" t="inlineStr">
        <is>
          <t>KY</t>
        </is>
      </c>
      <c r="B1506" s="42" t="inlineStr">
        <is>
          <t>21085</t>
        </is>
      </c>
      <c r="C1506" s="42" t="inlineStr">
        <is>
          <t>Grayson</t>
        </is>
      </c>
      <c r="D1506" s="42" t="inlineStr">
        <is>
          <t>Small town &amp; rural</t>
        </is>
      </c>
      <c r="E1506" s="42" t="inlineStr"/>
      <c r="F1506" s="43" t="n">
        <v>2235</v>
      </c>
      <c r="G1506" s="43" t="n">
        <v>9710</v>
      </c>
      <c r="H1506" s="43" t="n">
        <v>12095</v>
      </c>
      <c r="I1506" s="43" t="n">
        <v>2400</v>
      </c>
      <c r="J1506" s="43" t="n">
        <v>9453</v>
      </c>
      <c r="K1506" s="42" t="inlineStr">
        <is>
          <t>US Senate</t>
        </is>
      </c>
      <c r="L1506" s="43" t="n">
        <v>1687</v>
      </c>
      <c r="M1506" s="43" t="n">
        <v>6229</v>
      </c>
      <c r="N1506" s="43" t="n">
        <v>7916</v>
      </c>
      <c r="O1506" s="44">
        <f>IFERROR((F1506-G1506)/(F1506+G1506),"")</f>
        <v/>
      </c>
      <c r="P1506" s="44">
        <f>IFERROR((I1506-J1506)/(I1506+J1506),"")</f>
        <v/>
      </c>
      <c r="Q1506" s="45">
        <f>IFERROR(O1506-P1506,"")</f>
        <v/>
      </c>
      <c r="R1506" s="44">
        <f>IFERROR((L1506-M1506)/(L1506+M1506),"")</f>
        <v/>
      </c>
      <c r="S1506" s="46">
        <f>H1506/SUMIFS(Counties!$H$2:$H$1583,Counties!$A$2:$A$1583,$A1506)</f>
        <v/>
      </c>
      <c r="T1506" s="44">
        <f>O1506+INDEX(Dashboard!$F$6:$F$22,MATCH($A1506,Dashboard!$A$6:$A$22,0))</f>
        <v/>
      </c>
      <c r="U1506" s="43">
        <f>AQ1506*INDEX(Dashboard!$G$6:$G$22,MATCH($A1506,Dashboard!$A$6:$A$22,0))</f>
        <v/>
      </c>
      <c r="V1506" s="47" t="n"/>
      <c r="W1506" s="47" t="n"/>
      <c r="X1506" s="47" t="n"/>
      <c r="Y1506" s="48" t="n"/>
      <c r="Z1506" s="49" t="n"/>
      <c r="AA1506" s="49" t="n"/>
      <c r="AB1506" s="49" t="n"/>
      <c r="AC1506" s="50" t="n"/>
      <c r="AD1506" s="43">
        <f>IF(Z1506&lt;&gt;"",Z1506,N(V1506))</f>
        <v/>
      </c>
      <c r="AE1506" s="43">
        <f>IF(AA1506&lt;&gt;"",AA1506,N(W1506))</f>
        <v/>
      </c>
      <c r="AF1506" s="43">
        <f>AD1506+AE1506</f>
        <v/>
      </c>
      <c r="AG1506" s="42">
        <f>IF(UPPER(AC1506)="Y",1,IF(AF1506=0,0,IF(AND(Z1506="",Y1506&lt;&gt;""),IF(Y1506&gt;=0.999,1,0),IF(AF1506&gt;=U1506,1,0))))</f>
        <v/>
      </c>
      <c r="AH1506" s="44">
        <f>IF(AF1506&gt;0,(AD1506-AE1506)/AF1506,"")</f>
        <v/>
      </c>
      <c r="AI1506" s="45">
        <f>IF(AG1506=1,AH1506-O1506,"")</f>
        <v/>
      </c>
      <c r="AJ1506" s="44">
        <f>IF(AG1506=1,AH1506,MAX(-1,MIN(1,O1506+INDEX(Types!$H:$H,MATCH($A1506&amp;"|"&amp;$D1506,Types!$A:$A,0)))))</f>
        <v/>
      </c>
      <c r="AK1506" s="43">
        <f>IF(AG1506=1,AF1506,MAX(AQ1506*AS1506,AF1506))</f>
        <v/>
      </c>
      <c r="AL1506" s="43">
        <f>IF(AG1506=1,AD1506,AK1506*(1+AJ1506)/2)</f>
        <v/>
      </c>
      <c r="AM1506" s="43">
        <f>IF(AG1506=1,AE1506,AK1506*(1-AJ1506)/2)</f>
        <v/>
      </c>
      <c r="AN1506" s="45">
        <f>IF(AH1506="","",AH1506-T1506)</f>
        <v/>
      </c>
      <c r="AO1506" s="51">
        <f>IF(AG1506=1,1,IF(U1506&gt;0,MIN(AF1506/U1506,0.99),0))</f>
        <v/>
      </c>
      <c r="AP1506" s="43">
        <f>IF(AG1506=1,AI1506*AF1506,0)</f>
        <v/>
      </c>
      <c r="AQ1506" s="43">
        <f>N1506*(F1506+G1506)/H1506</f>
        <v/>
      </c>
      <c r="AR1506" s="43">
        <f>O1506*AQ1506</f>
        <v/>
      </c>
      <c r="AS1506" s="52">
        <f>IF(AG1506=1,IF(AQ1506&gt;0,AF1506/AQ1506,1),IFERROR(INDEX(Types!$K:$K,MATCH($A1506&amp;"|"&amp;$D1506,Types!$A:$A,0)),INDEX(Dashboard!$X$6:$X$22,MATCH($A1506,Dashboard!$A$6:$A$22,0))))</f>
        <v/>
      </c>
      <c r="AT1506" s="43">
        <f>AQ1506*INDEX(Dashboard!$Y$6:$Y$22,MATCH($A1506,Dashboard!$A$6:$A$22,0))</f>
        <v/>
      </c>
      <c r="AU1506" s="53">
        <f>IF(AND(AG1506=1,AT1506&gt;0,AF1506&gt;0),100*AF1506/AT1506,"")</f>
        <v/>
      </c>
      <c r="AV1506" s="44">
        <f>IF(AU1506="","",T1506/(AU1506/100))</f>
        <v/>
      </c>
      <c r="AW1506" s="53">
        <f>IF(AU1506="","",IF(AND(ABS(AH1506)&gt;=0.1,ABS(T1506)&gt;=0.05,SIGN(AH1506)=SIGN(T1506)),100*T1506/AH1506,""))</f>
        <v/>
      </c>
      <c r="AX1506" s="45">
        <f>IF(AU1506="","",T1506-AV1506)</f>
        <v/>
      </c>
      <c r="AY1506" s="45">
        <f>IF(AU1506="","",AH1506-AV1506)</f>
        <v/>
      </c>
      <c r="AZ1506" s="54">
        <f>(AL1506-AM1506)-T1506*AT1506</f>
        <v/>
      </c>
      <c r="BA1506" s="43">
        <f>IF(AU1506="",0,(AH1506-T1506)*AF1506)</f>
        <v/>
      </c>
      <c r="BB1506" s="43">
        <f>IF(AU1506="",0,T1506*(AF1506-AT1506))</f>
        <v/>
      </c>
      <c r="BC1506" s="51" t="n">
        <v>0.01271202236719478</v>
      </c>
      <c r="BD1506" s="51" t="n">
        <v>0.01703634669151911</v>
      </c>
      <c r="BE1506" s="51" t="n">
        <v>0.1463001420920319</v>
      </c>
      <c r="BF1506" s="43" t="n">
        <v>26825</v>
      </c>
    </row>
    <row r="1507">
      <c r="A1507" s="42" t="inlineStr">
        <is>
          <t>KY</t>
        </is>
      </c>
      <c r="B1507" s="42" t="inlineStr">
        <is>
          <t>21087</t>
        </is>
      </c>
      <c r="C1507" s="42" t="inlineStr">
        <is>
          <t>Green</t>
        </is>
      </c>
      <c r="D1507" s="42" t="inlineStr">
        <is>
          <t>Small town &amp; rural</t>
        </is>
      </c>
      <c r="E1507" s="42" t="inlineStr"/>
      <c r="F1507" s="43" t="n">
        <v>782</v>
      </c>
      <c r="G1507" s="43" t="n">
        <v>5033</v>
      </c>
      <c r="H1507" s="43" t="n">
        <v>5857</v>
      </c>
      <c r="I1507" s="43" t="n">
        <v>920</v>
      </c>
      <c r="J1507" s="43" t="n">
        <v>4838</v>
      </c>
      <c r="K1507" s="42" t="inlineStr">
        <is>
          <t>US Senate</t>
        </is>
      </c>
      <c r="L1507" s="43" t="n">
        <v>655</v>
      </c>
      <c r="M1507" s="43" t="n">
        <v>3658</v>
      </c>
      <c r="N1507" s="43" t="n">
        <v>4313</v>
      </c>
      <c r="O1507" s="44">
        <f>IFERROR((F1507-G1507)/(F1507+G1507),"")</f>
        <v/>
      </c>
      <c r="P1507" s="44">
        <f>IFERROR((I1507-J1507)/(I1507+J1507),"")</f>
        <v/>
      </c>
      <c r="Q1507" s="45">
        <f>IFERROR(O1507-P1507,"")</f>
        <v/>
      </c>
      <c r="R1507" s="44">
        <f>IFERROR((L1507-M1507)/(L1507+M1507),"")</f>
        <v/>
      </c>
      <c r="S1507" s="46">
        <f>H1507/SUMIFS(Counties!$H$2:$H$1583,Counties!$A$2:$A$1583,$A1507)</f>
        <v/>
      </c>
      <c r="T1507" s="44">
        <f>O1507+INDEX(Dashboard!$F$6:$F$22,MATCH($A1507,Dashboard!$A$6:$A$22,0))</f>
        <v/>
      </c>
      <c r="U1507" s="43">
        <f>AQ1507*INDEX(Dashboard!$G$6:$G$22,MATCH($A1507,Dashboard!$A$6:$A$22,0))</f>
        <v/>
      </c>
      <c r="V1507" s="47" t="n"/>
      <c r="W1507" s="47" t="n"/>
      <c r="X1507" s="47" t="n"/>
      <c r="Y1507" s="48" t="n"/>
      <c r="Z1507" s="49" t="n"/>
      <c r="AA1507" s="49" t="n"/>
      <c r="AB1507" s="49" t="n"/>
      <c r="AC1507" s="50" t="n"/>
      <c r="AD1507" s="43">
        <f>IF(Z1507&lt;&gt;"",Z1507,N(V1507))</f>
        <v/>
      </c>
      <c r="AE1507" s="43">
        <f>IF(AA1507&lt;&gt;"",AA1507,N(W1507))</f>
        <v/>
      </c>
      <c r="AF1507" s="43">
        <f>AD1507+AE1507</f>
        <v/>
      </c>
      <c r="AG1507" s="42">
        <f>IF(UPPER(AC1507)="Y",1,IF(AF1507=0,0,IF(AND(Z1507="",Y1507&lt;&gt;""),IF(Y1507&gt;=0.999,1,0),IF(AF1507&gt;=U1507,1,0))))</f>
        <v/>
      </c>
      <c r="AH1507" s="44">
        <f>IF(AF1507&gt;0,(AD1507-AE1507)/AF1507,"")</f>
        <v/>
      </c>
      <c r="AI1507" s="45">
        <f>IF(AG1507=1,AH1507-O1507,"")</f>
        <v/>
      </c>
      <c r="AJ1507" s="44">
        <f>IF(AG1507=1,AH1507,MAX(-1,MIN(1,O1507+INDEX(Types!$H:$H,MATCH($A1507&amp;"|"&amp;$D1507,Types!$A:$A,0)))))</f>
        <v/>
      </c>
      <c r="AK1507" s="43">
        <f>IF(AG1507=1,AF1507,MAX(AQ1507*AS1507,AF1507))</f>
        <v/>
      </c>
      <c r="AL1507" s="43">
        <f>IF(AG1507=1,AD1507,AK1507*(1+AJ1507)/2)</f>
        <v/>
      </c>
      <c r="AM1507" s="43">
        <f>IF(AG1507=1,AE1507,AK1507*(1-AJ1507)/2)</f>
        <v/>
      </c>
      <c r="AN1507" s="45">
        <f>IF(AH1507="","",AH1507-T1507)</f>
        <v/>
      </c>
      <c r="AO1507" s="51">
        <f>IF(AG1507=1,1,IF(U1507&gt;0,MIN(AF1507/U1507,0.99),0))</f>
        <v/>
      </c>
      <c r="AP1507" s="43">
        <f>IF(AG1507=1,AI1507*AF1507,0)</f>
        <v/>
      </c>
      <c r="AQ1507" s="43">
        <f>N1507*(F1507+G1507)/H1507</f>
        <v/>
      </c>
      <c r="AR1507" s="43">
        <f>O1507*AQ1507</f>
        <v/>
      </c>
      <c r="AS1507" s="52">
        <f>IF(AG1507=1,IF(AQ1507&gt;0,AF1507/AQ1507,1),IFERROR(INDEX(Types!$K:$K,MATCH($A1507&amp;"|"&amp;$D1507,Types!$A:$A,0)),INDEX(Dashboard!$X$6:$X$22,MATCH($A1507,Dashboard!$A$6:$A$22,0))))</f>
        <v/>
      </c>
      <c r="AT1507" s="43">
        <f>AQ1507*INDEX(Dashboard!$Y$6:$Y$22,MATCH($A1507,Dashboard!$A$6:$A$22,0))</f>
        <v/>
      </c>
      <c r="AU1507" s="53">
        <f>IF(AND(AG1507=1,AT1507&gt;0,AF1507&gt;0),100*AF1507/AT1507,"")</f>
        <v/>
      </c>
      <c r="AV1507" s="44">
        <f>IF(AU1507="","",T1507/(AU1507/100))</f>
        <v/>
      </c>
      <c r="AW1507" s="53">
        <f>IF(AU1507="","",IF(AND(ABS(AH1507)&gt;=0.1,ABS(T1507)&gt;=0.05,SIGN(AH1507)=SIGN(T1507)),100*T1507/AH1507,""))</f>
        <v/>
      </c>
      <c r="AX1507" s="45">
        <f>IF(AU1507="","",T1507-AV1507)</f>
        <v/>
      </c>
      <c r="AY1507" s="45">
        <f>IF(AU1507="","",AH1507-AV1507)</f>
        <v/>
      </c>
      <c r="AZ1507" s="54">
        <f>(AL1507-AM1507)-T1507*AT1507</f>
        <v/>
      </c>
      <c r="BA1507" s="43">
        <f>IF(AU1507="",0,(AH1507-T1507)*AF1507)</f>
        <v/>
      </c>
      <c r="BB1507" s="43">
        <f>IF(AU1507="",0,T1507*(AF1507-AT1507))</f>
        <v/>
      </c>
      <c r="BC1507" s="51" t="n">
        <v>0.01726543425183118</v>
      </c>
      <c r="BD1507" s="51" t="n">
        <v>0.02084059993024067</v>
      </c>
      <c r="BE1507" s="51" t="n">
        <v>0.1660768761439902</v>
      </c>
      <c r="BF1507" s="43" t="n">
        <v>11468</v>
      </c>
    </row>
    <row r="1508">
      <c r="A1508" s="42" t="inlineStr">
        <is>
          <t>KY</t>
        </is>
      </c>
      <c r="B1508" s="42" t="inlineStr">
        <is>
          <t>21089</t>
        </is>
      </c>
      <c r="C1508" s="42" t="inlineStr">
        <is>
          <t>Greenup</t>
        </is>
      </c>
      <c r="D1508" s="42" t="inlineStr">
        <is>
          <t>Small town &amp; rural</t>
        </is>
      </c>
      <c r="E1508" s="42" t="inlineStr"/>
      <c r="F1508" s="43" t="n">
        <v>4181</v>
      </c>
      <c r="G1508" s="43" t="n">
        <v>12961</v>
      </c>
      <c r="H1508" s="43" t="n">
        <v>17372</v>
      </c>
      <c r="I1508" s="43" t="n">
        <v>4873</v>
      </c>
      <c r="J1508" s="43" t="n">
        <v>13064</v>
      </c>
      <c r="K1508" s="42" t="inlineStr">
        <is>
          <t>US Senate</t>
        </is>
      </c>
      <c r="L1508" s="43" t="n">
        <v>3735</v>
      </c>
      <c r="M1508" s="43" t="n">
        <v>8899</v>
      </c>
      <c r="N1508" s="43" t="n">
        <v>12634</v>
      </c>
      <c r="O1508" s="44">
        <f>IFERROR((F1508-G1508)/(F1508+G1508),"")</f>
        <v/>
      </c>
      <c r="P1508" s="44">
        <f>IFERROR((I1508-J1508)/(I1508+J1508),"")</f>
        <v/>
      </c>
      <c r="Q1508" s="45">
        <f>IFERROR(O1508-P1508,"")</f>
        <v/>
      </c>
      <c r="R1508" s="44">
        <f>IFERROR((L1508-M1508)/(L1508+M1508),"")</f>
        <v/>
      </c>
      <c r="S1508" s="46">
        <f>H1508/SUMIFS(Counties!$H$2:$H$1583,Counties!$A$2:$A$1583,$A1508)</f>
        <v/>
      </c>
      <c r="T1508" s="44">
        <f>O1508+INDEX(Dashboard!$F$6:$F$22,MATCH($A1508,Dashboard!$A$6:$A$22,0))</f>
        <v/>
      </c>
      <c r="U1508" s="43">
        <f>AQ1508*INDEX(Dashboard!$G$6:$G$22,MATCH($A1508,Dashboard!$A$6:$A$22,0))</f>
        <v/>
      </c>
      <c r="V1508" s="47" t="n"/>
      <c r="W1508" s="47" t="n"/>
      <c r="X1508" s="47" t="n"/>
      <c r="Y1508" s="48" t="n"/>
      <c r="Z1508" s="49" t="n"/>
      <c r="AA1508" s="49" t="n"/>
      <c r="AB1508" s="49" t="n"/>
      <c r="AC1508" s="50" t="n"/>
      <c r="AD1508" s="43">
        <f>IF(Z1508&lt;&gt;"",Z1508,N(V1508))</f>
        <v/>
      </c>
      <c r="AE1508" s="43">
        <f>IF(AA1508&lt;&gt;"",AA1508,N(W1508))</f>
        <v/>
      </c>
      <c r="AF1508" s="43">
        <f>AD1508+AE1508</f>
        <v/>
      </c>
      <c r="AG1508" s="42">
        <f>IF(UPPER(AC1508)="Y",1,IF(AF1508=0,0,IF(AND(Z1508="",Y1508&lt;&gt;""),IF(Y1508&gt;=0.999,1,0),IF(AF1508&gt;=U1508,1,0))))</f>
        <v/>
      </c>
      <c r="AH1508" s="44">
        <f>IF(AF1508&gt;0,(AD1508-AE1508)/AF1508,"")</f>
        <v/>
      </c>
      <c r="AI1508" s="45">
        <f>IF(AG1508=1,AH1508-O1508,"")</f>
        <v/>
      </c>
      <c r="AJ1508" s="44">
        <f>IF(AG1508=1,AH1508,MAX(-1,MIN(1,O1508+INDEX(Types!$H:$H,MATCH($A1508&amp;"|"&amp;$D1508,Types!$A:$A,0)))))</f>
        <v/>
      </c>
      <c r="AK1508" s="43">
        <f>IF(AG1508=1,AF1508,MAX(AQ1508*AS1508,AF1508))</f>
        <v/>
      </c>
      <c r="AL1508" s="43">
        <f>IF(AG1508=1,AD1508,AK1508*(1+AJ1508)/2)</f>
        <v/>
      </c>
      <c r="AM1508" s="43">
        <f>IF(AG1508=1,AE1508,AK1508*(1-AJ1508)/2)</f>
        <v/>
      </c>
      <c r="AN1508" s="45">
        <f>IF(AH1508="","",AH1508-T1508)</f>
        <v/>
      </c>
      <c r="AO1508" s="51">
        <f>IF(AG1508=1,1,IF(U1508&gt;0,MIN(AF1508/U1508,0.99),0))</f>
        <v/>
      </c>
      <c r="AP1508" s="43">
        <f>IF(AG1508=1,AI1508*AF1508,0)</f>
        <v/>
      </c>
      <c r="AQ1508" s="43">
        <f>N1508*(F1508+G1508)/H1508</f>
        <v/>
      </c>
      <c r="AR1508" s="43">
        <f>O1508*AQ1508</f>
        <v/>
      </c>
      <c r="AS1508" s="52">
        <f>IF(AG1508=1,IF(AQ1508&gt;0,AF1508/AQ1508,1),IFERROR(INDEX(Types!$K:$K,MATCH($A1508&amp;"|"&amp;$D1508,Types!$A:$A,0)),INDEX(Dashboard!$X$6:$X$22,MATCH($A1508,Dashboard!$A$6:$A$22,0))))</f>
        <v/>
      </c>
      <c r="AT1508" s="43">
        <f>AQ1508*INDEX(Dashboard!$Y$6:$Y$22,MATCH($A1508,Dashboard!$A$6:$A$22,0))</f>
        <v/>
      </c>
      <c r="AU1508" s="53">
        <f>IF(AND(AG1508=1,AT1508&gt;0,AF1508&gt;0),100*AF1508/AT1508,"")</f>
        <v/>
      </c>
      <c r="AV1508" s="44">
        <f>IF(AU1508="","",T1508/(AU1508/100))</f>
        <v/>
      </c>
      <c r="AW1508" s="53">
        <f>IF(AU1508="","",IF(AND(ABS(AH1508)&gt;=0.1,ABS(T1508)&gt;=0.05,SIGN(AH1508)=SIGN(T1508)),100*T1508/AH1508,""))</f>
        <v/>
      </c>
      <c r="AX1508" s="45">
        <f>IF(AU1508="","",T1508-AV1508)</f>
        <v/>
      </c>
      <c r="AY1508" s="45">
        <f>IF(AU1508="","",AH1508-AV1508)</f>
        <v/>
      </c>
      <c r="AZ1508" s="54">
        <f>(AL1508-AM1508)-T1508*AT1508</f>
        <v/>
      </c>
      <c r="BA1508" s="43">
        <f>IF(AU1508="",0,(AH1508-T1508)*AF1508)</f>
        <v/>
      </c>
      <c r="BB1508" s="43">
        <f>IF(AU1508="",0,T1508*(AF1508-AT1508))</f>
        <v/>
      </c>
      <c r="BC1508" s="51" t="n">
        <v>0.009113880923312796</v>
      </c>
      <c r="BD1508" s="51" t="n">
        <v>0.01237897845035632</v>
      </c>
      <c r="BE1508" s="51" t="n">
        <v>0.1832294484299659</v>
      </c>
      <c r="BF1508" s="43" t="n">
        <v>35221</v>
      </c>
    </row>
    <row r="1509">
      <c r="A1509" s="42" t="inlineStr">
        <is>
          <t>KY</t>
        </is>
      </c>
      <c r="B1509" s="42" t="inlineStr">
        <is>
          <t>21091</t>
        </is>
      </c>
      <c r="C1509" s="42" t="inlineStr">
        <is>
          <t>Hancock</t>
        </is>
      </c>
      <c r="D1509" s="42" t="inlineStr">
        <is>
          <t>Small town &amp; rural</t>
        </is>
      </c>
      <c r="E1509" s="42" t="inlineStr"/>
      <c r="F1509" s="43" t="n">
        <v>1173</v>
      </c>
      <c r="G1509" s="43" t="n">
        <v>3375</v>
      </c>
      <c r="H1509" s="43" t="n">
        <v>4633</v>
      </c>
      <c r="I1509" s="43" t="n">
        <v>1351</v>
      </c>
      <c r="J1509" s="43" t="n">
        <v>3145</v>
      </c>
      <c r="K1509" s="42" t="inlineStr">
        <is>
          <t>US Senate</t>
        </is>
      </c>
      <c r="L1509" s="43" t="n">
        <v>1034</v>
      </c>
      <c r="M1509" s="43" t="n">
        <v>2223</v>
      </c>
      <c r="N1509" s="43" t="n">
        <v>3257</v>
      </c>
      <c r="O1509" s="44">
        <f>IFERROR((F1509-G1509)/(F1509+G1509),"")</f>
        <v/>
      </c>
      <c r="P1509" s="44">
        <f>IFERROR((I1509-J1509)/(I1509+J1509),"")</f>
        <v/>
      </c>
      <c r="Q1509" s="45">
        <f>IFERROR(O1509-P1509,"")</f>
        <v/>
      </c>
      <c r="R1509" s="44">
        <f>IFERROR((L1509-M1509)/(L1509+M1509),"")</f>
        <v/>
      </c>
      <c r="S1509" s="46">
        <f>H1509/SUMIFS(Counties!$H$2:$H$1583,Counties!$A$2:$A$1583,$A1509)</f>
        <v/>
      </c>
      <c r="T1509" s="44">
        <f>O1509+INDEX(Dashboard!$F$6:$F$22,MATCH($A1509,Dashboard!$A$6:$A$22,0))</f>
        <v/>
      </c>
      <c r="U1509" s="43">
        <f>AQ1509*INDEX(Dashboard!$G$6:$G$22,MATCH($A1509,Dashboard!$A$6:$A$22,0))</f>
        <v/>
      </c>
      <c r="V1509" s="47" t="n"/>
      <c r="W1509" s="47" t="n"/>
      <c r="X1509" s="47" t="n"/>
      <c r="Y1509" s="48" t="n"/>
      <c r="Z1509" s="49" t="n"/>
      <c r="AA1509" s="49" t="n"/>
      <c r="AB1509" s="49" t="n"/>
      <c r="AC1509" s="50" t="n"/>
      <c r="AD1509" s="43">
        <f>IF(Z1509&lt;&gt;"",Z1509,N(V1509))</f>
        <v/>
      </c>
      <c r="AE1509" s="43">
        <f>IF(AA1509&lt;&gt;"",AA1509,N(W1509))</f>
        <v/>
      </c>
      <c r="AF1509" s="43">
        <f>AD1509+AE1509</f>
        <v/>
      </c>
      <c r="AG1509" s="42">
        <f>IF(UPPER(AC1509)="Y",1,IF(AF1509=0,0,IF(AND(Z1509="",Y1509&lt;&gt;""),IF(Y1509&gt;=0.999,1,0),IF(AF1509&gt;=U1509,1,0))))</f>
        <v/>
      </c>
      <c r="AH1509" s="44">
        <f>IF(AF1509&gt;0,(AD1509-AE1509)/AF1509,"")</f>
        <v/>
      </c>
      <c r="AI1509" s="45">
        <f>IF(AG1509=1,AH1509-O1509,"")</f>
        <v/>
      </c>
      <c r="AJ1509" s="44">
        <f>IF(AG1509=1,AH1509,MAX(-1,MIN(1,O1509+INDEX(Types!$H:$H,MATCH($A1509&amp;"|"&amp;$D1509,Types!$A:$A,0)))))</f>
        <v/>
      </c>
      <c r="AK1509" s="43">
        <f>IF(AG1509=1,AF1509,MAX(AQ1509*AS1509,AF1509))</f>
        <v/>
      </c>
      <c r="AL1509" s="43">
        <f>IF(AG1509=1,AD1509,AK1509*(1+AJ1509)/2)</f>
        <v/>
      </c>
      <c r="AM1509" s="43">
        <f>IF(AG1509=1,AE1509,AK1509*(1-AJ1509)/2)</f>
        <v/>
      </c>
      <c r="AN1509" s="45">
        <f>IF(AH1509="","",AH1509-T1509)</f>
        <v/>
      </c>
      <c r="AO1509" s="51">
        <f>IF(AG1509=1,1,IF(U1509&gt;0,MIN(AF1509/U1509,0.99),0))</f>
        <v/>
      </c>
      <c r="AP1509" s="43">
        <f>IF(AG1509=1,AI1509*AF1509,0)</f>
        <v/>
      </c>
      <c r="AQ1509" s="43">
        <f>N1509*(F1509+G1509)/H1509</f>
        <v/>
      </c>
      <c r="AR1509" s="43">
        <f>O1509*AQ1509</f>
        <v/>
      </c>
      <c r="AS1509" s="52">
        <f>IF(AG1509=1,IF(AQ1509&gt;0,AF1509/AQ1509,1),IFERROR(INDEX(Types!$K:$K,MATCH($A1509&amp;"|"&amp;$D1509,Types!$A:$A,0)),INDEX(Dashboard!$X$6:$X$22,MATCH($A1509,Dashboard!$A$6:$A$22,0))))</f>
        <v/>
      </c>
      <c r="AT1509" s="43">
        <f>AQ1509*INDEX(Dashboard!$Y$6:$Y$22,MATCH($A1509,Dashboard!$A$6:$A$22,0))</f>
        <v/>
      </c>
      <c r="AU1509" s="53">
        <f>IF(AND(AG1509=1,AT1509&gt;0,AF1509&gt;0),100*AF1509/AT1509,"")</f>
        <v/>
      </c>
      <c r="AV1509" s="44">
        <f>IF(AU1509="","",T1509/(AU1509/100))</f>
        <v/>
      </c>
      <c r="AW1509" s="53">
        <f>IF(AU1509="","",IF(AND(ABS(AH1509)&gt;=0.1,ABS(T1509)&gt;=0.05,SIGN(AH1509)=SIGN(T1509)),100*T1509/AH1509,""))</f>
        <v/>
      </c>
      <c r="AX1509" s="45">
        <f>IF(AU1509="","",T1509-AV1509)</f>
        <v/>
      </c>
      <c r="AY1509" s="45">
        <f>IF(AU1509="","",AH1509-AV1509)</f>
        <v/>
      </c>
      <c r="AZ1509" s="54">
        <f>(AL1509-AM1509)-T1509*AT1509</f>
        <v/>
      </c>
      <c r="BA1509" s="43">
        <f>IF(AU1509="",0,(AH1509-T1509)*AF1509)</f>
        <v/>
      </c>
      <c r="BB1509" s="43">
        <f>IF(AU1509="",0,T1509*(AF1509-AT1509))</f>
        <v/>
      </c>
      <c r="BC1509" s="51" t="n">
        <v>0.01165919282511211</v>
      </c>
      <c r="BD1509" s="51" t="n">
        <v>0.01816143497757847</v>
      </c>
      <c r="BE1509" s="51" t="n">
        <v>0.16796875</v>
      </c>
      <c r="BF1509" s="43" t="n">
        <v>8920</v>
      </c>
    </row>
    <row r="1510">
      <c r="A1510" s="42" t="inlineStr">
        <is>
          <t>KY</t>
        </is>
      </c>
      <c r="B1510" s="42" t="inlineStr">
        <is>
          <t>21093</t>
        </is>
      </c>
      <c r="C1510" s="42" t="inlineStr">
        <is>
          <t>Hardin</t>
        </is>
      </c>
      <c r="D1510" s="42" t="inlineStr">
        <is>
          <t>Mid-size/working metro</t>
        </is>
      </c>
      <c r="E1510" s="42" t="inlineStr"/>
      <c r="F1510" s="43" t="n">
        <v>16572</v>
      </c>
      <c r="G1510" s="43" t="n">
        <v>30672</v>
      </c>
      <c r="H1510" s="43" t="n">
        <v>48060</v>
      </c>
      <c r="I1510" s="43" t="n">
        <v>18101</v>
      </c>
      <c r="J1510" s="43" t="n">
        <v>29832</v>
      </c>
      <c r="K1510" s="42" t="inlineStr">
        <is>
          <t>US Senate</t>
        </is>
      </c>
      <c r="L1510" s="43" t="n">
        <v>11459</v>
      </c>
      <c r="M1510" s="43" t="n">
        <v>19413</v>
      </c>
      <c r="N1510" s="43" t="n">
        <v>30886</v>
      </c>
      <c r="O1510" s="44">
        <f>IFERROR((F1510-G1510)/(F1510+G1510),"")</f>
        <v/>
      </c>
      <c r="P1510" s="44">
        <f>IFERROR((I1510-J1510)/(I1510+J1510),"")</f>
        <v/>
      </c>
      <c r="Q1510" s="45">
        <f>IFERROR(O1510-P1510,"")</f>
        <v/>
      </c>
      <c r="R1510" s="44">
        <f>IFERROR((L1510-M1510)/(L1510+M1510),"")</f>
        <v/>
      </c>
      <c r="S1510" s="46">
        <f>H1510/SUMIFS(Counties!$H$2:$H$1583,Counties!$A$2:$A$1583,$A1510)</f>
        <v/>
      </c>
      <c r="T1510" s="44">
        <f>O1510+INDEX(Dashboard!$F$6:$F$22,MATCH($A1510,Dashboard!$A$6:$A$22,0))</f>
        <v/>
      </c>
      <c r="U1510" s="43">
        <f>AQ1510*INDEX(Dashboard!$G$6:$G$22,MATCH($A1510,Dashboard!$A$6:$A$22,0))</f>
        <v/>
      </c>
      <c r="V1510" s="47" t="n"/>
      <c r="W1510" s="47" t="n"/>
      <c r="X1510" s="47" t="n"/>
      <c r="Y1510" s="48" t="n"/>
      <c r="Z1510" s="49" t="n"/>
      <c r="AA1510" s="49" t="n"/>
      <c r="AB1510" s="49" t="n"/>
      <c r="AC1510" s="50" t="n"/>
      <c r="AD1510" s="43">
        <f>IF(Z1510&lt;&gt;"",Z1510,N(V1510))</f>
        <v/>
      </c>
      <c r="AE1510" s="43">
        <f>IF(AA1510&lt;&gt;"",AA1510,N(W1510))</f>
        <v/>
      </c>
      <c r="AF1510" s="43">
        <f>AD1510+AE1510</f>
        <v/>
      </c>
      <c r="AG1510" s="42">
        <f>IF(UPPER(AC1510)="Y",1,IF(AF1510=0,0,IF(AND(Z1510="",Y1510&lt;&gt;""),IF(Y1510&gt;=0.999,1,0),IF(AF1510&gt;=U1510,1,0))))</f>
        <v/>
      </c>
      <c r="AH1510" s="44">
        <f>IF(AF1510&gt;0,(AD1510-AE1510)/AF1510,"")</f>
        <v/>
      </c>
      <c r="AI1510" s="45">
        <f>IF(AG1510=1,AH1510-O1510,"")</f>
        <v/>
      </c>
      <c r="AJ1510" s="44">
        <f>IF(AG1510=1,AH1510,MAX(-1,MIN(1,O1510+INDEX(Types!$H:$H,MATCH($A1510&amp;"|"&amp;$D1510,Types!$A:$A,0)))))</f>
        <v/>
      </c>
      <c r="AK1510" s="43">
        <f>IF(AG1510=1,AF1510,MAX(AQ1510*AS1510,AF1510))</f>
        <v/>
      </c>
      <c r="AL1510" s="43">
        <f>IF(AG1510=1,AD1510,AK1510*(1+AJ1510)/2)</f>
        <v/>
      </c>
      <c r="AM1510" s="43">
        <f>IF(AG1510=1,AE1510,AK1510*(1-AJ1510)/2)</f>
        <v/>
      </c>
      <c r="AN1510" s="45">
        <f>IF(AH1510="","",AH1510-T1510)</f>
        <v/>
      </c>
      <c r="AO1510" s="51">
        <f>IF(AG1510=1,1,IF(U1510&gt;0,MIN(AF1510/U1510,0.99),0))</f>
        <v/>
      </c>
      <c r="AP1510" s="43">
        <f>IF(AG1510=1,AI1510*AF1510,0)</f>
        <v/>
      </c>
      <c r="AQ1510" s="43">
        <f>N1510*(F1510+G1510)/H1510</f>
        <v/>
      </c>
      <c r="AR1510" s="43">
        <f>O1510*AQ1510</f>
        <v/>
      </c>
      <c r="AS1510" s="52">
        <f>IF(AG1510=1,IF(AQ1510&gt;0,AF1510/AQ1510,1),IFERROR(INDEX(Types!$K:$K,MATCH($A1510&amp;"|"&amp;$D1510,Types!$A:$A,0)),INDEX(Dashboard!$X$6:$X$22,MATCH($A1510,Dashboard!$A$6:$A$22,0))))</f>
        <v/>
      </c>
      <c r="AT1510" s="43">
        <f>AQ1510*INDEX(Dashboard!$Y$6:$Y$22,MATCH($A1510,Dashboard!$A$6:$A$22,0))</f>
        <v/>
      </c>
      <c r="AU1510" s="53">
        <f>IF(AND(AG1510=1,AT1510&gt;0,AF1510&gt;0),100*AF1510/AT1510,"")</f>
        <v/>
      </c>
      <c r="AV1510" s="44">
        <f>IF(AU1510="","",T1510/(AU1510/100))</f>
        <v/>
      </c>
      <c r="AW1510" s="53">
        <f>IF(AU1510="","",IF(AND(ABS(AH1510)&gt;=0.1,ABS(T1510)&gt;=0.05,SIGN(AH1510)=SIGN(T1510)),100*T1510/AH1510,""))</f>
        <v/>
      </c>
      <c r="AX1510" s="45">
        <f>IF(AU1510="","",T1510-AV1510)</f>
        <v/>
      </c>
      <c r="AY1510" s="45">
        <f>IF(AU1510="","",AH1510-AV1510)</f>
        <v/>
      </c>
      <c r="AZ1510" s="54">
        <f>(AL1510-AM1510)-T1510*AT1510</f>
        <v/>
      </c>
      <c r="BA1510" s="43">
        <f>IF(AU1510="",0,(AH1510-T1510)*AF1510)</f>
        <v/>
      </c>
      <c r="BB1510" s="43">
        <f>IF(AU1510="",0,T1510*(AF1510-AT1510))</f>
        <v/>
      </c>
      <c r="BC1510" s="51" t="n">
        <v>0.1169203637562014</v>
      </c>
      <c r="BD1510" s="51" t="n">
        <v>0.06625813864419762</v>
      </c>
      <c r="BE1510" s="51" t="n">
        <v>0.2442470025270176</v>
      </c>
      <c r="BF1510" s="43" t="n">
        <v>112273</v>
      </c>
    </row>
    <row r="1511">
      <c r="A1511" s="42" t="inlineStr">
        <is>
          <t>KY</t>
        </is>
      </c>
      <c r="B1511" s="42" t="inlineStr">
        <is>
          <t>21095</t>
        </is>
      </c>
      <c r="C1511" s="42" t="inlineStr">
        <is>
          <t>Harlan</t>
        </is>
      </c>
      <c r="D1511" s="42" t="inlineStr">
        <is>
          <t>Small town &amp; rural</t>
        </is>
      </c>
      <c r="E1511" s="42" t="inlineStr"/>
      <c r="F1511" s="43" t="n">
        <v>1199</v>
      </c>
      <c r="G1511" s="43" t="n">
        <v>9109</v>
      </c>
      <c r="H1511" s="43" t="n">
        <v>10384</v>
      </c>
      <c r="I1511" s="43" t="n">
        <v>1494</v>
      </c>
      <c r="J1511" s="43" t="n">
        <v>9367</v>
      </c>
      <c r="K1511" s="42" t="inlineStr">
        <is>
          <t>US Senate</t>
        </is>
      </c>
      <c r="L1511" s="43" t="n">
        <v>1333</v>
      </c>
      <c r="M1511" s="43" t="n">
        <v>6386</v>
      </c>
      <c r="N1511" s="43" t="n">
        <v>7719</v>
      </c>
      <c r="O1511" s="44">
        <f>IFERROR((F1511-G1511)/(F1511+G1511),"")</f>
        <v/>
      </c>
      <c r="P1511" s="44">
        <f>IFERROR((I1511-J1511)/(I1511+J1511),"")</f>
        <v/>
      </c>
      <c r="Q1511" s="45">
        <f>IFERROR(O1511-P1511,"")</f>
        <v/>
      </c>
      <c r="R1511" s="44">
        <f>IFERROR((L1511-M1511)/(L1511+M1511),"")</f>
        <v/>
      </c>
      <c r="S1511" s="46">
        <f>H1511/SUMIFS(Counties!$H$2:$H$1583,Counties!$A$2:$A$1583,$A1511)</f>
        <v/>
      </c>
      <c r="T1511" s="44">
        <f>O1511+INDEX(Dashboard!$F$6:$F$22,MATCH($A1511,Dashboard!$A$6:$A$22,0))</f>
        <v/>
      </c>
      <c r="U1511" s="43">
        <f>AQ1511*INDEX(Dashboard!$G$6:$G$22,MATCH($A1511,Dashboard!$A$6:$A$22,0))</f>
        <v/>
      </c>
      <c r="V1511" s="47" t="n"/>
      <c r="W1511" s="47" t="n"/>
      <c r="X1511" s="47" t="n"/>
      <c r="Y1511" s="48" t="n"/>
      <c r="Z1511" s="49" t="n"/>
      <c r="AA1511" s="49" t="n"/>
      <c r="AB1511" s="49" t="n"/>
      <c r="AC1511" s="50" t="n"/>
      <c r="AD1511" s="43">
        <f>IF(Z1511&lt;&gt;"",Z1511,N(V1511))</f>
        <v/>
      </c>
      <c r="AE1511" s="43">
        <f>IF(AA1511&lt;&gt;"",AA1511,N(W1511))</f>
        <v/>
      </c>
      <c r="AF1511" s="43">
        <f>AD1511+AE1511</f>
        <v/>
      </c>
      <c r="AG1511" s="42">
        <f>IF(UPPER(AC1511)="Y",1,IF(AF1511=0,0,IF(AND(Z1511="",Y1511&lt;&gt;""),IF(Y1511&gt;=0.999,1,0),IF(AF1511&gt;=U1511,1,0))))</f>
        <v/>
      </c>
      <c r="AH1511" s="44">
        <f>IF(AF1511&gt;0,(AD1511-AE1511)/AF1511,"")</f>
        <v/>
      </c>
      <c r="AI1511" s="45">
        <f>IF(AG1511=1,AH1511-O1511,"")</f>
        <v/>
      </c>
      <c r="AJ1511" s="44">
        <f>IF(AG1511=1,AH1511,MAX(-1,MIN(1,O1511+INDEX(Types!$H:$H,MATCH($A1511&amp;"|"&amp;$D1511,Types!$A:$A,0)))))</f>
        <v/>
      </c>
      <c r="AK1511" s="43">
        <f>IF(AG1511=1,AF1511,MAX(AQ1511*AS1511,AF1511))</f>
        <v/>
      </c>
      <c r="AL1511" s="43">
        <f>IF(AG1511=1,AD1511,AK1511*(1+AJ1511)/2)</f>
        <v/>
      </c>
      <c r="AM1511" s="43">
        <f>IF(AG1511=1,AE1511,AK1511*(1-AJ1511)/2)</f>
        <v/>
      </c>
      <c r="AN1511" s="45">
        <f>IF(AH1511="","",AH1511-T1511)</f>
        <v/>
      </c>
      <c r="AO1511" s="51">
        <f>IF(AG1511=1,1,IF(U1511&gt;0,MIN(AF1511/U1511,0.99),0))</f>
        <v/>
      </c>
      <c r="AP1511" s="43">
        <f>IF(AG1511=1,AI1511*AF1511,0)</f>
        <v/>
      </c>
      <c r="AQ1511" s="43">
        <f>N1511*(F1511+G1511)/H1511</f>
        <v/>
      </c>
      <c r="AR1511" s="43">
        <f>O1511*AQ1511</f>
        <v/>
      </c>
      <c r="AS1511" s="52">
        <f>IF(AG1511=1,IF(AQ1511&gt;0,AF1511/AQ1511,1),IFERROR(INDEX(Types!$K:$K,MATCH($A1511&amp;"|"&amp;$D1511,Types!$A:$A,0)),INDEX(Dashboard!$X$6:$X$22,MATCH($A1511,Dashboard!$A$6:$A$22,0))))</f>
        <v/>
      </c>
      <c r="AT1511" s="43">
        <f>AQ1511*INDEX(Dashboard!$Y$6:$Y$22,MATCH($A1511,Dashboard!$A$6:$A$22,0))</f>
        <v/>
      </c>
      <c r="AU1511" s="53">
        <f>IF(AND(AG1511=1,AT1511&gt;0,AF1511&gt;0),100*AF1511/AT1511,"")</f>
        <v/>
      </c>
      <c r="AV1511" s="44">
        <f>IF(AU1511="","",T1511/(AU1511/100))</f>
        <v/>
      </c>
      <c r="AW1511" s="53">
        <f>IF(AU1511="","",IF(AND(ABS(AH1511)&gt;=0.1,ABS(T1511)&gt;=0.05,SIGN(AH1511)=SIGN(T1511)),100*T1511/AH1511,""))</f>
        <v/>
      </c>
      <c r="AX1511" s="45">
        <f>IF(AU1511="","",T1511-AV1511)</f>
        <v/>
      </c>
      <c r="AY1511" s="45">
        <f>IF(AU1511="","",AH1511-AV1511)</f>
        <v/>
      </c>
      <c r="AZ1511" s="54">
        <f>(AL1511-AM1511)-T1511*AT1511</f>
        <v/>
      </c>
      <c r="BA1511" s="43">
        <f>IF(AU1511="",0,(AH1511-T1511)*AF1511)</f>
        <v/>
      </c>
      <c r="BB1511" s="43">
        <f>IF(AU1511="",0,T1511*(AF1511-AT1511))</f>
        <v/>
      </c>
      <c r="BC1511" s="51" t="n">
        <v>0.01978360448586321</v>
      </c>
      <c r="BD1511" s="51" t="n">
        <v>0.01212288737956089</v>
      </c>
      <c r="BE1511" s="51" t="n">
        <v>0.1270135968983782</v>
      </c>
      <c r="BF1511" s="43" t="n">
        <v>25324</v>
      </c>
    </row>
    <row r="1512">
      <c r="A1512" s="42" t="inlineStr">
        <is>
          <t>KY</t>
        </is>
      </c>
      <c r="B1512" s="42" t="inlineStr">
        <is>
          <t>21097</t>
        </is>
      </c>
      <c r="C1512" s="42" t="inlineStr">
        <is>
          <t>Harrison</t>
        </is>
      </c>
      <c r="D1512" s="42" t="inlineStr">
        <is>
          <t>Small town &amp; rural</t>
        </is>
      </c>
      <c r="E1512" s="42" t="inlineStr"/>
      <c r="F1512" s="43" t="n">
        <v>2265</v>
      </c>
      <c r="G1512" s="43" t="n">
        <v>6639</v>
      </c>
      <c r="H1512" s="43" t="n">
        <v>9018</v>
      </c>
      <c r="I1512" s="43" t="n">
        <v>2400</v>
      </c>
      <c r="J1512" s="43" t="n">
        <v>6334</v>
      </c>
      <c r="K1512" s="42" t="inlineStr">
        <is>
          <t>US Senate</t>
        </is>
      </c>
      <c r="L1512" s="43" t="n">
        <v>2030</v>
      </c>
      <c r="M1512" s="43" t="n">
        <v>4624</v>
      </c>
      <c r="N1512" s="43" t="n">
        <v>6659</v>
      </c>
      <c r="O1512" s="44">
        <f>IFERROR((F1512-G1512)/(F1512+G1512),"")</f>
        <v/>
      </c>
      <c r="P1512" s="44">
        <f>IFERROR((I1512-J1512)/(I1512+J1512),"")</f>
        <v/>
      </c>
      <c r="Q1512" s="45">
        <f>IFERROR(O1512-P1512,"")</f>
        <v/>
      </c>
      <c r="R1512" s="44">
        <f>IFERROR((L1512-M1512)/(L1512+M1512),"")</f>
        <v/>
      </c>
      <c r="S1512" s="46">
        <f>H1512/SUMIFS(Counties!$H$2:$H$1583,Counties!$A$2:$A$1583,$A1512)</f>
        <v/>
      </c>
      <c r="T1512" s="44">
        <f>O1512+INDEX(Dashboard!$F$6:$F$22,MATCH($A1512,Dashboard!$A$6:$A$22,0))</f>
        <v/>
      </c>
      <c r="U1512" s="43">
        <f>AQ1512*INDEX(Dashboard!$G$6:$G$22,MATCH($A1512,Dashboard!$A$6:$A$22,0))</f>
        <v/>
      </c>
      <c r="V1512" s="47" t="n"/>
      <c r="W1512" s="47" t="n"/>
      <c r="X1512" s="47" t="n"/>
      <c r="Y1512" s="48" t="n"/>
      <c r="Z1512" s="49" t="n"/>
      <c r="AA1512" s="49" t="n"/>
      <c r="AB1512" s="49" t="n"/>
      <c r="AC1512" s="50" t="n"/>
      <c r="AD1512" s="43">
        <f>IF(Z1512&lt;&gt;"",Z1512,N(V1512))</f>
        <v/>
      </c>
      <c r="AE1512" s="43">
        <f>IF(AA1512&lt;&gt;"",AA1512,N(W1512))</f>
        <v/>
      </c>
      <c r="AF1512" s="43">
        <f>AD1512+AE1512</f>
        <v/>
      </c>
      <c r="AG1512" s="42">
        <f>IF(UPPER(AC1512)="Y",1,IF(AF1512=0,0,IF(AND(Z1512="",Y1512&lt;&gt;""),IF(Y1512&gt;=0.999,1,0),IF(AF1512&gt;=U1512,1,0))))</f>
        <v/>
      </c>
      <c r="AH1512" s="44">
        <f>IF(AF1512&gt;0,(AD1512-AE1512)/AF1512,"")</f>
        <v/>
      </c>
      <c r="AI1512" s="45">
        <f>IF(AG1512=1,AH1512-O1512,"")</f>
        <v/>
      </c>
      <c r="AJ1512" s="44">
        <f>IF(AG1512=1,AH1512,MAX(-1,MIN(1,O1512+INDEX(Types!$H:$H,MATCH($A1512&amp;"|"&amp;$D1512,Types!$A:$A,0)))))</f>
        <v/>
      </c>
      <c r="AK1512" s="43">
        <f>IF(AG1512=1,AF1512,MAX(AQ1512*AS1512,AF1512))</f>
        <v/>
      </c>
      <c r="AL1512" s="43">
        <f>IF(AG1512=1,AD1512,AK1512*(1+AJ1512)/2)</f>
        <v/>
      </c>
      <c r="AM1512" s="43">
        <f>IF(AG1512=1,AE1512,AK1512*(1-AJ1512)/2)</f>
        <v/>
      </c>
      <c r="AN1512" s="45">
        <f>IF(AH1512="","",AH1512-T1512)</f>
        <v/>
      </c>
      <c r="AO1512" s="51">
        <f>IF(AG1512=1,1,IF(U1512&gt;0,MIN(AF1512/U1512,0.99),0))</f>
        <v/>
      </c>
      <c r="AP1512" s="43">
        <f>IF(AG1512=1,AI1512*AF1512,0)</f>
        <v/>
      </c>
      <c r="AQ1512" s="43">
        <f>N1512*(F1512+G1512)/H1512</f>
        <v/>
      </c>
      <c r="AR1512" s="43">
        <f>O1512*AQ1512</f>
        <v/>
      </c>
      <c r="AS1512" s="52">
        <f>IF(AG1512=1,IF(AQ1512&gt;0,AF1512/AQ1512,1),IFERROR(INDEX(Types!$K:$K,MATCH($A1512&amp;"|"&amp;$D1512,Types!$A:$A,0)),INDEX(Dashboard!$X$6:$X$22,MATCH($A1512,Dashboard!$A$6:$A$22,0))))</f>
        <v/>
      </c>
      <c r="AT1512" s="43">
        <f>AQ1512*INDEX(Dashboard!$Y$6:$Y$22,MATCH($A1512,Dashboard!$A$6:$A$22,0))</f>
        <v/>
      </c>
      <c r="AU1512" s="53">
        <f>IF(AND(AG1512=1,AT1512&gt;0,AF1512&gt;0),100*AF1512/AT1512,"")</f>
        <v/>
      </c>
      <c r="AV1512" s="44">
        <f>IF(AU1512="","",T1512/(AU1512/100))</f>
        <v/>
      </c>
      <c r="AW1512" s="53">
        <f>IF(AU1512="","",IF(AND(ABS(AH1512)&gt;=0.1,ABS(T1512)&gt;=0.05,SIGN(AH1512)=SIGN(T1512)),100*T1512/AH1512,""))</f>
        <v/>
      </c>
      <c r="AX1512" s="45">
        <f>IF(AU1512="","",T1512-AV1512)</f>
        <v/>
      </c>
      <c r="AY1512" s="45">
        <f>IF(AU1512="","",AH1512-AV1512)</f>
        <v/>
      </c>
      <c r="AZ1512" s="54">
        <f>(AL1512-AM1512)-T1512*AT1512</f>
        <v/>
      </c>
      <c r="BA1512" s="43">
        <f>IF(AU1512="",0,(AH1512-T1512)*AF1512)</f>
        <v/>
      </c>
      <c r="BB1512" s="43">
        <f>IF(AU1512="",0,T1512*(AF1512-AT1512))</f>
        <v/>
      </c>
      <c r="BC1512" s="51" t="n">
        <v>0.01993304146278651</v>
      </c>
      <c r="BD1512" s="51" t="n">
        <v>0.02364151429307237</v>
      </c>
      <c r="BE1512" s="51" t="n">
        <v>0.2013065937405044</v>
      </c>
      <c r="BF1512" s="43" t="n">
        <v>19415</v>
      </c>
    </row>
    <row r="1513">
      <c r="A1513" s="42" t="inlineStr">
        <is>
          <t>KY</t>
        </is>
      </c>
      <c r="B1513" s="42" t="inlineStr">
        <is>
          <t>21099</t>
        </is>
      </c>
      <c r="C1513" s="42" t="inlineStr">
        <is>
          <t>Hart</t>
        </is>
      </c>
      <c r="D1513" s="42" t="inlineStr">
        <is>
          <t>Small town &amp; rural</t>
        </is>
      </c>
      <c r="E1513" s="42" t="inlineStr"/>
      <c r="F1513" s="43" t="n">
        <v>1642</v>
      </c>
      <c r="G1513" s="43" t="n">
        <v>6691</v>
      </c>
      <c r="H1513" s="43" t="n">
        <v>8409</v>
      </c>
      <c r="I1513" s="43" t="n">
        <v>1908</v>
      </c>
      <c r="J1513" s="43" t="n">
        <v>6345</v>
      </c>
      <c r="K1513" s="42" t="inlineStr">
        <is>
          <t>US Senate</t>
        </is>
      </c>
      <c r="L1513" s="43" t="n">
        <v>1602</v>
      </c>
      <c r="M1513" s="43" t="n">
        <v>4624</v>
      </c>
      <c r="N1513" s="43" t="n">
        <v>6226</v>
      </c>
      <c r="O1513" s="44">
        <f>IFERROR((F1513-G1513)/(F1513+G1513),"")</f>
        <v/>
      </c>
      <c r="P1513" s="44">
        <f>IFERROR((I1513-J1513)/(I1513+J1513),"")</f>
        <v/>
      </c>
      <c r="Q1513" s="45">
        <f>IFERROR(O1513-P1513,"")</f>
        <v/>
      </c>
      <c r="R1513" s="44">
        <f>IFERROR((L1513-M1513)/(L1513+M1513),"")</f>
        <v/>
      </c>
      <c r="S1513" s="46">
        <f>H1513/SUMIFS(Counties!$H$2:$H$1583,Counties!$A$2:$A$1583,$A1513)</f>
        <v/>
      </c>
      <c r="T1513" s="44">
        <f>O1513+INDEX(Dashboard!$F$6:$F$22,MATCH($A1513,Dashboard!$A$6:$A$22,0))</f>
        <v/>
      </c>
      <c r="U1513" s="43">
        <f>AQ1513*INDEX(Dashboard!$G$6:$G$22,MATCH($A1513,Dashboard!$A$6:$A$22,0))</f>
        <v/>
      </c>
      <c r="V1513" s="47" t="n"/>
      <c r="W1513" s="47" t="n"/>
      <c r="X1513" s="47" t="n"/>
      <c r="Y1513" s="48" t="n"/>
      <c r="Z1513" s="49" t="n"/>
      <c r="AA1513" s="49" t="n"/>
      <c r="AB1513" s="49" t="n"/>
      <c r="AC1513" s="50" t="n"/>
      <c r="AD1513" s="43">
        <f>IF(Z1513&lt;&gt;"",Z1513,N(V1513))</f>
        <v/>
      </c>
      <c r="AE1513" s="43">
        <f>IF(AA1513&lt;&gt;"",AA1513,N(W1513))</f>
        <v/>
      </c>
      <c r="AF1513" s="43">
        <f>AD1513+AE1513</f>
        <v/>
      </c>
      <c r="AG1513" s="42">
        <f>IF(UPPER(AC1513)="Y",1,IF(AF1513=0,0,IF(AND(Z1513="",Y1513&lt;&gt;""),IF(Y1513&gt;=0.999,1,0),IF(AF1513&gt;=U1513,1,0))))</f>
        <v/>
      </c>
      <c r="AH1513" s="44">
        <f>IF(AF1513&gt;0,(AD1513-AE1513)/AF1513,"")</f>
        <v/>
      </c>
      <c r="AI1513" s="45">
        <f>IF(AG1513=1,AH1513-O1513,"")</f>
        <v/>
      </c>
      <c r="AJ1513" s="44">
        <f>IF(AG1513=1,AH1513,MAX(-1,MIN(1,O1513+INDEX(Types!$H:$H,MATCH($A1513&amp;"|"&amp;$D1513,Types!$A:$A,0)))))</f>
        <v/>
      </c>
      <c r="AK1513" s="43">
        <f>IF(AG1513=1,AF1513,MAX(AQ1513*AS1513,AF1513))</f>
        <v/>
      </c>
      <c r="AL1513" s="43">
        <f>IF(AG1513=1,AD1513,AK1513*(1+AJ1513)/2)</f>
        <v/>
      </c>
      <c r="AM1513" s="43">
        <f>IF(AG1513=1,AE1513,AK1513*(1-AJ1513)/2)</f>
        <v/>
      </c>
      <c r="AN1513" s="45">
        <f>IF(AH1513="","",AH1513-T1513)</f>
        <v/>
      </c>
      <c r="AO1513" s="51">
        <f>IF(AG1513=1,1,IF(U1513&gt;0,MIN(AF1513/U1513,0.99),0))</f>
        <v/>
      </c>
      <c r="AP1513" s="43">
        <f>IF(AG1513=1,AI1513*AF1513,0)</f>
        <v/>
      </c>
      <c r="AQ1513" s="43">
        <f>N1513*(F1513+G1513)/H1513</f>
        <v/>
      </c>
      <c r="AR1513" s="43">
        <f>O1513*AQ1513</f>
        <v/>
      </c>
      <c r="AS1513" s="52">
        <f>IF(AG1513=1,IF(AQ1513&gt;0,AF1513/AQ1513,1),IFERROR(INDEX(Types!$K:$K,MATCH($A1513&amp;"|"&amp;$D1513,Types!$A:$A,0)),INDEX(Dashboard!$X$6:$X$22,MATCH($A1513,Dashboard!$A$6:$A$22,0))))</f>
        <v/>
      </c>
      <c r="AT1513" s="43">
        <f>AQ1513*INDEX(Dashboard!$Y$6:$Y$22,MATCH($A1513,Dashboard!$A$6:$A$22,0))</f>
        <v/>
      </c>
      <c r="AU1513" s="53">
        <f>IF(AND(AG1513=1,AT1513&gt;0,AF1513&gt;0),100*AF1513/AT1513,"")</f>
        <v/>
      </c>
      <c r="AV1513" s="44">
        <f>IF(AU1513="","",T1513/(AU1513/100))</f>
        <v/>
      </c>
      <c r="AW1513" s="53">
        <f>IF(AU1513="","",IF(AND(ABS(AH1513)&gt;=0.1,ABS(T1513)&gt;=0.05,SIGN(AH1513)=SIGN(T1513)),100*T1513/AH1513,""))</f>
        <v/>
      </c>
      <c r="AX1513" s="45">
        <f>IF(AU1513="","",T1513-AV1513)</f>
        <v/>
      </c>
      <c r="AY1513" s="45">
        <f>IF(AU1513="","",AH1513-AV1513)</f>
        <v/>
      </c>
      <c r="AZ1513" s="54">
        <f>(AL1513-AM1513)-T1513*AT1513</f>
        <v/>
      </c>
      <c r="BA1513" s="43">
        <f>IF(AU1513="",0,(AH1513-T1513)*AF1513)</f>
        <v/>
      </c>
      <c r="BB1513" s="43">
        <f>IF(AU1513="",0,T1513*(AF1513-AT1513))</f>
        <v/>
      </c>
      <c r="BC1513" s="51" t="n">
        <v>0.04167511660920706</v>
      </c>
      <c r="BD1513" s="51" t="n">
        <v>0.02185155140945041</v>
      </c>
      <c r="BE1513" s="51" t="n">
        <v>0.1071347334900296</v>
      </c>
      <c r="BF1513" s="43" t="n">
        <v>19724</v>
      </c>
    </row>
    <row r="1514">
      <c r="A1514" s="42" t="inlineStr">
        <is>
          <t>KY</t>
        </is>
      </c>
      <c r="B1514" s="42" t="inlineStr">
        <is>
          <t>21101</t>
        </is>
      </c>
      <c r="C1514" s="42" t="inlineStr">
        <is>
          <t>Henderson</t>
        </is>
      </c>
      <c r="D1514" s="42" t="inlineStr">
        <is>
          <t>Small town &amp; rural</t>
        </is>
      </c>
      <c r="E1514" s="42" t="inlineStr"/>
      <c r="F1514" s="43" t="n">
        <v>6837</v>
      </c>
      <c r="G1514" s="43" t="n">
        <v>12592</v>
      </c>
      <c r="H1514" s="43" t="n">
        <v>19684</v>
      </c>
      <c r="I1514" s="43" t="n">
        <v>7639</v>
      </c>
      <c r="J1514" s="43" t="n">
        <v>12730</v>
      </c>
      <c r="K1514" s="42" t="inlineStr">
        <is>
          <t>US Senate</t>
        </is>
      </c>
      <c r="L1514" s="43" t="n">
        <v>5233</v>
      </c>
      <c r="M1514" s="43" t="n">
        <v>8765</v>
      </c>
      <c r="N1514" s="43" t="n">
        <v>13998</v>
      </c>
      <c r="O1514" s="44">
        <f>IFERROR((F1514-G1514)/(F1514+G1514),"")</f>
        <v/>
      </c>
      <c r="P1514" s="44">
        <f>IFERROR((I1514-J1514)/(I1514+J1514),"")</f>
        <v/>
      </c>
      <c r="Q1514" s="45">
        <f>IFERROR(O1514-P1514,"")</f>
        <v/>
      </c>
      <c r="R1514" s="44">
        <f>IFERROR((L1514-M1514)/(L1514+M1514),"")</f>
        <v/>
      </c>
      <c r="S1514" s="46">
        <f>H1514/SUMIFS(Counties!$H$2:$H$1583,Counties!$A$2:$A$1583,$A1514)</f>
        <v/>
      </c>
      <c r="T1514" s="44">
        <f>O1514+INDEX(Dashboard!$F$6:$F$22,MATCH($A1514,Dashboard!$A$6:$A$22,0))</f>
        <v/>
      </c>
      <c r="U1514" s="43">
        <f>AQ1514*INDEX(Dashboard!$G$6:$G$22,MATCH($A1514,Dashboard!$A$6:$A$22,0))</f>
        <v/>
      </c>
      <c r="V1514" s="47" t="n"/>
      <c r="W1514" s="47" t="n"/>
      <c r="X1514" s="47" t="n"/>
      <c r="Y1514" s="48" t="n"/>
      <c r="Z1514" s="49" t="n"/>
      <c r="AA1514" s="49" t="n"/>
      <c r="AB1514" s="49" t="n"/>
      <c r="AC1514" s="50" t="n"/>
      <c r="AD1514" s="43">
        <f>IF(Z1514&lt;&gt;"",Z1514,N(V1514))</f>
        <v/>
      </c>
      <c r="AE1514" s="43">
        <f>IF(AA1514&lt;&gt;"",AA1514,N(W1514))</f>
        <v/>
      </c>
      <c r="AF1514" s="43">
        <f>AD1514+AE1514</f>
        <v/>
      </c>
      <c r="AG1514" s="42">
        <f>IF(UPPER(AC1514)="Y",1,IF(AF1514=0,0,IF(AND(Z1514="",Y1514&lt;&gt;""),IF(Y1514&gt;=0.999,1,0),IF(AF1514&gt;=U1514,1,0))))</f>
        <v/>
      </c>
      <c r="AH1514" s="44">
        <f>IF(AF1514&gt;0,(AD1514-AE1514)/AF1514,"")</f>
        <v/>
      </c>
      <c r="AI1514" s="45">
        <f>IF(AG1514=1,AH1514-O1514,"")</f>
        <v/>
      </c>
      <c r="AJ1514" s="44">
        <f>IF(AG1514=1,AH1514,MAX(-1,MIN(1,O1514+INDEX(Types!$H:$H,MATCH($A1514&amp;"|"&amp;$D1514,Types!$A:$A,0)))))</f>
        <v/>
      </c>
      <c r="AK1514" s="43">
        <f>IF(AG1514=1,AF1514,MAX(AQ1514*AS1514,AF1514))</f>
        <v/>
      </c>
      <c r="AL1514" s="43">
        <f>IF(AG1514=1,AD1514,AK1514*(1+AJ1514)/2)</f>
        <v/>
      </c>
      <c r="AM1514" s="43">
        <f>IF(AG1514=1,AE1514,AK1514*(1-AJ1514)/2)</f>
        <v/>
      </c>
      <c r="AN1514" s="45">
        <f>IF(AH1514="","",AH1514-T1514)</f>
        <v/>
      </c>
      <c r="AO1514" s="51">
        <f>IF(AG1514=1,1,IF(U1514&gt;0,MIN(AF1514/U1514,0.99),0))</f>
        <v/>
      </c>
      <c r="AP1514" s="43">
        <f>IF(AG1514=1,AI1514*AF1514,0)</f>
        <v/>
      </c>
      <c r="AQ1514" s="43">
        <f>N1514*(F1514+G1514)/H1514</f>
        <v/>
      </c>
      <c r="AR1514" s="43">
        <f>O1514*AQ1514</f>
        <v/>
      </c>
      <c r="AS1514" s="52">
        <f>IF(AG1514=1,IF(AQ1514&gt;0,AF1514/AQ1514,1),IFERROR(INDEX(Types!$K:$K,MATCH($A1514&amp;"|"&amp;$D1514,Types!$A:$A,0)),INDEX(Dashboard!$X$6:$X$22,MATCH($A1514,Dashboard!$A$6:$A$22,0))))</f>
        <v/>
      </c>
      <c r="AT1514" s="43">
        <f>AQ1514*INDEX(Dashboard!$Y$6:$Y$22,MATCH($A1514,Dashboard!$A$6:$A$22,0))</f>
        <v/>
      </c>
      <c r="AU1514" s="53">
        <f>IF(AND(AG1514=1,AT1514&gt;0,AF1514&gt;0),100*AF1514/AT1514,"")</f>
        <v/>
      </c>
      <c r="AV1514" s="44">
        <f>IF(AU1514="","",T1514/(AU1514/100))</f>
        <v/>
      </c>
      <c r="AW1514" s="53">
        <f>IF(AU1514="","",IF(AND(ABS(AH1514)&gt;=0.1,ABS(T1514)&gt;=0.05,SIGN(AH1514)=SIGN(T1514)),100*T1514/AH1514,""))</f>
        <v/>
      </c>
      <c r="AX1514" s="45">
        <f>IF(AU1514="","",T1514-AV1514)</f>
        <v/>
      </c>
      <c r="AY1514" s="45">
        <f>IF(AU1514="","",AH1514-AV1514)</f>
        <v/>
      </c>
      <c r="AZ1514" s="54">
        <f>(AL1514-AM1514)-T1514*AT1514</f>
        <v/>
      </c>
      <c r="BA1514" s="43">
        <f>IF(AU1514="",0,(AH1514-T1514)*AF1514)</f>
        <v/>
      </c>
      <c r="BB1514" s="43">
        <f>IF(AU1514="",0,T1514*(AF1514-AT1514))</f>
        <v/>
      </c>
      <c r="BC1514" s="51" t="n">
        <v>0.08363743511865636</v>
      </c>
      <c r="BD1514" s="51" t="n">
        <v>0.03472426845576736</v>
      </c>
      <c r="BE1514" s="51" t="n">
        <v>0.1903184303634609</v>
      </c>
      <c r="BF1514" s="43" t="n">
        <v>44119</v>
      </c>
    </row>
    <row r="1515">
      <c r="A1515" s="42" t="inlineStr">
        <is>
          <t>KY</t>
        </is>
      </c>
      <c r="B1515" s="42" t="inlineStr">
        <is>
          <t>21103</t>
        </is>
      </c>
      <c r="C1515" s="42" t="inlineStr">
        <is>
          <t>Henry</t>
        </is>
      </c>
      <c r="D1515" s="42" t="inlineStr">
        <is>
          <t>Small town &amp; rural</t>
        </is>
      </c>
      <c r="E1515" s="42" t="inlineStr"/>
      <c r="F1515" s="43" t="n">
        <v>1857</v>
      </c>
      <c r="G1515" s="43" t="n">
        <v>6093</v>
      </c>
      <c r="H1515" s="43" t="n">
        <v>8074</v>
      </c>
      <c r="I1515" s="43" t="n">
        <v>2142</v>
      </c>
      <c r="J1515" s="43" t="n">
        <v>5843</v>
      </c>
      <c r="K1515" s="42" t="inlineStr">
        <is>
          <t>US Senate</t>
        </is>
      </c>
      <c r="L1515" s="43" t="n">
        <v>1810</v>
      </c>
      <c r="M1515" s="43" t="n">
        <v>4228</v>
      </c>
      <c r="N1515" s="43" t="n">
        <v>6039</v>
      </c>
      <c r="O1515" s="44">
        <f>IFERROR((F1515-G1515)/(F1515+G1515),"")</f>
        <v/>
      </c>
      <c r="P1515" s="44">
        <f>IFERROR((I1515-J1515)/(I1515+J1515),"")</f>
        <v/>
      </c>
      <c r="Q1515" s="45">
        <f>IFERROR(O1515-P1515,"")</f>
        <v/>
      </c>
      <c r="R1515" s="44">
        <f>IFERROR((L1515-M1515)/(L1515+M1515),"")</f>
        <v/>
      </c>
      <c r="S1515" s="46">
        <f>H1515/SUMIFS(Counties!$H$2:$H$1583,Counties!$A$2:$A$1583,$A1515)</f>
        <v/>
      </c>
      <c r="T1515" s="44">
        <f>O1515+INDEX(Dashboard!$F$6:$F$22,MATCH($A1515,Dashboard!$A$6:$A$22,0))</f>
        <v/>
      </c>
      <c r="U1515" s="43">
        <f>AQ1515*INDEX(Dashboard!$G$6:$G$22,MATCH($A1515,Dashboard!$A$6:$A$22,0))</f>
        <v/>
      </c>
      <c r="V1515" s="47" t="n"/>
      <c r="W1515" s="47" t="n"/>
      <c r="X1515" s="47" t="n"/>
      <c r="Y1515" s="48" t="n"/>
      <c r="Z1515" s="49" t="n"/>
      <c r="AA1515" s="49" t="n"/>
      <c r="AB1515" s="49" t="n"/>
      <c r="AC1515" s="50" t="n"/>
      <c r="AD1515" s="43">
        <f>IF(Z1515&lt;&gt;"",Z1515,N(V1515))</f>
        <v/>
      </c>
      <c r="AE1515" s="43">
        <f>IF(AA1515&lt;&gt;"",AA1515,N(W1515))</f>
        <v/>
      </c>
      <c r="AF1515" s="43">
        <f>AD1515+AE1515</f>
        <v/>
      </c>
      <c r="AG1515" s="42">
        <f>IF(UPPER(AC1515)="Y",1,IF(AF1515=0,0,IF(AND(Z1515="",Y1515&lt;&gt;""),IF(Y1515&gt;=0.999,1,0),IF(AF1515&gt;=U1515,1,0))))</f>
        <v/>
      </c>
      <c r="AH1515" s="44">
        <f>IF(AF1515&gt;0,(AD1515-AE1515)/AF1515,"")</f>
        <v/>
      </c>
      <c r="AI1515" s="45">
        <f>IF(AG1515=1,AH1515-O1515,"")</f>
        <v/>
      </c>
      <c r="AJ1515" s="44">
        <f>IF(AG1515=1,AH1515,MAX(-1,MIN(1,O1515+INDEX(Types!$H:$H,MATCH($A1515&amp;"|"&amp;$D1515,Types!$A:$A,0)))))</f>
        <v/>
      </c>
      <c r="AK1515" s="43">
        <f>IF(AG1515=1,AF1515,MAX(AQ1515*AS1515,AF1515))</f>
        <v/>
      </c>
      <c r="AL1515" s="43">
        <f>IF(AG1515=1,AD1515,AK1515*(1+AJ1515)/2)</f>
        <v/>
      </c>
      <c r="AM1515" s="43">
        <f>IF(AG1515=1,AE1515,AK1515*(1-AJ1515)/2)</f>
        <v/>
      </c>
      <c r="AN1515" s="45">
        <f>IF(AH1515="","",AH1515-T1515)</f>
        <v/>
      </c>
      <c r="AO1515" s="51">
        <f>IF(AG1515=1,1,IF(U1515&gt;0,MIN(AF1515/U1515,0.99),0))</f>
        <v/>
      </c>
      <c r="AP1515" s="43">
        <f>IF(AG1515=1,AI1515*AF1515,0)</f>
        <v/>
      </c>
      <c r="AQ1515" s="43">
        <f>N1515*(F1515+G1515)/H1515</f>
        <v/>
      </c>
      <c r="AR1515" s="43">
        <f>O1515*AQ1515</f>
        <v/>
      </c>
      <c r="AS1515" s="52">
        <f>IF(AG1515=1,IF(AQ1515&gt;0,AF1515/AQ1515,1),IFERROR(INDEX(Types!$K:$K,MATCH($A1515&amp;"|"&amp;$D1515,Types!$A:$A,0)),INDEX(Dashboard!$X$6:$X$22,MATCH($A1515,Dashboard!$A$6:$A$22,0))))</f>
        <v/>
      </c>
      <c r="AT1515" s="43">
        <f>AQ1515*INDEX(Dashboard!$Y$6:$Y$22,MATCH($A1515,Dashboard!$A$6:$A$22,0))</f>
        <v/>
      </c>
      <c r="AU1515" s="53">
        <f>IF(AND(AG1515=1,AT1515&gt;0,AF1515&gt;0),100*AF1515/AT1515,"")</f>
        <v/>
      </c>
      <c r="AV1515" s="44">
        <f>IF(AU1515="","",T1515/(AU1515/100))</f>
        <v/>
      </c>
      <c r="AW1515" s="53">
        <f>IF(AU1515="","",IF(AND(ABS(AH1515)&gt;=0.1,ABS(T1515)&gt;=0.05,SIGN(AH1515)=SIGN(T1515)),100*T1515/AH1515,""))</f>
        <v/>
      </c>
      <c r="AX1515" s="45">
        <f>IF(AU1515="","",T1515-AV1515)</f>
        <v/>
      </c>
      <c r="AY1515" s="45">
        <f>IF(AU1515="","",AH1515-AV1515)</f>
        <v/>
      </c>
      <c r="AZ1515" s="54">
        <f>(AL1515-AM1515)-T1515*AT1515</f>
        <v/>
      </c>
      <c r="BA1515" s="43">
        <f>IF(AU1515="",0,(AH1515-T1515)*AF1515)</f>
        <v/>
      </c>
      <c r="BB1515" s="43">
        <f>IF(AU1515="",0,T1515*(AF1515-AT1515))</f>
        <v/>
      </c>
      <c r="BC1515" s="51" t="n">
        <v>0.02717085081074313</v>
      </c>
      <c r="BD1515" s="51" t="n">
        <v>0.0433857133913479</v>
      </c>
      <c r="BE1515" s="51" t="n">
        <v>0.148127651724774</v>
      </c>
      <c r="BF1515" s="43" t="n">
        <v>15973</v>
      </c>
    </row>
    <row r="1516">
      <c r="A1516" s="42" t="inlineStr">
        <is>
          <t>KY</t>
        </is>
      </c>
      <c r="B1516" s="42" t="inlineStr">
        <is>
          <t>21105</t>
        </is>
      </c>
      <c r="C1516" s="42" t="inlineStr">
        <is>
          <t>Hickman</t>
        </is>
      </c>
      <c r="D1516" s="42" t="inlineStr">
        <is>
          <t>Small town &amp; rural</t>
        </is>
      </c>
      <c r="E1516" s="42" t="inlineStr"/>
      <c r="F1516" s="43" t="n">
        <v>394</v>
      </c>
      <c r="G1516" s="43" t="n">
        <v>1656</v>
      </c>
      <c r="H1516" s="43" t="n">
        <v>2069</v>
      </c>
      <c r="I1516" s="43" t="n">
        <v>458</v>
      </c>
      <c r="J1516" s="43" t="n">
        <v>1714</v>
      </c>
      <c r="K1516" s="42" t="inlineStr">
        <is>
          <t>US Senate</t>
        </is>
      </c>
      <c r="L1516" s="43" t="n">
        <v>283</v>
      </c>
      <c r="M1516" s="43" t="n">
        <v>1264</v>
      </c>
      <c r="N1516" s="43" t="n">
        <v>1547</v>
      </c>
      <c r="O1516" s="44">
        <f>IFERROR((F1516-G1516)/(F1516+G1516),"")</f>
        <v/>
      </c>
      <c r="P1516" s="44">
        <f>IFERROR((I1516-J1516)/(I1516+J1516),"")</f>
        <v/>
      </c>
      <c r="Q1516" s="45">
        <f>IFERROR(O1516-P1516,"")</f>
        <v/>
      </c>
      <c r="R1516" s="44">
        <f>IFERROR((L1516-M1516)/(L1516+M1516),"")</f>
        <v/>
      </c>
      <c r="S1516" s="46">
        <f>H1516/SUMIFS(Counties!$H$2:$H$1583,Counties!$A$2:$A$1583,$A1516)</f>
        <v/>
      </c>
      <c r="T1516" s="44">
        <f>O1516+INDEX(Dashboard!$F$6:$F$22,MATCH($A1516,Dashboard!$A$6:$A$22,0))</f>
        <v/>
      </c>
      <c r="U1516" s="43">
        <f>AQ1516*INDEX(Dashboard!$G$6:$G$22,MATCH($A1516,Dashboard!$A$6:$A$22,0))</f>
        <v/>
      </c>
      <c r="V1516" s="47" t="n"/>
      <c r="W1516" s="47" t="n"/>
      <c r="X1516" s="47" t="n"/>
      <c r="Y1516" s="48" t="n"/>
      <c r="Z1516" s="49" t="n"/>
      <c r="AA1516" s="49" t="n"/>
      <c r="AB1516" s="49" t="n"/>
      <c r="AC1516" s="50" t="n"/>
      <c r="AD1516" s="43">
        <f>IF(Z1516&lt;&gt;"",Z1516,N(V1516))</f>
        <v/>
      </c>
      <c r="AE1516" s="43">
        <f>IF(AA1516&lt;&gt;"",AA1516,N(W1516))</f>
        <v/>
      </c>
      <c r="AF1516" s="43">
        <f>AD1516+AE1516</f>
        <v/>
      </c>
      <c r="AG1516" s="42">
        <f>IF(UPPER(AC1516)="Y",1,IF(AF1516=0,0,IF(AND(Z1516="",Y1516&lt;&gt;""),IF(Y1516&gt;=0.999,1,0),IF(AF1516&gt;=U1516,1,0))))</f>
        <v/>
      </c>
      <c r="AH1516" s="44">
        <f>IF(AF1516&gt;0,(AD1516-AE1516)/AF1516,"")</f>
        <v/>
      </c>
      <c r="AI1516" s="45">
        <f>IF(AG1516=1,AH1516-O1516,"")</f>
        <v/>
      </c>
      <c r="AJ1516" s="44">
        <f>IF(AG1516=1,AH1516,MAX(-1,MIN(1,O1516+INDEX(Types!$H:$H,MATCH($A1516&amp;"|"&amp;$D1516,Types!$A:$A,0)))))</f>
        <v/>
      </c>
      <c r="AK1516" s="43">
        <f>IF(AG1516=1,AF1516,MAX(AQ1516*AS1516,AF1516))</f>
        <v/>
      </c>
      <c r="AL1516" s="43">
        <f>IF(AG1516=1,AD1516,AK1516*(1+AJ1516)/2)</f>
        <v/>
      </c>
      <c r="AM1516" s="43">
        <f>IF(AG1516=1,AE1516,AK1516*(1-AJ1516)/2)</f>
        <v/>
      </c>
      <c r="AN1516" s="45">
        <f>IF(AH1516="","",AH1516-T1516)</f>
        <v/>
      </c>
      <c r="AO1516" s="51">
        <f>IF(AG1516=1,1,IF(U1516&gt;0,MIN(AF1516/U1516,0.99),0))</f>
        <v/>
      </c>
      <c r="AP1516" s="43">
        <f>IF(AG1516=1,AI1516*AF1516,0)</f>
        <v/>
      </c>
      <c r="AQ1516" s="43">
        <f>N1516*(F1516+G1516)/H1516</f>
        <v/>
      </c>
      <c r="AR1516" s="43">
        <f>O1516*AQ1516</f>
        <v/>
      </c>
      <c r="AS1516" s="52">
        <f>IF(AG1516=1,IF(AQ1516&gt;0,AF1516/AQ1516,1),IFERROR(INDEX(Types!$K:$K,MATCH($A1516&amp;"|"&amp;$D1516,Types!$A:$A,0)),INDEX(Dashboard!$X$6:$X$22,MATCH($A1516,Dashboard!$A$6:$A$22,0))))</f>
        <v/>
      </c>
      <c r="AT1516" s="43">
        <f>AQ1516*INDEX(Dashboard!$Y$6:$Y$22,MATCH($A1516,Dashboard!$A$6:$A$22,0))</f>
        <v/>
      </c>
      <c r="AU1516" s="53">
        <f>IF(AND(AG1516=1,AT1516&gt;0,AF1516&gt;0),100*AF1516/AT1516,"")</f>
        <v/>
      </c>
      <c r="AV1516" s="44">
        <f>IF(AU1516="","",T1516/(AU1516/100))</f>
        <v/>
      </c>
      <c r="AW1516" s="53">
        <f>IF(AU1516="","",IF(AND(ABS(AH1516)&gt;=0.1,ABS(T1516)&gt;=0.05,SIGN(AH1516)=SIGN(T1516)),100*T1516/AH1516,""))</f>
        <v/>
      </c>
      <c r="AX1516" s="45">
        <f>IF(AU1516="","",T1516-AV1516)</f>
        <v/>
      </c>
      <c r="AY1516" s="45">
        <f>IF(AU1516="","",AH1516-AV1516)</f>
        <v/>
      </c>
      <c r="AZ1516" s="54">
        <f>(AL1516-AM1516)-T1516*AT1516</f>
        <v/>
      </c>
      <c r="BA1516" s="43">
        <f>IF(AU1516="",0,(AH1516-T1516)*AF1516)</f>
        <v/>
      </c>
      <c r="BB1516" s="43">
        <f>IF(AU1516="",0,T1516*(AF1516-AT1516))</f>
        <v/>
      </c>
      <c r="BC1516" s="51" t="n">
        <v>0.08342702945806162</v>
      </c>
      <c r="BD1516" s="51" t="n">
        <v>0.026984483921745</v>
      </c>
      <c r="BE1516" s="51" t="n">
        <v>0.1435552840562004</v>
      </c>
      <c r="BF1516" s="43" t="n">
        <v>4447</v>
      </c>
    </row>
    <row r="1517">
      <c r="A1517" s="42" t="inlineStr">
        <is>
          <t>KY</t>
        </is>
      </c>
      <c r="B1517" s="42" t="inlineStr">
        <is>
          <t>21107</t>
        </is>
      </c>
      <c r="C1517" s="42" t="inlineStr">
        <is>
          <t>Hopkins</t>
        </is>
      </c>
      <c r="D1517" s="42" t="inlineStr">
        <is>
          <t>Small town &amp; rural</t>
        </is>
      </c>
      <c r="E1517" s="42" t="inlineStr"/>
      <c r="F1517" s="43" t="n">
        <v>4916</v>
      </c>
      <c r="G1517" s="43" t="n">
        <v>15361</v>
      </c>
      <c r="H1517" s="43" t="n">
        <v>20532</v>
      </c>
      <c r="I1517" s="43" t="n">
        <v>5439</v>
      </c>
      <c r="J1517" s="43" t="n">
        <v>15757</v>
      </c>
      <c r="K1517" s="42" t="inlineStr">
        <is>
          <t>US Senate</t>
        </is>
      </c>
      <c r="L1517" s="43" t="n">
        <v>4205</v>
      </c>
      <c r="M1517" s="43" t="n">
        <v>10592</v>
      </c>
      <c r="N1517" s="43" t="n">
        <v>14797</v>
      </c>
      <c r="O1517" s="44">
        <f>IFERROR((F1517-G1517)/(F1517+G1517),"")</f>
        <v/>
      </c>
      <c r="P1517" s="44">
        <f>IFERROR((I1517-J1517)/(I1517+J1517),"")</f>
        <v/>
      </c>
      <c r="Q1517" s="45">
        <f>IFERROR(O1517-P1517,"")</f>
        <v/>
      </c>
      <c r="R1517" s="44">
        <f>IFERROR((L1517-M1517)/(L1517+M1517),"")</f>
        <v/>
      </c>
      <c r="S1517" s="46">
        <f>H1517/SUMIFS(Counties!$H$2:$H$1583,Counties!$A$2:$A$1583,$A1517)</f>
        <v/>
      </c>
      <c r="T1517" s="44">
        <f>O1517+INDEX(Dashboard!$F$6:$F$22,MATCH($A1517,Dashboard!$A$6:$A$22,0))</f>
        <v/>
      </c>
      <c r="U1517" s="43">
        <f>AQ1517*INDEX(Dashboard!$G$6:$G$22,MATCH($A1517,Dashboard!$A$6:$A$22,0))</f>
        <v/>
      </c>
      <c r="V1517" s="47" t="n"/>
      <c r="W1517" s="47" t="n"/>
      <c r="X1517" s="47" t="n"/>
      <c r="Y1517" s="48" t="n"/>
      <c r="Z1517" s="49" t="n"/>
      <c r="AA1517" s="49" t="n"/>
      <c r="AB1517" s="49" t="n"/>
      <c r="AC1517" s="50" t="n"/>
      <c r="AD1517" s="43">
        <f>IF(Z1517&lt;&gt;"",Z1517,N(V1517))</f>
        <v/>
      </c>
      <c r="AE1517" s="43">
        <f>IF(AA1517&lt;&gt;"",AA1517,N(W1517))</f>
        <v/>
      </c>
      <c r="AF1517" s="43">
        <f>AD1517+AE1517</f>
        <v/>
      </c>
      <c r="AG1517" s="42">
        <f>IF(UPPER(AC1517)="Y",1,IF(AF1517=0,0,IF(AND(Z1517="",Y1517&lt;&gt;""),IF(Y1517&gt;=0.999,1,0),IF(AF1517&gt;=U1517,1,0))))</f>
        <v/>
      </c>
      <c r="AH1517" s="44">
        <f>IF(AF1517&gt;0,(AD1517-AE1517)/AF1517,"")</f>
        <v/>
      </c>
      <c r="AI1517" s="45">
        <f>IF(AG1517=1,AH1517-O1517,"")</f>
        <v/>
      </c>
      <c r="AJ1517" s="44">
        <f>IF(AG1517=1,AH1517,MAX(-1,MIN(1,O1517+INDEX(Types!$H:$H,MATCH($A1517&amp;"|"&amp;$D1517,Types!$A:$A,0)))))</f>
        <v/>
      </c>
      <c r="AK1517" s="43">
        <f>IF(AG1517=1,AF1517,MAX(AQ1517*AS1517,AF1517))</f>
        <v/>
      </c>
      <c r="AL1517" s="43">
        <f>IF(AG1517=1,AD1517,AK1517*(1+AJ1517)/2)</f>
        <v/>
      </c>
      <c r="AM1517" s="43">
        <f>IF(AG1517=1,AE1517,AK1517*(1-AJ1517)/2)</f>
        <v/>
      </c>
      <c r="AN1517" s="45">
        <f>IF(AH1517="","",AH1517-T1517)</f>
        <v/>
      </c>
      <c r="AO1517" s="51">
        <f>IF(AG1517=1,1,IF(U1517&gt;0,MIN(AF1517/U1517,0.99),0))</f>
        <v/>
      </c>
      <c r="AP1517" s="43">
        <f>IF(AG1517=1,AI1517*AF1517,0)</f>
        <v/>
      </c>
      <c r="AQ1517" s="43">
        <f>N1517*(F1517+G1517)/H1517</f>
        <v/>
      </c>
      <c r="AR1517" s="43">
        <f>O1517*AQ1517</f>
        <v/>
      </c>
      <c r="AS1517" s="52">
        <f>IF(AG1517=1,IF(AQ1517&gt;0,AF1517/AQ1517,1),IFERROR(INDEX(Types!$K:$K,MATCH($A1517&amp;"|"&amp;$D1517,Types!$A:$A,0)),INDEX(Dashboard!$X$6:$X$22,MATCH($A1517,Dashboard!$A$6:$A$22,0))))</f>
        <v/>
      </c>
      <c r="AT1517" s="43">
        <f>AQ1517*INDEX(Dashboard!$Y$6:$Y$22,MATCH($A1517,Dashboard!$A$6:$A$22,0))</f>
        <v/>
      </c>
      <c r="AU1517" s="53">
        <f>IF(AND(AG1517=1,AT1517&gt;0,AF1517&gt;0),100*AF1517/AT1517,"")</f>
        <v/>
      </c>
      <c r="AV1517" s="44">
        <f>IF(AU1517="","",T1517/(AU1517/100))</f>
        <v/>
      </c>
      <c r="AW1517" s="53">
        <f>IF(AU1517="","",IF(AND(ABS(AH1517)&gt;=0.1,ABS(T1517)&gt;=0.05,SIGN(AH1517)=SIGN(T1517)),100*T1517/AH1517,""))</f>
        <v/>
      </c>
      <c r="AX1517" s="45">
        <f>IF(AU1517="","",T1517-AV1517)</f>
        <v/>
      </c>
      <c r="AY1517" s="45">
        <f>IF(AU1517="","",AH1517-AV1517)</f>
        <v/>
      </c>
      <c r="AZ1517" s="54">
        <f>(AL1517-AM1517)-T1517*AT1517</f>
        <v/>
      </c>
      <c r="BA1517" s="43">
        <f>IF(AU1517="",0,(AH1517-T1517)*AF1517)</f>
        <v/>
      </c>
      <c r="BB1517" s="43">
        <f>IF(AU1517="",0,T1517*(AF1517-AT1517))</f>
        <v/>
      </c>
      <c r="BC1517" s="51" t="n">
        <v>0.06508046028177791</v>
      </c>
      <c r="BD1517" s="51" t="n">
        <v>0.02655300585368025</v>
      </c>
      <c r="BE1517" s="51" t="n">
        <v>0.1662738853503185</v>
      </c>
      <c r="BF1517" s="43" t="n">
        <v>44929</v>
      </c>
    </row>
    <row r="1518">
      <c r="A1518" s="42" t="inlineStr">
        <is>
          <t>KY</t>
        </is>
      </c>
      <c r="B1518" s="42" t="inlineStr">
        <is>
          <t>21109</t>
        </is>
      </c>
      <c r="C1518" s="42" t="inlineStr">
        <is>
          <t>Jackson</t>
        </is>
      </c>
      <c r="D1518" s="42" t="inlineStr">
        <is>
          <t>Small town &amp; rural</t>
        </is>
      </c>
      <c r="E1518" s="42" t="inlineStr"/>
      <c r="F1518" s="43" t="n">
        <v>506</v>
      </c>
      <c r="G1518" s="43" t="n">
        <v>5358</v>
      </c>
      <c r="H1518" s="43" t="n">
        <v>5934</v>
      </c>
      <c r="I1518" s="43" t="n">
        <v>605</v>
      </c>
      <c r="J1518" s="43" t="n">
        <v>5453</v>
      </c>
      <c r="K1518" s="42" t="inlineStr">
        <is>
          <t>US Senate</t>
        </is>
      </c>
      <c r="L1518" s="43" t="n">
        <v>385</v>
      </c>
      <c r="M1518" s="43" t="n">
        <v>3283</v>
      </c>
      <c r="N1518" s="43" t="n">
        <v>3668</v>
      </c>
      <c r="O1518" s="44">
        <f>IFERROR((F1518-G1518)/(F1518+G1518),"")</f>
        <v/>
      </c>
      <c r="P1518" s="44">
        <f>IFERROR((I1518-J1518)/(I1518+J1518),"")</f>
        <v/>
      </c>
      <c r="Q1518" s="45">
        <f>IFERROR(O1518-P1518,"")</f>
        <v/>
      </c>
      <c r="R1518" s="44">
        <f>IFERROR((L1518-M1518)/(L1518+M1518),"")</f>
        <v/>
      </c>
      <c r="S1518" s="46">
        <f>H1518/SUMIFS(Counties!$H$2:$H$1583,Counties!$A$2:$A$1583,$A1518)</f>
        <v/>
      </c>
      <c r="T1518" s="44">
        <f>O1518+INDEX(Dashboard!$F$6:$F$22,MATCH($A1518,Dashboard!$A$6:$A$22,0))</f>
        <v/>
      </c>
      <c r="U1518" s="43">
        <f>AQ1518*INDEX(Dashboard!$G$6:$G$22,MATCH($A1518,Dashboard!$A$6:$A$22,0))</f>
        <v/>
      </c>
      <c r="V1518" s="47" t="n"/>
      <c r="W1518" s="47" t="n"/>
      <c r="X1518" s="47" t="n"/>
      <c r="Y1518" s="48" t="n"/>
      <c r="Z1518" s="49" t="n"/>
      <c r="AA1518" s="49" t="n"/>
      <c r="AB1518" s="49" t="n"/>
      <c r="AC1518" s="50" t="n"/>
      <c r="AD1518" s="43">
        <f>IF(Z1518&lt;&gt;"",Z1518,N(V1518))</f>
        <v/>
      </c>
      <c r="AE1518" s="43">
        <f>IF(AA1518&lt;&gt;"",AA1518,N(W1518))</f>
        <v/>
      </c>
      <c r="AF1518" s="43">
        <f>AD1518+AE1518</f>
        <v/>
      </c>
      <c r="AG1518" s="42">
        <f>IF(UPPER(AC1518)="Y",1,IF(AF1518=0,0,IF(AND(Z1518="",Y1518&lt;&gt;""),IF(Y1518&gt;=0.999,1,0),IF(AF1518&gt;=U1518,1,0))))</f>
        <v/>
      </c>
      <c r="AH1518" s="44">
        <f>IF(AF1518&gt;0,(AD1518-AE1518)/AF1518,"")</f>
        <v/>
      </c>
      <c r="AI1518" s="45">
        <f>IF(AG1518=1,AH1518-O1518,"")</f>
        <v/>
      </c>
      <c r="AJ1518" s="44">
        <f>IF(AG1518=1,AH1518,MAX(-1,MIN(1,O1518+INDEX(Types!$H:$H,MATCH($A1518&amp;"|"&amp;$D1518,Types!$A:$A,0)))))</f>
        <v/>
      </c>
      <c r="AK1518" s="43">
        <f>IF(AG1518=1,AF1518,MAX(AQ1518*AS1518,AF1518))</f>
        <v/>
      </c>
      <c r="AL1518" s="43">
        <f>IF(AG1518=1,AD1518,AK1518*(1+AJ1518)/2)</f>
        <v/>
      </c>
      <c r="AM1518" s="43">
        <f>IF(AG1518=1,AE1518,AK1518*(1-AJ1518)/2)</f>
        <v/>
      </c>
      <c r="AN1518" s="45">
        <f>IF(AH1518="","",AH1518-T1518)</f>
        <v/>
      </c>
      <c r="AO1518" s="51">
        <f>IF(AG1518=1,1,IF(U1518&gt;0,MIN(AF1518/U1518,0.99),0))</f>
        <v/>
      </c>
      <c r="AP1518" s="43">
        <f>IF(AG1518=1,AI1518*AF1518,0)</f>
        <v/>
      </c>
      <c r="AQ1518" s="43">
        <f>N1518*(F1518+G1518)/H1518</f>
        <v/>
      </c>
      <c r="AR1518" s="43">
        <f>O1518*AQ1518</f>
        <v/>
      </c>
      <c r="AS1518" s="52">
        <f>IF(AG1518=1,IF(AQ1518&gt;0,AF1518/AQ1518,1),IFERROR(INDEX(Types!$K:$K,MATCH($A1518&amp;"|"&amp;$D1518,Types!$A:$A,0)),INDEX(Dashboard!$X$6:$X$22,MATCH($A1518,Dashboard!$A$6:$A$22,0))))</f>
        <v/>
      </c>
      <c r="AT1518" s="43">
        <f>AQ1518*INDEX(Dashboard!$Y$6:$Y$22,MATCH($A1518,Dashboard!$A$6:$A$22,0))</f>
        <v/>
      </c>
      <c r="AU1518" s="53">
        <f>IF(AND(AG1518=1,AT1518&gt;0,AF1518&gt;0),100*AF1518/AT1518,"")</f>
        <v/>
      </c>
      <c r="AV1518" s="44">
        <f>IF(AU1518="","",T1518/(AU1518/100))</f>
        <v/>
      </c>
      <c r="AW1518" s="53">
        <f>IF(AU1518="","",IF(AND(ABS(AH1518)&gt;=0.1,ABS(T1518)&gt;=0.05,SIGN(AH1518)=SIGN(T1518)),100*T1518/AH1518,""))</f>
        <v/>
      </c>
      <c r="AX1518" s="45">
        <f>IF(AU1518="","",T1518-AV1518)</f>
        <v/>
      </c>
      <c r="AY1518" s="45">
        <f>IF(AU1518="","",AH1518-AV1518)</f>
        <v/>
      </c>
      <c r="AZ1518" s="54">
        <f>(AL1518-AM1518)-T1518*AT1518</f>
        <v/>
      </c>
      <c r="BA1518" s="43">
        <f>IF(AU1518="",0,(AH1518-T1518)*AF1518)</f>
        <v/>
      </c>
      <c r="BB1518" s="43">
        <f>IF(AU1518="",0,T1518*(AF1518-AT1518))</f>
        <v/>
      </c>
      <c r="BC1518" s="51" t="n">
        <v>0.006333943833943834</v>
      </c>
      <c r="BD1518" s="51" t="n">
        <v>0.01259157509157509</v>
      </c>
      <c r="BE1518" s="51" t="n">
        <v>0.103356890459364</v>
      </c>
      <c r="BF1518" s="43" t="n">
        <v>13104</v>
      </c>
    </row>
    <row r="1519">
      <c r="A1519" s="42" t="inlineStr">
        <is>
          <t>KY</t>
        </is>
      </c>
      <c r="B1519" s="42" t="inlineStr">
        <is>
          <t>21111</t>
        </is>
      </c>
      <c r="C1519" s="42" t="inlineStr">
        <is>
          <t>Jefferson</t>
        </is>
      </c>
      <c r="D1519" s="42" t="inlineStr">
        <is>
          <t>Big metro core</t>
        </is>
      </c>
      <c r="E1519" s="42" t="inlineStr">
        <is>
          <t>★</t>
        </is>
      </c>
      <c r="F1519" s="43" t="n">
        <v>203070</v>
      </c>
      <c r="G1519" s="43" t="n">
        <v>144553</v>
      </c>
      <c r="H1519" s="43" t="n">
        <v>353609</v>
      </c>
      <c r="I1519" s="43" t="n">
        <v>228358</v>
      </c>
      <c r="J1519" s="43" t="n">
        <v>150646</v>
      </c>
      <c r="K1519" s="42" t="inlineStr">
        <is>
          <t>US Senate</t>
        </is>
      </c>
      <c r="L1519" s="43" t="n">
        <v>164065</v>
      </c>
      <c r="M1519" s="43" t="n">
        <v>113707</v>
      </c>
      <c r="N1519" s="43" t="n">
        <v>277772</v>
      </c>
      <c r="O1519" s="44">
        <f>IFERROR((F1519-G1519)/(F1519+G1519),"")</f>
        <v/>
      </c>
      <c r="P1519" s="44">
        <f>IFERROR((I1519-J1519)/(I1519+J1519),"")</f>
        <v/>
      </c>
      <c r="Q1519" s="45">
        <f>IFERROR(O1519-P1519,"")</f>
        <v/>
      </c>
      <c r="R1519" s="44">
        <f>IFERROR((L1519-M1519)/(L1519+M1519),"")</f>
        <v/>
      </c>
      <c r="S1519" s="46">
        <f>H1519/SUMIFS(Counties!$H$2:$H$1583,Counties!$A$2:$A$1583,$A1519)</f>
        <v/>
      </c>
      <c r="T1519" s="44">
        <f>O1519+INDEX(Dashboard!$F$6:$F$22,MATCH($A1519,Dashboard!$A$6:$A$22,0))</f>
        <v/>
      </c>
      <c r="U1519" s="43">
        <f>AQ1519*INDEX(Dashboard!$G$6:$G$22,MATCH($A1519,Dashboard!$A$6:$A$22,0))</f>
        <v/>
      </c>
      <c r="V1519" s="47" t="n"/>
      <c r="W1519" s="47" t="n"/>
      <c r="X1519" s="47" t="n"/>
      <c r="Y1519" s="48" t="n"/>
      <c r="Z1519" s="49" t="n"/>
      <c r="AA1519" s="49" t="n"/>
      <c r="AB1519" s="49" t="n"/>
      <c r="AC1519" s="50" t="n"/>
      <c r="AD1519" s="43">
        <f>IF(Z1519&lt;&gt;"",Z1519,N(V1519))</f>
        <v/>
      </c>
      <c r="AE1519" s="43">
        <f>IF(AA1519&lt;&gt;"",AA1519,N(W1519))</f>
        <v/>
      </c>
      <c r="AF1519" s="43">
        <f>AD1519+AE1519</f>
        <v/>
      </c>
      <c r="AG1519" s="42">
        <f>IF(UPPER(AC1519)="Y",1,IF(AF1519=0,0,IF(AND(Z1519="",Y1519&lt;&gt;""),IF(Y1519&gt;=0.999,1,0),IF(AF1519&gt;=U1519,1,0))))</f>
        <v/>
      </c>
      <c r="AH1519" s="44">
        <f>IF(AF1519&gt;0,(AD1519-AE1519)/AF1519,"")</f>
        <v/>
      </c>
      <c r="AI1519" s="45">
        <f>IF(AG1519=1,AH1519-O1519,"")</f>
        <v/>
      </c>
      <c r="AJ1519" s="44">
        <f>IF(AG1519=1,AH1519,MAX(-1,MIN(1,O1519+INDEX(Types!$H:$H,MATCH($A1519&amp;"|"&amp;$D1519,Types!$A:$A,0)))))</f>
        <v/>
      </c>
      <c r="AK1519" s="43">
        <f>IF(AG1519=1,AF1519,MAX(AQ1519*AS1519,AF1519))</f>
        <v/>
      </c>
      <c r="AL1519" s="43">
        <f>IF(AG1519=1,AD1519,AK1519*(1+AJ1519)/2)</f>
        <v/>
      </c>
      <c r="AM1519" s="43">
        <f>IF(AG1519=1,AE1519,AK1519*(1-AJ1519)/2)</f>
        <v/>
      </c>
      <c r="AN1519" s="45">
        <f>IF(AH1519="","",AH1519-T1519)</f>
        <v/>
      </c>
      <c r="AO1519" s="51">
        <f>IF(AG1519=1,1,IF(U1519&gt;0,MIN(AF1519/U1519,0.99),0))</f>
        <v/>
      </c>
      <c r="AP1519" s="43">
        <f>IF(AG1519=1,AI1519*AF1519,0)</f>
        <v/>
      </c>
      <c r="AQ1519" s="43">
        <f>N1519*(F1519+G1519)/H1519</f>
        <v/>
      </c>
      <c r="AR1519" s="43">
        <f>O1519*AQ1519</f>
        <v/>
      </c>
      <c r="AS1519" s="52">
        <f>IF(AG1519=1,IF(AQ1519&gt;0,AF1519/AQ1519,1),IFERROR(INDEX(Types!$K:$K,MATCH($A1519&amp;"|"&amp;$D1519,Types!$A:$A,0)),INDEX(Dashboard!$X$6:$X$22,MATCH($A1519,Dashboard!$A$6:$A$22,0))))</f>
        <v/>
      </c>
      <c r="AT1519" s="43">
        <f>AQ1519*INDEX(Dashboard!$Y$6:$Y$22,MATCH($A1519,Dashboard!$A$6:$A$22,0))</f>
        <v/>
      </c>
      <c r="AU1519" s="53">
        <f>IF(AND(AG1519=1,AT1519&gt;0,AF1519&gt;0),100*AF1519/AT1519,"")</f>
        <v/>
      </c>
      <c r="AV1519" s="44">
        <f>IF(AU1519="","",T1519/(AU1519/100))</f>
        <v/>
      </c>
      <c r="AW1519" s="53">
        <f>IF(AU1519="","",IF(AND(ABS(AH1519)&gt;=0.1,ABS(T1519)&gt;=0.05,SIGN(AH1519)=SIGN(T1519)),100*T1519/AH1519,""))</f>
        <v/>
      </c>
      <c r="AX1519" s="45">
        <f>IF(AU1519="","",T1519-AV1519)</f>
        <v/>
      </c>
      <c r="AY1519" s="45">
        <f>IF(AU1519="","",AH1519-AV1519)</f>
        <v/>
      </c>
      <c r="AZ1519" s="54">
        <f>(AL1519-AM1519)-T1519*AT1519</f>
        <v/>
      </c>
      <c r="BA1519" s="43">
        <f>IF(AU1519="",0,(AH1519-T1519)*AF1519)</f>
        <v/>
      </c>
      <c r="BB1519" s="43">
        <f>IF(AU1519="",0,T1519*(AF1519-AT1519))</f>
        <v/>
      </c>
      <c r="BC1519" s="51" t="n">
        <v>0.2262829213203755</v>
      </c>
      <c r="BD1519" s="51" t="n">
        <v>0.08504242731925651</v>
      </c>
      <c r="BE1519" s="51" t="n">
        <v>0.3657785935443202</v>
      </c>
      <c r="BF1519" s="43" t="n">
        <v>772144</v>
      </c>
    </row>
    <row r="1520">
      <c r="A1520" s="42" t="inlineStr">
        <is>
          <t>KY</t>
        </is>
      </c>
      <c r="B1520" s="42" t="inlineStr">
        <is>
          <t>21113</t>
        </is>
      </c>
      <c r="C1520" s="42" t="inlineStr">
        <is>
          <t>Jessamine</t>
        </is>
      </c>
      <c r="D1520" s="42" t="inlineStr">
        <is>
          <t>Small town &amp; rural</t>
        </is>
      </c>
      <c r="E1520" s="42" t="inlineStr"/>
      <c r="F1520" s="43" t="n">
        <v>8303</v>
      </c>
      <c r="G1520" s="43" t="n">
        <v>17854</v>
      </c>
      <c r="H1520" s="43" t="n">
        <v>26644</v>
      </c>
      <c r="I1520" s="43" t="n">
        <v>8567</v>
      </c>
      <c r="J1520" s="43" t="n">
        <v>17096</v>
      </c>
      <c r="K1520" s="42" t="inlineStr">
        <is>
          <t>US Senate</t>
        </is>
      </c>
      <c r="L1520" s="43" t="n">
        <v>5732</v>
      </c>
      <c r="M1520" s="43" t="n">
        <v>11569</v>
      </c>
      <c r="N1520" s="43" t="n">
        <v>17301</v>
      </c>
      <c r="O1520" s="44">
        <f>IFERROR((F1520-G1520)/(F1520+G1520),"")</f>
        <v/>
      </c>
      <c r="P1520" s="44">
        <f>IFERROR((I1520-J1520)/(I1520+J1520),"")</f>
        <v/>
      </c>
      <c r="Q1520" s="45">
        <f>IFERROR(O1520-P1520,"")</f>
        <v/>
      </c>
      <c r="R1520" s="44">
        <f>IFERROR((L1520-M1520)/(L1520+M1520),"")</f>
        <v/>
      </c>
      <c r="S1520" s="46">
        <f>H1520/SUMIFS(Counties!$H$2:$H$1583,Counties!$A$2:$A$1583,$A1520)</f>
        <v/>
      </c>
      <c r="T1520" s="44">
        <f>O1520+INDEX(Dashboard!$F$6:$F$22,MATCH($A1520,Dashboard!$A$6:$A$22,0))</f>
        <v/>
      </c>
      <c r="U1520" s="43">
        <f>AQ1520*INDEX(Dashboard!$G$6:$G$22,MATCH($A1520,Dashboard!$A$6:$A$22,0))</f>
        <v/>
      </c>
      <c r="V1520" s="47" t="n"/>
      <c r="W1520" s="47" t="n"/>
      <c r="X1520" s="47" t="n"/>
      <c r="Y1520" s="48" t="n"/>
      <c r="Z1520" s="49" t="n"/>
      <c r="AA1520" s="49" t="n"/>
      <c r="AB1520" s="49" t="n"/>
      <c r="AC1520" s="50" t="n"/>
      <c r="AD1520" s="43">
        <f>IF(Z1520&lt;&gt;"",Z1520,N(V1520))</f>
        <v/>
      </c>
      <c r="AE1520" s="43">
        <f>IF(AA1520&lt;&gt;"",AA1520,N(W1520))</f>
        <v/>
      </c>
      <c r="AF1520" s="43">
        <f>AD1520+AE1520</f>
        <v/>
      </c>
      <c r="AG1520" s="42">
        <f>IF(UPPER(AC1520)="Y",1,IF(AF1520=0,0,IF(AND(Z1520="",Y1520&lt;&gt;""),IF(Y1520&gt;=0.999,1,0),IF(AF1520&gt;=U1520,1,0))))</f>
        <v/>
      </c>
      <c r="AH1520" s="44">
        <f>IF(AF1520&gt;0,(AD1520-AE1520)/AF1520,"")</f>
        <v/>
      </c>
      <c r="AI1520" s="45">
        <f>IF(AG1520=1,AH1520-O1520,"")</f>
        <v/>
      </c>
      <c r="AJ1520" s="44">
        <f>IF(AG1520=1,AH1520,MAX(-1,MIN(1,O1520+INDEX(Types!$H:$H,MATCH($A1520&amp;"|"&amp;$D1520,Types!$A:$A,0)))))</f>
        <v/>
      </c>
      <c r="AK1520" s="43">
        <f>IF(AG1520=1,AF1520,MAX(AQ1520*AS1520,AF1520))</f>
        <v/>
      </c>
      <c r="AL1520" s="43">
        <f>IF(AG1520=1,AD1520,AK1520*(1+AJ1520)/2)</f>
        <v/>
      </c>
      <c r="AM1520" s="43">
        <f>IF(AG1520=1,AE1520,AK1520*(1-AJ1520)/2)</f>
        <v/>
      </c>
      <c r="AN1520" s="45">
        <f>IF(AH1520="","",AH1520-T1520)</f>
        <v/>
      </c>
      <c r="AO1520" s="51">
        <f>IF(AG1520=1,1,IF(U1520&gt;0,MIN(AF1520/U1520,0.99),0))</f>
        <v/>
      </c>
      <c r="AP1520" s="43">
        <f>IF(AG1520=1,AI1520*AF1520,0)</f>
        <v/>
      </c>
      <c r="AQ1520" s="43">
        <f>N1520*(F1520+G1520)/H1520</f>
        <v/>
      </c>
      <c r="AR1520" s="43">
        <f>O1520*AQ1520</f>
        <v/>
      </c>
      <c r="AS1520" s="52">
        <f>IF(AG1520=1,IF(AQ1520&gt;0,AF1520/AQ1520,1),IFERROR(INDEX(Types!$K:$K,MATCH($A1520&amp;"|"&amp;$D1520,Types!$A:$A,0)),INDEX(Dashboard!$X$6:$X$22,MATCH($A1520,Dashboard!$A$6:$A$22,0))))</f>
        <v/>
      </c>
      <c r="AT1520" s="43">
        <f>AQ1520*INDEX(Dashboard!$Y$6:$Y$22,MATCH($A1520,Dashboard!$A$6:$A$22,0))</f>
        <v/>
      </c>
      <c r="AU1520" s="53">
        <f>IF(AND(AG1520=1,AT1520&gt;0,AF1520&gt;0),100*AF1520/AT1520,"")</f>
        <v/>
      </c>
      <c r="AV1520" s="44">
        <f>IF(AU1520="","",T1520/(AU1520/100))</f>
        <v/>
      </c>
      <c r="AW1520" s="53">
        <f>IF(AU1520="","",IF(AND(ABS(AH1520)&gt;=0.1,ABS(T1520)&gt;=0.05,SIGN(AH1520)=SIGN(T1520)),100*T1520/AH1520,""))</f>
        <v/>
      </c>
      <c r="AX1520" s="45">
        <f>IF(AU1520="","",T1520-AV1520)</f>
        <v/>
      </c>
      <c r="AY1520" s="45">
        <f>IF(AU1520="","",AH1520-AV1520)</f>
        <v/>
      </c>
      <c r="AZ1520" s="54">
        <f>(AL1520-AM1520)-T1520*AT1520</f>
        <v/>
      </c>
      <c r="BA1520" s="43">
        <f>IF(AU1520="",0,(AH1520-T1520)*AF1520)</f>
        <v/>
      </c>
      <c r="BB1520" s="43">
        <f>IF(AU1520="",0,T1520*(AF1520-AT1520))</f>
        <v/>
      </c>
      <c r="BC1520" s="51" t="n">
        <v>0.04738535361797263</v>
      </c>
      <c r="BD1520" s="51" t="n">
        <v>0.04794881582056455</v>
      </c>
      <c r="BE1520" s="51" t="n">
        <v>0.3241037840230139</v>
      </c>
      <c r="BF1520" s="43" t="n">
        <v>55017</v>
      </c>
    </row>
    <row r="1521">
      <c r="A1521" s="42" t="inlineStr">
        <is>
          <t>KY</t>
        </is>
      </c>
      <c r="B1521" s="42" t="inlineStr">
        <is>
          <t>21115</t>
        </is>
      </c>
      <c r="C1521" s="42" t="inlineStr">
        <is>
          <t>Johnson</t>
        </is>
      </c>
      <c r="D1521" s="42" t="inlineStr">
        <is>
          <t>Small town &amp; rural</t>
        </is>
      </c>
      <c r="E1521" s="42" t="inlineStr"/>
      <c r="F1521" s="43" t="n">
        <v>1350</v>
      </c>
      <c r="G1521" s="43" t="n">
        <v>8150</v>
      </c>
      <c r="H1521" s="43" t="n">
        <v>9622</v>
      </c>
      <c r="I1521" s="43" t="n">
        <v>1608</v>
      </c>
      <c r="J1521" s="43" t="n">
        <v>8450</v>
      </c>
      <c r="K1521" s="42" t="inlineStr">
        <is>
          <t>US Senate</t>
        </is>
      </c>
      <c r="L1521" s="43" t="n">
        <v>1084</v>
      </c>
      <c r="M1521" s="43" t="n">
        <v>4559</v>
      </c>
      <c r="N1521" s="43" t="n">
        <v>5643</v>
      </c>
      <c r="O1521" s="44">
        <f>IFERROR((F1521-G1521)/(F1521+G1521),"")</f>
        <v/>
      </c>
      <c r="P1521" s="44">
        <f>IFERROR((I1521-J1521)/(I1521+J1521),"")</f>
        <v/>
      </c>
      <c r="Q1521" s="45">
        <f>IFERROR(O1521-P1521,"")</f>
        <v/>
      </c>
      <c r="R1521" s="44">
        <f>IFERROR((L1521-M1521)/(L1521+M1521),"")</f>
        <v/>
      </c>
      <c r="S1521" s="46">
        <f>H1521/SUMIFS(Counties!$H$2:$H$1583,Counties!$A$2:$A$1583,$A1521)</f>
        <v/>
      </c>
      <c r="T1521" s="44">
        <f>O1521+INDEX(Dashboard!$F$6:$F$22,MATCH($A1521,Dashboard!$A$6:$A$22,0))</f>
        <v/>
      </c>
      <c r="U1521" s="43">
        <f>AQ1521*INDEX(Dashboard!$G$6:$G$22,MATCH($A1521,Dashboard!$A$6:$A$22,0))</f>
        <v/>
      </c>
      <c r="V1521" s="47" t="n"/>
      <c r="W1521" s="47" t="n"/>
      <c r="X1521" s="47" t="n"/>
      <c r="Y1521" s="48" t="n"/>
      <c r="Z1521" s="49" t="n"/>
      <c r="AA1521" s="49" t="n"/>
      <c r="AB1521" s="49" t="n"/>
      <c r="AC1521" s="50" t="n"/>
      <c r="AD1521" s="43">
        <f>IF(Z1521&lt;&gt;"",Z1521,N(V1521))</f>
        <v/>
      </c>
      <c r="AE1521" s="43">
        <f>IF(AA1521&lt;&gt;"",AA1521,N(W1521))</f>
        <v/>
      </c>
      <c r="AF1521" s="43">
        <f>AD1521+AE1521</f>
        <v/>
      </c>
      <c r="AG1521" s="42">
        <f>IF(UPPER(AC1521)="Y",1,IF(AF1521=0,0,IF(AND(Z1521="",Y1521&lt;&gt;""),IF(Y1521&gt;=0.999,1,0),IF(AF1521&gt;=U1521,1,0))))</f>
        <v/>
      </c>
      <c r="AH1521" s="44">
        <f>IF(AF1521&gt;0,(AD1521-AE1521)/AF1521,"")</f>
        <v/>
      </c>
      <c r="AI1521" s="45">
        <f>IF(AG1521=1,AH1521-O1521,"")</f>
        <v/>
      </c>
      <c r="AJ1521" s="44">
        <f>IF(AG1521=1,AH1521,MAX(-1,MIN(1,O1521+INDEX(Types!$H:$H,MATCH($A1521&amp;"|"&amp;$D1521,Types!$A:$A,0)))))</f>
        <v/>
      </c>
      <c r="AK1521" s="43">
        <f>IF(AG1521=1,AF1521,MAX(AQ1521*AS1521,AF1521))</f>
        <v/>
      </c>
      <c r="AL1521" s="43">
        <f>IF(AG1521=1,AD1521,AK1521*(1+AJ1521)/2)</f>
        <v/>
      </c>
      <c r="AM1521" s="43">
        <f>IF(AG1521=1,AE1521,AK1521*(1-AJ1521)/2)</f>
        <v/>
      </c>
      <c r="AN1521" s="45">
        <f>IF(AH1521="","",AH1521-T1521)</f>
        <v/>
      </c>
      <c r="AO1521" s="51">
        <f>IF(AG1521=1,1,IF(U1521&gt;0,MIN(AF1521/U1521,0.99),0))</f>
        <v/>
      </c>
      <c r="AP1521" s="43">
        <f>IF(AG1521=1,AI1521*AF1521,0)</f>
        <v/>
      </c>
      <c r="AQ1521" s="43">
        <f>N1521*(F1521+G1521)/H1521</f>
        <v/>
      </c>
      <c r="AR1521" s="43">
        <f>O1521*AQ1521</f>
        <v/>
      </c>
      <c r="AS1521" s="52">
        <f>IF(AG1521=1,IF(AQ1521&gt;0,AF1521/AQ1521,1),IFERROR(INDEX(Types!$K:$K,MATCH($A1521&amp;"|"&amp;$D1521,Types!$A:$A,0)),INDEX(Dashboard!$X$6:$X$22,MATCH($A1521,Dashboard!$A$6:$A$22,0))))</f>
        <v/>
      </c>
      <c r="AT1521" s="43">
        <f>AQ1521*INDEX(Dashboard!$Y$6:$Y$22,MATCH($A1521,Dashboard!$A$6:$A$22,0))</f>
        <v/>
      </c>
      <c r="AU1521" s="53">
        <f>IF(AND(AG1521=1,AT1521&gt;0,AF1521&gt;0),100*AF1521/AT1521,"")</f>
        <v/>
      </c>
      <c r="AV1521" s="44">
        <f>IF(AU1521="","",T1521/(AU1521/100))</f>
        <v/>
      </c>
      <c r="AW1521" s="53">
        <f>IF(AU1521="","",IF(AND(ABS(AH1521)&gt;=0.1,ABS(T1521)&gt;=0.05,SIGN(AH1521)=SIGN(T1521)),100*T1521/AH1521,""))</f>
        <v/>
      </c>
      <c r="AX1521" s="45">
        <f>IF(AU1521="","",T1521-AV1521)</f>
        <v/>
      </c>
      <c r="AY1521" s="45">
        <f>IF(AU1521="","",AH1521-AV1521)</f>
        <v/>
      </c>
      <c r="AZ1521" s="54">
        <f>(AL1521-AM1521)-T1521*AT1521</f>
        <v/>
      </c>
      <c r="BA1521" s="43">
        <f>IF(AU1521="",0,(AH1521-T1521)*AF1521)</f>
        <v/>
      </c>
      <c r="BB1521" s="43">
        <f>IF(AU1521="",0,T1521*(AF1521-AT1521))</f>
        <v/>
      </c>
      <c r="BC1521" s="51" t="n">
        <v>0.004385964912280702</v>
      </c>
      <c r="BD1521" s="51" t="n">
        <v>0.01003798155181769</v>
      </c>
      <c r="BE1521" s="51" t="n">
        <v>0.1659499114596509</v>
      </c>
      <c r="BF1521" s="43" t="n">
        <v>22116</v>
      </c>
    </row>
    <row r="1522">
      <c r="A1522" s="42" t="inlineStr">
        <is>
          <t>KY</t>
        </is>
      </c>
      <c r="B1522" s="42" t="inlineStr">
        <is>
          <t>21117</t>
        </is>
      </c>
      <c r="C1522" s="42" t="inlineStr">
        <is>
          <t>Kenton</t>
        </is>
      </c>
      <c r="D1522" s="42" t="inlineStr">
        <is>
          <t>Mid-size/working metro</t>
        </is>
      </c>
      <c r="E1522" s="42" t="inlineStr">
        <is>
          <t>★</t>
        </is>
      </c>
      <c r="F1522" s="43" t="n">
        <v>30859</v>
      </c>
      <c r="G1522" s="43" t="n">
        <v>48444</v>
      </c>
      <c r="H1522" s="43" t="n">
        <v>80875</v>
      </c>
      <c r="I1522" s="43" t="n">
        <v>32271</v>
      </c>
      <c r="J1522" s="43" t="n">
        <v>48129</v>
      </c>
      <c r="K1522" s="42" t="inlineStr">
        <is>
          <t>US Senate</t>
        </is>
      </c>
      <c r="L1522" s="43" t="n">
        <v>21096</v>
      </c>
      <c r="M1522" s="43" t="n">
        <v>30057</v>
      </c>
      <c r="N1522" s="43" t="n">
        <v>51153</v>
      </c>
      <c r="O1522" s="44">
        <f>IFERROR((F1522-G1522)/(F1522+G1522),"")</f>
        <v/>
      </c>
      <c r="P1522" s="44">
        <f>IFERROR((I1522-J1522)/(I1522+J1522),"")</f>
        <v/>
      </c>
      <c r="Q1522" s="45">
        <f>IFERROR(O1522-P1522,"")</f>
        <v/>
      </c>
      <c r="R1522" s="44">
        <f>IFERROR((L1522-M1522)/(L1522+M1522),"")</f>
        <v/>
      </c>
      <c r="S1522" s="46">
        <f>H1522/SUMIFS(Counties!$H$2:$H$1583,Counties!$A$2:$A$1583,$A1522)</f>
        <v/>
      </c>
      <c r="T1522" s="44">
        <f>O1522+INDEX(Dashboard!$F$6:$F$22,MATCH($A1522,Dashboard!$A$6:$A$22,0))</f>
        <v/>
      </c>
      <c r="U1522" s="43">
        <f>AQ1522*INDEX(Dashboard!$G$6:$G$22,MATCH($A1522,Dashboard!$A$6:$A$22,0))</f>
        <v/>
      </c>
      <c r="V1522" s="47" t="n"/>
      <c r="W1522" s="47" t="n"/>
      <c r="X1522" s="47" t="n"/>
      <c r="Y1522" s="48" t="n"/>
      <c r="Z1522" s="49" t="n"/>
      <c r="AA1522" s="49" t="n"/>
      <c r="AB1522" s="49" t="n"/>
      <c r="AC1522" s="50" t="n"/>
      <c r="AD1522" s="43">
        <f>IF(Z1522&lt;&gt;"",Z1522,N(V1522))</f>
        <v/>
      </c>
      <c r="AE1522" s="43">
        <f>IF(AA1522&lt;&gt;"",AA1522,N(W1522))</f>
        <v/>
      </c>
      <c r="AF1522" s="43">
        <f>AD1522+AE1522</f>
        <v/>
      </c>
      <c r="AG1522" s="42">
        <f>IF(UPPER(AC1522)="Y",1,IF(AF1522=0,0,IF(AND(Z1522="",Y1522&lt;&gt;""),IF(Y1522&gt;=0.999,1,0),IF(AF1522&gt;=U1522,1,0))))</f>
        <v/>
      </c>
      <c r="AH1522" s="44">
        <f>IF(AF1522&gt;0,(AD1522-AE1522)/AF1522,"")</f>
        <v/>
      </c>
      <c r="AI1522" s="45">
        <f>IF(AG1522=1,AH1522-O1522,"")</f>
        <v/>
      </c>
      <c r="AJ1522" s="44">
        <f>IF(AG1522=1,AH1522,MAX(-1,MIN(1,O1522+INDEX(Types!$H:$H,MATCH($A1522&amp;"|"&amp;$D1522,Types!$A:$A,0)))))</f>
        <v/>
      </c>
      <c r="AK1522" s="43">
        <f>IF(AG1522=1,AF1522,MAX(AQ1522*AS1522,AF1522))</f>
        <v/>
      </c>
      <c r="AL1522" s="43">
        <f>IF(AG1522=1,AD1522,AK1522*(1+AJ1522)/2)</f>
        <v/>
      </c>
      <c r="AM1522" s="43">
        <f>IF(AG1522=1,AE1522,AK1522*(1-AJ1522)/2)</f>
        <v/>
      </c>
      <c r="AN1522" s="45">
        <f>IF(AH1522="","",AH1522-T1522)</f>
        <v/>
      </c>
      <c r="AO1522" s="51">
        <f>IF(AG1522=1,1,IF(U1522&gt;0,MIN(AF1522/U1522,0.99),0))</f>
        <v/>
      </c>
      <c r="AP1522" s="43">
        <f>IF(AG1522=1,AI1522*AF1522,0)</f>
        <v/>
      </c>
      <c r="AQ1522" s="43">
        <f>N1522*(F1522+G1522)/H1522</f>
        <v/>
      </c>
      <c r="AR1522" s="43">
        <f>O1522*AQ1522</f>
        <v/>
      </c>
      <c r="AS1522" s="52">
        <f>IF(AG1522=1,IF(AQ1522&gt;0,AF1522/AQ1522,1),IFERROR(INDEX(Types!$K:$K,MATCH($A1522&amp;"|"&amp;$D1522,Types!$A:$A,0)),INDEX(Dashboard!$X$6:$X$22,MATCH($A1522,Dashboard!$A$6:$A$22,0))))</f>
        <v/>
      </c>
      <c r="AT1522" s="43">
        <f>AQ1522*INDEX(Dashboard!$Y$6:$Y$22,MATCH($A1522,Dashboard!$A$6:$A$22,0))</f>
        <v/>
      </c>
      <c r="AU1522" s="53">
        <f>IF(AND(AG1522=1,AT1522&gt;0,AF1522&gt;0),100*AF1522/AT1522,"")</f>
        <v/>
      </c>
      <c r="AV1522" s="44">
        <f>IF(AU1522="","",T1522/(AU1522/100))</f>
        <v/>
      </c>
      <c r="AW1522" s="53">
        <f>IF(AU1522="","",IF(AND(ABS(AH1522)&gt;=0.1,ABS(T1522)&gt;=0.05,SIGN(AH1522)=SIGN(T1522)),100*T1522/AH1522,""))</f>
        <v/>
      </c>
      <c r="AX1522" s="45">
        <f>IF(AU1522="","",T1522-AV1522)</f>
        <v/>
      </c>
      <c r="AY1522" s="45">
        <f>IF(AU1522="","",AH1522-AV1522)</f>
        <v/>
      </c>
      <c r="AZ1522" s="54">
        <f>(AL1522-AM1522)-T1522*AT1522</f>
        <v/>
      </c>
      <c r="BA1522" s="43">
        <f>IF(AU1522="",0,(AH1522-T1522)*AF1522)</f>
        <v/>
      </c>
      <c r="BB1522" s="43">
        <f>IF(AU1522="",0,T1522*(AF1522-AT1522))</f>
        <v/>
      </c>
      <c r="BC1522" s="51" t="n">
        <v>0.04988296822923051</v>
      </c>
      <c r="BD1522" s="51" t="n">
        <v>0.04699949218134379</v>
      </c>
      <c r="BE1522" s="51" t="n">
        <v>0.3760024092238857</v>
      </c>
      <c r="BF1522" s="43" t="n">
        <v>171321</v>
      </c>
    </row>
    <row r="1523">
      <c r="A1523" s="42" t="inlineStr">
        <is>
          <t>KY</t>
        </is>
      </c>
      <c r="B1523" s="42" t="inlineStr">
        <is>
          <t>21119</t>
        </is>
      </c>
      <c r="C1523" s="42" t="inlineStr">
        <is>
          <t>Knott</t>
        </is>
      </c>
      <c r="D1523" s="42" t="inlineStr">
        <is>
          <t>Small town &amp; rural</t>
        </is>
      </c>
      <c r="E1523" s="42" t="inlineStr"/>
      <c r="F1523" s="43" t="n">
        <v>1181</v>
      </c>
      <c r="G1523" s="43" t="n">
        <v>4732</v>
      </c>
      <c r="H1523" s="43" t="n">
        <v>6003</v>
      </c>
      <c r="I1523" s="43" t="n">
        <v>1412</v>
      </c>
      <c r="J1523" s="43" t="n">
        <v>4780</v>
      </c>
      <c r="K1523" s="42" t="inlineStr">
        <is>
          <t>US Senate</t>
        </is>
      </c>
      <c r="L1523" s="43" t="n">
        <v>1540</v>
      </c>
      <c r="M1523" s="43" t="n">
        <v>3252</v>
      </c>
      <c r="N1523" s="43" t="n">
        <v>4792</v>
      </c>
      <c r="O1523" s="44">
        <f>IFERROR((F1523-G1523)/(F1523+G1523),"")</f>
        <v/>
      </c>
      <c r="P1523" s="44">
        <f>IFERROR((I1523-J1523)/(I1523+J1523),"")</f>
        <v/>
      </c>
      <c r="Q1523" s="45">
        <f>IFERROR(O1523-P1523,"")</f>
        <v/>
      </c>
      <c r="R1523" s="44">
        <f>IFERROR((L1523-M1523)/(L1523+M1523),"")</f>
        <v/>
      </c>
      <c r="S1523" s="46">
        <f>H1523/SUMIFS(Counties!$H$2:$H$1583,Counties!$A$2:$A$1583,$A1523)</f>
        <v/>
      </c>
      <c r="T1523" s="44">
        <f>O1523+INDEX(Dashboard!$F$6:$F$22,MATCH($A1523,Dashboard!$A$6:$A$22,0))</f>
        <v/>
      </c>
      <c r="U1523" s="43">
        <f>AQ1523*INDEX(Dashboard!$G$6:$G$22,MATCH($A1523,Dashboard!$A$6:$A$22,0))</f>
        <v/>
      </c>
      <c r="V1523" s="47" t="n"/>
      <c r="W1523" s="47" t="n"/>
      <c r="X1523" s="47" t="n"/>
      <c r="Y1523" s="48" t="n"/>
      <c r="Z1523" s="49" t="n"/>
      <c r="AA1523" s="49" t="n"/>
      <c r="AB1523" s="49" t="n"/>
      <c r="AC1523" s="50" t="n"/>
      <c r="AD1523" s="43">
        <f>IF(Z1523&lt;&gt;"",Z1523,N(V1523))</f>
        <v/>
      </c>
      <c r="AE1523" s="43">
        <f>IF(AA1523&lt;&gt;"",AA1523,N(W1523))</f>
        <v/>
      </c>
      <c r="AF1523" s="43">
        <f>AD1523+AE1523</f>
        <v/>
      </c>
      <c r="AG1523" s="42">
        <f>IF(UPPER(AC1523)="Y",1,IF(AF1523=0,0,IF(AND(Z1523="",Y1523&lt;&gt;""),IF(Y1523&gt;=0.999,1,0),IF(AF1523&gt;=U1523,1,0))))</f>
        <v/>
      </c>
      <c r="AH1523" s="44">
        <f>IF(AF1523&gt;0,(AD1523-AE1523)/AF1523,"")</f>
        <v/>
      </c>
      <c r="AI1523" s="45">
        <f>IF(AG1523=1,AH1523-O1523,"")</f>
        <v/>
      </c>
      <c r="AJ1523" s="44">
        <f>IF(AG1523=1,AH1523,MAX(-1,MIN(1,O1523+INDEX(Types!$H:$H,MATCH($A1523&amp;"|"&amp;$D1523,Types!$A:$A,0)))))</f>
        <v/>
      </c>
      <c r="AK1523" s="43">
        <f>IF(AG1523=1,AF1523,MAX(AQ1523*AS1523,AF1523))</f>
        <v/>
      </c>
      <c r="AL1523" s="43">
        <f>IF(AG1523=1,AD1523,AK1523*(1+AJ1523)/2)</f>
        <v/>
      </c>
      <c r="AM1523" s="43">
        <f>IF(AG1523=1,AE1523,AK1523*(1-AJ1523)/2)</f>
        <v/>
      </c>
      <c r="AN1523" s="45">
        <f>IF(AH1523="","",AH1523-T1523)</f>
        <v/>
      </c>
      <c r="AO1523" s="51">
        <f>IF(AG1523=1,1,IF(U1523&gt;0,MIN(AF1523/U1523,0.99),0))</f>
        <v/>
      </c>
      <c r="AP1523" s="43">
        <f>IF(AG1523=1,AI1523*AF1523,0)</f>
        <v/>
      </c>
      <c r="AQ1523" s="43">
        <f>N1523*(F1523+G1523)/H1523</f>
        <v/>
      </c>
      <c r="AR1523" s="43">
        <f>O1523*AQ1523</f>
        <v/>
      </c>
      <c r="AS1523" s="52">
        <f>IF(AG1523=1,IF(AQ1523&gt;0,AF1523/AQ1523,1),IFERROR(INDEX(Types!$K:$K,MATCH($A1523&amp;"|"&amp;$D1523,Types!$A:$A,0)),INDEX(Dashboard!$X$6:$X$22,MATCH($A1523,Dashboard!$A$6:$A$22,0))))</f>
        <v/>
      </c>
      <c r="AT1523" s="43">
        <f>AQ1523*INDEX(Dashboard!$Y$6:$Y$22,MATCH($A1523,Dashboard!$A$6:$A$22,0))</f>
        <v/>
      </c>
      <c r="AU1523" s="53">
        <f>IF(AND(AG1523=1,AT1523&gt;0,AF1523&gt;0),100*AF1523/AT1523,"")</f>
        <v/>
      </c>
      <c r="AV1523" s="44">
        <f>IF(AU1523="","",T1523/(AU1523/100))</f>
        <v/>
      </c>
      <c r="AW1523" s="53">
        <f>IF(AU1523="","",IF(AND(ABS(AH1523)&gt;=0.1,ABS(T1523)&gt;=0.05,SIGN(AH1523)=SIGN(T1523)),100*T1523/AH1523,""))</f>
        <v/>
      </c>
      <c r="AX1523" s="45">
        <f>IF(AU1523="","",T1523-AV1523)</f>
        <v/>
      </c>
      <c r="AY1523" s="45">
        <f>IF(AU1523="","",AH1523-AV1523)</f>
        <v/>
      </c>
      <c r="AZ1523" s="54">
        <f>(AL1523-AM1523)-T1523*AT1523</f>
        <v/>
      </c>
      <c r="BA1523" s="43">
        <f>IF(AU1523="",0,(AH1523-T1523)*AF1523)</f>
        <v/>
      </c>
      <c r="BB1523" s="43">
        <f>IF(AU1523="",0,T1523*(AF1523-AT1523))</f>
        <v/>
      </c>
      <c r="BC1523" s="51" t="n">
        <v>0.01032286404568416</v>
      </c>
      <c r="BD1523" s="51" t="n">
        <v>0.01010322864045684</v>
      </c>
      <c r="BE1523" s="51" t="n">
        <v>0.1784913353720693</v>
      </c>
      <c r="BF1523" s="43" t="n">
        <v>13659</v>
      </c>
    </row>
    <row r="1524">
      <c r="A1524" s="42" t="inlineStr">
        <is>
          <t>KY</t>
        </is>
      </c>
      <c r="B1524" s="42" t="inlineStr">
        <is>
          <t>21121</t>
        </is>
      </c>
      <c r="C1524" s="42" t="inlineStr">
        <is>
          <t>Knox</t>
        </is>
      </c>
      <c r="D1524" s="42" t="inlineStr">
        <is>
          <t>Small town &amp; rural</t>
        </is>
      </c>
      <c r="E1524" s="42" t="inlineStr"/>
      <c r="F1524" s="43" t="n">
        <v>1821</v>
      </c>
      <c r="G1524" s="43" t="n">
        <v>11178</v>
      </c>
      <c r="H1524" s="43" t="n">
        <v>13156</v>
      </c>
      <c r="I1524" s="43" t="n">
        <v>2114</v>
      </c>
      <c r="J1524" s="43" t="n">
        <v>11012</v>
      </c>
      <c r="K1524" s="42" t="inlineStr">
        <is>
          <t>US Senate</t>
        </is>
      </c>
      <c r="L1524" s="43" t="n">
        <v>1516</v>
      </c>
      <c r="M1524" s="43" t="n">
        <v>6457</v>
      </c>
      <c r="N1524" s="43" t="n">
        <v>7973</v>
      </c>
      <c r="O1524" s="44">
        <f>IFERROR((F1524-G1524)/(F1524+G1524),"")</f>
        <v/>
      </c>
      <c r="P1524" s="44">
        <f>IFERROR((I1524-J1524)/(I1524+J1524),"")</f>
        <v/>
      </c>
      <c r="Q1524" s="45">
        <f>IFERROR(O1524-P1524,"")</f>
        <v/>
      </c>
      <c r="R1524" s="44">
        <f>IFERROR((L1524-M1524)/(L1524+M1524),"")</f>
        <v/>
      </c>
      <c r="S1524" s="46">
        <f>H1524/SUMIFS(Counties!$H$2:$H$1583,Counties!$A$2:$A$1583,$A1524)</f>
        <v/>
      </c>
      <c r="T1524" s="44">
        <f>O1524+INDEX(Dashboard!$F$6:$F$22,MATCH($A1524,Dashboard!$A$6:$A$22,0))</f>
        <v/>
      </c>
      <c r="U1524" s="43">
        <f>AQ1524*INDEX(Dashboard!$G$6:$G$22,MATCH($A1524,Dashboard!$A$6:$A$22,0))</f>
        <v/>
      </c>
      <c r="V1524" s="47" t="n"/>
      <c r="W1524" s="47" t="n"/>
      <c r="X1524" s="47" t="n"/>
      <c r="Y1524" s="48" t="n"/>
      <c r="Z1524" s="49" t="n"/>
      <c r="AA1524" s="49" t="n"/>
      <c r="AB1524" s="49" t="n"/>
      <c r="AC1524" s="50" t="n"/>
      <c r="AD1524" s="43">
        <f>IF(Z1524&lt;&gt;"",Z1524,N(V1524))</f>
        <v/>
      </c>
      <c r="AE1524" s="43">
        <f>IF(AA1524&lt;&gt;"",AA1524,N(W1524))</f>
        <v/>
      </c>
      <c r="AF1524" s="43">
        <f>AD1524+AE1524</f>
        <v/>
      </c>
      <c r="AG1524" s="42">
        <f>IF(UPPER(AC1524)="Y",1,IF(AF1524=0,0,IF(AND(Z1524="",Y1524&lt;&gt;""),IF(Y1524&gt;=0.999,1,0),IF(AF1524&gt;=U1524,1,0))))</f>
        <v/>
      </c>
      <c r="AH1524" s="44">
        <f>IF(AF1524&gt;0,(AD1524-AE1524)/AF1524,"")</f>
        <v/>
      </c>
      <c r="AI1524" s="45">
        <f>IF(AG1524=1,AH1524-O1524,"")</f>
        <v/>
      </c>
      <c r="AJ1524" s="44">
        <f>IF(AG1524=1,AH1524,MAX(-1,MIN(1,O1524+INDEX(Types!$H:$H,MATCH($A1524&amp;"|"&amp;$D1524,Types!$A:$A,0)))))</f>
        <v/>
      </c>
      <c r="AK1524" s="43">
        <f>IF(AG1524=1,AF1524,MAX(AQ1524*AS1524,AF1524))</f>
        <v/>
      </c>
      <c r="AL1524" s="43">
        <f>IF(AG1524=1,AD1524,AK1524*(1+AJ1524)/2)</f>
        <v/>
      </c>
      <c r="AM1524" s="43">
        <f>IF(AG1524=1,AE1524,AK1524*(1-AJ1524)/2)</f>
        <v/>
      </c>
      <c r="AN1524" s="45">
        <f>IF(AH1524="","",AH1524-T1524)</f>
        <v/>
      </c>
      <c r="AO1524" s="51">
        <f>IF(AG1524=1,1,IF(U1524&gt;0,MIN(AF1524/U1524,0.99),0))</f>
        <v/>
      </c>
      <c r="AP1524" s="43">
        <f>IF(AG1524=1,AI1524*AF1524,0)</f>
        <v/>
      </c>
      <c r="AQ1524" s="43">
        <f>N1524*(F1524+G1524)/H1524</f>
        <v/>
      </c>
      <c r="AR1524" s="43">
        <f>O1524*AQ1524</f>
        <v/>
      </c>
      <c r="AS1524" s="52">
        <f>IF(AG1524=1,IF(AQ1524&gt;0,AF1524/AQ1524,1),IFERROR(INDEX(Types!$K:$K,MATCH($A1524&amp;"|"&amp;$D1524,Types!$A:$A,0)),INDEX(Dashboard!$X$6:$X$22,MATCH($A1524,Dashboard!$A$6:$A$22,0))))</f>
        <v/>
      </c>
      <c r="AT1524" s="43">
        <f>AQ1524*INDEX(Dashboard!$Y$6:$Y$22,MATCH($A1524,Dashboard!$A$6:$A$22,0))</f>
        <v/>
      </c>
      <c r="AU1524" s="53">
        <f>IF(AND(AG1524=1,AT1524&gt;0,AF1524&gt;0),100*AF1524/AT1524,"")</f>
        <v/>
      </c>
      <c r="AV1524" s="44">
        <f>IF(AU1524="","",T1524/(AU1524/100))</f>
        <v/>
      </c>
      <c r="AW1524" s="53">
        <f>IF(AU1524="","",IF(AND(ABS(AH1524)&gt;=0.1,ABS(T1524)&gt;=0.05,SIGN(AH1524)=SIGN(T1524)),100*T1524/AH1524,""))</f>
        <v/>
      </c>
      <c r="AX1524" s="45">
        <f>IF(AU1524="","",T1524-AV1524)</f>
        <v/>
      </c>
      <c r="AY1524" s="45">
        <f>IF(AU1524="","",AH1524-AV1524)</f>
        <v/>
      </c>
      <c r="AZ1524" s="54">
        <f>(AL1524-AM1524)-T1524*AT1524</f>
        <v/>
      </c>
      <c r="BA1524" s="43">
        <f>IF(AU1524="",0,(AH1524-T1524)*AF1524)</f>
        <v/>
      </c>
      <c r="BB1524" s="43">
        <f>IF(AU1524="",0,T1524*(AF1524-AT1524))</f>
        <v/>
      </c>
      <c r="BC1524" s="51" t="n">
        <v>0.01372759616030073</v>
      </c>
      <c r="BD1524" s="51" t="n">
        <v>0.01349264952675035</v>
      </c>
      <c r="BE1524" s="51" t="n">
        <v>0.1354538781502324</v>
      </c>
      <c r="BF1524" s="43" t="n">
        <v>29794</v>
      </c>
    </row>
    <row r="1525">
      <c r="A1525" s="42" t="inlineStr">
        <is>
          <t>KY</t>
        </is>
      </c>
      <c r="B1525" s="42" t="inlineStr">
        <is>
          <t>21123</t>
        </is>
      </c>
      <c r="C1525" s="42" t="inlineStr">
        <is>
          <t>Larue</t>
        </is>
      </c>
      <c r="D1525" s="42" t="inlineStr">
        <is>
          <t>Small town &amp; rural</t>
        </is>
      </c>
      <c r="E1525" s="42" t="inlineStr"/>
      <c r="F1525" s="43" t="n">
        <v>1389</v>
      </c>
      <c r="G1525" s="43" t="n">
        <v>5773</v>
      </c>
      <c r="H1525" s="43" t="n">
        <v>7258</v>
      </c>
      <c r="I1525" s="43" t="n">
        <v>1504</v>
      </c>
      <c r="J1525" s="43" t="n">
        <v>5685</v>
      </c>
      <c r="K1525" s="42" t="inlineStr">
        <is>
          <t>US Senate</t>
        </is>
      </c>
      <c r="L1525" s="43" t="n">
        <v>1250</v>
      </c>
      <c r="M1525" s="43" t="n">
        <v>3955</v>
      </c>
      <c r="N1525" s="43" t="n">
        <v>5205</v>
      </c>
      <c r="O1525" s="44">
        <f>IFERROR((F1525-G1525)/(F1525+G1525),"")</f>
        <v/>
      </c>
      <c r="P1525" s="44">
        <f>IFERROR((I1525-J1525)/(I1525+J1525),"")</f>
        <v/>
      </c>
      <c r="Q1525" s="45">
        <f>IFERROR(O1525-P1525,"")</f>
        <v/>
      </c>
      <c r="R1525" s="44">
        <f>IFERROR((L1525-M1525)/(L1525+M1525),"")</f>
        <v/>
      </c>
      <c r="S1525" s="46">
        <f>H1525/SUMIFS(Counties!$H$2:$H$1583,Counties!$A$2:$A$1583,$A1525)</f>
        <v/>
      </c>
      <c r="T1525" s="44">
        <f>O1525+INDEX(Dashboard!$F$6:$F$22,MATCH($A1525,Dashboard!$A$6:$A$22,0))</f>
        <v/>
      </c>
      <c r="U1525" s="43">
        <f>AQ1525*INDEX(Dashboard!$G$6:$G$22,MATCH($A1525,Dashboard!$A$6:$A$22,0))</f>
        <v/>
      </c>
      <c r="V1525" s="47" t="n"/>
      <c r="W1525" s="47" t="n"/>
      <c r="X1525" s="47" t="n"/>
      <c r="Y1525" s="48" t="n"/>
      <c r="Z1525" s="49" t="n"/>
      <c r="AA1525" s="49" t="n"/>
      <c r="AB1525" s="49" t="n"/>
      <c r="AC1525" s="50" t="n"/>
      <c r="AD1525" s="43">
        <f>IF(Z1525&lt;&gt;"",Z1525,N(V1525))</f>
        <v/>
      </c>
      <c r="AE1525" s="43">
        <f>IF(AA1525&lt;&gt;"",AA1525,N(W1525))</f>
        <v/>
      </c>
      <c r="AF1525" s="43">
        <f>AD1525+AE1525</f>
        <v/>
      </c>
      <c r="AG1525" s="42">
        <f>IF(UPPER(AC1525)="Y",1,IF(AF1525=0,0,IF(AND(Z1525="",Y1525&lt;&gt;""),IF(Y1525&gt;=0.999,1,0),IF(AF1525&gt;=U1525,1,0))))</f>
        <v/>
      </c>
      <c r="AH1525" s="44">
        <f>IF(AF1525&gt;0,(AD1525-AE1525)/AF1525,"")</f>
        <v/>
      </c>
      <c r="AI1525" s="45">
        <f>IF(AG1525=1,AH1525-O1525,"")</f>
        <v/>
      </c>
      <c r="AJ1525" s="44">
        <f>IF(AG1525=1,AH1525,MAX(-1,MIN(1,O1525+INDEX(Types!$H:$H,MATCH($A1525&amp;"|"&amp;$D1525,Types!$A:$A,0)))))</f>
        <v/>
      </c>
      <c r="AK1525" s="43">
        <f>IF(AG1525=1,AF1525,MAX(AQ1525*AS1525,AF1525))</f>
        <v/>
      </c>
      <c r="AL1525" s="43">
        <f>IF(AG1525=1,AD1525,AK1525*(1+AJ1525)/2)</f>
        <v/>
      </c>
      <c r="AM1525" s="43">
        <f>IF(AG1525=1,AE1525,AK1525*(1-AJ1525)/2)</f>
        <v/>
      </c>
      <c r="AN1525" s="45">
        <f>IF(AH1525="","",AH1525-T1525)</f>
        <v/>
      </c>
      <c r="AO1525" s="51">
        <f>IF(AG1525=1,1,IF(U1525&gt;0,MIN(AF1525/U1525,0.99),0))</f>
        <v/>
      </c>
      <c r="AP1525" s="43">
        <f>IF(AG1525=1,AI1525*AF1525,0)</f>
        <v/>
      </c>
      <c r="AQ1525" s="43">
        <f>N1525*(F1525+G1525)/H1525</f>
        <v/>
      </c>
      <c r="AR1525" s="43">
        <f>O1525*AQ1525</f>
        <v/>
      </c>
      <c r="AS1525" s="52">
        <f>IF(AG1525=1,IF(AQ1525&gt;0,AF1525/AQ1525,1),IFERROR(INDEX(Types!$K:$K,MATCH($A1525&amp;"|"&amp;$D1525,Types!$A:$A,0)),INDEX(Dashboard!$X$6:$X$22,MATCH($A1525,Dashboard!$A$6:$A$22,0))))</f>
        <v/>
      </c>
      <c r="AT1525" s="43">
        <f>AQ1525*INDEX(Dashboard!$Y$6:$Y$22,MATCH($A1525,Dashboard!$A$6:$A$22,0))</f>
        <v/>
      </c>
      <c r="AU1525" s="53">
        <f>IF(AND(AG1525=1,AT1525&gt;0,AF1525&gt;0),100*AF1525/AT1525,"")</f>
        <v/>
      </c>
      <c r="AV1525" s="44">
        <f>IF(AU1525="","",T1525/(AU1525/100))</f>
        <v/>
      </c>
      <c r="AW1525" s="53">
        <f>IF(AU1525="","",IF(AND(ABS(AH1525)&gt;=0.1,ABS(T1525)&gt;=0.05,SIGN(AH1525)=SIGN(T1525)),100*T1525/AH1525,""))</f>
        <v/>
      </c>
      <c r="AX1525" s="45">
        <f>IF(AU1525="","",T1525-AV1525)</f>
        <v/>
      </c>
      <c r="AY1525" s="45">
        <f>IF(AU1525="","",AH1525-AV1525)</f>
        <v/>
      </c>
      <c r="AZ1525" s="54">
        <f>(AL1525-AM1525)-T1525*AT1525</f>
        <v/>
      </c>
      <c r="BA1525" s="43">
        <f>IF(AU1525="",0,(AH1525-T1525)*AF1525)</f>
        <v/>
      </c>
      <c r="BB1525" s="43">
        <f>IF(AU1525="",0,T1525*(AF1525-AT1525))</f>
        <v/>
      </c>
      <c r="BC1525" s="51" t="n">
        <v>0.02764163889433444</v>
      </c>
      <c r="BD1525" s="51" t="n">
        <v>0.03378422531529766</v>
      </c>
      <c r="BE1525" s="51" t="n">
        <v>0.1562351147947033</v>
      </c>
      <c r="BF1525" s="43" t="n">
        <v>15303</v>
      </c>
    </row>
    <row r="1526">
      <c r="A1526" s="42" t="inlineStr">
        <is>
          <t>KY</t>
        </is>
      </c>
      <c r="B1526" s="42" t="inlineStr">
        <is>
          <t>21125</t>
        </is>
      </c>
      <c r="C1526" s="42" t="inlineStr">
        <is>
          <t>Laurel</t>
        </is>
      </c>
      <c r="D1526" s="42" t="inlineStr">
        <is>
          <t>Small town &amp; rural</t>
        </is>
      </c>
      <c r="E1526" s="42" t="inlineStr"/>
      <c r="F1526" s="43" t="n">
        <v>4037</v>
      </c>
      <c r="G1526" s="43" t="n">
        <v>23516</v>
      </c>
      <c r="H1526" s="43" t="n">
        <v>27884</v>
      </c>
      <c r="I1526" s="43" t="n">
        <v>4475</v>
      </c>
      <c r="J1526" s="43" t="n">
        <v>23237</v>
      </c>
      <c r="K1526" s="42" t="inlineStr">
        <is>
          <t>US Senate</t>
        </is>
      </c>
      <c r="L1526" s="43" t="n">
        <v>3096</v>
      </c>
      <c r="M1526" s="43" t="n">
        <v>14474</v>
      </c>
      <c r="N1526" s="43" t="n">
        <v>17570</v>
      </c>
      <c r="O1526" s="44">
        <f>IFERROR((F1526-G1526)/(F1526+G1526),"")</f>
        <v/>
      </c>
      <c r="P1526" s="44">
        <f>IFERROR((I1526-J1526)/(I1526+J1526),"")</f>
        <v/>
      </c>
      <c r="Q1526" s="45">
        <f>IFERROR(O1526-P1526,"")</f>
        <v/>
      </c>
      <c r="R1526" s="44">
        <f>IFERROR((L1526-M1526)/(L1526+M1526),"")</f>
        <v/>
      </c>
      <c r="S1526" s="46">
        <f>H1526/SUMIFS(Counties!$H$2:$H$1583,Counties!$A$2:$A$1583,$A1526)</f>
        <v/>
      </c>
      <c r="T1526" s="44">
        <f>O1526+INDEX(Dashboard!$F$6:$F$22,MATCH($A1526,Dashboard!$A$6:$A$22,0))</f>
        <v/>
      </c>
      <c r="U1526" s="43">
        <f>AQ1526*INDEX(Dashboard!$G$6:$G$22,MATCH($A1526,Dashboard!$A$6:$A$22,0))</f>
        <v/>
      </c>
      <c r="V1526" s="47" t="n"/>
      <c r="W1526" s="47" t="n"/>
      <c r="X1526" s="47" t="n"/>
      <c r="Y1526" s="48" t="n"/>
      <c r="Z1526" s="49" t="n"/>
      <c r="AA1526" s="49" t="n"/>
      <c r="AB1526" s="49" t="n"/>
      <c r="AC1526" s="50" t="n"/>
      <c r="AD1526" s="43">
        <f>IF(Z1526&lt;&gt;"",Z1526,N(V1526))</f>
        <v/>
      </c>
      <c r="AE1526" s="43">
        <f>IF(AA1526&lt;&gt;"",AA1526,N(W1526))</f>
        <v/>
      </c>
      <c r="AF1526" s="43">
        <f>AD1526+AE1526</f>
        <v/>
      </c>
      <c r="AG1526" s="42">
        <f>IF(UPPER(AC1526)="Y",1,IF(AF1526=0,0,IF(AND(Z1526="",Y1526&lt;&gt;""),IF(Y1526&gt;=0.999,1,0),IF(AF1526&gt;=U1526,1,0))))</f>
        <v/>
      </c>
      <c r="AH1526" s="44">
        <f>IF(AF1526&gt;0,(AD1526-AE1526)/AF1526,"")</f>
        <v/>
      </c>
      <c r="AI1526" s="45">
        <f>IF(AG1526=1,AH1526-O1526,"")</f>
        <v/>
      </c>
      <c r="AJ1526" s="44">
        <f>IF(AG1526=1,AH1526,MAX(-1,MIN(1,O1526+INDEX(Types!$H:$H,MATCH($A1526&amp;"|"&amp;$D1526,Types!$A:$A,0)))))</f>
        <v/>
      </c>
      <c r="AK1526" s="43">
        <f>IF(AG1526=1,AF1526,MAX(AQ1526*AS1526,AF1526))</f>
        <v/>
      </c>
      <c r="AL1526" s="43">
        <f>IF(AG1526=1,AD1526,AK1526*(1+AJ1526)/2)</f>
        <v/>
      </c>
      <c r="AM1526" s="43">
        <f>IF(AG1526=1,AE1526,AK1526*(1-AJ1526)/2)</f>
        <v/>
      </c>
      <c r="AN1526" s="45">
        <f>IF(AH1526="","",AH1526-T1526)</f>
        <v/>
      </c>
      <c r="AO1526" s="51">
        <f>IF(AG1526=1,1,IF(U1526&gt;0,MIN(AF1526/U1526,0.99),0))</f>
        <v/>
      </c>
      <c r="AP1526" s="43">
        <f>IF(AG1526=1,AI1526*AF1526,0)</f>
        <v/>
      </c>
      <c r="AQ1526" s="43">
        <f>N1526*(F1526+G1526)/H1526</f>
        <v/>
      </c>
      <c r="AR1526" s="43">
        <f>O1526*AQ1526</f>
        <v/>
      </c>
      <c r="AS1526" s="52">
        <f>IF(AG1526=1,IF(AQ1526&gt;0,AF1526/AQ1526,1),IFERROR(INDEX(Types!$K:$K,MATCH($A1526&amp;"|"&amp;$D1526,Types!$A:$A,0)),INDEX(Dashboard!$X$6:$X$22,MATCH($A1526,Dashboard!$A$6:$A$22,0))))</f>
        <v/>
      </c>
      <c r="AT1526" s="43">
        <f>AQ1526*INDEX(Dashboard!$Y$6:$Y$22,MATCH($A1526,Dashboard!$A$6:$A$22,0))</f>
        <v/>
      </c>
      <c r="AU1526" s="53">
        <f>IF(AND(AG1526=1,AT1526&gt;0,AF1526&gt;0),100*AF1526/AT1526,"")</f>
        <v/>
      </c>
      <c r="AV1526" s="44">
        <f>IF(AU1526="","",T1526/(AU1526/100))</f>
        <v/>
      </c>
      <c r="AW1526" s="53">
        <f>IF(AU1526="","",IF(AND(ABS(AH1526)&gt;=0.1,ABS(T1526)&gt;=0.05,SIGN(AH1526)=SIGN(T1526)),100*T1526/AH1526,""))</f>
        <v/>
      </c>
      <c r="AX1526" s="45">
        <f>IF(AU1526="","",T1526-AV1526)</f>
        <v/>
      </c>
      <c r="AY1526" s="45">
        <f>IF(AU1526="","",AH1526-AV1526)</f>
        <v/>
      </c>
      <c r="AZ1526" s="54">
        <f>(AL1526-AM1526)-T1526*AT1526</f>
        <v/>
      </c>
      <c r="BA1526" s="43">
        <f>IF(AU1526="",0,(AH1526-T1526)*AF1526)</f>
        <v/>
      </c>
      <c r="BB1526" s="43">
        <f>IF(AU1526="",0,T1526*(AF1526-AT1526))</f>
        <v/>
      </c>
      <c r="BC1526" s="51" t="n">
        <v>0.008768326592517695</v>
      </c>
      <c r="BD1526" s="51" t="n">
        <v>0.01764724469160768</v>
      </c>
      <c r="BE1526" s="51" t="n">
        <v>0.1652183908045977</v>
      </c>
      <c r="BF1526" s="43" t="n">
        <v>63296</v>
      </c>
    </row>
    <row r="1527">
      <c r="A1527" s="42" t="inlineStr">
        <is>
          <t>KY</t>
        </is>
      </c>
      <c r="B1527" s="42" t="inlineStr">
        <is>
          <t>21127</t>
        </is>
      </c>
      <c r="C1527" s="42" t="inlineStr">
        <is>
          <t>Lawrence</t>
        </is>
      </c>
      <c r="D1527" s="42" t="inlineStr">
        <is>
          <t>Small town &amp; rural</t>
        </is>
      </c>
      <c r="E1527" s="42" t="inlineStr"/>
      <c r="F1527" s="43" t="n">
        <v>1044</v>
      </c>
      <c r="G1527" s="43" t="n">
        <v>5464</v>
      </c>
      <c r="H1527" s="43" t="n">
        <v>6572</v>
      </c>
      <c r="I1527" s="43" t="n">
        <v>1238</v>
      </c>
      <c r="J1527" s="43" t="n">
        <v>5633</v>
      </c>
      <c r="K1527" s="42" t="inlineStr">
        <is>
          <t>US Senate</t>
        </is>
      </c>
      <c r="L1527" s="43" t="n">
        <v>948</v>
      </c>
      <c r="M1527" s="43" t="n">
        <v>3179</v>
      </c>
      <c r="N1527" s="43" t="n">
        <v>4127</v>
      </c>
      <c r="O1527" s="44">
        <f>IFERROR((F1527-G1527)/(F1527+G1527),"")</f>
        <v/>
      </c>
      <c r="P1527" s="44">
        <f>IFERROR((I1527-J1527)/(I1527+J1527),"")</f>
        <v/>
      </c>
      <c r="Q1527" s="45">
        <f>IFERROR(O1527-P1527,"")</f>
        <v/>
      </c>
      <c r="R1527" s="44">
        <f>IFERROR((L1527-M1527)/(L1527+M1527),"")</f>
        <v/>
      </c>
      <c r="S1527" s="46">
        <f>H1527/SUMIFS(Counties!$H$2:$H$1583,Counties!$A$2:$A$1583,$A1527)</f>
        <v/>
      </c>
      <c r="T1527" s="44">
        <f>O1527+INDEX(Dashboard!$F$6:$F$22,MATCH($A1527,Dashboard!$A$6:$A$22,0))</f>
        <v/>
      </c>
      <c r="U1527" s="43">
        <f>AQ1527*INDEX(Dashboard!$G$6:$G$22,MATCH($A1527,Dashboard!$A$6:$A$22,0))</f>
        <v/>
      </c>
      <c r="V1527" s="47" t="n"/>
      <c r="W1527" s="47" t="n"/>
      <c r="X1527" s="47" t="n"/>
      <c r="Y1527" s="48" t="n"/>
      <c r="Z1527" s="49" t="n"/>
      <c r="AA1527" s="49" t="n"/>
      <c r="AB1527" s="49" t="n"/>
      <c r="AC1527" s="50" t="n"/>
      <c r="AD1527" s="43">
        <f>IF(Z1527&lt;&gt;"",Z1527,N(V1527))</f>
        <v/>
      </c>
      <c r="AE1527" s="43">
        <f>IF(AA1527&lt;&gt;"",AA1527,N(W1527))</f>
        <v/>
      </c>
      <c r="AF1527" s="43">
        <f>AD1527+AE1527</f>
        <v/>
      </c>
      <c r="AG1527" s="42">
        <f>IF(UPPER(AC1527)="Y",1,IF(AF1527=0,0,IF(AND(Z1527="",Y1527&lt;&gt;""),IF(Y1527&gt;=0.999,1,0),IF(AF1527&gt;=U1527,1,0))))</f>
        <v/>
      </c>
      <c r="AH1527" s="44">
        <f>IF(AF1527&gt;0,(AD1527-AE1527)/AF1527,"")</f>
        <v/>
      </c>
      <c r="AI1527" s="45">
        <f>IF(AG1527=1,AH1527-O1527,"")</f>
        <v/>
      </c>
      <c r="AJ1527" s="44">
        <f>IF(AG1527=1,AH1527,MAX(-1,MIN(1,O1527+INDEX(Types!$H:$H,MATCH($A1527&amp;"|"&amp;$D1527,Types!$A:$A,0)))))</f>
        <v/>
      </c>
      <c r="AK1527" s="43">
        <f>IF(AG1527=1,AF1527,MAX(AQ1527*AS1527,AF1527))</f>
        <v/>
      </c>
      <c r="AL1527" s="43">
        <f>IF(AG1527=1,AD1527,AK1527*(1+AJ1527)/2)</f>
        <v/>
      </c>
      <c r="AM1527" s="43">
        <f>IF(AG1527=1,AE1527,AK1527*(1-AJ1527)/2)</f>
        <v/>
      </c>
      <c r="AN1527" s="45">
        <f>IF(AH1527="","",AH1527-T1527)</f>
        <v/>
      </c>
      <c r="AO1527" s="51">
        <f>IF(AG1527=1,1,IF(U1527&gt;0,MIN(AF1527/U1527,0.99),0))</f>
        <v/>
      </c>
      <c r="AP1527" s="43">
        <f>IF(AG1527=1,AI1527*AF1527,0)</f>
        <v/>
      </c>
      <c r="AQ1527" s="43">
        <f>N1527*(F1527+G1527)/H1527</f>
        <v/>
      </c>
      <c r="AR1527" s="43">
        <f>O1527*AQ1527</f>
        <v/>
      </c>
      <c r="AS1527" s="52">
        <f>IF(AG1527=1,IF(AQ1527&gt;0,AF1527/AQ1527,1),IFERROR(INDEX(Types!$K:$K,MATCH($A1527&amp;"|"&amp;$D1527,Types!$A:$A,0)),INDEX(Dashboard!$X$6:$X$22,MATCH($A1527,Dashboard!$A$6:$A$22,0))))</f>
        <v/>
      </c>
      <c r="AT1527" s="43">
        <f>AQ1527*INDEX(Dashboard!$Y$6:$Y$22,MATCH($A1527,Dashboard!$A$6:$A$22,0))</f>
        <v/>
      </c>
      <c r="AU1527" s="53">
        <f>IF(AND(AG1527=1,AT1527&gt;0,AF1527&gt;0),100*AF1527/AT1527,"")</f>
        <v/>
      </c>
      <c r="AV1527" s="44">
        <f>IF(AU1527="","",T1527/(AU1527/100))</f>
        <v/>
      </c>
      <c r="AW1527" s="53">
        <f>IF(AU1527="","",IF(AND(ABS(AH1527)&gt;=0.1,ABS(T1527)&gt;=0.05,SIGN(AH1527)=SIGN(T1527)),100*T1527/AH1527,""))</f>
        <v/>
      </c>
      <c r="AX1527" s="45">
        <f>IF(AU1527="","",T1527-AV1527)</f>
        <v/>
      </c>
      <c r="AY1527" s="45">
        <f>IF(AU1527="","",AH1527-AV1527)</f>
        <v/>
      </c>
      <c r="AZ1527" s="54">
        <f>(AL1527-AM1527)-T1527*AT1527</f>
        <v/>
      </c>
      <c r="BA1527" s="43">
        <f>IF(AU1527="",0,(AH1527-T1527)*AF1527)</f>
        <v/>
      </c>
      <c r="BB1527" s="43">
        <f>IF(AU1527="",0,T1527*(AF1527-AT1527))</f>
        <v/>
      </c>
      <c r="BC1527" s="51" t="n">
        <v>0.00575</v>
      </c>
      <c r="BD1527" s="51" t="n">
        <v>0.0114375</v>
      </c>
      <c r="BE1527" s="51" t="n">
        <v>0.1419182948490231</v>
      </c>
      <c r="BF1527" s="43" t="n">
        <v>16000</v>
      </c>
    </row>
    <row r="1528">
      <c r="A1528" s="42" t="inlineStr">
        <is>
          <t>KY</t>
        </is>
      </c>
      <c r="B1528" s="42" t="inlineStr">
        <is>
          <t>21129</t>
        </is>
      </c>
      <c r="C1528" s="42" t="inlineStr">
        <is>
          <t>Lee</t>
        </is>
      </c>
      <c r="D1528" s="42" t="inlineStr">
        <is>
          <t>Small town &amp; rural</t>
        </is>
      </c>
      <c r="E1528" s="42" t="inlineStr"/>
      <c r="F1528" s="43" t="n">
        <v>406</v>
      </c>
      <c r="G1528" s="43" t="n">
        <v>2227</v>
      </c>
      <c r="H1528" s="43" t="n">
        <v>2690</v>
      </c>
      <c r="I1528" s="43" t="n">
        <v>481</v>
      </c>
      <c r="J1528" s="43" t="n">
        <v>2273</v>
      </c>
      <c r="K1528" s="42" t="inlineStr">
        <is>
          <t>US Senate</t>
        </is>
      </c>
      <c r="L1528" s="43" t="n">
        <v>423</v>
      </c>
      <c r="M1528" s="43" t="n">
        <v>1648</v>
      </c>
      <c r="N1528" s="43" t="n">
        <v>2071</v>
      </c>
      <c r="O1528" s="44">
        <f>IFERROR((F1528-G1528)/(F1528+G1528),"")</f>
        <v/>
      </c>
      <c r="P1528" s="44">
        <f>IFERROR((I1528-J1528)/(I1528+J1528),"")</f>
        <v/>
      </c>
      <c r="Q1528" s="45">
        <f>IFERROR(O1528-P1528,"")</f>
        <v/>
      </c>
      <c r="R1528" s="44">
        <f>IFERROR((L1528-M1528)/(L1528+M1528),"")</f>
        <v/>
      </c>
      <c r="S1528" s="46">
        <f>H1528/SUMIFS(Counties!$H$2:$H$1583,Counties!$A$2:$A$1583,$A1528)</f>
        <v/>
      </c>
      <c r="T1528" s="44">
        <f>O1528+INDEX(Dashboard!$F$6:$F$22,MATCH($A1528,Dashboard!$A$6:$A$22,0))</f>
        <v/>
      </c>
      <c r="U1528" s="43">
        <f>AQ1528*INDEX(Dashboard!$G$6:$G$22,MATCH($A1528,Dashboard!$A$6:$A$22,0))</f>
        <v/>
      </c>
      <c r="V1528" s="47" t="n"/>
      <c r="W1528" s="47" t="n"/>
      <c r="X1528" s="47" t="n"/>
      <c r="Y1528" s="48" t="n"/>
      <c r="Z1528" s="49" t="n"/>
      <c r="AA1528" s="49" t="n"/>
      <c r="AB1528" s="49" t="n"/>
      <c r="AC1528" s="50" t="n"/>
      <c r="AD1528" s="43">
        <f>IF(Z1528&lt;&gt;"",Z1528,N(V1528))</f>
        <v/>
      </c>
      <c r="AE1528" s="43">
        <f>IF(AA1528&lt;&gt;"",AA1528,N(W1528))</f>
        <v/>
      </c>
      <c r="AF1528" s="43">
        <f>AD1528+AE1528</f>
        <v/>
      </c>
      <c r="AG1528" s="42">
        <f>IF(UPPER(AC1528)="Y",1,IF(AF1528=0,0,IF(AND(Z1528="",Y1528&lt;&gt;""),IF(Y1528&gt;=0.999,1,0),IF(AF1528&gt;=U1528,1,0))))</f>
        <v/>
      </c>
      <c r="AH1528" s="44">
        <f>IF(AF1528&gt;0,(AD1528-AE1528)/AF1528,"")</f>
        <v/>
      </c>
      <c r="AI1528" s="45">
        <f>IF(AG1528=1,AH1528-O1528,"")</f>
        <v/>
      </c>
      <c r="AJ1528" s="44">
        <f>IF(AG1528=1,AH1528,MAX(-1,MIN(1,O1528+INDEX(Types!$H:$H,MATCH($A1528&amp;"|"&amp;$D1528,Types!$A:$A,0)))))</f>
        <v/>
      </c>
      <c r="AK1528" s="43">
        <f>IF(AG1528=1,AF1528,MAX(AQ1528*AS1528,AF1528))</f>
        <v/>
      </c>
      <c r="AL1528" s="43">
        <f>IF(AG1528=1,AD1528,AK1528*(1+AJ1528)/2)</f>
        <v/>
      </c>
      <c r="AM1528" s="43">
        <f>IF(AG1528=1,AE1528,AK1528*(1-AJ1528)/2)</f>
        <v/>
      </c>
      <c r="AN1528" s="45">
        <f>IF(AH1528="","",AH1528-T1528)</f>
        <v/>
      </c>
      <c r="AO1528" s="51">
        <f>IF(AG1528=1,1,IF(U1528&gt;0,MIN(AF1528/U1528,0.99),0))</f>
        <v/>
      </c>
      <c r="AP1528" s="43">
        <f>IF(AG1528=1,AI1528*AF1528,0)</f>
        <v/>
      </c>
      <c r="AQ1528" s="43">
        <f>N1528*(F1528+G1528)/H1528</f>
        <v/>
      </c>
      <c r="AR1528" s="43">
        <f>O1528*AQ1528</f>
        <v/>
      </c>
      <c r="AS1528" s="52">
        <f>IF(AG1528=1,IF(AQ1528&gt;0,AF1528/AQ1528,1),IFERROR(INDEX(Types!$K:$K,MATCH($A1528&amp;"|"&amp;$D1528,Types!$A:$A,0)),INDEX(Dashboard!$X$6:$X$22,MATCH($A1528,Dashboard!$A$6:$A$22,0))))</f>
        <v/>
      </c>
      <c r="AT1528" s="43">
        <f>AQ1528*INDEX(Dashboard!$Y$6:$Y$22,MATCH($A1528,Dashboard!$A$6:$A$22,0))</f>
        <v/>
      </c>
      <c r="AU1528" s="53">
        <f>IF(AND(AG1528=1,AT1528&gt;0,AF1528&gt;0),100*AF1528/AT1528,"")</f>
        <v/>
      </c>
      <c r="AV1528" s="44">
        <f>IF(AU1528="","",T1528/(AU1528/100))</f>
        <v/>
      </c>
      <c r="AW1528" s="53">
        <f>IF(AU1528="","",IF(AND(ABS(AH1528)&gt;=0.1,ABS(T1528)&gt;=0.05,SIGN(AH1528)=SIGN(T1528)),100*T1528/AH1528,""))</f>
        <v/>
      </c>
      <c r="AX1528" s="45">
        <f>IF(AU1528="","",T1528-AV1528)</f>
        <v/>
      </c>
      <c r="AY1528" s="45">
        <f>IF(AU1528="","",AH1528-AV1528)</f>
        <v/>
      </c>
      <c r="AZ1528" s="54">
        <f>(AL1528-AM1528)-T1528*AT1528</f>
        <v/>
      </c>
      <c r="BA1528" s="43">
        <f>IF(AU1528="",0,(AH1528-T1528)*AF1528)</f>
        <v/>
      </c>
      <c r="BB1528" s="43">
        <f>IF(AU1528="",0,T1528*(AF1528-AT1528))</f>
        <v/>
      </c>
      <c r="BC1528" s="51" t="n">
        <v>0.03469079939668175</v>
      </c>
      <c r="BD1528" s="51" t="n">
        <v>0.01179212943918826</v>
      </c>
      <c r="BE1528" s="51" t="n">
        <v>0.07534866871943488</v>
      </c>
      <c r="BF1528" s="43" t="n">
        <v>7293</v>
      </c>
    </row>
    <row r="1529">
      <c r="A1529" s="42" t="inlineStr">
        <is>
          <t>KY</t>
        </is>
      </c>
      <c r="B1529" s="42" t="inlineStr">
        <is>
          <t>21131</t>
        </is>
      </c>
      <c r="C1529" s="42" t="inlineStr">
        <is>
          <t>Leslie</t>
        </is>
      </c>
      <c r="D1529" s="42" t="inlineStr">
        <is>
          <t>Small town &amp; rural</t>
        </is>
      </c>
      <c r="E1529" s="42" t="inlineStr"/>
      <c r="F1529" s="43" t="n">
        <v>382</v>
      </c>
      <c r="G1529" s="43" t="n">
        <v>3908</v>
      </c>
      <c r="H1529" s="43" t="n">
        <v>4357</v>
      </c>
      <c r="I1529" s="43" t="n">
        <v>446</v>
      </c>
      <c r="J1529" s="43" t="n">
        <v>4321</v>
      </c>
      <c r="K1529" s="42" t="inlineStr">
        <is>
          <t>US Senate</t>
        </is>
      </c>
      <c r="L1529" s="43" t="n">
        <v>371</v>
      </c>
      <c r="M1529" s="43" t="n">
        <v>2509</v>
      </c>
      <c r="N1529" s="43" t="n">
        <v>2880</v>
      </c>
      <c r="O1529" s="44">
        <f>IFERROR((F1529-G1529)/(F1529+G1529),"")</f>
        <v/>
      </c>
      <c r="P1529" s="44">
        <f>IFERROR((I1529-J1529)/(I1529+J1529),"")</f>
        <v/>
      </c>
      <c r="Q1529" s="45">
        <f>IFERROR(O1529-P1529,"")</f>
        <v/>
      </c>
      <c r="R1529" s="44">
        <f>IFERROR((L1529-M1529)/(L1529+M1529),"")</f>
        <v/>
      </c>
      <c r="S1529" s="46">
        <f>H1529/SUMIFS(Counties!$H$2:$H$1583,Counties!$A$2:$A$1583,$A1529)</f>
        <v/>
      </c>
      <c r="T1529" s="44">
        <f>O1529+INDEX(Dashboard!$F$6:$F$22,MATCH($A1529,Dashboard!$A$6:$A$22,0))</f>
        <v/>
      </c>
      <c r="U1529" s="43">
        <f>AQ1529*INDEX(Dashboard!$G$6:$G$22,MATCH($A1529,Dashboard!$A$6:$A$22,0))</f>
        <v/>
      </c>
      <c r="V1529" s="47" t="n"/>
      <c r="W1529" s="47" t="n"/>
      <c r="X1529" s="47" t="n"/>
      <c r="Y1529" s="48" t="n"/>
      <c r="Z1529" s="49" t="n"/>
      <c r="AA1529" s="49" t="n"/>
      <c r="AB1529" s="49" t="n"/>
      <c r="AC1529" s="50" t="n"/>
      <c r="AD1529" s="43">
        <f>IF(Z1529&lt;&gt;"",Z1529,N(V1529))</f>
        <v/>
      </c>
      <c r="AE1529" s="43">
        <f>IF(AA1529&lt;&gt;"",AA1529,N(W1529))</f>
        <v/>
      </c>
      <c r="AF1529" s="43">
        <f>AD1529+AE1529</f>
        <v/>
      </c>
      <c r="AG1529" s="42">
        <f>IF(UPPER(AC1529)="Y",1,IF(AF1529=0,0,IF(AND(Z1529="",Y1529&lt;&gt;""),IF(Y1529&gt;=0.999,1,0),IF(AF1529&gt;=U1529,1,0))))</f>
        <v/>
      </c>
      <c r="AH1529" s="44">
        <f>IF(AF1529&gt;0,(AD1529-AE1529)/AF1529,"")</f>
        <v/>
      </c>
      <c r="AI1529" s="45">
        <f>IF(AG1529=1,AH1529-O1529,"")</f>
        <v/>
      </c>
      <c r="AJ1529" s="44">
        <f>IF(AG1529=1,AH1529,MAX(-1,MIN(1,O1529+INDEX(Types!$H:$H,MATCH($A1529&amp;"|"&amp;$D1529,Types!$A:$A,0)))))</f>
        <v/>
      </c>
      <c r="AK1529" s="43">
        <f>IF(AG1529=1,AF1529,MAX(AQ1529*AS1529,AF1529))</f>
        <v/>
      </c>
      <c r="AL1529" s="43">
        <f>IF(AG1529=1,AD1529,AK1529*(1+AJ1529)/2)</f>
        <v/>
      </c>
      <c r="AM1529" s="43">
        <f>IF(AG1529=1,AE1529,AK1529*(1-AJ1529)/2)</f>
        <v/>
      </c>
      <c r="AN1529" s="45">
        <f>IF(AH1529="","",AH1529-T1529)</f>
        <v/>
      </c>
      <c r="AO1529" s="51">
        <f>IF(AG1529=1,1,IF(U1529&gt;0,MIN(AF1529/U1529,0.99),0))</f>
        <v/>
      </c>
      <c r="AP1529" s="43">
        <f>IF(AG1529=1,AI1529*AF1529,0)</f>
        <v/>
      </c>
      <c r="AQ1529" s="43">
        <f>N1529*(F1529+G1529)/H1529</f>
        <v/>
      </c>
      <c r="AR1529" s="43">
        <f>O1529*AQ1529</f>
        <v/>
      </c>
      <c r="AS1529" s="52">
        <f>IF(AG1529=1,IF(AQ1529&gt;0,AF1529/AQ1529,1),IFERROR(INDEX(Types!$K:$K,MATCH($A1529&amp;"|"&amp;$D1529,Types!$A:$A,0)),INDEX(Dashboard!$X$6:$X$22,MATCH($A1529,Dashboard!$A$6:$A$22,0))))</f>
        <v/>
      </c>
      <c r="AT1529" s="43">
        <f>AQ1529*INDEX(Dashboard!$Y$6:$Y$22,MATCH($A1529,Dashboard!$A$6:$A$22,0))</f>
        <v/>
      </c>
      <c r="AU1529" s="53">
        <f>IF(AND(AG1529=1,AT1529&gt;0,AF1529&gt;0),100*AF1529/AT1529,"")</f>
        <v/>
      </c>
      <c r="AV1529" s="44">
        <f>IF(AU1529="","",T1529/(AU1529/100))</f>
        <v/>
      </c>
      <c r="AW1529" s="53">
        <f>IF(AU1529="","",IF(AND(ABS(AH1529)&gt;=0.1,ABS(T1529)&gt;=0.05,SIGN(AH1529)=SIGN(T1529)),100*T1529/AH1529,""))</f>
        <v/>
      </c>
      <c r="AX1529" s="45">
        <f>IF(AU1529="","",T1529-AV1529)</f>
        <v/>
      </c>
      <c r="AY1529" s="45">
        <f>IF(AU1529="","",AH1529-AV1529)</f>
        <v/>
      </c>
      <c r="AZ1529" s="54">
        <f>(AL1529-AM1529)-T1529*AT1529</f>
        <v/>
      </c>
      <c r="BA1529" s="43">
        <f>IF(AU1529="",0,(AH1529-T1529)*AF1529)</f>
        <v/>
      </c>
      <c r="BB1529" s="43">
        <f>IF(AU1529="",0,T1529*(AF1529-AT1529))</f>
        <v/>
      </c>
      <c r="BC1529" s="51" t="n">
        <v>0.005778588807785888</v>
      </c>
      <c r="BD1529" s="51" t="n">
        <v>0.008921330089213302</v>
      </c>
      <c r="BE1529" s="51" t="n">
        <v>0.1042751438750343</v>
      </c>
      <c r="BF1529" s="43" t="n">
        <v>9864</v>
      </c>
    </row>
    <row r="1530">
      <c r="A1530" s="42" t="inlineStr">
        <is>
          <t>KY</t>
        </is>
      </c>
      <c r="B1530" s="42" t="inlineStr">
        <is>
          <t>21133</t>
        </is>
      </c>
      <c r="C1530" s="42" t="inlineStr">
        <is>
          <t>Letcher</t>
        </is>
      </c>
      <c r="D1530" s="42" t="inlineStr">
        <is>
          <t>Small town &amp; rural</t>
        </is>
      </c>
      <c r="E1530" s="42" t="inlineStr"/>
      <c r="F1530" s="43" t="n">
        <v>1457</v>
      </c>
      <c r="G1530" s="43" t="n">
        <v>6848</v>
      </c>
      <c r="H1530" s="43" t="n">
        <v>8430</v>
      </c>
      <c r="I1530" s="43" t="n">
        <v>1799</v>
      </c>
      <c r="J1530" s="43" t="n">
        <v>7226</v>
      </c>
      <c r="K1530" s="42" t="inlineStr">
        <is>
          <t>US Senate</t>
        </is>
      </c>
      <c r="L1530" s="43" t="n">
        <v>1854</v>
      </c>
      <c r="M1530" s="43" t="n">
        <v>3873</v>
      </c>
      <c r="N1530" s="43" t="n">
        <v>5727</v>
      </c>
      <c r="O1530" s="44">
        <f>IFERROR((F1530-G1530)/(F1530+G1530),"")</f>
        <v/>
      </c>
      <c r="P1530" s="44">
        <f>IFERROR((I1530-J1530)/(I1530+J1530),"")</f>
        <v/>
      </c>
      <c r="Q1530" s="45">
        <f>IFERROR(O1530-P1530,"")</f>
        <v/>
      </c>
      <c r="R1530" s="44">
        <f>IFERROR((L1530-M1530)/(L1530+M1530),"")</f>
        <v/>
      </c>
      <c r="S1530" s="46">
        <f>H1530/SUMIFS(Counties!$H$2:$H$1583,Counties!$A$2:$A$1583,$A1530)</f>
        <v/>
      </c>
      <c r="T1530" s="44">
        <f>O1530+INDEX(Dashboard!$F$6:$F$22,MATCH($A1530,Dashboard!$A$6:$A$22,0))</f>
        <v/>
      </c>
      <c r="U1530" s="43">
        <f>AQ1530*INDEX(Dashboard!$G$6:$G$22,MATCH($A1530,Dashboard!$A$6:$A$22,0))</f>
        <v/>
      </c>
      <c r="V1530" s="47" t="n"/>
      <c r="W1530" s="47" t="n"/>
      <c r="X1530" s="47" t="n"/>
      <c r="Y1530" s="48" t="n"/>
      <c r="Z1530" s="49" t="n"/>
      <c r="AA1530" s="49" t="n"/>
      <c r="AB1530" s="49" t="n"/>
      <c r="AC1530" s="50" t="n"/>
      <c r="AD1530" s="43">
        <f>IF(Z1530&lt;&gt;"",Z1530,N(V1530))</f>
        <v/>
      </c>
      <c r="AE1530" s="43">
        <f>IF(AA1530&lt;&gt;"",AA1530,N(W1530))</f>
        <v/>
      </c>
      <c r="AF1530" s="43">
        <f>AD1530+AE1530</f>
        <v/>
      </c>
      <c r="AG1530" s="42">
        <f>IF(UPPER(AC1530)="Y",1,IF(AF1530=0,0,IF(AND(Z1530="",Y1530&lt;&gt;""),IF(Y1530&gt;=0.999,1,0),IF(AF1530&gt;=U1530,1,0))))</f>
        <v/>
      </c>
      <c r="AH1530" s="44">
        <f>IF(AF1530&gt;0,(AD1530-AE1530)/AF1530,"")</f>
        <v/>
      </c>
      <c r="AI1530" s="45">
        <f>IF(AG1530=1,AH1530-O1530,"")</f>
        <v/>
      </c>
      <c r="AJ1530" s="44">
        <f>IF(AG1530=1,AH1530,MAX(-1,MIN(1,O1530+INDEX(Types!$H:$H,MATCH($A1530&amp;"|"&amp;$D1530,Types!$A:$A,0)))))</f>
        <v/>
      </c>
      <c r="AK1530" s="43">
        <f>IF(AG1530=1,AF1530,MAX(AQ1530*AS1530,AF1530))</f>
        <v/>
      </c>
      <c r="AL1530" s="43">
        <f>IF(AG1530=1,AD1530,AK1530*(1+AJ1530)/2)</f>
        <v/>
      </c>
      <c r="AM1530" s="43">
        <f>IF(AG1530=1,AE1530,AK1530*(1-AJ1530)/2)</f>
        <v/>
      </c>
      <c r="AN1530" s="45">
        <f>IF(AH1530="","",AH1530-T1530)</f>
        <v/>
      </c>
      <c r="AO1530" s="51">
        <f>IF(AG1530=1,1,IF(U1530&gt;0,MIN(AF1530/U1530,0.99),0))</f>
        <v/>
      </c>
      <c r="AP1530" s="43">
        <f>IF(AG1530=1,AI1530*AF1530,0)</f>
        <v/>
      </c>
      <c r="AQ1530" s="43">
        <f>N1530*(F1530+G1530)/H1530</f>
        <v/>
      </c>
      <c r="AR1530" s="43">
        <f>O1530*AQ1530</f>
        <v/>
      </c>
      <c r="AS1530" s="52">
        <f>IF(AG1530=1,IF(AQ1530&gt;0,AF1530/AQ1530,1),IFERROR(INDEX(Types!$K:$K,MATCH($A1530&amp;"|"&amp;$D1530,Types!$A:$A,0)),INDEX(Dashboard!$X$6:$X$22,MATCH($A1530,Dashboard!$A$6:$A$22,0))))</f>
        <v/>
      </c>
      <c r="AT1530" s="43">
        <f>AQ1530*INDEX(Dashboard!$Y$6:$Y$22,MATCH($A1530,Dashboard!$A$6:$A$22,0))</f>
        <v/>
      </c>
      <c r="AU1530" s="53">
        <f>IF(AND(AG1530=1,AT1530&gt;0,AF1530&gt;0),100*AF1530/AT1530,"")</f>
        <v/>
      </c>
      <c r="AV1530" s="44">
        <f>IF(AU1530="","",T1530/(AU1530/100))</f>
        <v/>
      </c>
      <c r="AW1530" s="53">
        <f>IF(AU1530="","",IF(AND(ABS(AH1530)&gt;=0.1,ABS(T1530)&gt;=0.05,SIGN(AH1530)=SIGN(T1530)),100*T1530/AH1530,""))</f>
        <v/>
      </c>
      <c r="AX1530" s="45">
        <f>IF(AU1530="","",T1530-AV1530)</f>
        <v/>
      </c>
      <c r="AY1530" s="45">
        <f>IF(AU1530="","",AH1530-AV1530)</f>
        <v/>
      </c>
      <c r="AZ1530" s="54">
        <f>(AL1530-AM1530)-T1530*AT1530</f>
        <v/>
      </c>
      <c r="BA1530" s="43">
        <f>IF(AU1530="",0,(AH1530-T1530)*AF1530)</f>
        <v/>
      </c>
      <c r="BB1530" s="43">
        <f>IF(AU1530="",0,T1530*(AF1530-AT1530))</f>
        <v/>
      </c>
      <c r="BC1530" s="51" t="n">
        <v>0.007589482446261567</v>
      </c>
      <c r="BD1530" s="51" t="n">
        <v>0.00803016207217353</v>
      </c>
      <c r="BE1530" s="51" t="n">
        <v>0.1367290458618872</v>
      </c>
      <c r="BF1530" s="43" t="n">
        <v>20423</v>
      </c>
    </row>
    <row r="1531">
      <c r="A1531" s="42" t="inlineStr">
        <is>
          <t>KY</t>
        </is>
      </c>
      <c r="B1531" s="42" t="inlineStr">
        <is>
          <t>21135</t>
        </is>
      </c>
      <c r="C1531" s="42" t="inlineStr">
        <is>
          <t>Lewis</t>
        </is>
      </c>
      <c r="D1531" s="42" t="inlineStr">
        <is>
          <t>Small town &amp; rural</t>
        </is>
      </c>
      <c r="E1531" s="42" t="inlineStr"/>
      <c r="F1531" s="43" t="n">
        <v>666</v>
      </c>
      <c r="G1531" s="43" t="n">
        <v>4997</v>
      </c>
      <c r="H1531" s="43" t="n">
        <v>5721</v>
      </c>
      <c r="I1531" s="43" t="n">
        <v>823</v>
      </c>
      <c r="J1531" s="43" t="n">
        <v>4986</v>
      </c>
      <c r="K1531" s="42" t="inlineStr">
        <is>
          <t>US Senate</t>
        </is>
      </c>
      <c r="L1531" s="43" t="n">
        <v>572</v>
      </c>
      <c r="M1531" s="43" t="n">
        <v>3259</v>
      </c>
      <c r="N1531" s="43" t="n">
        <v>3831</v>
      </c>
      <c r="O1531" s="44">
        <f>IFERROR((F1531-G1531)/(F1531+G1531),"")</f>
        <v/>
      </c>
      <c r="P1531" s="44">
        <f>IFERROR((I1531-J1531)/(I1531+J1531),"")</f>
        <v/>
      </c>
      <c r="Q1531" s="45">
        <f>IFERROR(O1531-P1531,"")</f>
        <v/>
      </c>
      <c r="R1531" s="44">
        <f>IFERROR((L1531-M1531)/(L1531+M1531),"")</f>
        <v/>
      </c>
      <c r="S1531" s="46">
        <f>H1531/SUMIFS(Counties!$H$2:$H$1583,Counties!$A$2:$A$1583,$A1531)</f>
        <v/>
      </c>
      <c r="T1531" s="44">
        <f>O1531+INDEX(Dashboard!$F$6:$F$22,MATCH($A1531,Dashboard!$A$6:$A$22,0))</f>
        <v/>
      </c>
      <c r="U1531" s="43">
        <f>AQ1531*INDEX(Dashboard!$G$6:$G$22,MATCH($A1531,Dashboard!$A$6:$A$22,0))</f>
        <v/>
      </c>
      <c r="V1531" s="47" t="n"/>
      <c r="W1531" s="47" t="n"/>
      <c r="X1531" s="47" t="n"/>
      <c r="Y1531" s="48" t="n"/>
      <c r="Z1531" s="49" t="n"/>
      <c r="AA1531" s="49" t="n"/>
      <c r="AB1531" s="49" t="n"/>
      <c r="AC1531" s="50" t="n"/>
      <c r="AD1531" s="43">
        <f>IF(Z1531&lt;&gt;"",Z1531,N(V1531))</f>
        <v/>
      </c>
      <c r="AE1531" s="43">
        <f>IF(AA1531&lt;&gt;"",AA1531,N(W1531))</f>
        <v/>
      </c>
      <c r="AF1531" s="43">
        <f>AD1531+AE1531</f>
        <v/>
      </c>
      <c r="AG1531" s="42">
        <f>IF(UPPER(AC1531)="Y",1,IF(AF1531=0,0,IF(AND(Z1531="",Y1531&lt;&gt;""),IF(Y1531&gt;=0.999,1,0),IF(AF1531&gt;=U1531,1,0))))</f>
        <v/>
      </c>
      <c r="AH1531" s="44">
        <f>IF(AF1531&gt;0,(AD1531-AE1531)/AF1531,"")</f>
        <v/>
      </c>
      <c r="AI1531" s="45">
        <f>IF(AG1531=1,AH1531-O1531,"")</f>
        <v/>
      </c>
      <c r="AJ1531" s="44">
        <f>IF(AG1531=1,AH1531,MAX(-1,MIN(1,O1531+INDEX(Types!$H:$H,MATCH($A1531&amp;"|"&amp;$D1531,Types!$A:$A,0)))))</f>
        <v/>
      </c>
      <c r="AK1531" s="43">
        <f>IF(AG1531=1,AF1531,MAX(AQ1531*AS1531,AF1531))</f>
        <v/>
      </c>
      <c r="AL1531" s="43">
        <f>IF(AG1531=1,AD1531,AK1531*(1+AJ1531)/2)</f>
        <v/>
      </c>
      <c r="AM1531" s="43">
        <f>IF(AG1531=1,AE1531,AK1531*(1-AJ1531)/2)</f>
        <v/>
      </c>
      <c r="AN1531" s="45">
        <f>IF(AH1531="","",AH1531-T1531)</f>
        <v/>
      </c>
      <c r="AO1531" s="51">
        <f>IF(AG1531=1,1,IF(U1531&gt;0,MIN(AF1531/U1531,0.99),0))</f>
        <v/>
      </c>
      <c r="AP1531" s="43">
        <f>IF(AG1531=1,AI1531*AF1531,0)</f>
        <v/>
      </c>
      <c r="AQ1531" s="43">
        <f>N1531*(F1531+G1531)/H1531</f>
        <v/>
      </c>
      <c r="AR1531" s="43">
        <f>O1531*AQ1531</f>
        <v/>
      </c>
      <c r="AS1531" s="52">
        <f>IF(AG1531=1,IF(AQ1531&gt;0,AF1531/AQ1531,1),IFERROR(INDEX(Types!$K:$K,MATCH($A1531&amp;"|"&amp;$D1531,Types!$A:$A,0)),INDEX(Dashboard!$X$6:$X$22,MATCH($A1531,Dashboard!$A$6:$A$22,0))))</f>
        <v/>
      </c>
      <c r="AT1531" s="43">
        <f>AQ1531*INDEX(Dashboard!$Y$6:$Y$22,MATCH($A1531,Dashboard!$A$6:$A$22,0))</f>
        <v/>
      </c>
      <c r="AU1531" s="53">
        <f>IF(AND(AG1531=1,AT1531&gt;0,AF1531&gt;0),100*AF1531/AT1531,"")</f>
        <v/>
      </c>
      <c r="AV1531" s="44">
        <f>IF(AU1531="","",T1531/(AU1531/100))</f>
        <v/>
      </c>
      <c r="AW1531" s="53">
        <f>IF(AU1531="","",IF(AND(ABS(AH1531)&gt;=0.1,ABS(T1531)&gt;=0.05,SIGN(AH1531)=SIGN(T1531)),100*T1531/AH1531,""))</f>
        <v/>
      </c>
      <c r="AX1531" s="45">
        <f>IF(AU1531="","",T1531-AV1531)</f>
        <v/>
      </c>
      <c r="AY1531" s="45">
        <f>IF(AU1531="","",AH1531-AV1531)</f>
        <v/>
      </c>
      <c r="AZ1531" s="54">
        <f>(AL1531-AM1531)-T1531*AT1531</f>
        <v/>
      </c>
      <c r="BA1531" s="43">
        <f>IF(AU1531="",0,(AH1531-T1531)*AF1531)</f>
        <v/>
      </c>
      <c r="BB1531" s="43">
        <f>IF(AU1531="",0,T1531*(AF1531-AT1531))</f>
        <v/>
      </c>
      <c r="BC1531" s="51" t="n">
        <v>0.006012487473984429</v>
      </c>
      <c r="BD1531" s="51" t="n">
        <v>0.008633315347259694</v>
      </c>
      <c r="BE1531" s="51" t="n">
        <v>0.1128961267605634</v>
      </c>
      <c r="BF1531" s="43" t="n">
        <v>12973</v>
      </c>
    </row>
    <row r="1532">
      <c r="A1532" s="42" t="inlineStr">
        <is>
          <t>KY</t>
        </is>
      </c>
      <c r="B1532" s="42" t="inlineStr">
        <is>
          <t>21137</t>
        </is>
      </c>
      <c r="C1532" s="42" t="inlineStr">
        <is>
          <t>Lincoln</t>
        </is>
      </c>
      <c r="D1532" s="42" t="inlineStr">
        <is>
          <t>Small town &amp; rural</t>
        </is>
      </c>
      <c r="E1532" s="42" t="inlineStr"/>
      <c r="F1532" s="43" t="n">
        <v>2080</v>
      </c>
      <c r="G1532" s="43" t="n">
        <v>8833</v>
      </c>
      <c r="H1532" s="43" t="n">
        <v>11034</v>
      </c>
      <c r="I1532" s="43" t="n">
        <v>2254</v>
      </c>
      <c r="J1532" s="43" t="n">
        <v>8489</v>
      </c>
      <c r="K1532" s="42" t="inlineStr">
        <is>
          <t>US Senate</t>
        </is>
      </c>
      <c r="L1532" s="43" t="n">
        <v>1715</v>
      </c>
      <c r="M1532" s="43" t="n">
        <v>5687</v>
      </c>
      <c r="N1532" s="43" t="n">
        <v>7403</v>
      </c>
      <c r="O1532" s="44">
        <f>IFERROR((F1532-G1532)/(F1532+G1532),"")</f>
        <v/>
      </c>
      <c r="P1532" s="44">
        <f>IFERROR((I1532-J1532)/(I1532+J1532),"")</f>
        <v/>
      </c>
      <c r="Q1532" s="45">
        <f>IFERROR(O1532-P1532,"")</f>
        <v/>
      </c>
      <c r="R1532" s="44">
        <f>IFERROR((L1532-M1532)/(L1532+M1532),"")</f>
        <v/>
      </c>
      <c r="S1532" s="46">
        <f>H1532/SUMIFS(Counties!$H$2:$H$1583,Counties!$A$2:$A$1583,$A1532)</f>
        <v/>
      </c>
      <c r="T1532" s="44">
        <f>O1532+INDEX(Dashboard!$F$6:$F$22,MATCH($A1532,Dashboard!$A$6:$A$22,0))</f>
        <v/>
      </c>
      <c r="U1532" s="43">
        <f>AQ1532*INDEX(Dashboard!$G$6:$G$22,MATCH($A1532,Dashboard!$A$6:$A$22,0))</f>
        <v/>
      </c>
      <c r="V1532" s="47" t="n"/>
      <c r="W1532" s="47" t="n"/>
      <c r="X1532" s="47" t="n"/>
      <c r="Y1532" s="48" t="n"/>
      <c r="Z1532" s="49" t="n"/>
      <c r="AA1532" s="49" t="n"/>
      <c r="AB1532" s="49" t="n"/>
      <c r="AC1532" s="50" t="n"/>
      <c r="AD1532" s="43">
        <f>IF(Z1532&lt;&gt;"",Z1532,N(V1532))</f>
        <v/>
      </c>
      <c r="AE1532" s="43">
        <f>IF(AA1532&lt;&gt;"",AA1532,N(W1532))</f>
        <v/>
      </c>
      <c r="AF1532" s="43">
        <f>AD1532+AE1532</f>
        <v/>
      </c>
      <c r="AG1532" s="42">
        <f>IF(UPPER(AC1532)="Y",1,IF(AF1532=0,0,IF(AND(Z1532="",Y1532&lt;&gt;""),IF(Y1532&gt;=0.999,1,0),IF(AF1532&gt;=U1532,1,0))))</f>
        <v/>
      </c>
      <c r="AH1532" s="44">
        <f>IF(AF1532&gt;0,(AD1532-AE1532)/AF1532,"")</f>
        <v/>
      </c>
      <c r="AI1532" s="45">
        <f>IF(AG1532=1,AH1532-O1532,"")</f>
        <v/>
      </c>
      <c r="AJ1532" s="44">
        <f>IF(AG1532=1,AH1532,MAX(-1,MIN(1,O1532+INDEX(Types!$H:$H,MATCH($A1532&amp;"|"&amp;$D1532,Types!$A:$A,0)))))</f>
        <v/>
      </c>
      <c r="AK1532" s="43">
        <f>IF(AG1532=1,AF1532,MAX(AQ1532*AS1532,AF1532))</f>
        <v/>
      </c>
      <c r="AL1532" s="43">
        <f>IF(AG1532=1,AD1532,AK1532*(1+AJ1532)/2)</f>
        <v/>
      </c>
      <c r="AM1532" s="43">
        <f>IF(AG1532=1,AE1532,AK1532*(1-AJ1532)/2)</f>
        <v/>
      </c>
      <c r="AN1532" s="45">
        <f>IF(AH1532="","",AH1532-T1532)</f>
        <v/>
      </c>
      <c r="AO1532" s="51">
        <f>IF(AG1532=1,1,IF(U1532&gt;0,MIN(AF1532/U1532,0.99),0))</f>
        <v/>
      </c>
      <c r="AP1532" s="43">
        <f>IF(AG1532=1,AI1532*AF1532,0)</f>
        <v/>
      </c>
      <c r="AQ1532" s="43">
        <f>N1532*(F1532+G1532)/H1532</f>
        <v/>
      </c>
      <c r="AR1532" s="43">
        <f>O1532*AQ1532</f>
        <v/>
      </c>
      <c r="AS1532" s="52">
        <f>IF(AG1532=1,IF(AQ1532&gt;0,AF1532/AQ1532,1),IFERROR(INDEX(Types!$K:$K,MATCH($A1532&amp;"|"&amp;$D1532,Types!$A:$A,0)),INDEX(Dashboard!$X$6:$X$22,MATCH($A1532,Dashboard!$A$6:$A$22,0))))</f>
        <v/>
      </c>
      <c r="AT1532" s="43">
        <f>AQ1532*INDEX(Dashboard!$Y$6:$Y$22,MATCH($A1532,Dashboard!$A$6:$A$22,0))</f>
        <v/>
      </c>
      <c r="AU1532" s="53">
        <f>IF(AND(AG1532=1,AT1532&gt;0,AF1532&gt;0),100*AF1532/AT1532,"")</f>
        <v/>
      </c>
      <c r="AV1532" s="44">
        <f>IF(AU1532="","",T1532/(AU1532/100))</f>
        <v/>
      </c>
      <c r="AW1532" s="53">
        <f>IF(AU1532="","",IF(AND(ABS(AH1532)&gt;=0.1,ABS(T1532)&gt;=0.05,SIGN(AH1532)=SIGN(T1532)),100*T1532/AH1532,""))</f>
        <v/>
      </c>
      <c r="AX1532" s="45">
        <f>IF(AU1532="","",T1532-AV1532)</f>
        <v/>
      </c>
      <c r="AY1532" s="45">
        <f>IF(AU1532="","",AH1532-AV1532)</f>
        <v/>
      </c>
      <c r="AZ1532" s="54">
        <f>(AL1532-AM1532)-T1532*AT1532</f>
        <v/>
      </c>
      <c r="BA1532" s="43">
        <f>IF(AU1532="",0,(AH1532-T1532)*AF1532)</f>
        <v/>
      </c>
      <c r="BB1532" s="43">
        <f>IF(AU1532="",0,T1532*(AF1532-AT1532))</f>
        <v/>
      </c>
      <c r="BC1532" s="51" t="n">
        <v>0.02219890216338392</v>
      </c>
      <c r="BD1532" s="51" t="n">
        <v>0.02284468840813691</v>
      </c>
      <c r="BE1532" s="51" t="n">
        <v>0.1524278176320626</v>
      </c>
      <c r="BF1532" s="43" t="n">
        <v>24776</v>
      </c>
    </row>
    <row r="1533">
      <c r="A1533" s="42" t="inlineStr">
        <is>
          <t>KY</t>
        </is>
      </c>
      <c r="B1533" s="42" t="inlineStr">
        <is>
          <t>21139</t>
        </is>
      </c>
      <c r="C1533" s="42" t="inlineStr">
        <is>
          <t>Livingston</t>
        </is>
      </c>
      <c r="D1533" s="42" t="inlineStr">
        <is>
          <t>Small town &amp; rural</t>
        </is>
      </c>
      <c r="E1533" s="42" t="inlineStr"/>
      <c r="F1533" s="43" t="n">
        <v>886</v>
      </c>
      <c r="G1533" s="43" t="n">
        <v>4021</v>
      </c>
      <c r="H1533" s="43" t="n">
        <v>4972</v>
      </c>
      <c r="I1533" s="43" t="n">
        <v>939</v>
      </c>
      <c r="J1533" s="43" t="n">
        <v>4010</v>
      </c>
      <c r="K1533" s="42" t="inlineStr">
        <is>
          <t>US Senate</t>
        </is>
      </c>
      <c r="L1533" s="43" t="n">
        <v>606</v>
      </c>
      <c r="M1533" s="43" t="n">
        <v>2609</v>
      </c>
      <c r="N1533" s="43" t="n">
        <v>3216</v>
      </c>
      <c r="O1533" s="44">
        <f>IFERROR((F1533-G1533)/(F1533+G1533),"")</f>
        <v/>
      </c>
      <c r="P1533" s="44">
        <f>IFERROR((I1533-J1533)/(I1533+J1533),"")</f>
        <v/>
      </c>
      <c r="Q1533" s="45">
        <f>IFERROR(O1533-P1533,"")</f>
        <v/>
      </c>
      <c r="R1533" s="44">
        <f>IFERROR((L1533-M1533)/(L1533+M1533),"")</f>
        <v/>
      </c>
      <c r="S1533" s="46">
        <f>H1533/SUMIFS(Counties!$H$2:$H$1583,Counties!$A$2:$A$1583,$A1533)</f>
        <v/>
      </c>
      <c r="T1533" s="44">
        <f>O1533+INDEX(Dashboard!$F$6:$F$22,MATCH($A1533,Dashboard!$A$6:$A$22,0))</f>
        <v/>
      </c>
      <c r="U1533" s="43">
        <f>AQ1533*INDEX(Dashboard!$G$6:$G$22,MATCH($A1533,Dashboard!$A$6:$A$22,0))</f>
        <v/>
      </c>
      <c r="V1533" s="47" t="n"/>
      <c r="W1533" s="47" t="n"/>
      <c r="X1533" s="47" t="n"/>
      <c r="Y1533" s="48" t="n"/>
      <c r="Z1533" s="49" t="n"/>
      <c r="AA1533" s="49" t="n"/>
      <c r="AB1533" s="49" t="n"/>
      <c r="AC1533" s="50" t="n"/>
      <c r="AD1533" s="43">
        <f>IF(Z1533&lt;&gt;"",Z1533,N(V1533))</f>
        <v/>
      </c>
      <c r="AE1533" s="43">
        <f>IF(AA1533&lt;&gt;"",AA1533,N(W1533))</f>
        <v/>
      </c>
      <c r="AF1533" s="43">
        <f>AD1533+AE1533</f>
        <v/>
      </c>
      <c r="AG1533" s="42">
        <f>IF(UPPER(AC1533)="Y",1,IF(AF1533=0,0,IF(AND(Z1533="",Y1533&lt;&gt;""),IF(Y1533&gt;=0.999,1,0),IF(AF1533&gt;=U1533,1,0))))</f>
        <v/>
      </c>
      <c r="AH1533" s="44">
        <f>IF(AF1533&gt;0,(AD1533-AE1533)/AF1533,"")</f>
        <v/>
      </c>
      <c r="AI1533" s="45">
        <f>IF(AG1533=1,AH1533-O1533,"")</f>
        <v/>
      </c>
      <c r="AJ1533" s="44">
        <f>IF(AG1533=1,AH1533,MAX(-1,MIN(1,O1533+INDEX(Types!$H:$H,MATCH($A1533&amp;"|"&amp;$D1533,Types!$A:$A,0)))))</f>
        <v/>
      </c>
      <c r="AK1533" s="43">
        <f>IF(AG1533=1,AF1533,MAX(AQ1533*AS1533,AF1533))</f>
        <v/>
      </c>
      <c r="AL1533" s="43">
        <f>IF(AG1533=1,AD1533,AK1533*(1+AJ1533)/2)</f>
        <v/>
      </c>
      <c r="AM1533" s="43">
        <f>IF(AG1533=1,AE1533,AK1533*(1-AJ1533)/2)</f>
        <v/>
      </c>
      <c r="AN1533" s="45">
        <f>IF(AH1533="","",AH1533-T1533)</f>
        <v/>
      </c>
      <c r="AO1533" s="51">
        <f>IF(AG1533=1,1,IF(U1533&gt;0,MIN(AF1533/U1533,0.99),0))</f>
        <v/>
      </c>
      <c r="AP1533" s="43">
        <f>IF(AG1533=1,AI1533*AF1533,0)</f>
        <v/>
      </c>
      <c r="AQ1533" s="43">
        <f>N1533*(F1533+G1533)/H1533</f>
        <v/>
      </c>
      <c r="AR1533" s="43">
        <f>O1533*AQ1533</f>
        <v/>
      </c>
      <c r="AS1533" s="52">
        <f>IF(AG1533=1,IF(AQ1533&gt;0,AF1533/AQ1533,1),IFERROR(INDEX(Types!$K:$K,MATCH($A1533&amp;"|"&amp;$D1533,Types!$A:$A,0)),INDEX(Dashboard!$X$6:$X$22,MATCH($A1533,Dashboard!$A$6:$A$22,0))))</f>
        <v/>
      </c>
      <c r="AT1533" s="43">
        <f>AQ1533*INDEX(Dashboard!$Y$6:$Y$22,MATCH($A1533,Dashboard!$A$6:$A$22,0))</f>
        <v/>
      </c>
      <c r="AU1533" s="53">
        <f>IF(AND(AG1533=1,AT1533&gt;0,AF1533&gt;0),100*AF1533/AT1533,"")</f>
        <v/>
      </c>
      <c r="AV1533" s="44">
        <f>IF(AU1533="","",T1533/(AU1533/100))</f>
        <v/>
      </c>
      <c r="AW1533" s="53">
        <f>IF(AU1533="","",IF(AND(ABS(AH1533)&gt;=0.1,ABS(T1533)&gt;=0.05,SIGN(AH1533)=SIGN(T1533)),100*T1533/AH1533,""))</f>
        <v/>
      </c>
      <c r="AX1533" s="45">
        <f>IF(AU1533="","",T1533-AV1533)</f>
        <v/>
      </c>
      <c r="AY1533" s="45">
        <f>IF(AU1533="","",AH1533-AV1533)</f>
        <v/>
      </c>
      <c r="AZ1533" s="54">
        <f>(AL1533-AM1533)-T1533*AT1533</f>
        <v/>
      </c>
      <c r="BA1533" s="43">
        <f>IF(AU1533="",0,(AH1533-T1533)*AF1533)</f>
        <v/>
      </c>
      <c r="BB1533" s="43">
        <f>IF(AU1533="",0,T1533*(AF1533-AT1533))</f>
        <v/>
      </c>
      <c r="BC1533" s="51" t="n">
        <v>0.008659469185784975</v>
      </c>
      <c r="BD1533" s="51" t="n">
        <v>0.02609086819613135</v>
      </c>
      <c r="BE1533" s="51" t="n">
        <v>0.1390482095799101</v>
      </c>
      <c r="BF1533" s="43" t="n">
        <v>8892</v>
      </c>
    </row>
    <row r="1534">
      <c r="A1534" s="42" t="inlineStr">
        <is>
          <t>KY</t>
        </is>
      </c>
      <c r="B1534" s="42" t="inlineStr">
        <is>
          <t>21141</t>
        </is>
      </c>
      <c r="C1534" s="42" t="inlineStr">
        <is>
          <t>Logan</t>
        </is>
      </c>
      <c r="D1534" s="42" t="inlineStr">
        <is>
          <t>Small town &amp; rural</t>
        </is>
      </c>
      <c r="E1534" s="42" t="inlineStr"/>
      <c r="F1534" s="43" t="n">
        <v>2734</v>
      </c>
      <c r="G1534" s="43" t="n">
        <v>9620</v>
      </c>
      <c r="H1534" s="43" t="n">
        <v>12506</v>
      </c>
      <c r="I1534" s="43" t="n">
        <v>3094</v>
      </c>
      <c r="J1534" s="43" t="n">
        <v>9067</v>
      </c>
      <c r="K1534" s="42" t="inlineStr">
        <is>
          <t>US Senate</t>
        </is>
      </c>
      <c r="L1534" s="43" t="n">
        <v>2268</v>
      </c>
      <c r="M1534" s="43" t="n">
        <v>6240</v>
      </c>
      <c r="N1534" s="43" t="n">
        <v>8508</v>
      </c>
      <c r="O1534" s="44">
        <f>IFERROR((F1534-G1534)/(F1534+G1534),"")</f>
        <v/>
      </c>
      <c r="P1534" s="44">
        <f>IFERROR((I1534-J1534)/(I1534+J1534),"")</f>
        <v/>
      </c>
      <c r="Q1534" s="45">
        <f>IFERROR(O1534-P1534,"")</f>
        <v/>
      </c>
      <c r="R1534" s="44">
        <f>IFERROR((L1534-M1534)/(L1534+M1534),"")</f>
        <v/>
      </c>
      <c r="S1534" s="46">
        <f>H1534/SUMIFS(Counties!$H$2:$H$1583,Counties!$A$2:$A$1583,$A1534)</f>
        <v/>
      </c>
      <c r="T1534" s="44">
        <f>O1534+INDEX(Dashboard!$F$6:$F$22,MATCH($A1534,Dashboard!$A$6:$A$22,0))</f>
        <v/>
      </c>
      <c r="U1534" s="43">
        <f>AQ1534*INDEX(Dashboard!$G$6:$G$22,MATCH($A1534,Dashboard!$A$6:$A$22,0))</f>
        <v/>
      </c>
      <c r="V1534" s="47" t="n"/>
      <c r="W1534" s="47" t="n"/>
      <c r="X1534" s="47" t="n"/>
      <c r="Y1534" s="48" t="n"/>
      <c r="Z1534" s="49" t="n"/>
      <c r="AA1534" s="49" t="n"/>
      <c r="AB1534" s="49" t="n"/>
      <c r="AC1534" s="50" t="n"/>
      <c r="AD1534" s="43">
        <f>IF(Z1534&lt;&gt;"",Z1534,N(V1534))</f>
        <v/>
      </c>
      <c r="AE1534" s="43">
        <f>IF(AA1534&lt;&gt;"",AA1534,N(W1534))</f>
        <v/>
      </c>
      <c r="AF1534" s="43">
        <f>AD1534+AE1534</f>
        <v/>
      </c>
      <c r="AG1534" s="42">
        <f>IF(UPPER(AC1534)="Y",1,IF(AF1534=0,0,IF(AND(Z1534="",Y1534&lt;&gt;""),IF(Y1534&gt;=0.999,1,0),IF(AF1534&gt;=U1534,1,0))))</f>
        <v/>
      </c>
      <c r="AH1534" s="44">
        <f>IF(AF1534&gt;0,(AD1534-AE1534)/AF1534,"")</f>
        <v/>
      </c>
      <c r="AI1534" s="45">
        <f>IF(AG1534=1,AH1534-O1534,"")</f>
        <v/>
      </c>
      <c r="AJ1534" s="44">
        <f>IF(AG1534=1,AH1534,MAX(-1,MIN(1,O1534+INDEX(Types!$H:$H,MATCH($A1534&amp;"|"&amp;$D1534,Types!$A:$A,0)))))</f>
        <v/>
      </c>
      <c r="AK1534" s="43">
        <f>IF(AG1534=1,AF1534,MAX(AQ1534*AS1534,AF1534))</f>
        <v/>
      </c>
      <c r="AL1534" s="43">
        <f>IF(AG1534=1,AD1534,AK1534*(1+AJ1534)/2)</f>
        <v/>
      </c>
      <c r="AM1534" s="43">
        <f>IF(AG1534=1,AE1534,AK1534*(1-AJ1534)/2)</f>
        <v/>
      </c>
      <c r="AN1534" s="45">
        <f>IF(AH1534="","",AH1534-T1534)</f>
        <v/>
      </c>
      <c r="AO1534" s="51">
        <f>IF(AG1534=1,1,IF(U1534&gt;0,MIN(AF1534/U1534,0.99),0))</f>
        <v/>
      </c>
      <c r="AP1534" s="43">
        <f>IF(AG1534=1,AI1534*AF1534,0)</f>
        <v/>
      </c>
      <c r="AQ1534" s="43">
        <f>N1534*(F1534+G1534)/H1534</f>
        <v/>
      </c>
      <c r="AR1534" s="43">
        <f>O1534*AQ1534</f>
        <v/>
      </c>
      <c r="AS1534" s="52">
        <f>IF(AG1534=1,IF(AQ1534&gt;0,AF1534/AQ1534,1),IFERROR(INDEX(Types!$K:$K,MATCH($A1534&amp;"|"&amp;$D1534,Types!$A:$A,0)),INDEX(Dashboard!$X$6:$X$22,MATCH($A1534,Dashboard!$A$6:$A$22,0))))</f>
        <v/>
      </c>
      <c r="AT1534" s="43">
        <f>AQ1534*INDEX(Dashboard!$Y$6:$Y$22,MATCH($A1534,Dashboard!$A$6:$A$22,0))</f>
        <v/>
      </c>
      <c r="AU1534" s="53">
        <f>IF(AND(AG1534=1,AT1534&gt;0,AF1534&gt;0),100*AF1534/AT1534,"")</f>
        <v/>
      </c>
      <c r="AV1534" s="44">
        <f>IF(AU1534="","",T1534/(AU1534/100))</f>
        <v/>
      </c>
      <c r="AW1534" s="53">
        <f>IF(AU1534="","",IF(AND(ABS(AH1534)&gt;=0.1,ABS(T1534)&gt;=0.05,SIGN(AH1534)=SIGN(T1534)),100*T1534/AH1534,""))</f>
        <v/>
      </c>
      <c r="AX1534" s="45">
        <f>IF(AU1534="","",T1534-AV1534)</f>
        <v/>
      </c>
      <c r="AY1534" s="45">
        <f>IF(AU1534="","",AH1534-AV1534)</f>
        <v/>
      </c>
      <c r="AZ1534" s="54">
        <f>(AL1534-AM1534)-T1534*AT1534</f>
        <v/>
      </c>
      <c r="BA1534" s="43">
        <f>IF(AU1534="",0,(AH1534-T1534)*AF1534)</f>
        <v/>
      </c>
      <c r="BB1534" s="43">
        <f>IF(AU1534="",0,T1534*(AF1534-AT1534))</f>
        <v/>
      </c>
      <c r="BC1534" s="51" t="n">
        <v>0.05837428844182017</v>
      </c>
      <c r="BD1534" s="51" t="n">
        <v>0.03825619630166531</v>
      </c>
      <c r="BE1534" s="51" t="n">
        <v>0.1656786107759299</v>
      </c>
      <c r="BF1534" s="43" t="n">
        <v>28283</v>
      </c>
    </row>
    <row r="1535">
      <c r="A1535" s="42" t="inlineStr">
        <is>
          <t>KY</t>
        </is>
      </c>
      <c r="B1535" s="42" t="inlineStr">
        <is>
          <t>21143</t>
        </is>
      </c>
      <c r="C1535" s="42" t="inlineStr">
        <is>
          <t>Lyon</t>
        </is>
      </c>
      <c r="D1535" s="42" t="inlineStr">
        <is>
          <t>Small town &amp; rural</t>
        </is>
      </c>
      <c r="E1535" s="42" t="inlineStr"/>
      <c r="F1535" s="43" t="n">
        <v>950</v>
      </c>
      <c r="G1535" s="43" t="n">
        <v>3187</v>
      </c>
      <c r="H1535" s="43" t="n">
        <v>4187</v>
      </c>
      <c r="I1535" s="43" t="n">
        <v>1092</v>
      </c>
      <c r="J1535" s="43" t="n">
        <v>3100</v>
      </c>
      <c r="K1535" s="42" t="inlineStr">
        <is>
          <t>US Senate</t>
        </is>
      </c>
      <c r="L1535" s="43" t="n">
        <v>874</v>
      </c>
      <c r="M1535" s="43" t="n">
        <v>2356</v>
      </c>
      <c r="N1535" s="43" t="n">
        <v>3230</v>
      </c>
      <c r="O1535" s="44">
        <f>IFERROR((F1535-G1535)/(F1535+G1535),"")</f>
        <v/>
      </c>
      <c r="P1535" s="44">
        <f>IFERROR((I1535-J1535)/(I1535+J1535),"")</f>
        <v/>
      </c>
      <c r="Q1535" s="45">
        <f>IFERROR(O1535-P1535,"")</f>
        <v/>
      </c>
      <c r="R1535" s="44">
        <f>IFERROR((L1535-M1535)/(L1535+M1535),"")</f>
        <v/>
      </c>
      <c r="S1535" s="46">
        <f>H1535/SUMIFS(Counties!$H$2:$H$1583,Counties!$A$2:$A$1583,$A1535)</f>
        <v/>
      </c>
      <c r="T1535" s="44">
        <f>O1535+INDEX(Dashboard!$F$6:$F$22,MATCH($A1535,Dashboard!$A$6:$A$22,0))</f>
        <v/>
      </c>
      <c r="U1535" s="43">
        <f>AQ1535*INDEX(Dashboard!$G$6:$G$22,MATCH($A1535,Dashboard!$A$6:$A$22,0))</f>
        <v/>
      </c>
      <c r="V1535" s="47" t="n"/>
      <c r="W1535" s="47" t="n"/>
      <c r="X1535" s="47" t="n"/>
      <c r="Y1535" s="48" t="n"/>
      <c r="Z1535" s="49" t="n"/>
      <c r="AA1535" s="49" t="n"/>
      <c r="AB1535" s="49" t="n"/>
      <c r="AC1535" s="50" t="n"/>
      <c r="AD1535" s="43">
        <f>IF(Z1535&lt;&gt;"",Z1535,N(V1535))</f>
        <v/>
      </c>
      <c r="AE1535" s="43">
        <f>IF(AA1535&lt;&gt;"",AA1535,N(W1535))</f>
        <v/>
      </c>
      <c r="AF1535" s="43">
        <f>AD1535+AE1535</f>
        <v/>
      </c>
      <c r="AG1535" s="42">
        <f>IF(UPPER(AC1535)="Y",1,IF(AF1535=0,0,IF(AND(Z1535="",Y1535&lt;&gt;""),IF(Y1535&gt;=0.999,1,0),IF(AF1535&gt;=U1535,1,0))))</f>
        <v/>
      </c>
      <c r="AH1535" s="44">
        <f>IF(AF1535&gt;0,(AD1535-AE1535)/AF1535,"")</f>
        <v/>
      </c>
      <c r="AI1535" s="45">
        <f>IF(AG1535=1,AH1535-O1535,"")</f>
        <v/>
      </c>
      <c r="AJ1535" s="44">
        <f>IF(AG1535=1,AH1535,MAX(-1,MIN(1,O1535+INDEX(Types!$H:$H,MATCH($A1535&amp;"|"&amp;$D1535,Types!$A:$A,0)))))</f>
        <v/>
      </c>
      <c r="AK1535" s="43">
        <f>IF(AG1535=1,AF1535,MAX(AQ1535*AS1535,AF1535))</f>
        <v/>
      </c>
      <c r="AL1535" s="43">
        <f>IF(AG1535=1,AD1535,AK1535*(1+AJ1535)/2)</f>
        <v/>
      </c>
      <c r="AM1535" s="43">
        <f>IF(AG1535=1,AE1535,AK1535*(1-AJ1535)/2)</f>
        <v/>
      </c>
      <c r="AN1535" s="45">
        <f>IF(AH1535="","",AH1535-T1535)</f>
        <v/>
      </c>
      <c r="AO1535" s="51">
        <f>IF(AG1535=1,1,IF(U1535&gt;0,MIN(AF1535/U1535,0.99),0))</f>
        <v/>
      </c>
      <c r="AP1535" s="43">
        <f>IF(AG1535=1,AI1535*AF1535,0)</f>
        <v/>
      </c>
      <c r="AQ1535" s="43">
        <f>N1535*(F1535+G1535)/H1535</f>
        <v/>
      </c>
      <c r="AR1535" s="43">
        <f>O1535*AQ1535</f>
        <v/>
      </c>
      <c r="AS1535" s="52">
        <f>IF(AG1535=1,IF(AQ1535&gt;0,AF1535/AQ1535,1),IFERROR(INDEX(Types!$K:$K,MATCH($A1535&amp;"|"&amp;$D1535,Types!$A:$A,0)),INDEX(Dashboard!$X$6:$X$22,MATCH($A1535,Dashboard!$A$6:$A$22,0))))</f>
        <v/>
      </c>
      <c r="AT1535" s="43">
        <f>AQ1535*INDEX(Dashboard!$Y$6:$Y$22,MATCH($A1535,Dashboard!$A$6:$A$22,0))</f>
        <v/>
      </c>
      <c r="AU1535" s="53">
        <f>IF(AND(AG1535=1,AT1535&gt;0,AF1535&gt;0),100*AF1535/AT1535,"")</f>
        <v/>
      </c>
      <c r="AV1535" s="44">
        <f>IF(AU1535="","",T1535/(AU1535/100))</f>
        <v/>
      </c>
      <c r="AW1535" s="53">
        <f>IF(AU1535="","",IF(AND(ABS(AH1535)&gt;=0.1,ABS(T1535)&gt;=0.05,SIGN(AH1535)=SIGN(T1535)),100*T1535/AH1535,""))</f>
        <v/>
      </c>
      <c r="AX1535" s="45">
        <f>IF(AU1535="","",T1535-AV1535)</f>
        <v/>
      </c>
      <c r="AY1535" s="45">
        <f>IF(AU1535="","",AH1535-AV1535)</f>
        <v/>
      </c>
      <c r="AZ1535" s="54">
        <f>(AL1535-AM1535)-T1535*AT1535</f>
        <v/>
      </c>
      <c r="BA1535" s="43">
        <f>IF(AU1535="",0,(AH1535-T1535)*AF1535)</f>
        <v/>
      </c>
      <c r="BB1535" s="43">
        <f>IF(AU1535="",0,T1535*(AF1535-AT1535))</f>
        <v/>
      </c>
      <c r="BC1535" s="51" t="n">
        <v>0.08043975182322848</v>
      </c>
      <c r="BD1535" s="51" t="n">
        <v>0.02351148361815609</v>
      </c>
      <c r="BE1535" s="51" t="n">
        <v>0.1630481055768412</v>
      </c>
      <c r="BF1535" s="43" t="n">
        <v>9187</v>
      </c>
    </row>
    <row r="1536">
      <c r="A1536" s="42" t="inlineStr">
        <is>
          <t>KY</t>
        </is>
      </c>
      <c r="B1536" s="42" t="inlineStr">
        <is>
          <t>21151</t>
        </is>
      </c>
      <c r="C1536" s="42" t="inlineStr">
        <is>
          <t>Madison</t>
        </is>
      </c>
      <c r="D1536" s="42" t="inlineStr">
        <is>
          <t>Small town &amp; rural</t>
        </is>
      </c>
      <c r="E1536" s="42" t="inlineStr"/>
      <c r="F1536" s="43" t="n">
        <v>15180</v>
      </c>
      <c r="G1536" s="43" t="n">
        <v>29130</v>
      </c>
      <c r="H1536" s="43" t="n">
        <v>45164</v>
      </c>
      <c r="I1536" s="43" t="n">
        <v>15581</v>
      </c>
      <c r="J1536" s="43" t="n">
        <v>27356</v>
      </c>
      <c r="K1536" s="42" t="inlineStr">
        <is>
          <t>US Senate</t>
        </is>
      </c>
      <c r="L1536" s="43" t="n">
        <v>11420</v>
      </c>
      <c r="M1536" s="43" t="n">
        <v>18592</v>
      </c>
      <c r="N1536" s="43" t="n">
        <v>30012</v>
      </c>
      <c r="O1536" s="44">
        <f>IFERROR((F1536-G1536)/(F1536+G1536),"")</f>
        <v/>
      </c>
      <c r="P1536" s="44">
        <f>IFERROR((I1536-J1536)/(I1536+J1536),"")</f>
        <v/>
      </c>
      <c r="Q1536" s="45">
        <f>IFERROR(O1536-P1536,"")</f>
        <v/>
      </c>
      <c r="R1536" s="44">
        <f>IFERROR((L1536-M1536)/(L1536+M1536),"")</f>
        <v/>
      </c>
      <c r="S1536" s="46">
        <f>H1536/SUMIFS(Counties!$H$2:$H$1583,Counties!$A$2:$A$1583,$A1536)</f>
        <v/>
      </c>
      <c r="T1536" s="44">
        <f>O1536+INDEX(Dashboard!$F$6:$F$22,MATCH($A1536,Dashboard!$A$6:$A$22,0))</f>
        <v/>
      </c>
      <c r="U1536" s="43">
        <f>AQ1536*INDEX(Dashboard!$G$6:$G$22,MATCH($A1536,Dashboard!$A$6:$A$22,0))</f>
        <v/>
      </c>
      <c r="V1536" s="47" t="n"/>
      <c r="W1536" s="47" t="n"/>
      <c r="X1536" s="47" t="n"/>
      <c r="Y1536" s="48" t="n"/>
      <c r="Z1536" s="49" t="n"/>
      <c r="AA1536" s="49" t="n"/>
      <c r="AB1536" s="49" t="n"/>
      <c r="AC1536" s="50" t="n"/>
      <c r="AD1536" s="43">
        <f>IF(Z1536&lt;&gt;"",Z1536,N(V1536))</f>
        <v/>
      </c>
      <c r="AE1536" s="43">
        <f>IF(AA1536&lt;&gt;"",AA1536,N(W1536))</f>
        <v/>
      </c>
      <c r="AF1536" s="43">
        <f>AD1536+AE1536</f>
        <v/>
      </c>
      <c r="AG1536" s="42">
        <f>IF(UPPER(AC1536)="Y",1,IF(AF1536=0,0,IF(AND(Z1536="",Y1536&lt;&gt;""),IF(Y1536&gt;=0.999,1,0),IF(AF1536&gt;=U1536,1,0))))</f>
        <v/>
      </c>
      <c r="AH1536" s="44">
        <f>IF(AF1536&gt;0,(AD1536-AE1536)/AF1536,"")</f>
        <v/>
      </c>
      <c r="AI1536" s="45">
        <f>IF(AG1536=1,AH1536-O1536,"")</f>
        <v/>
      </c>
      <c r="AJ1536" s="44">
        <f>IF(AG1536=1,AH1536,MAX(-1,MIN(1,O1536+INDEX(Types!$H:$H,MATCH($A1536&amp;"|"&amp;$D1536,Types!$A:$A,0)))))</f>
        <v/>
      </c>
      <c r="AK1536" s="43">
        <f>IF(AG1536=1,AF1536,MAX(AQ1536*AS1536,AF1536))</f>
        <v/>
      </c>
      <c r="AL1536" s="43">
        <f>IF(AG1536=1,AD1536,AK1536*(1+AJ1536)/2)</f>
        <v/>
      </c>
      <c r="AM1536" s="43">
        <f>IF(AG1536=1,AE1536,AK1536*(1-AJ1536)/2)</f>
        <v/>
      </c>
      <c r="AN1536" s="45">
        <f>IF(AH1536="","",AH1536-T1536)</f>
        <v/>
      </c>
      <c r="AO1536" s="51">
        <f>IF(AG1536=1,1,IF(U1536&gt;0,MIN(AF1536/U1536,0.99),0))</f>
        <v/>
      </c>
      <c r="AP1536" s="43">
        <f>IF(AG1536=1,AI1536*AF1536,0)</f>
        <v/>
      </c>
      <c r="AQ1536" s="43">
        <f>N1536*(F1536+G1536)/H1536</f>
        <v/>
      </c>
      <c r="AR1536" s="43">
        <f>O1536*AQ1536</f>
        <v/>
      </c>
      <c r="AS1536" s="52">
        <f>IF(AG1536=1,IF(AQ1536&gt;0,AF1536/AQ1536,1),IFERROR(INDEX(Types!$K:$K,MATCH($A1536&amp;"|"&amp;$D1536,Types!$A:$A,0)),INDEX(Dashboard!$X$6:$X$22,MATCH($A1536,Dashboard!$A$6:$A$22,0))))</f>
        <v/>
      </c>
      <c r="AT1536" s="43">
        <f>AQ1536*INDEX(Dashboard!$Y$6:$Y$22,MATCH($A1536,Dashboard!$A$6:$A$22,0))</f>
        <v/>
      </c>
      <c r="AU1536" s="53">
        <f>IF(AND(AG1536=1,AT1536&gt;0,AF1536&gt;0),100*AF1536/AT1536,"")</f>
        <v/>
      </c>
      <c r="AV1536" s="44">
        <f>IF(AU1536="","",T1536/(AU1536/100))</f>
        <v/>
      </c>
      <c r="AW1536" s="53">
        <f>IF(AU1536="","",IF(AND(ABS(AH1536)&gt;=0.1,ABS(T1536)&gt;=0.05,SIGN(AH1536)=SIGN(T1536)),100*T1536/AH1536,""))</f>
        <v/>
      </c>
      <c r="AX1536" s="45">
        <f>IF(AU1536="","",T1536-AV1536)</f>
        <v/>
      </c>
      <c r="AY1536" s="45">
        <f>IF(AU1536="","",AH1536-AV1536)</f>
        <v/>
      </c>
      <c r="AZ1536" s="54">
        <f>(AL1536-AM1536)-T1536*AT1536</f>
        <v/>
      </c>
      <c r="BA1536" s="43">
        <f>IF(AU1536="",0,(AH1536-T1536)*AF1536)</f>
        <v/>
      </c>
      <c r="BB1536" s="43">
        <f>IF(AU1536="",0,T1536*(AF1536-AT1536))</f>
        <v/>
      </c>
      <c r="BC1536" s="51" t="n">
        <v>0.04345893420168501</v>
      </c>
      <c r="BD1536" s="51" t="n">
        <v>0.03581950690029462</v>
      </c>
      <c r="BE1536" s="51" t="n">
        <v>0.3417974709292471</v>
      </c>
      <c r="BF1536" s="43" t="n">
        <v>96735</v>
      </c>
    </row>
    <row r="1537">
      <c r="A1537" s="42" t="inlineStr">
        <is>
          <t>KY</t>
        </is>
      </c>
      <c r="B1537" s="42" t="inlineStr">
        <is>
          <t>21153</t>
        </is>
      </c>
      <c r="C1537" s="42" t="inlineStr">
        <is>
          <t>Magoffin</t>
        </is>
      </c>
      <c r="D1537" s="42" t="inlineStr">
        <is>
          <t>Small town &amp; rural</t>
        </is>
      </c>
      <c r="E1537" s="42" t="inlineStr"/>
      <c r="F1537" s="43" t="n">
        <v>909</v>
      </c>
      <c r="G1537" s="43" t="n">
        <v>4288</v>
      </c>
      <c r="H1537" s="43" t="n">
        <v>5274</v>
      </c>
      <c r="I1537" s="43" t="n">
        <v>1214</v>
      </c>
      <c r="J1537" s="43" t="n">
        <v>4174</v>
      </c>
      <c r="K1537" s="42" t="inlineStr">
        <is>
          <t>US Senate</t>
        </is>
      </c>
      <c r="L1537" s="43" t="n">
        <v>1472</v>
      </c>
      <c r="M1537" s="43" t="n">
        <v>3404</v>
      </c>
      <c r="N1537" s="43" t="n">
        <v>4876</v>
      </c>
      <c r="O1537" s="44">
        <f>IFERROR((F1537-G1537)/(F1537+G1537),"")</f>
        <v/>
      </c>
      <c r="P1537" s="44">
        <f>IFERROR((I1537-J1537)/(I1537+J1537),"")</f>
        <v/>
      </c>
      <c r="Q1537" s="45">
        <f>IFERROR(O1537-P1537,"")</f>
        <v/>
      </c>
      <c r="R1537" s="44">
        <f>IFERROR((L1537-M1537)/(L1537+M1537),"")</f>
        <v/>
      </c>
      <c r="S1537" s="46">
        <f>H1537/SUMIFS(Counties!$H$2:$H$1583,Counties!$A$2:$A$1583,$A1537)</f>
        <v/>
      </c>
      <c r="T1537" s="44">
        <f>O1537+INDEX(Dashboard!$F$6:$F$22,MATCH($A1537,Dashboard!$A$6:$A$22,0))</f>
        <v/>
      </c>
      <c r="U1537" s="43">
        <f>AQ1537*INDEX(Dashboard!$G$6:$G$22,MATCH($A1537,Dashboard!$A$6:$A$22,0))</f>
        <v/>
      </c>
      <c r="V1537" s="47" t="n"/>
      <c r="W1537" s="47" t="n"/>
      <c r="X1537" s="47" t="n"/>
      <c r="Y1537" s="48" t="n"/>
      <c r="Z1537" s="49" t="n"/>
      <c r="AA1537" s="49" t="n"/>
      <c r="AB1537" s="49" t="n"/>
      <c r="AC1537" s="50" t="n"/>
      <c r="AD1537" s="43">
        <f>IF(Z1537&lt;&gt;"",Z1537,N(V1537))</f>
        <v/>
      </c>
      <c r="AE1537" s="43">
        <f>IF(AA1537&lt;&gt;"",AA1537,N(W1537))</f>
        <v/>
      </c>
      <c r="AF1537" s="43">
        <f>AD1537+AE1537</f>
        <v/>
      </c>
      <c r="AG1537" s="42">
        <f>IF(UPPER(AC1537)="Y",1,IF(AF1537=0,0,IF(AND(Z1537="",Y1537&lt;&gt;""),IF(Y1537&gt;=0.999,1,0),IF(AF1537&gt;=U1537,1,0))))</f>
        <v/>
      </c>
      <c r="AH1537" s="44">
        <f>IF(AF1537&gt;0,(AD1537-AE1537)/AF1537,"")</f>
        <v/>
      </c>
      <c r="AI1537" s="45">
        <f>IF(AG1537=1,AH1537-O1537,"")</f>
        <v/>
      </c>
      <c r="AJ1537" s="44">
        <f>IF(AG1537=1,AH1537,MAX(-1,MIN(1,O1537+INDEX(Types!$H:$H,MATCH($A1537&amp;"|"&amp;$D1537,Types!$A:$A,0)))))</f>
        <v/>
      </c>
      <c r="AK1537" s="43">
        <f>IF(AG1537=1,AF1537,MAX(AQ1537*AS1537,AF1537))</f>
        <v/>
      </c>
      <c r="AL1537" s="43">
        <f>IF(AG1537=1,AD1537,AK1537*(1+AJ1537)/2)</f>
        <v/>
      </c>
      <c r="AM1537" s="43">
        <f>IF(AG1537=1,AE1537,AK1537*(1-AJ1537)/2)</f>
        <v/>
      </c>
      <c r="AN1537" s="45">
        <f>IF(AH1537="","",AH1537-T1537)</f>
        <v/>
      </c>
      <c r="AO1537" s="51">
        <f>IF(AG1537=1,1,IF(U1537&gt;0,MIN(AF1537/U1537,0.99),0))</f>
        <v/>
      </c>
      <c r="AP1537" s="43">
        <f>IF(AG1537=1,AI1537*AF1537,0)</f>
        <v/>
      </c>
      <c r="AQ1537" s="43">
        <f>N1537*(F1537+G1537)/H1537</f>
        <v/>
      </c>
      <c r="AR1537" s="43">
        <f>O1537*AQ1537</f>
        <v/>
      </c>
      <c r="AS1537" s="52">
        <f>IF(AG1537=1,IF(AQ1537&gt;0,AF1537/AQ1537,1),IFERROR(INDEX(Types!$K:$K,MATCH($A1537&amp;"|"&amp;$D1537,Types!$A:$A,0)),INDEX(Dashboard!$X$6:$X$22,MATCH($A1537,Dashboard!$A$6:$A$22,0))))</f>
        <v/>
      </c>
      <c r="AT1537" s="43">
        <f>AQ1537*INDEX(Dashboard!$Y$6:$Y$22,MATCH($A1537,Dashboard!$A$6:$A$22,0))</f>
        <v/>
      </c>
      <c r="AU1537" s="53">
        <f>IF(AND(AG1537=1,AT1537&gt;0,AF1537&gt;0),100*AF1537/AT1537,"")</f>
        <v/>
      </c>
      <c r="AV1537" s="44">
        <f>IF(AU1537="","",T1537/(AU1537/100))</f>
        <v/>
      </c>
      <c r="AW1537" s="53">
        <f>IF(AU1537="","",IF(AND(ABS(AH1537)&gt;=0.1,ABS(T1537)&gt;=0.05,SIGN(AH1537)=SIGN(T1537)),100*T1537/AH1537,""))</f>
        <v/>
      </c>
      <c r="AX1537" s="45">
        <f>IF(AU1537="","",T1537-AV1537)</f>
        <v/>
      </c>
      <c r="AY1537" s="45">
        <f>IF(AU1537="","",AH1537-AV1537)</f>
        <v/>
      </c>
      <c r="AZ1537" s="54">
        <f>(AL1537-AM1537)-T1537*AT1537</f>
        <v/>
      </c>
      <c r="BA1537" s="43">
        <f>IF(AU1537="",0,(AH1537-T1537)*AF1537)</f>
        <v/>
      </c>
      <c r="BB1537" s="43">
        <f>IF(AU1537="",0,T1537*(AF1537-AT1537))</f>
        <v/>
      </c>
      <c r="BC1537" s="51" t="n">
        <v>0.003829711435696473</v>
      </c>
      <c r="BD1537" s="51" t="n">
        <v>0.006323477021731386</v>
      </c>
      <c r="BE1537" s="51" t="n">
        <v>0.1318938926588526</v>
      </c>
      <c r="BF1537" s="43" t="n">
        <v>11228</v>
      </c>
    </row>
    <row r="1538">
      <c r="A1538" s="42" t="inlineStr">
        <is>
          <t>KY</t>
        </is>
      </c>
      <c r="B1538" s="42" t="inlineStr">
        <is>
          <t>21155</t>
        </is>
      </c>
      <c r="C1538" s="42" t="inlineStr">
        <is>
          <t>Marion</t>
        </is>
      </c>
      <c r="D1538" s="42" t="inlineStr">
        <is>
          <t>Small town &amp; rural</t>
        </is>
      </c>
      <c r="E1538" s="42" t="inlineStr"/>
      <c r="F1538" s="43" t="n">
        <v>2513</v>
      </c>
      <c r="G1538" s="43" t="n">
        <v>6473</v>
      </c>
      <c r="H1538" s="43" t="n">
        <v>9100</v>
      </c>
      <c r="I1538" s="43" t="n">
        <v>2722</v>
      </c>
      <c r="J1538" s="43" t="n">
        <v>6113</v>
      </c>
      <c r="K1538" s="42" t="inlineStr">
        <is>
          <t>US Senate</t>
        </is>
      </c>
      <c r="L1538" s="43" t="n">
        <v>2112</v>
      </c>
      <c r="M1538" s="43" t="n">
        <v>3782</v>
      </c>
      <c r="N1538" s="43" t="n">
        <v>5896</v>
      </c>
      <c r="O1538" s="44">
        <f>IFERROR((F1538-G1538)/(F1538+G1538),"")</f>
        <v/>
      </c>
      <c r="P1538" s="44">
        <f>IFERROR((I1538-J1538)/(I1538+J1538),"")</f>
        <v/>
      </c>
      <c r="Q1538" s="45">
        <f>IFERROR(O1538-P1538,"")</f>
        <v/>
      </c>
      <c r="R1538" s="44">
        <f>IFERROR((L1538-M1538)/(L1538+M1538),"")</f>
        <v/>
      </c>
      <c r="S1538" s="46">
        <f>H1538/SUMIFS(Counties!$H$2:$H$1583,Counties!$A$2:$A$1583,$A1538)</f>
        <v/>
      </c>
      <c r="T1538" s="44">
        <f>O1538+INDEX(Dashboard!$F$6:$F$22,MATCH($A1538,Dashboard!$A$6:$A$22,0))</f>
        <v/>
      </c>
      <c r="U1538" s="43">
        <f>AQ1538*INDEX(Dashboard!$G$6:$G$22,MATCH($A1538,Dashboard!$A$6:$A$22,0))</f>
        <v/>
      </c>
      <c r="V1538" s="47" t="n"/>
      <c r="W1538" s="47" t="n"/>
      <c r="X1538" s="47" t="n"/>
      <c r="Y1538" s="48" t="n"/>
      <c r="Z1538" s="49" t="n"/>
      <c r="AA1538" s="49" t="n"/>
      <c r="AB1538" s="49" t="n"/>
      <c r="AC1538" s="50" t="n"/>
      <c r="AD1538" s="43">
        <f>IF(Z1538&lt;&gt;"",Z1538,N(V1538))</f>
        <v/>
      </c>
      <c r="AE1538" s="43">
        <f>IF(AA1538&lt;&gt;"",AA1538,N(W1538))</f>
        <v/>
      </c>
      <c r="AF1538" s="43">
        <f>AD1538+AE1538</f>
        <v/>
      </c>
      <c r="AG1538" s="42">
        <f>IF(UPPER(AC1538)="Y",1,IF(AF1538=0,0,IF(AND(Z1538="",Y1538&lt;&gt;""),IF(Y1538&gt;=0.999,1,0),IF(AF1538&gt;=U1538,1,0))))</f>
        <v/>
      </c>
      <c r="AH1538" s="44">
        <f>IF(AF1538&gt;0,(AD1538-AE1538)/AF1538,"")</f>
        <v/>
      </c>
      <c r="AI1538" s="45">
        <f>IF(AG1538=1,AH1538-O1538,"")</f>
        <v/>
      </c>
      <c r="AJ1538" s="44">
        <f>IF(AG1538=1,AH1538,MAX(-1,MIN(1,O1538+INDEX(Types!$H:$H,MATCH($A1538&amp;"|"&amp;$D1538,Types!$A:$A,0)))))</f>
        <v/>
      </c>
      <c r="AK1538" s="43">
        <f>IF(AG1538=1,AF1538,MAX(AQ1538*AS1538,AF1538))</f>
        <v/>
      </c>
      <c r="AL1538" s="43">
        <f>IF(AG1538=1,AD1538,AK1538*(1+AJ1538)/2)</f>
        <v/>
      </c>
      <c r="AM1538" s="43">
        <f>IF(AG1538=1,AE1538,AK1538*(1-AJ1538)/2)</f>
        <v/>
      </c>
      <c r="AN1538" s="45">
        <f>IF(AH1538="","",AH1538-T1538)</f>
        <v/>
      </c>
      <c r="AO1538" s="51">
        <f>IF(AG1538=1,1,IF(U1538&gt;0,MIN(AF1538/U1538,0.99),0))</f>
        <v/>
      </c>
      <c r="AP1538" s="43">
        <f>IF(AG1538=1,AI1538*AF1538,0)</f>
        <v/>
      </c>
      <c r="AQ1538" s="43">
        <f>N1538*(F1538+G1538)/H1538</f>
        <v/>
      </c>
      <c r="AR1538" s="43">
        <f>O1538*AQ1538</f>
        <v/>
      </c>
      <c r="AS1538" s="52">
        <f>IF(AG1538=1,IF(AQ1538&gt;0,AF1538/AQ1538,1),IFERROR(INDEX(Types!$K:$K,MATCH($A1538&amp;"|"&amp;$D1538,Types!$A:$A,0)),INDEX(Dashboard!$X$6:$X$22,MATCH($A1538,Dashboard!$A$6:$A$22,0))))</f>
        <v/>
      </c>
      <c r="AT1538" s="43">
        <f>AQ1538*INDEX(Dashboard!$Y$6:$Y$22,MATCH($A1538,Dashboard!$A$6:$A$22,0))</f>
        <v/>
      </c>
      <c r="AU1538" s="53">
        <f>IF(AND(AG1538=1,AT1538&gt;0,AF1538&gt;0),100*AF1538/AT1538,"")</f>
        <v/>
      </c>
      <c r="AV1538" s="44">
        <f>IF(AU1538="","",T1538/(AU1538/100))</f>
        <v/>
      </c>
      <c r="AW1538" s="53">
        <f>IF(AU1538="","",IF(AND(ABS(AH1538)&gt;=0.1,ABS(T1538)&gt;=0.05,SIGN(AH1538)=SIGN(T1538)),100*T1538/AH1538,""))</f>
        <v/>
      </c>
      <c r="AX1538" s="45">
        <f>IF(AU1538="","",T1538-AV1538)</f>
        <v/>
      </c>
      <c r="AY1538" s="45">
        <f>IF(AU1538="","",AH1538-AV1538)</f>
        <v/>
      </c>
      <c r="AZ1538" s="54">
        <f>(AL1538-AM1538)-T1538*AT1538</f>
        <v/>
      </c>
      <c r="BA1538" s="43">
        <f>IF(AU1538="",0,(AH1538-T1538)*AF1538)</f>
        <v/>
      </c>
      <c r="BB1538" s="43">
        <f>IF(AU1538="",0,T1538*(AF1538-AT1538))</f>
        <v/>
      </c>
      <c r="BC1538" s="51" t="n">
        <v>0.06529192296057275</v>
      </c>
      <c r="BD1538" s="51" t="n">
        <v>0.03650297468992639</v>
      </c>
      <c r="BE1538" s="51" t="n">
        <v>0.1272700097152679</v>
      </c>
      <c r="BF1538" s="43" t="n">
        <v>19834</v>
      </c>
    </row>
    <row r="1539">
      <c r="A1539" s="42" t="inlineStr">
        <is>
          <t>KY</t>
        </is>
      </c>
      <c r="B1539" s="42" t="inlineStr">
        <is>
          <t>21157</t>
        </is>
      </c>
      <c r="C1539" s="42" t="inlineStr">
        <is>
          <t>Marshall</t>
        </is>
      </c>
      <c r="D1539" s="42" t="inlineStr">
        <is>
          <t>Small town &amp; rural</t>
        </is>
      </c>
      <c r="E1539" s="42" t="inlineStr"/>
      <c r="F1539" s="43" t="n">
        <v>3700</v>
      </c>
      <c r="G1539" s="43" t="n">
        <v>13677</v>
      </c>
      <c r="H1539" s="43" t="n">
        <v>17599</v>
      </c>
      <c r="I1539" s="43" t="n">
        <v>4071</v>
      </c>
      <c r="J1539" s="43" t="n">
        <v>13297</v>
      </c>
      <c r="K1539" s="42" t="inlineStr">
        <is>
          <t>US Senate</t>
        </is>
      </c>
      <c r="L1539" s="43" t="n">
        <v>3054</v>
      </c>
      <c r="M1539" s="43" t="n">
        <v>9875</v>
      </c>
      <c r="N1539" s="43" t="n">
        <v>12930</v>
      </c>
      <c r="O1539" s="44">
        <f>IFERROR((F1539-G1539)/(F1539+G1539),"")</f>
        <v/>
      </c>
      <c r="P1539" s="44">
        <f>IFERROR((I1539-J1539)/(I1539+J1539),"")</f>
        <v/>
      </c>
      <c r="Q1539" s="45">
        <f>IFERROR(O1539-P1539,"")</f>
        <v/>
      </c>
      <c r="R1539" s="44">
        <f>IFERROR((L1539-M1539)/(L1539+M1539),"")</f>
        <v/>
      </c>
      <c r="S1539" s="46">
        <f>H1539/SUMIFS(Counties!$H$2:$H$1583,Counties!$A$2:$A$1583,$A1539)</f>
        <v/>
      </c>
      <c r="T1539" s="44">
        <f>O1539+INDEX(Dashboard!$F$6:$F$22,MATCH($A1539,Dashboard!$A$6:$A$22,0))</f>
        <v/>
      </c>
      <c r="U1539" s="43">
        <f>AQ1539*INDEX(Dashboard!$G$6:$G$22,MATCH($A1539,Dashboard!$A$6:$A$22,0))</f>
        <v/>
      </c>
      <c r="V1539" s="47" t="n"/>
      <c r="W1539" s="47" t="n"/>
      <c r="X1539" s="47" t="n"/>
      <c r="Y1539" s="48" t="n"/>
      <c r="Z1539" s="49" t="n"/>
      <c r="AA1539" s="49" t="n"/>
      <c r="AB1539" s="49" t="n"/>
      <c r="AC1539" s="50" t="n"/>
      <c r="AD1539" s="43">
        <f>IF(Z1539&lt;&gt;"",Z1539,N(V1539))</f>
        <v/>
      </c>
      <c r="AE1539" s="43">
        <f>IF(AA1539&lt;&gt;"",AA1539,N(W1539))</f>
        <v/>
      </c>
      <c r="AF1539" s="43">
        <f>AD1539+AE1539</f>
        <v/>
      </c>
      <c r="AG1539" s="42">
        <f>IF(UPPER(AC1539)="Y",1,IF(AF1539=0,0,IF(AND(Z1539="",Y1539&lt;&gt;""),IF(Y1539&gt;=0.999,1,0),IF(AF1539&gt;=U1539,1,0))))</f>
        <v/>
      </c>
      <c r="AH1539" s="44">
        <f>IF(AF1539&gt;0,(AD1539-AE1539)/AF1539,"")</f>
        <v/>
      </c>
      <c r="AI1539" s="45">
        <f>IF(AG1539=1,AH1539-O1539,"")</f>
        <v/>
      </c>
      <c r="AJ1539" s="44">
        <f>IF(AG1539=1,AH1539,MAX(-1,MIN(1,O1539+INDEX(Types!$H:$H,MATCH($A1539&amp;"|"&amp;$D1539,Types!$A:$A,0)))))</f>
        <v/>
      </c>
      <c r="AK1539" s="43">
        <f>IF(AG1539=1,AF1539,MAX(AQ1539*AS1539,AF1539))</f>
        <v/>
      </c>
      <c r="AL1539" s="43">
        <f>IF(AG1539=1,AD1539,AK1539*(1+AJ1539)/2)</f>
        <v/>
      </c>
      <c r="AM1539" s="43">
        <f>IF(AG1539=1,AE1539,AK1539*(1-AJ1539)/2)</f>
        <v/>
      </c>
      <c r="AN1539" s="45">
        <f>IF(AH1539="","",AH1539-T1539)</f>
        <v/>
      </c>
      <c r="AO1539" s="51">
        <f>IF(AG1539=1,1,IF(U1539&gt;0,MIN(AF1539/U1539,0.99),0))</f>
        <v/>
      </c>
      <c r="AP1539" s="43">
        <f>IF(AG1539=1,AI1539*AF1539,0)</f>
        <v/>
      </c>
      <c r="AQ1539" s="43">
        <f>N1539*(F1539+G1539)/H1539</f>
        <v/>
      </c>
      <c r="AR1539" s="43">
        <f>O1539*AQ1539</f>
        <v/>
      </c>
      <c r="AS1539" s="52">
        <f>IF(AG1539=1,IF(AQ1539&gt;0,AF1539/AQ1539,1),IFERROR(INDEX(Types!$K:$K,MATCH($A1539&amp;"|"&amp;$D1539,Types!$A:$A,0)),INDEX(Dashboard!$X$6:$X$22,MATCH($A1539,Dashboard!$A$6:$A$22,0))))</f>
        <v/>
      </c>
      <c r="AT1539" s="43">
        <f>AQ1539*INDEX(Dashboard!$Y$6:$Y$22,MATCH($A1539,Dashboard!$A$6:$A$22,0))</f>
        <v/>
      </c>
      <c r="AU1539" s="53">
        <f>IF(AND(AG1539=1,AT1539&gt;0,AF1539&gt;0),100*AF1539/AT1539,"")</f>
        <v/>
      </c>
      <c r="AV1539" s="44">
        <f>IF(AU1539="","",T1539/(AU1539/100))</f>
        <v/>
      </c>
      <c r="AW1539" s="53">
        <f>IF(AU1539="","",IF(AND(ABS(AH1539)&gt;=0.1,ABS(T1539)&gt;=0.05,SIGN(AH1539)=SIGN(T1539)),100*T1539/AH1539,""))</f>
        <v/>
      </c>
      <c r="AX1539" s="45">
        <f>IF(AU1539="","",T1539-AV1539)</f>
        <v/>
      </c>
      <c r="AY1539" s="45">
        <f>IF(AU1539="","",AH1539-AV1539)</f>
        <v/>
      </c>
      <c r="AZ1539" s="54">
        <f>(AL1539-AM1539)-T1539*AT1539</f>
        <v/>
      </c>
      <c r="BA1539" s="43">
        <f>IF(AU1539="",0,(AH1539-T1539)*AF1539)</f>
        <v/>
      </c>
      <c r="BB1539" s="43">
        <f>IF(AU1539="",0,T1539*(AF1539-AT1539))</f>
        <v/>
      </c>
      <c r="BC1539" s="51" t="n">
        <v>0.006048387096774193</v>
      </c>
      <c r="BD1539" s="51" t="n">
        <v>0.02082283266129032</v>
      </c>
      <c r="BE1539" s="51" t="n">
        <v>0.210460124029663</v>
      </c>
      <c r="BF1539" s="43" t="n">
        <v>31744</v>
      </c>
    </row>
    <row r="1540">
      <c r="A1540" s="42" t="inlineStr">
        <is>
          <t>KY</t>
        </is>
      </c>
      <c r="B1540" s="42" t="inlineStr">
        <is>
          <t>21159</t>
        </is>
      </c>
      <c r="C1540" s="42" t="inlineStr">
        <is>
          <t>Martin</t>
        </is>
      </c>
      <c r="D1540" s="42" t="inlineStr">
        <is>
          <t>Small town &amp; rural</t>
        </is>
      </c>
      <c r="E1540" s="42" t="inlineStr"/>
      <c r="F1540" s="43" t="n">
        <v>287</v>
      </c>
      <c r="G1540" s="43" t="n">
        <v>3343</v>
      </c>
      <c r="H1540" s="43" t="n">
        <v>3655</v>
      </c>
      <c r="I1540" s="43" t="n">
        <v>403</v>
      </c>
      <c r="J1540" s="43" t="n">
        <v>3496</v>
      </c>
      <c r="K1540" s="42" t="inlineStr">
        <is>
          <t>US Senate</t>
        </is>
      </c>
      <c r="L1540" s="43" t="n">
        <v>358</v>
      </c>
      <c r="M1540" s="43" t="n">
        <v>2241</v>
      </c>
      <c r="N1540" s="43" t="n">
        <v>2599</v>
      </c>
      <c r="O1540" s="44">
        <f>IFERROR((F1540-G1540)/(F1540+G1540),"")</f>
        <v/>
      </c>
      <c r="P1540" s="44">
        <f>IFERROR((I1540-J1540)/(I1540+J1540),"")</f>
        <v/>
      </c>
      <c r="Q1540" s="45">
        <f>IFERROR(O1540-P1540,"")</f>
        <v/>
      </c>
      <c r="R1540" s="44">
        <f>IFERROR((L1540-M1540)/(L1540+M1540),"")</f>
        <v/>
      </c>
      <c r="S1540" s="46">
        <f>H1540/SUMIFS(Counties!$H$2:$H$1583,Counties!$A$2:$A$1583,$A1540)</f>
        <v/>
      </c>
      <c r="T1540" s="44">
        <f>O1540+INDEX(Dashboard!$F$6:$F$22,MATCH($A1540,Dashboard!$A$6:$A$22,0))</f>
        <v/>
      </c>
      <c r="U1540" s="43">
        <f>AQ1540*INDEX(Dashboard!$G$6:$G$22,MATCH($A1540,Dashboard!$A$6:$A$22,0))</f>
        <v/>
      </c>
      <c r="V1540" s="47" t="n"/>
      <c r="W1540" s="47" t="n"/>
      <c r="X1540" s="47" t="n"/>
      <c r="Y1540" s="48" t="n"/>
      <c r="Z1540" s="49" t="n"/>
      <c r="AA1540" s="49" t="n"/>
      <c r="AB1540" s="49" t="n"/>
      <c r="AC1540" s="50" t="n"/>
      <c r="AD1540" s="43">
        <f>IF(Z1540&lt;&gt;"",Z1540,N(V1540))</f>
        <v/>
      </c>
      <c r="AE1540" s="43">
        <f>IF(AA1540&lt;&gt;"",AA1540,N(W1540))</f>
        <v/>
      </c>
      <c r="AF1540" s="43">
        <f>AD1540+AE1540</f>
        <v/>
      </c>
      <c r="AG1540" s="42">
        <f>IF(UPPER(AC1540)="Y",1,IF(AF1540=0,0,IF(AND(Z1540="",Y1540&lt;&gt;""),IF(Y1540&gt;=0.999,1,0),IF(AF1540&gt;=U1540,1,0))))</f>
        <v/>
      </c>
      <c r="AH1540" s="44">
        <f>IF(AF1540&gt;0,(AD1540-AE1540)/AF1540,"")</f>
        <v/>
      </c>
      <c r="AI1540" s="45">
        <f>IF(AG1540=1,AH1540-O1540,"")</f>
        <v/>
      </c>
      <c r="AJ1540" s="44">
        <f>IF(AG1540=1,AH1540,MAX(-1,MIN(1,O1540+INDEX(Types!$H:$H,MATCH($A1540&amp;"|"&amp;$D1540,Types!$A:$A,0)))))</f>
        <v/>
      </c>
      <c r="AK1540" s="43">
        <f>IF(AG1540=1,AF1540,MAX(AQ1540*AS1540,AF1540))</f>
        <v/>
      </c>
      <c r="AL1540" s="43">
        <f>IF(AG1540=1,AD1540,AK1540*(1+AJ1540)/2)</f>
        <v/>
      </c>
      <c r="AM1540" s="43">
        <f>IF(AG1540=1,AE1540,AK1540*(1-AJ1540)/2)</f>
        <v/>
      </c>
      <c r="AN1540" s="45">
        <f>IF(AH1540="","",AH1540-T1540)</f>
        <v/>
      </c>
      <c r="AO1540" s="51">
        <f>IF(AG1540=1,1,IF(U1540&gt;0,MIN(AF1540/U1540,0.99),0))</f>
        <v/>
      </c>
      <c r="AP1540" s="43">
        <f>IF(AG1540=1,AI1540*AF1540,0)</f>
        <v/>
      </c>
      <c r="AQ1540" s="43">
        <f>N1540*(F1540+G1540)/H1540</f>
        <v/>
      </c>
      <c r="AR1540" s="43">
        <f>O1540*AQ1540</f>
        <v/>
      </c>
      <c r="AS1540" s="52">
        <f>IF(AG1540=1,IF(AQ1540&gt;0,AF1540/AQ1540,1),IFERROR(INDEX(Types!$K:$K,MATCH($A1540&amp;"|"&amp;$D1540,Types!$A:$A,0)),INDEX(Dashboard!$X$6:$X$22,MATCH($A1540,Dashboard!$A$6:$A$22,0))))</f>
        <v/>
      </c>
      <c r="AT1540" s="43">
        <f>AQ1540*INDEX(Dashboard!$Y$6:$Y$22,MATCH($A1540,Dashboard!$A$6:$A$22,0))</f>
        <v/>
      </c>
      <c r="AU1540" s="53">
        <f>IF(AND(AG1540=1,AT1540&gt;0,AF1540&gt;0),100*AF1540/AT1540,"")</f>
        <v/>
      </c>
      <c r="AV1540" s="44">
        <f>IF(AU1540="","",T1540/(AU1540/100))</f>
        <v/>
      </c>
      <c r="AW1540" s="53">
        <f>IF(AU1540="","",IF(AND(ABS(AH1540)&gt;=0.1,ABS(T1540)&gt;=0.05,SIGN(AH1540)=SIGN(T1540)),100*T1540/AH1540,""))</f>
        <v/>
      </c>
      <c r="AX1540" s="45">
        <f>IF(AU1540="","",T1540-AV1540)</f>
        <v/>
      </c>
      <c r="AY1540" s="45">
        <f>IF(AU1540="","",AH1540-AV1540)</f>
        <v/>
      </c>
      <c r="AZ1540" s="54">
        <f>(AL1540-AM1540)-T1540*AT1540</f>
        <v/>
      </c>
      <c r="BA1540" s="43">
        <f>IF(AU1540="",0,(AH1540-T1540)*AF1540)</f>
        <v/>
      </c>
      <c r="BB1540" s="43">
        <f>IF(AU1540="",0,T1540*(AF1540-AT1540))</f>
        <v/>
      </c>
      <c r="BC1540" s="51" t="n">
        <v>0.08318081991215227</v>
      </c>
      <c r="BD1540" s="51" t="n">
        <v>0.0345900439238653</v>
      </c>
      <c r="BE1540" s="51" t="n">
        <v>0.1073301622149043</v>
      </c>
      <c r="BF1540" s="43" t="n">
        <v>10928</v>
      </c>
    </row>
    <row r="1541">
      <c r="A1541" s="42" t="inlineStr">
        <is>
          <t>KY</t>
        </is>
      </c>
      <c r="B1541" s="42" t="inlineStr">
        <is>
          <t>21161</t>
        </is>
      </c>
      <c r="C1541" s="42" t="inlineStr">
        <is>
          <t>Mason</t>
        </is>
      </c>
      <c r="D1541" s="42" t="inlineStr">
        <is>
          <t>Small town &amp; rural</t>
        </is>
      </c>
      <c r="E1541" s="42" t="inlineStr"/>
      <c r="F1541" s="43" t="n">
        <v>2170</v>
      </c>
      <c r="G1541" s="43" t="n">
        <v>5621</v>
      </c>
      <c r="H1541" s="43" t="n">
        <v>7898</v>
      </c>
      <c r="I1541" s="43" t="n">
        <v>2362</v>
      </c>
      <c r="J1541" s="43" t="n">
        <v>5477</v>
      </c>
      <c r="K1541" s="42" t="inlineStr">
        <is>
          <t>US Senate</t>
        </is>
      </c>
      <c r="L1541" s="43" t="n">
        <v>1927</v>
      </c>
      <c r="M1541" s="43" t="n">
        <v>3879</v>
      </c>
      <c r="N1541" s="43" t="n">
        <v>5806</v>
      </c>
      <c r="O1541" s="44">
        <f>IFERROR((F1541-G1541)/(F1541+G1541),"")</f>
        <v/>
      </c>
      <c r="P1541" s="44">
        <f>IFERROR((I1541-J1541)/(I1541+J1541),"")</f>
        <v/>
      </c>
      <c r="Q1541" s="45">
        <f>IFERROR(O1541-P1541,"")</f>
        <v/>
      </c>
      <c r="R1541" s="44">
        <f>IFERROR((L1541-M1541)/(L1541+M1541),"")</f>
        <v/>
      </c>
      <c r="S1541" s="46">
        <f>H1541/SUMIFS(Counties!$H$2:$H$1583,Counties!$A$2:$A$1583,$A1541)</f>
        <v/>
      </c>
      <c r="T1541" s="44">
        <f>O1541+INDEX(Dashboard!$F$6:$F$22,MATCH($A1541,Dashboard!$A$6:$A$22,0))</f>
        <v/>
      </c>
      <c r="U1541" s="43">
        <f>AQ1541*INDEX(Dashboard!$G$6:$G$22,MATCH($A1541,Dashboard!$A$6:$A$22,0))</f>
        <v/>
      </c>
      <c r="V1541" s="47" t="n"/>
      <c r="W1541" s="47" t="n"/>
      <c r="X1541" s="47" t="n"/>
      <c r="Y1541" s="48" t="n"/>
      <c r="Z1541" s="49" t="n"/>
      <c r="AA1541" s="49" t="n"/>
      <c r="AB1541" s="49" t="n"/>
      <c r="AC1541" s="50" t="n"/>
      <c r="AD1541" s="43">
        <f>IF(Z1541&lt;&gt;"",Z1541,N(V1541))</f>
        <v/>
      </c>
      <c r="AE1541" s="43">
        <f>IF(AA1541&lt;&gt;"",AA1541,N(W1541))</f>
        <v/>
      </c>
      <c r="AF1541" s="43">
        <f>AD1541+AE1541</f>
        <v/>
      </c>
      <c r="AG1541" s="42">
        <f>IF(UPPER(AC1541)="Y",1,IF(AF1541=0,0,IF(AND(Z1541="",Y1541&lt;&gt;""),IF(Y1541&gt;=0.999,1,0),IF(AF1541&gt;=U1541,1,0))))</f>
        <v/>
      </c>
      <c r="AH1541" s="44">
        <f>IF(AF1541&gt;0,(AD1541-AE1541)/AF1541,"")</f>
        <v/>
      </c>
      <c r="AI1541" s="45">
        <f>IF(AG1541=1,AH1541-O1541,"")</f>
        <v/>
      </c>
      <c r="AJ1541" s="44">
        <f>IF(AG1541=1,AH1541,MAX(-1,MIN(1,O1541+INDEX(Types!$H:$H,MATCH($A1541&amp;"|"&amp;$D1541,Types!$A:$A,0)))))</f>
        <v/>
      </c>
      <c r="AK1541" s="43">
        <f>IF(AG1541=1,AF1541,MAX(AQ1541*AS1541,AF1541))</f>
        <v/>
      </c>
      <c r="AL1541" s="43">
        <f>IF(AG1541=1,AD1541,AK1541*(1+AJ1541)/2)</f>
        <v/>
      </c>
      <c r="AM1541" s="43">
        <f>IF(AG1541=1,AE1541,AK1541*(1-AJ1541)/2)</f>
        <v/>
      </c>
      <c r="AN1541" s="45">
        <f>IF(AH1541="","",AH1541-T1541)</f>
        <v/>
      </c>
      <c r="AO1541" s="51">
        <f>IF(AG1541=1,1,IF(U1541&gt;0,MIN(AF1541/U1541,0.99),0))</f>
        <v/>
      </c>
      <c r="AP1541" s="43">
        <f>IF(AG1541=1,AI1541*AF1541,0)</f>
        <v/>
      </c>
      <c r="AQ1541" s="43">
        <f>N1541*(F1541+G1541)/H1541</f>
        <v/>
      </c>
      <c r="AR1541" s="43">
        <f>O1541*AQ1541</f>
        <v/>
      </c>
      <c r="AS1541" s="52">
        <f>IF(AG1541=1,IF(AQ1541&gt;0,AF1541/AQ1541,1),IFERROR(INDEX(Types!$K:$K,MATCH($A1541&amp;"|"&amp;$D1541,Types!$A:$A,0)),INDEX(Dashboard!$X$6:$X$22,MATCH($A1541,Dashboard!$A$6:$A$22,0))))</f>
        <v/>
      </c>
      <c r="AT1541" s="43">
        <f>AQ1541*INDEX(Dashboard!$Y$6:$Y$22,MATCH($A1541,Dashboard!$A$6:$A$22,0))</f>
        <v/>
      </c>
      <c r="AU1541" s="53">
        <f>IF(AND(AG1541=1,AT1541&gt;0,AF1541&gt;0),100*AF1541/AT1541,"")</f>
        <v/>
      </c>
      <c r="AV1541" s="44">
        <f>IF(AU1541="","",T1541/(AU1541/100))</f>
        <v/>
      </c>
      <c r="AW1541" s="53">
        <f>IF(AU1541="","",IF(AND(ABS(AH1541)&gt;=0.1,ABS(T1541)&gt;=0.05,SIGN(AH1541)=SIGN(T1541)),100*T1541/AH1541,""))</f>
        <v/>
      </c>
      <c r="AX1541" s="45">
        <f>IF(AU1541="","",T1541-AV1541)</f>
        <v/>
      </c>
      <c r="AY1541" s="45">
        <f>IF(AU1541="","",AH1541-AV1541)</f>
        <v/>
      </c>
      <c r="AZ1541" s="54">
        <f>(AL1541-AM1541)-T1541*AT1541</f>
        <v/>
      </c>
      <c r="BA1541" s="43">
        <f>IF(AU1541="",0,(AH1541-T1541)*AF1541)</f>
        <v/>
      </c>
      <c r="BB1541" s="43">
        <f>IF(AU1541="",0,T1541*(AF1541-AT1541))</f>
        <v/>
      </c>
      <c r="BC1541" s="51" t="n">
        <v>0.05878510777269758</v>
      </c>
      <c r="BD1541" s="51" t="n">
        <v>0.0247609999406211</v>
      </c>
      <c r="BE1541" s="51" t="n">
        <v>0.2106630899488641</v>
      </c>
      <c r="BF1541" s="43" t="n">
        <v>16841</v>
      </c>
    </row>
    <row r="1542">
      <c r="A1542" s="42" t="inlineStr">
        <is>
          <t>KY</t>
        </is>
      </c>
      <c r="B1542" s="42" t="inlineStr">
        <is>
          <t>21145</t>
        </is>
      </c>
      <c r="C1542" s="42" t="inlineStr">
        <is>
          <t>McCracken</t>
        </is>
      </c>
      <c r="D1542" s="42" t="inlineStr">
        <is>
          <t>Small town &amp; rural</t>
        </is>
      </c>
      <c r="E1542" s="42" t="inlineStr"/>
      <c r="F1542" s="43" t="n">
        <v>10191</v>
      </c>
      <c r="G1542" s="43" t="n">
        <v>21349</v>
      </c>
      <c r="H1542" s="43" t="n">
        <v>31937</v>
      </c>
      <c r="I1542" s="43" t="n">
        <v>11195</v>
      </c>
      <c r="J1542" s="43" t="n">
        <v>21820</v>
      </c>
      <c r="K1542" s="42" t="inlineStr">
        <is>
          <t>US Senate</t>
        </is>
      </c>
      <c r="L1542" s="43" t="n">
        <v>7466</v>
      </c>
      <c r="M1542" s="43" t="n">
        <v>15294</v>
      </c>
      <c r="N1542" s="43" t="n">
        <v>22762</v>
      </c>
      <c r="O1542" s="44">
        <f>IFERROR((F1542-G1542)/(F1542+G1542),"")</f>
        <v/>
      </c>
      <c r="P1542" s="44">
        <f>IFERROR((I1542-J1542)/(I1542+J1542),"")</f>
        <v/>
      </c>
      <c r="Q1542" s="45">
        <f>IFERROR(O1542-P1542,"")</f>
        <v/>
      </c>
      <c r="R1542" s="44">
        <f>IFERROR((L1542-M1542)/(L1542+M1542),"")</f>
        <v/>
      </c>
      <c r="S1542" s="46">
        <f>H1542/SUMIFS(Counties!$H$2:$H$1583,Counties!$A$2:$A$1583,$A1542)</f>
        <v/>
      </c>
      <c r="T1542" s="44">
        <f>O1542+INDEX(Dashboard!$F$6:$F$22,MATCH($A1542,Dashboard!$A$6:$A$22,0))</f>
        <v/>
      </c>
      <c r="U1542" s="43">
        <f>AQ1542*INDEX(Dashboard!$G$6:$G$22,MATCH($A1542,Dashboard!$A$6:$A$22,0))</f>
        <v/>
      </c>
      <c r="V1542" s="47" t="n"/>
      <c r="W1542" s="47" t="n"/>
      <c r="X1542" s="47" t="n"/>
      <c r="Y1542" s="48" t="n"/>
      <c r="Z1542" s="49" t="n"/>
      <c r="AA1542" s="49" t="n"/>
      <c r="AB1542" s="49" t="n"/>
      <c r="AC1542" s="50" t="n"/>
      <c r="AD1542" s="43">
        <f>IF(Z1542&lt;&gt;"",Z1542,N(V1542))</f>
        <v/>
      </c>
      <c r="AE1542" s="43">
        <f>IF(AA1542&lt;&gt;"",AA1542,N(W1542))</f>
        <v/>
      </c>
      <c r="AF1542" s="43">
        <f>AD1542+AE1542</f>
        <v/>
      </c>
      <c r="AG1542" s="42">
        <f>IF(UPPER(AC1542)="Y",1,IF(AF1542=0,0,IF(AND(Z1542="",Y1542&lt;&gt;""),IF(Y1542&gt;=0.999,1,0),IF(AF1542&gt;=U1542,1,0))))</f>
        <v/>
      </c>
      <c r="AH1542" s="44">
        <f>IF(AF1542&gt;0,(AD1542-AE1542)/AF1542,"")</f>
        <v/>
      </c>
      <c r="AI1542" s="45">
        <f>IF(AG1542=1,AH1542-O1542,"")</f>
        <v/>
      </c>
      <c r="AJ1542" s="44">
        <f>IF(AG1542=1,AH1542,MAX(-1,MIN(1,O1542+INDEX(Types!$H:$H,MATCH($A1542&amp;"|"&amp;$D1542,Types!$A:$A,0)))))</f>
        <v/>
      </c>
      <c r="AK1542" s="43">
        <f>IF(AG1542=1,AF1542,MAX(AQ1542*AS1542,AF1542))</f>
        <v/>
      </c>
      <c r="AL1542" s="43">
        <f>IF(AG1542=1,AD1542,AK1542*(1+AJ1542)/2)</f>
        <v/>
      </c>
      <c r="AM1542" s="43">
        <f>IF(AG1542=1,AE1542,AK1542*(1-AJ1542)/2)</f>
        <v/>
      </c>
      <c r="AN1542" s="45">
        <f>IF(AH1542="","",AH1542-T1542)</f>
        <v/>
      </c>
      <c r="AO1542" s="51">
        <f>IF(AG1542=1,1,IF(U1542&gt;0,MIN(AF1542/U1542,0.99),0))</f>
        <v/>
      </c>
      <c r="AP1542" s="43">
        <f>IF(AG1542=1,AI1542*AF1542,0)</f>
        <v/>
      </c>
      <c r="AQ1542" s="43">
        <f>N1542*(F1542+G1542)/H1542</f>
        <v/>
      </c>
      <c r="AR1542" s="43">
        <f>O1542*AQ1542</f>
        <v/>
      </c>
      <c r="AS1542" s="52">
        <f>IF(AG1542=1,IF(AQ1542&gt;0,AF1542/AQ1542,1),IFERROR(INDEX(Types!$K:$K,MATCH($A1542&amp;"|"&amp;$D1542,Types!$A:$A,0)),INDEX(Dashboard!$X$6:$X$22,MATCH($A1542,Dashboard!$A$6:$A$22,0))))</f>
        <v/>
      </c>
      <c r="AT1542" s="43">
        <f>AQ1542*INDEX(Dashboard!$Y$6:$Y$22,MATCH($A1542,Dashboard!$A$6:$A$22,0))</f>
        <v/>
      </c>
      <c r="AU1542" s="53">
        <f>IF(AND(AG1542=1,AT1542&gt;0,AF1542&gt;0),100*AF1542/AT1542,"")</f>
        <v/>
      </c>
      <c r="AV1542" s="44">
        <f>IF(AU1542="","",T1542/(AU1542/100))</f>
        <v/>
      </c>
      <c r="AW1542" s="53">
        <f>IF(AU1542="","",IF(AND(ABS(AH1542)&gt;=0.1,ABS(T1542)&gt;=0.05,SIGN(AH1542)=SIGN(T1542)),100*T1542/AH1542,""))</f>
        <v/>
      </c>
      <c r="AX1542" s="45">
        <f>IF(AU1542="","",T1542-AV1542)</f>
        <v/>
      </c>
      <c r="AY1542" s="45">
        <f>IF(AU1542="","",AH1542-AV1542)</f>
        <v/>
      </c>
      <c r="AZ1542" s="54">
        <f>(AL1542-AM1542)-T1542*AT1542</f>
        <v/>
      </c>
      <c r="BA1542" s="43">
        <f>IF(AU1542="",0,(AH1542-T1542)*AF1542)</f>
        <v/>
      </c>
      <c r="BB1542" s="43">
        <f>IF(AU1542="",0,T1542*(AF1542-AT1542))</f>
        <v/>
      </c>
      <c r="BC1542" s="51" t="n">
        <v>0.1101471198908465</v>
      </c>
      <c r="BD1542" s="51" t="n">
        <v>0.03526724802752566</v>
      </c>
      <c r="BE1542" s="51" t="n">
        <v>0.279390756302521</v>
      </c>
      <c r="BF1542" s="43" t="n">
        <v>67428</v>
      </c>
    </row>
    <row r="1543">
      <c r="A1543" s="42" t="inlineStr">
        <is>
          <t>KY</t>
        </is>
      </c>
      <c r="B1543" s="42" t="inlineStr">
        <is>
          <t>21147</t>
        </is>
      </c>
      <c r="C1543" s="42" t="inlineStr">
        <is>
          <t>McCreary</t>
        </is>
      </c>
      <c r="D1543" s="42" t="inlineStr">
        <is>
          <t>Small town &amp; rural</t>
        </is>
      </c>
      <c r="E1543" s="42" t="inlineStr"/>
      <c r="F1543" s="43" t="n">
        <v>641</v>
      </c>
      <c r="G1543" s="43" t="n">
        <v>5531</v>
      </c>
      <c r="H1543" s="43" t="n">
        <v>6211</v>
      </c>
      <c r="I1543" s="43" t="n">
        <v>725</v>
      </c>
      <c r="J1543" s="43" t="n">
        <v>5664</v>
      </c>
      <c r="K1543" s="42" t="inlineStr">
        <is>
          <t>US Senate</t>
        </is>
      </c>
      <c r="L1543" s="43" t="n">
        <v>629</v>
      </c>
      <c r="M1543" s="43" t="n">
        <v>3738</v>
      </c>
      <c r="N1543" s="43" t="n">
        <v>4367</v>
      </c>
      <c r="O1543" s="44">
        <f>IFERROR((F1543-G1543)/(F1543+G1543),"")</f>
        <v/>
      </c>
      <c r="P1543" s="44">
        <f>IFERROR((I1543-J1543)/(I1543+J1543),"")</f>
        <v/>
      </c>
      <c r="Q1543" s="45">
        <f>IFERROR(O1543-P1543,"")</f>
        <v/>
      </c>
      <c r="R1543" s="44">
        <f>IFERROR((L1543-M1543)/(L1543+M1543),"")</f>
        <v/>
      </c>
      <c r="S1543" s="46">
        <f>H1543/SUMIFS(Counties!$H$2:$H$1583,Counties!$A$2:$A$1583,$A1543)</f>
        <v/>
      </c>
      <c r="T1543" s="44">
        <f>O1543+INDEX(Dashboard!$F$6:$F$22,MATCH($A1543,Dashboard!$A$6:$A$22,0))</f>
        <v/>
      </c>
      <c r="U1543" s="43">
        <f>AQ1543*INDEX(Dashboard!$G$6:$G$22,MATCH($A1543,Dashboard!$A$6:$A$22,0))</f>
        <v/>
      </c>
      <c r="V1543" s="47" t="n"/>
      <c r="W1543" s="47" t="n"/>
      <c r="X1543" s="47" t="n"/>
      <c r="Y1543" s="48" t="n"/>
      <c r="Z1543" s="49" t="n"/>
      <c r="AA1543" s="49" t="n"/>
      <c r="AB1543" s="49" t="n"/>
      <c r="AC1543" s="50" t="n"/>
      <c r="AD1543" s="43">
        <f>IF(Z1543&lt;&gt;"",Z1543,N(V1543))</f>
        <v/>
      </c>
      <c r="AE1543" s="43">
        <f>IF(AA1543&lt;&gt;"",AA1543,N(W1543))</f>
        <v/>
      </c>
      <c r="AF1543" s="43">
        <f>AD1543+AE1543</f>
        <v/>
      </c>
      <c r="AG1543" s="42">
        <f>IF(UPPER(AC1543)="Y",1,IF(AF1543=0,0,IF(AND(Z1543="",Y1543&lt;&gt;""),IF(Y1543&gt;=0.999,1,0),IF(AF1543&gt;=U1543,1,0))))</f>
        <v/>
      </c>
      <c r="AH1543" s="44">
        <f>IF(AF1543&gt;0,(AD1543-AE1543)/AF1543,"")</f>
        <v/>
      </c>
      <c r="AI1543" s="45">
        <f>IF(AG1543=1,AH1543-O1543,"")</f>
        <v/>
      </c>
      <c r="AJ1543" s="44">
        <f>IF(AG1543=1,AH1543,MAX(-1,MIN(1,O1543+INDEX(Types!$H:$H,MATCH($A1543&amp;"|"&amp;$D1543,Types!$A:$A,0)))))</f>
        <v/>
      </c>
      <c r="AK1543" s="43">
        <f>IF(AG1543=1,AF1543,MAX(AQ1543*AS1543,AF1543))</f>
        <v/>
      </c>
      <c r="AL1543" s="43">
        <f>IF(AG1543=1,AD1543,AK1543*(1+AJ1543)/2)</f>
        <v/>
      </c>
      <c r="AM1543" s="43">
        <f>IF(AG1543=1,AE1543,AK1543*(1-AJ1543)/2)</f>
        <v/>
      </c>
      <c r="AN1543" s="45">
        <f>IF(AH1543="","",AH1543-T1543)</f>
        <v/>
      </c>
      <c r="AO1543" s="51">
        <f>IF(AG1543=1,1,IF(U1543&gt;0,MIN(AF1543/U1543,0.99),0))</f>
        <v/>
      </c>
      <c r="AP1543" s="43">
        <f>IF(AG1543=1,AI1543*AF1543,0)</f>
        <v/>
      </c>
      <c r="AQ1543" s="43">
        <f>N1543*(F1543+G1543)/H1543</f>
        <v/>
      </c>
      <c r="AR1543" s="43">
        <f>O1543*AQ1543</f>
        <v/>
      </c>
      <c r="AS1543" s="52">
        <f>IF(AG1543=1,IF(AQ1543&gt;0,AF1543/AQ1543,1),IFERROR(INDEX(Types!$K:$K,MATCH($A1543&amp;"|"&amp;$D1543,Types!$A:$A,0)),INDEX(Dashboard!$X$6:$X$22,MATCH($A1543,Dashboard!$A$6:$A$22,0))))</f>
        <v/>
      </c>
      <c r="AT1543" s="43">
        <f>AQ1543*INDEX(Dashboard!$Y$6:$Y$22,MATCH($A1543,Dashboard!$A$6:$A$22,0))</f>
        <v/>
      </c>
      <c r="AU1543" s="53">
        <f>IF(AND(AG1543=1,AT1543&gt;0,AF1543&gt;0),100*AF1543/AT1543,"")</f>
        <v/>
      </c>
      <c r="AV1543" s="44">
        <f>IF(AU1543="","",T1543/(AU1543/100))</f>
        <v/>
      </c>
      <c r="AW1543" s="53">
        <f>IF(AU1543="","",IF(AND(ABS(AH1543)&gt;=0.1,ABS(T1543)&gt;=0.05,SIGN(AH1543)=SIGN(T1543)),100*T1543/AH1543,""))</f>
        <v/>
      </c>
      <c r="AX1543" s="45">
        <f>IF(AU1543="","",T1543-AV1543)</f>
        <v/>
      </c>
      <c r="AY1543" s="45">
        <f>IF(AU1543="","",AH1543-AV1543)</f>
        <v/>
      </c>
      <c r="AZ1543" s="54">
        <f>(AL1543-AM1543)-T1543*AT1543</f>
        <v/>
      </c>
      <c r="BA1543" s="43">
        <f>IF(AU1543="",0,(AH1543-T1543)*AF1543)</f>
        <v/>
      </c>
      <c r="BB1543" s="43">
        <f>IF(AU1543="",0,T1543*(AF1543-AT1543))</f>
        <v/>
      </c>
      <c r="BC1543" s="51" t="n">
        <v>0.05964809384164223</v>
      </c>
      <c r="BD1543" s="51" t="n">
        <v>0.02504398826979472</v>
      </c>
      <c r="BE1543" s="51" t="n">
        <v>0.09134453781512605</v>
      </c>
      <c r="BF1543" s="43" t="n">
        <v>17050</v>
      </c>
    </row>
    <row r="1544">
      <c r="A1544" s="42" t="inlineStr">
        <is>
          <t>KY</t>
        </is>
      </c>
      <c r="B1544" s="42" t="inlineStr">
        <is>
          <t>21149</t>
        </is>
      </c>
      <c r="C1544" s="42" t="inlineStr">
        <is>
          <t>McLean</t>
        </is>
      </c>
      <c r="D1544" s="42" t="inlineStr">
        <is>
          <t>Small town &amp; rural</t>
        </is>
      </c>
      <c r="E1544" s="42" t="inlineStr"/>
      <c r="F1544" s="43" t="n">
        <v>989</v>
      </c>
      <c r="G1544" s="43" t="n">
        <v>3578</v>
      </c>
      <c r="H1544" s="43" t="n">
        <v>4633</v>
      </c>
      <c r="I1544" s="43" t="n">
        <v>1074</v>
      </c>
      <c r="J1544" s="43" t="n">
        <v>3633</v>
      </c>
      <c r="K1544" s="42" t="inlineStr">
        <is>
          <t>US Senate</t>
        </is>
      </c>
      <c r="L1544" s="43" t="n">
        <v>874</v>
      </c>
      <c r="M1544" s="43" t="n">
        <v>2760</v>
      </c>
      <c r="N1544" s="43" t="n">
        <v>3634</v>
      </c>
      <c r="O1544" s="44">
        <f>IFERROR((F1544-G1544)/(F1544+G1544),"")</f>
        <v/>
      </c>
      <c r="P1544" s="44">
        <f>IFERROR((I1544-J1544)/(I1544+J1544),"")</f>
        <v/>
      </c>
      <c r="Q1544" s="45">
        <f>IFERROR(O1544-P1544,"")</f>
        <v/>
      </c>
      <c r="R1544" s="44">
        <f>IFERROR((L1544-M1544)/(L1544+M1544),"")</f>
        <v/>
      </c>
      <c r="S1544" s="46">
        <f>H1544/SUMIFS(Counties!$H$2:$H$1583,Counties!$A$2:$A$1583,$A1544)</f>
        <v/>
      </c>
      <c r="T1544" s="44">
        <f>O1544+INDEX(Dashboard!$F$6:$F$22,MATCH($A1544,Dashboard!$A$6:$A$22,0))</f>
        <v/>
      </c>
      <c r="U1544" s="43">
        <f>AQ1544*INDEX(Dashboard!$G$6:$G$22,MATCH($A1544,Dashboard!$A$6:$A$22,0))</f>
        <v/>
      </c>
      <c r="V1544" s="47" t="n"/>
      <c r="W1544" s="47" t="n"/>
      <c r="X1544" s="47" t="n"/>
      <c r="Y1544" s="48" t="n"/>
      <c r="Z1544" s="49" t="n"/>
      <c r="AA1544" s="49" t="n"/>
      <c r="AB1544" s="49" t="n"/>
      <c r="AC1544" s="50" t="n"/>
      <c r="AD1544" s="43">
        <f>IF(Z1544&lt;&gt;"",Z1544,N(V1544))</f>
        <v/>
      </c>
      <c r="AE1544" s="43">
        <f>IF(AA1544&lt;&gt;"",AA1544,N(W1544))</f>
        <v/>
      </c>
      <c r="AF1544" s="43">
        <f>AD1544+AE1544</f>
        <v/>
      </c>
      <c r="AG1544" s="42">
        <f>IF(UPPER(AC1544)="Y",1,IF(AF1544=0,0,IF(AND(Z1544="",Y1544&lt;&gt;""),IF(Y1544&gt;=0.999,1,0),IF(AF1544&gt;=U1544,1,0))))</f>
        <v/>
      </c>
      <c r="AH1544" s="44">
        <f>IF(AF1544&gt;0,(AD1544-AE1544)/AF1544,"")</f>
        <v/>
      </c>
      <c r="AI1544" s="45">
        <f>IF(AG1544=1,AH1544-O1544,"")</f>
        <v/>
      </c>
      <c r="AJ1544" s="44">
        <f>IF(AG1544=1,AH1544,MAX(-1,MIN(1,O1544+INDEX(Types!$H:$H,MATCH($A1544&amp;"|"&amp;$D1544,Types!$A:$A,0)))))</f>
        <v/>
      </c>
      <c r="AK1544" s="43">
        <f>IF(AG1544=1,AF1544,MAX(AQ1544*AS1544,AF1544))</f>
        <v/>
      </c>
      <c r="AL1544" s="43">
        <f>IF(AG1544=1,AD1544,AK1544*(1+AJ1544)/2)</f>
        <v/>
      </c>
      <c r="AM1544" s="43">
        <f>IF(AG1544=1,AE1544,AK1544*(1-AJ1544)/2)</f>
        <v/>
      </c>
      <c r="AN1544" s="45">
        <f>IF(AH1544="","",AH1544-T1544)</f>
        <v/>
      </c>
      <c r="AO1544" s="51">
        <f>IF(AG1544=1,1,IF(U1544&gt;0,MIN(AF1544/U1544,0.99),0))</f>
        <v/>
      </c>
      <c r="AP1544" s="43">
        <f>IF(AG1544=1,AI1544*AF1544,0)</f>
        <v/>
      </c>
      <c r="AQ1544" s="43">
        <f>N1544*(F1544+G1544)/H1544</f>
        <v/>
      </c>
      <c r="AR1544" s="43">
        <f>O1544*AQ1544</f>
        <v/>
      </c>
      <c r="AS1544" s="52">
        <f>IF(AG1544=1,IF(AQ1544&gt;0,AF1544/AQ1544,1),IFERROR(INDEX(Types!$K:$K,MATCH($A1544&amp;"|"&amp;$D1544,Types!$A:$A,0)),INDEX(Dashboard!$X$6:$X$22,MATCH($A1544,Dashboard!$A$6:$A$22,0))))</f>
        <v/>
      </c>
      <c r="AT1544" s="43">
        <f>AQ1544*INDEX(Dashboard!$Y$6:$Y$22,MATCH($A1544,Dashboard!$A$6:$A$22,0))</f>
        <v/>
      </c>
      <c r="AU1544" s="53">
        <f>IF(AND(AG1544=1,AT1544&gt;0,AF1544&gt;0),100*AF1544/AT1544,"")</f>
        <v/>
      </c>
      <c r="AV1544" s="44">
        <f>IF(AU1544="","",T1544/(AU1544/100))</f>
        <v/>
      </c>
      <c r="AW1544" s="53">
        <f>IF(AU1544="","",IF(AND(ABS(AH1544)&gt;=0.1,ABS(T1544)&gt;=0.05,SIGN(AH1544)=SIGN(T1544)),100*T1544/AH1544,""))</f>
        <v/>
      </c>
      <c r="AX1544" s="45">
        <f>IF(AU1544="","",T1544-AV1544)</f>
        <v/>
      </c>
      <c r="AY1544" s="45">
        <f>IF(AU1544="","",AH1544-AV1544)</f>
        <v/>
      </c>
      <c r="AZ1544" s="54">
        <f>(AL1544-AM1544)-T1544*AT1544</f>
        <v/>
      </c>
      <c r="BA1544" s="43">
        <f>IF(AU1544="",0,(AH1544-T1544)*AF1544)</f>
        <v/>
      </c>
      <c r="BB1544" s="43">
        <f>IF(AU1544="",0,T1544*(AF1544-AT1544))</f>
        <v/>
      </c>
      <c r="BC1544" s="51" t="n">
        <v>0.01049259995582063</v>
      </c>
      <c r="BD1544" s="51" t="n">
        <v>0.02242102937927988</v>
      </c>
      <c r="BE1544" s="51" t="n">
        <v>0.1842229570146434</v>
      </c>
      <c r="BF1544" s="43" t="n">
        <v>9054</v>
      </c>
    </row>
    <row r="1545">
      <c r="A1545" s="42" t="inlineStr">
        <is>
          <t>KY</t>
        </is>
      </c>
      <c r="B1545" s="42" t="inlineStr">
        <is>
          <t>21163</t>
        </is>
      </c>
      <c r="C1545" s="42" t="inlineStr">
        <is>
          <t>Meade</t>
        </is>
      </c>
      <c r="D1545" s="42" t="inlineStr">
        <is>
          <t>Small town &amp; rural</t>
        </is>
      </c>
      <c r="E1545" s="42" t="inlineStr"/>
      <c r="F1545" s="43" t="n">
        <v>3279</v>
      </c>
      <c r="G1545" s="43" t="n">
        <v>10630</v>
      </c>
      <c r="H1545" s="43" t="n">
        <v>14119</v>
      </c>
      <c r="I1545" s="43" t="n">
        <v>3632</v>
      </c>
      <c r="J1545" s="43" t="n">
        <v>10185</v>
      </c>
      <c r="K1545" s="42" t="inlineStr">
        <is>
          <t>US Senate</t>
        </is>
      </c>
      <c r="L1545" s="43" t="n">
        <v>2672</v>
      </c>
      <c r="M1545" s="43" t="n">
        <v>6881</v>
      </c>
      <c r="N1545" s="43" t="n">
        <v>9555</v>
      </c>
      <c r="O1545" s="44">
        <f>IFERROR((F1545-G1545)/(F1545+G1545),"")</f>
        <v/>
      </c>
      <c r="P1545" s="44">
        <f>IFERROR((I1545-J1545)/(I1545+J1545),"")</f>
        <v/>
      </c>
      <c r="Q1545" s="45">
        <f>IFERROR(O1545-P1545,"")</f>
        <v/>
      </c>
      <c r="R1545" s="44">
        <f>IFERROR((L1545-M1545)/(L1545+M1545),"")</f>
        <v/>
      </c>
      <c r="S1545" s="46">
        <f>H1545/SUMIFS(Counties!$H$2:$H$1583,Counties!$A$2:$A$1583,$A1545)</f>
        <v/>
      </c>
      <c r="T1545" s="44">
        <f>O1545+INDEX(Dashboard!$F$6:$F$22,MATCH($A1545,Dashboard!$A$6:$A$22,0))</f>
        <v/>
      </c>
      <c r="U1545" s="43">
        <f>AQ1545*INDEX(Dashboard!$G$6:$G$22,MATCH($A1545,Dashboard!$A$6:$A$22,0))</f>
        <v/>
      </c>
      <c r="V1545" s="47" t="n"/>
      <c r="W1545" s="47" t="n"/>
      <c r="X1545" s="47" t="n"/>
      <c r="Y1545" s="48" t="n"/>
      <c r="Z1545" s="49" t="n"/>
      <c r="AA1545" s="49" t="n"/>
      <c r="AB1545" s="49" t="n"/>
      <c r="AC1545" s="50" t="n"/>
      <c r="AD1545" s="43">
        <f>IF(Z1545&lt;&gt;"",Z1545,N(V1545))</f>
        <v/>
      </c>
      <c r="AE1545" s="43">
        <f>IF(AA1545&lt;&gt;"",AA1545,N(W1545))</f>
        <v/>
      </c>
      <c r="AF1545" s="43">
        <f>AD1545+AE1545</f>
        <v/>
      </c>
      <c r="AG1545" s="42">
        <f>IF(UPPER(AC1545)="Y",1,IF(AF1545=0,0,IF(AND(Z1545="",Y1545&lt;&gt;""),IF(Y1545&gt;=0.999,1,0),IF(AF1545&gt;=U1545,1,0))))</f>
        <v/>
      </c>
      <c r="AH1545" s="44">
        <f>IF(AF1545&gt;0,(AD1545-AE1545)/AF1545,"")</f>
        <v/>
      </c>
      <c r="AI1545" s="45">
        <f>IF(AG1545=1,AH1545-O1545,"")</f>
        <v/>
      </c>
      <c r="AJ1545" s="44">
        <f>IF(AG1545=1,AH1545,MAX(-1,MIN(1,O1545+INDEX(Types!$H:$H,MATCH($A1545&amp;"|"&amp;$D1545,Types!$A:$A,0)))))</f>
        <v/>
      </c>
      <c r="AK1545" s="43">
        <f>IF(AG1545=1,AF1545,MAX(AQ1545*AS1545,AF1545))</f>
        <v/>
      </c>
      <c r="AL1545" s="43">
        <f>IF(AG1545=1,AD1545,AK1545*(1+AJ1545)/2)</f>
        <v/>
      </c>
      <c r="AM1545" s="43">
        <f>IF(AG1545=1,AE1545,AK1545*(1-AJ1545)/2)</f>
        <v/>
      </c>
      <c r="AN1545" s="45">
        <f>IF(AH1545="","",AH1545-T1545)</f>
        <v/>
      </c>
      <c r="AO1545" s="51">
        <f>IF(AG1545=1,1,IF(U1545&gt;0,MIN(AF1545/U1545,0.99),0))</f>
        <v/>
      </c>
      <c r="AP1545" s="43">
        <f>IF(AG1545=1,AI1545*AF1545,0)</f>
        <v/>
      </c>
      <c r="AQ1545" s="43">
        <f>N1545*(F1545+G1545)/H1545</f>
        <v/>
      </c>
      <c r="AR1545" s="43">
        <f>O1545*AQ1545</f>
        <v/>
      </c>
      <c r="AS1545" s="52">
        <f>IF(AG1545=1,IF(AQ1545&gt;0,AF1545/AQ1545,1),IFERROR(INDEX(Types!$K:$K,MATCH($A1545&amp;"|"&amp;$D1545,Types!$A:$A,0)),INDEX(Dashboard!$X$6:$X$22,MATCH($A1545,Dashboard!$A$6:$A$22,0))))</f>
        <v/>
      </c>
      <c r="AT1545" s="43">
        <f>AQ1545*INDEX(Dashboard!$Y$6:$Y$22,MATCH($A1545,Dashboard!$A$6:$A$22,0))</f>
        <v/>
      </c>
      <c r="AU1545" s="53">
        <f>IF(AND(AG1545=1,AT1545&gt;0,AF1545&gt;0),100*AF1545/AT1545,"")</f>
        <v/>
      </c>
      <c r="AV1545" s="44">
        <f>IF(AU1545="","",T1545/(AU1545/100))</f>
        <v/>
      </c>
      <c r="AW1545" s="53">
        <f>IF(AU1545="","",IF(AND(ABS(AH1545)&gt;=0.1,ABS(T1545)&gt;=0.05,SIGN(AH1545)=SIGN(T1545)),100*T1545/AH1545,""))</f>
        <v/>
      </c>
      <c r="AX1545" s="45">
        <f>IF(AU1545="","",T1545-AV1545)</f>
        <v/>
      </c>
      <c r="AY1545" s="45">
        <f>IF(AU1545="","",AH1545-AV1545)</f>
        <v/>
      </c>
      <c r="AZ1545" s="54">
        <f>(AL1545-AM1545)-T1545*AT1545</f>
        <v/>
      </c>
      <c r="BA1545" s="43">
        <f>IF(AU1545="",0,(AH1545-T1545)*AF1545)</f>
        <v/>
      </c>
      <c r="BB1545" s="43">
        <f>IF(AU1545="",0,T1545*(AF1545-AT1545))</f>
        <v/>
      </c>
      <c r="BC1545" s="51" t="n">
        <v>0.03780159968139126</v>
      </c>
      <c r="BD1545" s="51" t="n">
        <v>0.04407420928611729</v>
      </c>
      <c r="BE1545" s="51" t="n">
        <v>0.1841565258888093</v>
      </c>
      <c r="BF1545" s="43" t="n">
        <v>30131</v>
      </c>
    </row>
    <row r="1546">
      <c r="A1546" s="42" t="inlineStr">
        <is>
          <t>KY</t>
        </is>
      </c>
      <c r="B1546" s="42" t="inlineStr">
        <is>
          <t>21165</t>
        </is>
      </c>
      <c r="C1546" s="42" t="inlineStr">
        <is>
          <t>Menifee</t>
        </is>
      </c>
      <c r="D1546" s="42" t="inlineStr">
        <is>
          <t>Small town &amp; rural</t>
        </is>
      </c>
      <c r="E1546" s="42" t="inlineStr"/>
      <c r="F1546" s="43" t="n">
        <v>664</v>
      </c>
      <c r="G1546" s="43" t="n">
        <v>2563</v>
      </c>
      <c r="H1546" s="43" t="n">
        <v>3292</v>
      </c>
      <c r="I1546" s="43" t="n">
        <v>750</v>
      </c>
      <c r="J1546" s="43" t="n">
        <v>2311</v>
      </c>
      <c r="K1546" s="42" t="inlineStr">
        <is>
          <t>US Senate</t>
        </is>
      </c>
      <c r="L1546" s="43" t="n">
        <v>679</v>
      </c>
      <c r="M1546" s="43" t="n">
        <v>1586</v>
      </c>
      <c r="N1546" s="43" t="n">
        <v>2265</v>
      </c>
      <c r="O1546" s="44">
        <f>IFERROR((F1546-G1546)/(F1546+G1546),"")</f>
        <v/>
      </c>
      <c r="P1546" s="44">
        <f>IFERROR((I1546-J1546)/(I1546+J1546),"")</f>
        <v/>
      </c>
      <c r="Q1546" s="45">
        <f>IFERROR(O1546-P1546,"")</f>
        <v/>
      </c>
      <c r="R1546" s="44">
        <f>IFERROR((L1546-M1546)/(L1546+M1546),"")</f>
        <v/>
      </c>
      <c r="S1546" s="46">
        <f>H1546/SUMIFS(Counties!$H$2:$H$1583,Counties!$A$2:$A$1583,$A1546)</f>
        <v/>
      </c>
      <c r="T1546" s="44">
        <f>O1546+INDEX(Dashboard!$F$6:$F$22,MATCH($A1546,Dashboard!$A$6:$A$22,0))</f>
        <v/>
      </c>
      <c r="U1546" s="43">
        <f>AQ1546*INDEX(Dashboard!$G$6:$G$22,MATCH($A1546,Dashboard!$A$6:$A$22,0))</f>
        <v/>
      </c>
      <c r="V1546" s="47" t="n"/>
      <c r="W1546" s="47" t="n"/>
      <c r="X1546" s="47" t="n"/>
      <c r="Y1546" s="48" t="n"/>
      <c r="Z1546" s="49" t="n"/>
      <c r="AA1546" s="49" t="n"/>
      <c r="AB1546" s="49" t="n"/>
      <c r="AC1546" s="50" t="n"/>
      <c r="AD1546" s="43">
        <f>IF(Z1546&lt;&gt;"",Z1546,N(V1546))</f>
        <v/>
      </c>
      <c r="AE1546" s="43">
        <f>IF(AA1546&lt;&gt;"",AA1546,N(W1546))</f>
        <v/>
      </c>
      <c r="AF1546" s="43">
        <f>AD1546+AE1546</f>
        <v/>
      </c>
      <c r="AG1546" s="42">
        <f>IF(UPPER(AC1546)="Y",1,IF(AF1546=0,0,IF(AND(Z1546="",Y1546&lt;&gt;""),IF(Y1546&gt;=0.999,1,0),IF(AF1546&gt;=U1546,1,0))))</f>
        <v/>
      </c>
      <c r="AH1546" s="44">
        <f>IF(AF1546&gt;0,(AD1546-AE1546)/AF1546,"")</f>
        <v/>
      </c>
      <c r="AI1546" s="45">
        <f>IF(AG1546=1,AH1546-O1546,"")</f>
        <v/>
      </c>
      <c r="AJ1546" s="44">
        <f>IF(AG1546=1,AH1546,MAX(-1,MIN(1,O1546+INDEX(Types!$H:$H,MATCH($A1546&amp;"|"&amp;$D1546,Types!$A:$A,0)))))</f>
        <v/>
      </c>
      <c r="AK1546" s="43">
        <f>IF(AG1546=1,AF1546,MAX(AQ1546*AS1546,AF1546))</f>
        <v/>
      </c>
      <c r="AL1546" s="43">
        <f>IF(AG1546=1,AD1546,AK1546*(1+AJ1546)/2)</f>
        <v/>
      </c>
      <c r="AM1546" s="43">
        <f>IF(AG1546=1,AE1546,AK1546*(1-AJ1546)/2)</f>
        <v/>
      </c>
      <c r="AN1546" s="45">
        <f>IF(AH1546="","",AH1546-T1546)</f>
        <v/>
      </c>
      <c r="AO1546" s="51">
        <f>IF(AG1546=1,1,IF(U1546&gt;0,MIN(AF1546/U1546,0.99),0))</f>
        <v/>
      </c>
      <c r="AP1546" s="43">
        <f>IF(AG1546=1,AI1546*AF1546,0)</f>
        <v/>
      </c>
      <c r="AQ1546" s="43">
        <f>N1546*(F1546+G1546)/H1546</f>
        <v/>
      </c>
      <c r="AR1546" s="43">
        <f>O1546*AQ1546</f>
        <v/>
      </c>
      <c r="AS1546" s="52">
        <f>IF(AG1546=1,IF(AQ1546&gt;0,AF1546/AQ1546,1),IFERROR(INDEX(Types!$K:$K,MATCH($A1546&amp;"|"&amp;$D1546,Types!$A:$A,0)),INDEX(Dashboard!$X$6:$X$22,MATCH($A1546,Dashboard!$A$6:$A$22,0))))</f>
        <v/>
      </c>
      <c r="AT1546" s="43">
        <f>AQ1546*INDEX(Dashboard!$Y$6:$Y$22,MATCH($A1546,Dashboard!$A$6:$A$22,0))</f>
        <v/>
      </c>
      <c r="AU1546" s="53">
        <f>IF(AND(AG1546=1,AT1546&gt;0,AF1546&gt;0),100*AF1546/AT1546,"")</f>
        <v/>
      </c>
      <c r="AV1546" s="44">
        <f>IF(AU1546="","",T1546/(AU1546/100))</f>
        <v/>
      </c>
      <c r="AW1546" s="53">
        <f>IF(AU1546="","",IF(AND(ABS(AH1546)&gt;=0.1,ABS(T1546)&gt;=0.05,SIGN(AH1546)=SIGN(T1546)),100*T1546/AH1546,""))</f>
        <v/>
      </c>
      <c r="AX1546" s="45">
        <f>IF(AU1546="","",T1546-AV1546)</f>
        <v/>
      </c>
      <c r="AY1546" s="45">
        <f>IF(AU1546="","",AH1546-AV1546)</f>
        <v/>
      </c>
      <c r="AZ1546" s="54">
        <f>(AL1546-AM1546)-T1546*AT1546</f>
        <v/>
      </c>
      <c r="BA1546" s="43">
        <f>IF(AU1546="",0,(AH1546-T1546)*AF1546)</f>
        <v/>
      </c>
      <c r="BB1546" s="43">
        <f>IF(AU1546="",0,T1546*(AF1546-AT1546))</f>
        <v/>
      </c>
      <c r="BC1546" s="51" t="n">
        <v>0.01002227171492205</v>
      </c>
      <c r="BD1546" s="51" t="n">
        <v>0.01463569837734648</v>
      </c>
      <c r="BE1546" s="51" t="n">
        <v>0.1086519114688129</v>
      </c>
      <c r="BF1546" s="43" t="n">
        <v>6286</v>
      </c>
    </row>
    <row r="1547">
      <c r="A1547" s="42" t="inlineStr">
        <is>
          <t>KY</t>
        </is>
      </c>
      <c r="B1547" s="42" t="inlineStr">
        <is>
          <t>21167</t>
        </is>
      </c>
      <c r="C1547" s="42" t="inlineStr">
        <is>
          <t>Mercer</t>
        </is>
      </c>
      <c r="D1547" s="42" t="inlineStr">
        <is>
          <t>Small town &amp; rural</t>
        </is>
      </c>
      <c r="E1547" s="42" t="inlineStr"/>
      <c r="F1547" s="43" t="n">
        <v>2838</v>
      </c>
      <c r="G1547" s="43" t="n">
        <v>8826</v>
      </c>
      <c r="H1547" s="43" t="n">
        <v>11841</v>
      </c>
      <c r="I1547" s="43" t="n">
        <v>3033</v>
      </c>
      <c r="J1547" s="43" t="n">
        <v>8506</v>
      </c>
      <c r="K1547" s="42" t="inlineStr">
        <is>
          <t>US Senate</t>
        </is>
      </c>
      <c r="L1547" s="43" t="n">
        <v>2308</v>
      </c>
      <c r="M1547" s="43" t="n">
        <v>5980</v>
      </c>
      <c r="N1547" s="43" t="n">
        <v>8288</v>
      </c>
      <c r="O1547" s="44">
        <f>IFERROR((F1547-G1547)/(F1547+G1547),"")</f>
        <v/>
      </c>
      <c r="P1547" s="44">
        <f>IFERROR((I1547-J1547)/(I1547+J1547),"")</f>
        <v/>
      </c>
      <c r="Q1547" s="45">
        <f>IFERROR(O1547-P1547,"")</f>
        <v/>
      </c>
      <c r="R1547" s="44">
        <f>IFERROR((L1547-M1547)/(L1547+M1547),"")</f>
        <v/>
      </c>
      <c r="S1547" s="46">
        <f>H1547/SUMIFS(Counties!$H$2:$H$1583,Counties!$A$2:$A$1583,$A1547)</f>
        <v/>
      </c>
      <c r="T1547" s="44">
        <f>O1547+INDEX(Dashboard!$F$6:$F$22,MATCH($A1547,Dashboard!$A$6:$A$22,0))</f>
        <v/>
      </c>
      <c r="U1547" s="43">
        <f>AQ1547*INDEX(Dashboard!$G$6:$G$22,MATCH($A1547,Dashboard!$A$6:$A$22,0))</f>
        <v/>
      </c>
      <c r="V1547" s="47" t="n"/>
      <c r="W1547" s="47" t="n"/>
      <c r="X1547" s="47" t="n"/>
      <c r="Y1547" s="48" t="n"/>
      <c r="Z1547" s="49" t="n"/>
      <c r="AA1547" s="49" t="n"/>
      <c r="AB1547" s="49" t="n"/>
      <c r="AC1547" s="50" t="n"/>
      <c r="AD1547" s="43">
        <f>IF(Z1547&lt;&gt;"",Z1547,N(V1547))</f>
        <v/>
      </c>
      <c r="AE1547" s="43">
        <f>IF(AA1547&lt;&gt;"",AA1547,N(W1547))</f>
        <v/>
      </c>
      <c r="AF1547" s="43">
        <f>AD1547+AE1547</f>
        <v/>
      </c>
      <c r="AG1547" s="42">
        <f>IF(UPPER(AC1547)="Y",1,IF(AF1547=0,0,IF(AND(Z1547="",Y1547&lt;&gt;""),IF(Y1547&gt;=0.999,1,0),IF(AF1547&gt;=U1547,1,0))))</f>
        <v/>
      </c>
      <c r="AH1547" s="44">
        <f>IF(AF1547&gt;0,(AD1547-AE1547)/AF1547,"")</f>
        <v/>
      </c>
      <c r="AI1547" s="45">
        <f>IF(AG1547=1,AH1547-O1547,"")</f>
        <v/>
      </c>
      <c r="AJ1547" s="44">
        <f>IF(AG1547=1,AH1547,MAX(-1,MIN(1,O1547+INDEX(Types!$H:$H,MATCH($A1547&amp;"|"&amp;$D1547,Types!$A:$A,0)))))</f>
        <v/>
      </c>
      <c r="AK1547" s="43">
        <f>IF(AG1547=1,AF1547,MAX(AQ1547*AS1547,AF1547))</f>
        <v/>
      </c>
      <c r="AL1547" s="43">
        <f>IF(AG1547=1,AD1547,AK1547*(1+AJ1547)/2)</f>
        <v/>
      </c>
      <c r="AM1547" s="43">
        <f>IF(AG1547=1,AE1547,AK1547*(1-AJ1547)/2)</f>
        <v/>
      </c>
      <c r="AN1547" s="45">
        <f>IF(AH1547="","",AH1547-T1547)</f>
        <v/>
      </c>
      <c r="AO1547" s="51">
        <f>IF(AG1547=1,1,IF(U1547&gt;0,MIN(AF1547/U1547,0.99),0))</f>
        <v/>
      </c>
      <c r="AP1547" s="43">
        <f>IF(AG1547=1,AI1547*AF1547,0)</f>
        <v/>
      </c>
      <c r="AQ1547" s="43">
        <f>N1547*(F1547+G1547)/H1547</f>
        <v/>
      </c>
      <c r="AR1547" s="43">
        <f>O1547*AQ1547</f>
        <v/>
      </c>
      <c r="AS1547" s="52">
        <f>IF(AG1547=1,IF(AQ1547&gt;0,AF1547/AQ1547,1),IFERROR(INDEX(Types!$K:$K,MATCH($A1547&amp;"|"&amp;$D1547,Types!$A:$A,0)),INDEX(Dashboard!$X$6:$X$22,MATCH($A1547,Dashboard!$A$6:$A$22,0))))</f>
        <v/>
      </c>
      <c r="AT1547" s="43">
        <f>AQ1547*INDEX(Dashboard!$Y$6:$Y$22,MATCH($A1547,Dashboard!$A$6:$A$22,0))</f>
        <v/>
      </c>
      <c r="AU1547" s="53">
        <f>IF(AND(AG1547=1,AT1547&gt;0,AF1547&gt;0),100*AF1547/AT1547,"")</f>
        <v/>
      </c>
      <c r="AV1547" s="44">
        <f>IF(AU1547="","",T1547/(AU1547/100))</f>
        <v/>
      </c>
      <c r="AW1547" s="53">
        <f>IF(AU1547="","",IF(AND(ABS(AH1547)&gt;=0.1,ABS(T1547)&gt;=0.05,SIGN(AH1547)=SIGN(T1547)),100*T1547/AH1547,""))</f>
        <v/>
      </c>
      <c r="AX1547" s="45">
        <f>IF(AU1547="","",T1547-AV1547)</f>
        <v/>
      </c>
      <c r="AY1547" s="45">
        <f>IF(AU1547="","",AH1547-AV1547)</f>
        <v/>
      </c>
      <c r="AZ1547" s="54">
        <f>(AL1547-AM1547)-T1547*AT1547</f>
        <v/>
      </c>
      <c r="BA1547" s="43">
        <f>IF(AU1547="",0,(AH1547-T1547)*AF1547)</f>
        <v/>
      </c>
      <c r="BB1547" s="43">
        <f>IF(AU1547="",0,T1547*(AF1547-AT1547))</f>
        <v/>
      </c>
      <c r="BC1547" s="51" t="n">
        <v>0.03377061956098194</v>
      </c>
      <c r="BD1547" s="51" t="n">
        <v>0.03433346322033164</v>
      </c>
      <c r="BE1547" s="51" t="n">
        <v>0.2245154005394894</v>
      </c>
      <c r="BF1547" s="43" t="n">
        <v>23097</v>
      </c>
    </row>
    <row r="1548">
      <c r="A1548" s="42" t="inlineStr">
        <is>
          <t>KY</t>
        </is>
      </c>
      <c r="B1548" s="42" t="inlineStr">
        <is>
          <t>21169</t>
        </is>
      </c>
      <c r="C1548" s="42" t="inlineStr">
        <is>
          <t>Metcalfe</t>
        </is>
      </c>
      <c r="D1548" s="42" t="inlineStr">
        <is>
          <t>Small town &amp; rural</t>
        </is>
      </c>
      <c r="E1548" s="42" t="inlineStr"/>
      <c r="F1548" s="43" t="n">
        <v>884</v>
      </c>
      <c r="G1548" s="43" t="n">
        <v>4197</v>
      </c>
      <c r="H1548" s="43" t="n">
        <v>5124</v>
      </c>
      <c r="I1548" s="43" t="n">
        <v>975</v>
      </c>
      <c r="J1548" s="43" t="n">
        <v>3959</v>
      </c>
      <c r="K1548" s="42" t="inlineStr">
        <is>
          <t>US Senate</t>
        </is>
      </c>
      <c r="L1548" s="43" t="n">
        <v>952</v>
      </c>
      <c r="M1548" s="43" t="n">
        <v>3047</v>
      </c>
      <c r="N1548" s="43" t="n">
        <v>3999</v>
      </c>
      <c r="O1548" s="44">
        <f>IFERROR((F1548-G1548)/(F1548+G1548),"")</f>
        <v/>
      </c>
      <c r="P1548" s="44">
        <f>IFERROR((I1548-J1548)/(I1548+J1548),"")</f>
        <v/>
      </c>
      <c r="Q1548" s="45">
        <f>IFERROR(O1548-P1548,"")</f>
        <v/>
      </c>
      <c r="R1548" s="44">
        <f>IFERROR((L1548-M1548)/(L1548+M1548),"")</f>
        <v/>
      </c>
      <c r="S1548" s="46">
        <f>H1548/SUMIFS(Counties!$H$2:$H$1583,Counties!$A$2:$A$1583,$A1548)</f>
        <v/>
      </c>
      <c r="T1548" s="44">
        <f>O1548+INDEX(Dashboard!$F$6:$F$22,MATCH($A1548,Dashboard!$A$6:$A$22,0))</f>
        <v/>
      </c>
      <c r="U1548" s="43">
        <f>AQ1548*INDEX(Dashboard!$G$6:$G$22,MATCH($A1548,Dashboard!$A$6:$A$22,0))</f>
        <v/>
      </c>
      <c r="V1548" s="47" t="n"/>
      <c r="W1548" s="47" t="n"/>
      <c r="X1548" s="47" t="n"/>
      <c r="Y1548" s="48" t="n"/>
      <c r="Z1548" s="49" t="n"/>
      <c r="AA1548" s="49" t="n"/>
      <c r="AB1548" s="49" t="n"/>
      <c r="AC1548" s="50" t="n"/>
      <c r="AD1548" s="43">
        <f>IF(Z1548&lt;&gt;"",Z1548,N(V1548))</f>
        <v/>
      </c>
      <c r="AE1548" s="43">
        <f>IF(AA1548&lt;&gt;"",AA1548,N(W1548))</f>
        <v/>
      </c>
      <c r="AF1548" s="43">
        <f>AD1548+AE1548</f>
        <v/>
      </c>
      <c r="AG1548" s="42">
        <f>IF(UPPER(AC1548)="Y",1,IF(AF1548=0,0,IF(AND(Z1548="",Y1548&lt;&gt;""),IF(Y1548&gt;=0.999,1,0),IF(AF1548&gt;=U1548,1,0))))</f>
        <v/>
      </c>
      <c r="AH1548" s="44">
        <f>IF(AF1548&gt;0,(AD1548-AE1548)/AF1548,"")</f>
        <v/>
      </c>
      <c r="AI1548" s="45">
        <f>IF(AG1548=1,AH1548-O1548,"")</f>
        <v/>
      </c>
      <c r="AJ1548" s="44">
        <f>IF(AG1548=1,AH1548,MAX(-1,MIN(1,O1548+INDEX(Types!$H:$H,MATCH($A1548&amp;"|"&amp;$D1548,Types!$A:$A,0)))))</f>
        <v/>
      </c>
      <c r="AK1548" s="43">
        <f>IF(AG1548=1,AF1548,MAX(AQ1548*AS1548,AF1548))</f>
        <v/>
      </c>
      <c r="AL1548" s="43">
        <f>IF(AG1548=1,AD1548,AK1548*(1+AJ1548)/2)</f>
        <v/>
      </c>
      <c r="AM1548" s="43">
        <f>IF(AG1548=1,AE1548,AK1548*(1-AJ1548)/2)</f>
        <v/>
      </c>
      <c r="AN1548" s="45">
        <f>IF(AH1548="","",AH1548-T1548)</f>
        <v/>
      </c>
      <c r="AO1548" s="51">
        <f>IF(AG1548=1,1,IF(U1548&gt;0,MIN(AF1548/U1548,0.99),0))</f>
        <v/>
      </c>
      <c r="AP1548" s="43">
        <f>IF(AG1548=1,AI1548*AF1548,0)</f>
        <v/>
      </c>
      <c r="AQ1548" s="43">
        <f>N1548*(F1548+G1548)/H1548</f>
        <v/>
      </c>
      <c r="AR1548" s="43">
        <f>O1548*AQ1548</f>
        <v/>
      </c>
      <c r="AS1548" s="52">
        <f>IF(AG1548=1,IF(AQ1548&gt;0,AF1548/AQ1548,1),IFERROR(INDEX(Types!$K:$K,MATCH($A1548&amp;"|"&amp;$D1548,Types!$A:$A,0)),INDEX(Dashboard!$X$6:$X$22,MATCH($A1548,Dashboard!$A$6:$A$22,0))))</f>
        <v/>
      </c>
      <c r="AT1548" s="43">
        <f>AQ1548*INDEX(Dashboard!$Y$6:$Y$22,MATCH($A1548,Dashboard!$A$6:$A$22,0))</f>
        <v/>
      </c>
      <c r="AU1548" s="53">
        <f>IF(AND(AG1548=1,AT1548&gt;0,AF1548&gt;0),100*AF1548/AT1548,"")</f>
        <v/>
      </c>
      <c r="AV1548" s="44">
        <f>IF(AU1548="","",T1548/(AU1548/100))</f>
        <v/>
      </c>
      <c r="AW1548" s="53">
        <f>IF(AU1548="","",IF(AND(ABS(AH1548)&gt;=0.1,ABS(T1548)&gt;=0.05,SIGN(AH1548)=SIGN(T1548)),100*T1548/AH1548,""))</f>
        <v/>
      </c>
      <c r="AX1548" s="45">
        <f>IF(AU1548="","",T1548-AV1548)</f>
        <v/>
      </c>
      <c r="AY1548" s="45">
        <f>IF(AU1548="","",AH1548-AV1548)</f>
        <v/>
      </c>
      <c r="AZ1548" s="54">
        <f>(AL1548-AM1548)-T1548*AT1548</f>
        <v/>
      </c>
      <c r="BA1548" s="43">
        <f>IF(AU1548="",0,(AH1548-T1548)*AF1548)</f>
        <v/>
      </c>
      <c r="BB1548" s="43">
        <f>IF(AU1548="",0,T1548*(AF1548-AT1548))</f>
        <v/>
      </c>
      <c r="BC1548" s="51" t="n">
        <v>0.01707689372257203</v>
      </c>
      <c r="BD1548" s="51" t="n">
        <v>0.02633085289066972</v>
      </c>
      <c r="BE1548" s="51" t="n">
        <v>0.1309358511524576</v>
      </c>
      <c r="BF1548" s="43" t="n">
        <v>10482</v>
      </c>
    </row>
    <row r="1549">
      <c r="A1549" s="42" t="inlineStr">
        <is>
          <t>KY</t>
        </is>
      </c>
      <c r="B1549" s="42" t="inlineStr">
        <is>
          <t>21171</t>
        </is>
      </c>
      <c r="C1549" s="42" t="inlineStr">
        <is>
          <t>Monroe</t>
        </is>
      </c>
      <c r="D1549" s="42" t="inlineStr">
        <is>
          <t>Small town &amp; rural</t>
        </is>
      </c>
      <c r="E1549" s="42" t="inlineStr"/>
      <c r="F1549" s="43" t="n">
        <v>576</v>
      </c>
      <c r="G1549" s="43" t="n">
        <v>4679</v>
      </c>
      <c r="H1549" s="43" t="n">
        <v>5308</v>
      </c>
      <c r="I1549" s="43" t="n">
        <v>657</v>
      </c>
      <c r="J1549" s="43" t="n">
        <v>4628</v>
      </c>
      <c r="K1549" s="42" t="inlineStr">
        <is>
          <t>US Senate</t>
        </is>
      </c>
      <c r="L1549" s="43" t="n">
        <v>451</v>
      </c>
      <c r="M1549" s="43" t="n">
        <v>3356</v>
      </c>
      <c r="N1549" s="43" t="n">
        <v>3807</v>
      </c>
      <c r="O1549" s="44">
        <f>IFERROR((F1549-G1549)/(F1549+G1549),"")</f>
        <v/>
      </c>
      <c r="P1549" s="44">
        <f>IFERROR((I1549-J1549)/(I1549+J1549),"")</f>
        <v/>
      </c>
      <c r="Q1549" s="45">
        <f>IFERROR(O1549-P1549,"")</f>
        <v/>
      </c>
      <c r="R1549" s="44">
        <f>IFERROR((L1549-M1549)/(L1549+M1549),"")</f>
        <v/>
      </c>
      <c r="S1549" s="46">
        <f>H1549/SUMIFS(Counties!$H$2:$H$1583,Counties!$A$2:$A$1583,$A1549)</f>
        <v/>
      </c>
      <c r="T1549" s="44">
        <f>O1549+INDEX(Dashboard!$F$6:$F$22,MATCH($A1549,Dashboard!$A$6:$A$22,0))</f>
        <v/>
      </c>
      <c r="U1549" s="43">
        <f>AQ1549*INDEX(Dashboard!$G$6:$G$22,MATCH($A1549,Dashboard!$A$6:$A$22,0))</f>
        <v/>
      </c>
      <c r="V1549" s="47" t="n"/>
      <c r="W1549" s="47" t="n"/>
      <c r="X1549" s="47" t="n"/>
      <c r="Y1549" s="48" t="n"/>
      <c r="Z1549" s="49" t="n"/>
      <c r="AA1549" s="49" t="n"/>
      <c r="AB1549" s="49" t="n"/>
      <c r="AC1549" s="50" t="n"/>
      <c r="AD1549" s="43">
        <f>IF(Z1549&lt;&gt;"",Z1549,N(V1549))</f>
        <v/>
      </c>
      <c r="AE1549" s="43">
        <f>IF(AA1549&lt;&gt;"",AA1549,N(W1549))</f>
        <v/>
      </c>
      <c r="AF1549" s="43">
        <f>AD1549+AE1549</f>
        <v/>
      </c>
      <c r="AG1549" s="42">
        <f>IF(UPPER(AC1549)="Y",1,IF(AF1549=0,0,IF(AND(Z1549="",Y1549&lt;&gt;""),IF(Y1549&gt;=0.999,1,0),IF(AF1549&gt;=U1549,1,0))))</f>
        <v/>
      </c>
      <c r="AH1549" s="44">
        <f>IF(AF1549&gt;0,(AD1549-AE1549)/AF1549,"")</f>
        <v/>
      </c>
      <c r="AI1549" s="45">
        <f>IF(AG1549=1,AH1549-O1549,"")</f>
        <v/>
      </c>
      <c r="AJ1549" s="44">
        <f>IF(AG1549=1,AH1549,MAX(-1,MIN(1,O1549+INDEX(Types!$H:$H,MATCH($A1549&amp;"|"&amp;$D1549,Types!$A:$A,0)))))</f>
        <v/>
      </c>
      <c r="AK1549" s="43">
        <f>IF(AG1549=1,AF1549,MAX(AQ1549*AS1549,AF1549))</f>
        <v/>
      </c>
      <c r="AL1549" s="43">
        <f>IF(AG1549=1,AD1549,AK1549*(1+AJ1549)/2)</f>
        <v/>
      </c>
      <c r="AM1549" s="43">
        <f>IF(AG1549=1,AE1549,AK1549*(1-AJ1549)/2)</f>
        <v/>
      </c>
      <c r="AN1549" s="45">
        <f>IF(AH1549="","",AH1549-T1549)</f>
        <v/>
      </c>
      <c r="AO1549" s="51">
        <f>IF(AG1549=1,1,IF(U1549&gt;0,MIN(AF1549/U1549,0.99),0))</f>
        <v/>
      </c>
      <c r="AP1549" s="43">
        <f>IF(AG1549=1,AI1549*AF1549,0)</f>
        <v/>
      </c>
      <c r="AQ1549" s="43">
        <f>N1549*(F1549+G1549)/H1549</f>
        <v/>
      </c>
      <c r="AR1549" s="43">
        <f>O1549*AQ1549</f>
        <v/>
      </c>
      <c r="AS1549" s="52">
        <f>IF(AG1549=1,IF(AQ1549&gt;0,AF1549/AQ1549,1),IFERROR(INDEX(Types!$K:$K,MATCH($A1549&amp;"|"&amp;$D1549,Types!$A:$A,0)),INDEX(Dashboard!$X$6:$X$22,MATCH($A1549,Dashboard!$A$6:$A$22,0))))</f>
        <v/>
      </c>
      <c r="AT1549" s="43">
        <f>AQ1549*INDEX(Dashboard!$Y$6:$Y$22,MATCH($A1549,Dashboard!$A$6:$A$22,0))</f>
        <v/>
      </c>
      <c r="AU1549" s="53">
        <f>IF(AND(AG1549=1,AT1549&gt;0,AF1549&gt;0),100*AF1549/AT1549,"")</f>
        <v/>
      </c>
      <c r="AV1549" s="44">
        <f>IF(AU1549="","",T1549/(AU1549/100))</f>
        <v/>
      </c>
      <c r="AW1549" s="53">
        <f>IF(AU1549="","",IF(AND(ABS(AH1549)&gt;=0.1,ABS(T1549)&gt;=0.05,SIGN(AH1549)=SIGN(T1549)),100*T1549/AH1549,""))</f>
        <v/>
      </c>
      <c r="AX1549" s="45">
        <f>IF(AU1549="","",T1549-AV1549)</f>
        <v/>
      </c>
      <c r="AY1549" s="45">
        <f>IF(AU1549="","",AH1549-AV1549)</f>
        <v/>
      </c>
      <c r="AZ1549" s="54">
        <f>(AL1549-AM1549)-T1549*AT1549</f>
        <v/>
      </c>
      <c r="BA1549" s="43">
        <f>IF(AU1549="",0,(AH1549-T1549)*AF1549)</f>
        <v/>
      </c>
      <c r="BB1549" s="43">
        <f>IF(AU1549="",0,T1549*(AF1549-AT1549))</f>
        <v/>
      </c>
      <c r="BC1549" s="51" t="n">
        <v>0.02052007783477799</v>
      </c>
      <c r="BD1549" s="51" t="n">
        <v>0.04634707235096409</v>
      </c>
      <c r="BE1549" s="51" t="n">
        <v>0.1487179487179487</v>
      </c>
      <c r="BF1549" s="43" t="n">
        <v>11306</v>
      </c>
    </row>
    <row r="1550">
      <c r="A1550" s="42" t="inlineStr">
        <is>
          <t>KY</t>
        </is>
      </c>
      <c r="B1550" s="42" t="inlineStr">
        <is>
          <t>21173</t>
        </is>
      </c>
      <c r="C1550" s="42" t="inlineStr">
        <is>
          <t>Montgomery</t>
        </is>
      </c>
      <c r="D1550" s="42" t="inlineStr">
        <is>
          <t>Small town &amp; rural</t>
        </is>
      </c>
      <c r="E1550" s="42" t="inlineStr"/>
      <c r="F1550" s="43" t="n">
        <v>3329</v>
      </c>
      <c r="G1550" s="43" t="n">
        <v>9302</v>
      </c>
      <c r="H1550" s="43" t="n">
        <v>12819</v>
      </c>
      <c r="I1550" s="43" t="n">
        <v>3630</v>
      </c>
      <c r="J1550" s="43" t="n">
        <v>8993</v>
      </c>
      <c r="K1550" s="42" t="inlineStr">
        <is>
          <t>US Senate</t>
        </is>
      </c>
      <c r="L1550" s="43" t="n">
        <v>2834</v>
      </c>
      <c r="M1550" s="43" t="n">
        <v>6152</v>
      </c>
      <c r="N1550" s="43" t="n">
        <v>8986</v>
      </c>
      <c r="O1550" s="44">
        <f>IFERROR((F1550-G1550)/(F1550+G1550),"")</f>
        <v/>
      </c>
      <c r="P1550" s="44">
        <f>IFERROR((I1550-J1550)/(I1550+J1550),"")</f>
        <v/>
      </c>
      <c r="Q1550" s="45">
        <f>IFERROR(O1550-P1550,"")</f>
        <v/>
      </c>
      <c r="R1550" s="44">
        <f>IFERROR((L1550-M1550)/(L1550+M1550),"")</f>
        <v/>
      </c>
      <c r="S1550" s="46">
        <f>H1550/SUMIFS(Counties!$H$2:$H$1583,Counties!$A$2:$A$1583,$A1550)</f>
        <v/>
      </c>
      <c r="T1550" s="44">
        <f>O1550+INDEX(Dashboard!$F$6:$F$22,MATCH($A1550,Dashboard!$A$6:$A$22,0))</f>
        <v/>
      </c>
      <c r="U1550" s="43">
        <f>AQ1550*INDEX(Dashboard!$G$6:$G$22,MATCH($A1550,Dashboard!$A$6:$A$22,0))</f>
        <v/>
      </c>
      <c r="V1550" s="47" t="n"/>
      <c r="W1550" s="47" t="n"/>
      <c r="X1550" s="47" t="n"/>
      <c r="Y1550" s="48" t="n"/>
      <c r="Z1550" s="49" t="n"/>
      <c r="AA1550" s="49" t="n"/>
      <c r="AB1550" s="49" t="n"/>
      <c r="AC1550" s="50" t="n"/>
      <c r="AD1550" s="43">
        <f>IF(Z1550&lt;&gt;"",Z1550,N(V1550))</f>
        <v/>
      </c>
      <c r="AE1550" s="43">
        <f>IF(AA1550&lt;&gt;"",AA1550,N(W1550))</f>
        <v/>
      </c>
      <c r="AF1550" s="43">
        <f>AD1550+AE1550</f>
        <v/>
      </c>
      <c r="AG1550" s="42">
        <f>IF(UPPER(AC1550)="Y",1,IF(AF1550=0,0,IF(AND(Z1550="",Y1550&lt;&gt;""),IF(Y1550&gt;=0.999,1,0),IF(AF1550&gt;=U1550,1,0))))</f>
        <v/>
      </c>
      <c r="AH1550" s="44">
        <f>IF(AF1550&gt;0,(AD1550-AE1550)/AF1550,"")</f>
        <v/>
      </c>
      <c r="AI1550" s="45">
        <f>IF(AG1550=1,AH1550-O1550,"")</f>
        <v/>
      </c>
      <c r="AJ1550" s="44">
        <f>IF(AG1550=1,AH1550,MAX(-1,MIN(1,O1550+INDEX(Types!$H:$H,MATCH($A1550&amp;"|"&amp;$D1550,Types!$A:$A,0)))))</f>
        <v/>
      </c>
      <c r="AK1550" s="43">
        <f>IF(AG1550=1,AF1550,MAX(AQ1550*AS1550,AF1550))</f>
        <v/>
      </c>
      <c r="AL1550" s="43">
        <f>IF(AG1550=1,AD1550,AK1550*(1+AJ1550)/2)</f>
        <v/>
      </c>
      <c r="AM1550" s="43">
        <f>IF(AG1550=1,AE1550,AK1550*(1-AJ1550)/2)</f>
        <v/>
      </c>
      <c r="AN1550" s="45">
        <f>IF(AH1550="","",AH1550-T1550)</f>
        <v/>
      </c>
      <c r="AO1550" s="51">
        <f>IF(AG1550=1,1,IF(U1550&gt;0,MIN(AF1550/U1550,0.99),0))</f>
        <v/>
      </c>
      <c r="AP1550" s="43">
        <f>IF(AG1550=1,AI1550*AF1550,0)</f>
        <v/>
      </c>
      <c r="AQ1550" s="43">
        <f>N1550*(F1550+G1550)/H1550</f>
        <v/>
      </c>
      <c r="AR1550" s="43">
        <f>O1550*AQ1550</f>
        <v/>
      </c>
      <c r="AS1550" s="52">
        <f>IF(AG1550=1,IF(AQ1550&gt;0,AF1550/AQ1550,1),IFERROR(INDEX(Types!$K:$K,MATCH($A1550&amp;"|"&amp;$D1550,Types!$A:$A,0)),INDEX(Dashboard!$X$6:$X$22,MATCH($A1550,Dashboard!$A$6:$A$22,0))))</f>
        <v/>
      </c>
      <c r="AT1550" s="43">
        <f>AQ1550*INDEX(Dashboard!$Y$6:$Y$22,MATCH($A1550,Dashboard!$A$6:$A$22,0))</f>
        <v/>
      </c>
      <c r="AU1550" s="53">
        <f>IF(AND(AG1550=1,AT1550&gt;0,AF1550&gt;0),100*AF1550/AT1550,"")</f>
        <v/>
      </c>
      <c r="AV1550" s="44">
        <f>IF(AU1550="","",T1550/(AU1550/100))</f>
        <v/>
      </c>
      <c r="AW1550" s="53">
        <f>IF(AU1550="","",IF(AND(ABS(AH1550)&gt;=0.1,ABS(T1550)&gt;=0.05,SIGN(AH1550)=SIGN(T1550)),100*T1550/AH1550,""))</f>
        <v/>
      </c>
      <c r="AX1550" s="45">
        <f>IF(AU1550="","",T1550-AV1550)</f>
        <v/>
      </c>
      <c r="AY1550" s="45">
        <f>IF(AU1550="","",AH1550-AV1550)</f>
        <v/>
      </c>
      <c r="AZ1550" s="54">
        <f>(AL1550-AM1550)-T1550*AT1550</f>
        <v/>
      </c>
      <c r="BA1550" s="43">
        <f>IF(AU1550="",0,(AH1550-T1550)*AF1550)</f>
        <v/>
      </c>
      <c r="BB1550" s="43">
        <f>IF(AU1550="",0,T1550*(AF1550-AT1550))</f>
        <v/>
      </c>
      <c r="BC1550" s="51" t="n">
        <v>0.02436288428506327</v>
      </c>
      <c r="BD1550" s="51" t="n">
        <v>0.03572054544817191</v>
      </c>
      <c r="BE1550" s="51" t="n">
        <v>0.2082345666288777</v>
      </c>
      <c r="BF1550" s="43" t="n">
        <v>28527</v>
      </c>
    </row>
    <row r="1551">
      <c r="A1551" s="42" t="inlineStr">
        <is>
          <t>KY</t>
        </is>
      </c>
      <c r="B1551" s="42" t="inlineStr">
        <is>
          <t>21175</t>
        </is>
      </c>
      <c r="C1551" s="42" t="inlineStr">
        <is>
          <t>Morgan</t>
        </is>
      </c>
      <c r="D1551" s="42" t="inlineStr">
        <is>
          <t>Small town &amp; rural</t>
        </is>
      </c>
      <c r="E1551" s="42" t="inlineStr"/>
      <c r="F1551" s="43" t="n">
        <v>939</v>
      </c>
      <c r="G1551" s="43" t="n">
        <v>4353</v>
      </c>
      <c r="H1551" s="43" t="n">
        <v>5373</v>
      </c>
      <c r="I1551" s="43" t="n">
        <v>1175</v>
      </c>
      <c r="J1551" s="43" t="n">
        <v>4301</v>
      </c>
      <c r="K1551" s="42" t="inlineStr">
        <is>
          <t>US Senate</t>
        </is>
      </c>
      <c r="L1551" s="43" t="n">
        <v>1127</v>
      </c>
      <c r="M1551" s="43" t="n">
        <v>2894</v>
      </c>
      <c r="N1551" s="43" t="n">
        <v>4021</v>
      </c>
      <c r="O1551" s="44">
        <f>IFERROR((F1551-G1551)/(F1551+G1551),"")</f>
        <v/>
      </c>
      <c r="P1551" s="44">
        <f>IFERROR((I1551-J1551)/(I1551+J1551),"")</f>
        <v/>
      </c>
      <c r="Q1551" s="45">
        <f>IFERROR(O1551-P1551,"")</f>
        <v/>
      </c>
      <c r="R1551" s="44">
        <f>IFERROR((L1551-M1551)/(L1551+M1551),"")</f>
        <v/>
      </c>
      <c r="S1551" s="46">
        <f>H1551/SUMIFS(Counties!$H$2:$H$1583,Counties!$A$2:$A$1583,$A1551)</f>
        <v/>
      </c>
      <c r="T1551" s="44">
        <f>O1551+INDEX(Dashboard!$F$6:$F$22,MATCH($A1551,Dashboard!$A$6:$A$22,0))</f>
        <v/>
      </c>
      <c r="U1551" s="43">
        <f>AQ1551*INDEX(Dashboard!$G$6:$G$22,MATCH($A1551,Dashboard!$A$6:$A$22,0))</f>
        <v/>
      </c>
      <c r="V1551" s="47" t="n"/>
      <c r="W1551" s="47" t="n"/>
      <c r="X1551" s="47" t="n"/>
      <c r="Y1551" s="48" t="n"/>
      <c r="Z1551" s="49" t="n"/>
      <c r="AA1551" s="49" t="n"/>
      <c r="AB1551" s="49" t="n"/>
      <c r="AC1551" s="50" t="n"/>
      <c r="AD1551" s="43">
        <f>IF(Z1551&lt;&gt;"",Z1551,N(V1551))</f>
        <v/>
      </c>
      <c r="AE1551" s="43">
        <f>IF(AA1551&lt;&gt;"",AA1551,N(W1551))</f>
        <v/>
      </c>
      <c r="AF1551" s="43">
        <f>AD1551+AE1551</f>
        <v/>
      </c>
      <c r="AG1551" s="42">
        <f>IF(UPPER(AC1551)="Y",1,IF(AF1551=0,0,IF(AND(Z1551="",Y1551&lt;&gt;""),IF(Y1551&gt;=0.999,1,0),IF(AF1551&gt;=U1551,1,0))))</f>
        <v/>
      </c>
      <c r="AH1551" s="44">
        <f>IF(AF1551&gt;0,(AD1551-AE1551)/AF1551,"")</f>
        <v/>
      </c>
      <c r="AI1551" s="45">
        <f>IF(AG1551=1,AH1551-O1551,"")</f>
        <v/>
      </c>
      <c r="AJ1551" s="44">
        <f>IF(AG1551=1,AH1551,MAX(-1,MIN(1,O1551+INDEX(Types!$H:$H,MATCH($A1551&amp;"|"&amp;$D1551,Types!$A:$A,0)))))</f>
        <v/>
      </c>
      <c r="AK1551" s="43">
        <f>IF(AG1551=1,AF1551,MAX(AQ1551*AS1551,AF1551))</f>
        <v/>
      </c>
      <c r="AL1551" s="43">
        <f>IF(AG1551=1,AD1551,AK1551*(1+AJ1551)/2)</f>
        <v/>
      </c>
      <c r="AM1551" s="43">
        <f>IF(AG1551=1,AE1551,AK1551*(1-AJ1551)/2)</f>
        <v/>
      </c>
      <c r="AN1551" s="45">
        <f>IF(AH1551="","",AH1551-T1551)</f>
        <v/>
      </c>
      <c r="AO1551" s="51">
        <f>IF(AG1551=1,1,IF(U1551&gt;0,MIN(AF1551/U1551,0.99),0))</f>
        <v/>
      </c>
      <c r="AP1551" s="43">
        <f>IF(AG1551=1,AI1551*AF1551,0)</f>
        <v/>
      </c>
      <c r="AQ1551" s="43">
        <f>N1551*(F1551+G1551)/H1551</f>
        <v/>
      </c>
      <c r="AR1551" s="43">
        <f>O1551*AQ1551</f>
        <v/>
      </c>
      <c r="AS1551" s="52">
        <f>IF(AG1551=1,IF(AQ1551&gt;0,AF1551/AQ1551,1),IFERROR(INDEX(Types!$K:$K,MATCH($A1551&amp;"|"&amp;$D1551,Types!$A:$A,0)),INDEX(Dashboard!$X$6:$X$22,MATCH($A1551,Dashboard!$A$6:$A$22,0))))</f>
        <v/>
      </c>
      <c r="AT1551" s="43">
        <f>AQ1551*INDEX(Dashboard!$Y$6:$Y$22,MATCH($A1551,Dashboard!$A$6:$A$22,0))</f>
        <v/>
      </c>
      <c r="AU1551" s="53">
        <f>IF(AND(AG1551=1,AT1551&gt;0,AF1551&gt;0),100*AF1551/AT1551,"")</f>
        <v/>
      </c>
      <c r="AV1551" s="44">
        <f>IF(AU1551="","",T1551/(AU1551/100))</f>
        <v/>
      </c>
      <c r="AW1551" s="53">
        <f>IF(AU1551="","",IF(AND(ABS(AH1551)&gt;=0.1,ABS(T1551)&gt;=0.05,SIGN(AH1551)=SIGN(T1551)),100*T1551/AH1551,""))</f>
        <v/>
      </c>
      <c r="AX1551" s="45">
        <f>IF(AU1551="","",T1551-AV1551)</f>
        <v/>
      </c>
      <c r="AY1551" s="45">
        <f>IF(AU1551="","",AH1551-AV1551)</f>
        <v/>
      </c>
      <c r="AZ1551" s="54">
        <f>(AL1551-AM1551)-T1551*AT1551</f>
        <v/>
      </c>
      <c r="BA1551" s="43">
        <f>IF(AU1551="",0,(AH1551-T1551)*AF1551)</f>
        <v/>
      </c>
      <c r="BB1551" s="43">
        <f>IF(AU1551="",0,T1551*(AF1551-AT1551))</f>
        <v/>
      </c>
      <c r="BC1551" s="51" t="n">
        <v>0.04837919204648884</v>
      </c>
      <c r="BD1551" s="51" t="n">
        <v>0.03360638521319051</v>
      </c>
      <c r="BE1551" s="51" t="n">
        <v>0.175829522234115</v>
      </c>
      <c r="BF1551" s="43" t="n">
        <v>14283</v>
      </c>
    </row>
    <row r="1552">
      <c r="A1552" s="42" t="inlineStr">
        <is>
          <t>KY</t>
        </is>
      </c>
      <c r="B1552" s="42" t="inlineStr">
        <is>
          <t>21177</t>
        </is>
      </c>
      <c r="C1552" s="42" t="inlineStr">
        <is>
          <t>Muhlenberg</t>
        </is>
      </c>
      <c r="D1552" s="42" t="inlineStr">
        <is>
          <t>Small town &amp; rural</t>
        </is>
      </c>
      <c r="E1552" s="42" t="inlineStr"/>
      <c r="F1552" s="43" t="n">
        <v>3048</v>
      </c>
      <c r="G1552" s="43" t="n">
        <v>10491</v>
      </c>
      <c r="H1552" s="43" t="n">
        <v>13691</v>
      </c>
      <c r="I1552" s="43" t="n">
        <v>3545</v>
      </c>
      <c r="J1552" s="43" t="n">
        <v>10497</v>
      </c>
      <c r="K1552" s="42" t="inlineStr">
        <is>
          <t>US Senate</t>
        </is>
      </c>
      <c r="L1552" s="43" t="n">
        <v>3137</v>
      </c>
      <c r="M1552" s="43" t="n">
        <v>7062</v>
      </c>
      <c r="N1552" s="43" t="n">
        <v>10200</v>
      </c>
      <c r="O1552" s="44">
        <f>IFERROR((F1552-G1552)/(F1552+G1552),"")</f>
        <v/>
      </c>
      <c r="P1552" s="44">
        <f>IFERROR((I1552-J1552)/(I1552+J1552),"")</f>
        <v/>
      </c>
      <c r="Q1552" s="45">
        <f>IFERROR(O1552-P1552,"")</f>
        <v/>
      </c>
      <c r="R1552" s="44">
        <f>IFERROR((L1552-M1552)/(L1552+M1552),"")</f>
        <v/>
      </c>
      <c r="S1552" s="46">
        <f>H1552/SUMIFS(Counties!$H$2:$H$1583,Counties!$A$2:$A$1583,$A1552)</f>
        <v/>
      </c>
      <c r="T1552" s="44">
        <f>O1552+INDEX(Dashboard!$F$6:$F$22,MATCH($A1552,Dashboard!$A$6:$A$22,0))</f>
        <v/>
      </c>
      <c r="U1552" s="43">
        <f>AQ1552*INDEX(Dashboard!$G$6:$G$22,MATCH($A1552,Dashboard!$A$6:$A$22,0))</f>
        <v/>
      </c>
      <c r="V1552" s="47" t="n"/>
      <c r="W1552" s="47" t="n"/>
      <c r="X1552" s="47" t="n"/>
      <c r="Y1552" s="48" t="n"/>
      <c r="Z1552" s="49" t="n"/>
      <c r="AA1552" s="49" t="n"/>
      <c r="AB1552" s="49" t="n"/>
      <c r="AC1552" s="50" t="n"/>
      <c r="AD1552" s="43">
        <f>IF(Z1552&lt;&gt;"",Z1552,N(V1552))</f>
        <v/>
      </c>
      <c r="AE1552" s="43">
        <f>IF(AA1552&lt;&gt;"",AA1552,N(W1552))</f>
        <v/>
      </c>
      <c r="AF1552" s="43">
        <f>AD1552+AE1552</f>
        <v/>
      </c>
      <c r="AG1552" s="42">
        <f>IF(UPPER(AC1552)="Y",1,IF(AF1552=0,0,IF(AND(Z1552="",Y1552&lt;&gt;""),IF(Y1552&gt;=0.999,1,0),IF(AF1552&gt;=U1552,1,0))))</f>
        <v/>
      </c>
      <c r="AH1552" s="44">
        <f>IF(AF1552&gt;0,(AD1552-AE1552)/AF1552,"")</f>
        <v/>
      </c>
      <c r="AI1552" s="45">
        <f>IF(AG1552=1,AH1552-O1552,"")</f>
        <v/>
      </c>
      <c r="AJ1552" s="44">
        <f>IF(AG1552=1,AH1552,MAX(-1,MIN(1,O1552+INDEX(Types!$H:$H,MATCH($A1552&amp;"|"&amp;$D1552,Types!$A:$A,0)))))</f>
        <v/>
      </c>
      <c r="AK1552" s="43">
        <f>IF(AG1552=1,AF1552,MAX(AQ1552*AS1552,AF1552))</f>
        <v/>
      </c>
      <c r="AL1552" s="43">
        <f>IF(AG1552=1,AD1552,AK1552*(1+AJ1552)/2)</f>
        <v/>
      </c>
      <c r="AM1552" s="43">
        <f>IF(AG1552=1,AE1552,AK1552*(1-AJ1552)/2)</f>
        <v/>
      </c>
      <c r="AN1552" s="45">
        <f>IF(AH1552="","",AH1552-T1552)</f>
        <v/>
      </c>
      <c r="AO1552" s="51">
        <f>IF(AG1552=1,1,IF(U1552&gt;0,MIN(AF1552/U1552,0.99),0))</f>
        <v/>
      </c>
      <c r="AP1552" s="43">
        <f>IF(AG1552=1,AI1552*AF1552,0)</f>
        <v/>
      </c>
      <c r="AQ1552" s="43">
        <f>N1552*(F1552+G1552)/H1552</f>
        <v/>
      </c>
      <c r="AR1552" s="43">
        <f>O1552*AQ1552</f>
        <v/>
      </c>
      <c r="AS1552" s="52">
        <f>IF(AG1552=1,IF(AQ1552&gt;0,AF1552/AQ1552,1),IFERROR(INDEX(Types!$K:$K,MATCH($A1552&amp;"|"&amp;$D1552,Types!$A:$A,0)),INDEX(Dashboard!$X$6:$X$22,MATCH($A1552,Dashboard!$A$6:$A$22,0))))</f>
        <v/>
      </c>
      <c r="AT1552" s="43">
        <f>AQ1552*INDEX(Dashboard!$Y$6:$Y$22,MATCH($A1552,Dashboard!$A$6:$A$22,0))</f>
        <v/>
      </c>
      <c r="AU1552" s="53">
        <f>IF(AND(AG1552=1,AT1552&gt;0,AF1552&gt;0),100*AF1552/AT1552,"")</f>
        <v/>
      </c>
      <c r="AV1552" s="44">
        <f>IF(AU1552="","",T1552/(AU1552/100))</f>
        <v/>
      </c>
      <c r="AW1552" s="53">
        <f>IF(AU1552="","",IF(AND(ABS(AH1552)&gt;=0.1,ABS(T1552)&gt;=0.05,SIGN(AH1552)=SIGN(T1552)),100*T1552/AH1552,""))</f>
        <v/>
      </c>
      <c r="AX1552" s="45">
        <f>IF(AU1552="","",T1552-AV1552)</f>
        <v/>
      </c>
      <c r="AY1552" s="45">
        <f>IF(AU1552="","",AH1552-AV1552)</f>
        <v/>
      </c>
      <c r="AZ1552" s="54">
        <f>(AL1552-AM1552)-T1552*AT1552</f>
        <v/>
      </c>
      <c r="BA1552" s="43">
        <f>IF(AU1552="",0,(AH1552-T1552)*AF1552)</f>
        <v/>
      </c>
      <c r="BB1552" s="43">
        <f>IF(AU1552="",0,T1552*(AF1552-AT1552))</f>
        <v/>
      </c>
      <c r="BC1552" s="51" t="n">
        <v>0.03654148128762104</v>
      </c>
      <c r="BD1552" s="51" t="n">
        <v>0.02113321120125622</v>
      </c>
      <c r="BE1552" s="51" t="n">
        <v>0.129714937286203</v>
      </c>
      <c r="BF1552" s="43" t="n">
        <v>30568</v>
      </c>
    </row>
    <row r="1553">
      <c r="A1553" s="42" t="inlineStr">
        <is>
          <t>KY</t>
        </is>
      </c>
      <c r="B1553" s="42" t="inlineStr">
        <is>
          <t>21179</t>
        </is>
      </c>
      <c r="C1553" s="42" t="inlineStr">
        <is>
          <t>Nelson</t>
        </is>
      </c>
      <c r="D1553" s="42" t="inlineStr">
        <is>
          <t>Small town &amp; rural</t>
        </is>
      </c>
      <c r="E1553" s="42" t="inlineStr"/>
      <c r="F1553" s="43" t="n">
        <v>6515</v>
      </c>
      <c r="G1553" s="43" t="n">
        <v>16052</v>
      </c>
      <c r="H1553" s="43" t="n">
        <v>22838</v>
      </c>
      <c r="I1553" s="43" t="n">
        <v>7188</v>
      </c>
      <c r="J1553" s="43" t="n">
        <v>15703</v>
      </c>
      <c r="K1553" s="42" t="inlineStr">
        <is>
          <t>US Senate</t>
        </is>
      </c>
      <c r="L1553" s="43" t="n">
        <v>5787</v>
      </c>
      <c r="M1553" s="43" t="n">
        <v>11205</v>
      </c>
      <c r="N1553" s="43" t="n">
        <v>16993</v>
      </c>
      <c r="O1553" s="44">
        <f>IFERROR((F1553-G1553)/(F1553+G1553),"")</f>
        <v/>
      </c>
      <c r="P1553" s="44">
        <f>IFERROR((I1553-J1553)/(I1553+J1553),"")</f>
        <v/>
      </c>
      <c r="Q1553" s="45">
        <f>IFERROR(O1553-P1553,"")</f>
        <v/>
      </c>
      <c r="R1553" s="44">
        <f>IFERROR((L1553-M1553)/(L1553+M1553),"")</f>
        <v/>
      </c>
      <c r="S1553" s="46">
        <f>H1553/SUMIFS(Counties!$H$2:$H$1583,Counties!$A$2:$A$1583,$A1553)</f>
        <v/>
      </c>
      <c r="T1553" s="44">
        <f>O1553+INDEX(Dashboard!$F$6:$F$22,MATCH($A1553,Dashboard!$A$6:$A$22,0))</f>
        <v/>
      </c>
      <c r="U1553" s="43">
        <f>AQ1553*INDEX(Dashboard!$G$6:$G$22,MATCH($A1553,Dashboard!$A$6:$A$22,0))</f>
        <v/>
      </c>
      <c r="V1553" s="47" t="n"/>
      <c r="W1553" s="47" t="n"/>
      <c r="X1553" s="47" t="n"/>
      <c r="Y1553" s="48" t="n"/>
      <c r="Z1553" s="49" t="n"/>
      <c r="AA1553" s="49" t="n"/>
      <c r="AB1553" s="49" t="n"/>
      <c r="AC1553" s="50" t="n"/>
      <c r="AD1553" s="43">
        <f>IF(Z1553&lt;&gt;"",Z1553,N(V1553))</f>
        <v/>
      </c>
      <c r="AE1553" s="43">
        <f>IF(AA1553&lt;&gt;"",AA1553,N(W1553))</f>
        <v/>
      </c>
      <c r="AF1553" s="43">
        <f>AD1553+AE1553</f>
        <v/>
      </c>
      <c r="AG1553" s="42">
        <f>IF(UPPER(AC1553)="Y",1,IF(AF1553=0,0,IF(AND(Z1553="",Y1553&lt;&gt;""),IF(Y1553&gt;=0.999,1,0),IF(AF1553&gt;=U1553,1,0))))</f>
        <v/>
      </c>
      <c r="AH1553" s="44">
        <f>IF(AF1553&gt;0,(AD1553-AE1553)/AF1553,"")</f>
        <v/>
      </c>
      <c r="AI1553" s="45">
        <f>IF(AG1553=1,AH1553-O1553,"")</f>
        <v/>
      </c>
      <c r="AJ1553" s="44">
        <f>IF(AG1553=1,AH1553,MAX(-1,MIN(1,O1553+INDEX(Types!$H:$H,MATCH($A1553&amp;"|"&amp;$D1553,Types!$A:$A,0)))))</f>
        <v/>
      </c>
      <c r="AK1553" s="43">
        <f>IF(AG1553=1,AF1553,MAX(AQ1553*AS1553,AF1553))</f>
        <v/>
      </c>
      <c r="AL1553" s="43">
        <f>IF(AG1553=1,AD1553,AK1553*(1+AJ1553)/2)</f>
        <v/>
      </c>
      <c r="AM1553" s="43">
        <f>IF(AG1553=1,AE1553,AK1553*(1-AJ1553)/2)</f>
        <v/>
      </c>
      <c r="AN1553" s="45">
        <f>IF(AH1553="","",AH1553-T1553)</f>
        <v/>
      </c>
      <c r="AO1553" s="51">
        <f>IF(AG1553=1,1,IF(U1553&gt;0,MIN(AF1553/U1553,0.99),0))</f>
        <v/>
      </c>
      <c r="AP1553" s="43">
        <f>IF(AG1553=1,AI1553*AF1553,0)</f>
        <v/>
      </c>
      <c r="AQ1553" s="43">
        <f>N1553*(F1553+G1553)/H1553</f>
        <v/>
      </c>
      <c r="AR1553" s="43">
        <f>O1553*AQ1553</f>
        <v/>
      </c>
      <c r="AS1553" s="52">
        <f>IF(AG1553=1,IF(AQ1553&gt;0,AF1553/AQ1553,1),IFERROR(INDEX(Types!$K:$K,MATCH($A1553&amp;"|"&amp;$D1553,Types!$A:$A,0)),INDEX(Dashboard!$X$6:$X$22,MATCH($A1553,Dashboard!$A$6:$A$22,0))))</f>
        <v/>
      </c>
      <c r="AT1553" s="43">
        <f>AQ1553*INDEX(Dashboard!$Y$6:$Y$22,MATCH($A1553,Dashboard!$A$6:$A$22,0))</f>
        <v/>
      </c>
      <c r="AU1553" s="53">
        <f>IF(AND(AG1553=1,AT1553&gt;0,AF1553&gt;0),100*AF1553/AT1553,"")</f>
        <v/>
      </c>
      <c r="AV1553" s="44">
        <f>IF(AU1553="","",T1553/(AU1553/100))</f>
        <v/>
      </c>
      <c r="AW1553" s="53">
        <f>IF(AU1553="","",IF(AND(ABS(AH1553)&gt;=0.1,ABS(T1553)&gt;=0.05,SIGN(AH1553)=SIGN(T1553)),100*T1553/AH1553,""))</f>
        <v/>
      </c>
      <c r="AX1553" s="45">
        <f>IF(AU1553="","",T1553-AV1553)</f>
        <v/>
      </c>
      <c r="AY1553" s="45">
        <f>IF(AU1553="","",AH1553-AV1553)</f>
        <v/>
      </c>
      <c r="AZ1553" s="54">
        <f>(AL1553-AM1553)-T1553*AT1553</f>
        <v/>
      </c>
      <c r="BA1553" s="43">
        <f>IF(AU1553="",0,(AH1553-T1553)*AF1553)</f>
        <v/>
      </c>
      <c r="BB1553" s="43">
        <f>IF(AU1553="",0,T1553*(AF1553-AT1553))</f>
        <v/>
      </c>
      <c r="BC1553" s="51" t="n">
        <v>0.04934003771213073</v>
      </c>
      <c r="BD1553" s="51" t="n">
        <v>0.02912214540121517</v>
      </c>
      <c r="BE1553" s="51" t="n">
        <v>0.228320933535023</v>
      </c>
      <c r="BF1553" s="43" t="n">
        <v>47730</v>
      </c>
    </row>
    <row r="1554">
      <c r="A1554" s="42" t="inlineStr">
        <is>
          <t>KY</t>
        </is>
      </c>
      <c r="B1554" s="42" t="inlineStr">
        <is>
          <t>21181</t>
        </is>
      </c>
      <c r="C1554" s="42" t="inlineStr">
        <is>
          <t>Nicholas</t>
        </is>
      </c>
      <c r="D1554" s="42" t="inlineStr">
        <is>
          <t>Small town &amp; rural</t>
        </is>
      </c>
      <c r="E1554" s="42" t="inlineStr"/>
      <c r="F1554" s="43" t="n">
        <v>824</v>
      </c>
      <c r="G1554" s="43" t="n">
        <v>2451</v>
      </c>
      <c r="H1554" s="43" t="n">
        <v>3319</v>
      </c>
      <c r="I1554" s="43" t="n">
        <v>955</v>
      </c>
      <c r="J1554" s="43" t="n">
        <v>2408</v>
      </c>
      <c r="K1554" s="42" t="inlineStr">
        <is>
          <t>US Senate</t>
        </is>
      </c>
      <c r="L1554" s="43" t="n">
        <v>824</v>
      </c>
      <c r="M1554" s="43" t="n">
        <v>1649</v>
      </c>
      <c r="N1554" s="43" t="n">
        <v>2473</v>
      </c>
      <c r="O1554" s="44">
        <f>IFERROR((F1554-G1554)/(F1554+G1554),"")</f>
        <v/>
      </c>
      <c r="P1554" s="44">
        <f>IFERROR((I1554-J1554)/(I1554+J1554),"")</f>
        <v/>
      </c>
      <c r="Q1554" s="45">
        <f>IFERROR(O1554-P1554,"")</f>
        <v/>
      </c>
      <c r="R1554" s="44">
        <f>IFERROR((L1554-M1554)/(L1554+M1554),"")</f>
        <v/>
      </c>
      <c r="S1554" s="46">
        <f>H1554/SUMIFS(Counties!$H$2:$H$1583,Counties!$A$2:$A$1583,$A1554)</f>
        <v/>
      </c>
      <c r="T1554" s="44">
        <f>O1554+INDEX(Dashboard!$F$6:$F$22,MATCH($A1554,Dashboard!$A$6:$A$22,0))</f>
        <v/>
      </c>
      <c r="U1554" s="43">
        <f>AQ1554*INDEX(Dashboard!$G$6:$G$22,MATCH($A1554,Dashboard!$A$6:$A$22,0))</f>
        <v/>
      </c>
      <c r="V1554" s="47" t="n"/>
      <c r="W1554" s="47" t="n"/>
      <c r="X1554" s="47" t="n"/>
      <c r="Y1554" s="48" t="n"/>
      <c r="Z1554" s="49" t="n"/>
      <c r="AA1554" s="49" t="n"/>
      <c r="AB1554" s="49" t="n"/>
      <c r="AC1554" s="50" t="n"/>
      <c r="AD1554" s="43">
        <f>IF(Z1554&lt;&gt;"",Z1554,N(V1554))</f>
        <v/>
      </c>
      <c r="AE1554" s="43">
        <f>IF(AA1554&lt;&gt;"",AA1554,N(W1554))</f>
        <v/>
      </c>
      <c r="AF1554" s="43">
        <f>AD1554+AE1554</f>
        <v/>
      </c>
      <c r="AG1554" s="42">
        <f>IF(UPPER(AC1554)="Y",1,IF(AF1554=0,0,IF(AND(Z1554="",Y1554&lt;&gt;""),IF(Y1554&gt;=0.999,1,0),IF(AF1554&gt;=U1554,1,0))))</f>
        <v/>
      </c>
      <c r="AH1554" s="44">
        <f>IF(AF1554&gt;0,(AD1554-AE1554)/AF1554,"")</f>
        <v/>
      </c>
      <c r="AI1554" s="45">
        <f>IF(AG1554=1,AH1554-O1554,"")</f>
        <v/>
      </c>
      <c r="AJ1554" s="44">
        <f>IF(AG1554=1,AH1554,MAX(-1,MIN(1,O1554+INDEX(Types!$H:$H,MATCH($A1554&amp;"|"&amp;$D1554,Types!$A:$A,0)))))</f>
        <v/>
      </c>
      <c r="AK1554" s="43">
        <f>IF(AG1554=1,AF1554,MAX(AQ1554*AS1554,AF1554))</f>
        <v/>
      </c>
      <c r="AL1554" s="43">
        <f>IF(AG1554=1,AD1554,AK1554*(1+AJ1554)/2)</f>
        <v/>
      </c>
      <c r="AM1554" s="43">
        <f>IF(AG1554=1,AE1554,AK1554*(1-AJ1554)/2)</f>
        <v/>
      </c>
      <c r="AN1554" s="45">
        <f>IF(AH1554="","",AH1554-T1554)</f>
        <v/>
      </c>
      <c r="AO1554" s="51">
        <f>IF(AG1554=1,1,IF(U1554&gt;0,MIN(AF1554/U1554,0.99),0))</f>
        <v/>
      </c>
      <c r="AP1554" s="43">
        <f>IF(AG1554=1,AI1554*AF1554,0)</f>
        <v/>
      </c>
      <c r="AQ1554" s="43">
        <f>N1554*(F1554+G1554)/H1554</f>
        <v/>
      </c>
      <c r="AR1554" s="43">
        <f>O1554*AQ1554</f>
        <v/>
      </c>
      <c r="AS1554" s="52">
        <f>IF(AG1554=1,IF(AQ1554&gt;0,AF1554/AQ1554,1),IFERROR(INDEX(Types!$K:$K,MATCH($A1554&amp;"|"&amp;$D1554,Types!$A:$A,0)),INDEX(Dashboard!$X$6:$X$22,MATCH($A1554,Dashboard!$A$6:$A$22,0))))</f>
        <v/>
      </c>
      <c r="AT1554" s="43">
        <f>AQ1554*INDEX(Dashboard!$Y$6:$Y$22,MATCH($A1554,Dashboard!$A$6:$A$22,0))</f>
        <v/>
      </c>
      <c r="AU1554" s="53">
        <f>IF(AND(AG1554=1,AT1554&gt;0,AF1554&gt;0),100*AF1554/AT1554,"")</f>
        <v/>
      </c>
      <c r="AV1554" s="44">
        <f>IF(AU1554="","",T1554/(AU1554/100))</f>
        <v/>
      </c>
      <c r="AW1554" s="53">
        <f>IF(AU1554="","",IF(AND(ABS(AH1554)&gt;=0.1,ABS(T1554)&gt;=0.05,SIGN(AH1554)=SIGN(T1554)),100*T1554/AH1554,""))</f>
        <v/>
      </c>
      <c r="AX1554" s="45">
        <f>IF(AU1554="","",T1554-AV1554)</f>
        <v/>
      </c>
      <c r="AY1554" s="45">
        <f>IF(AU1554="","",AH1554-AV1554)</f>
        <v/>
      </c>
      <c r="AZ1554" s="54">
        <f>(AL1554-AM1554)-T1554*AT1554</f>
        <v/>
      </c>
      <c r="BA1554" s="43">
        <f>IF(AU1554="",0,(AH1554-T1554)*AF1554)</f>
        <v/>
      </c>
      <c r="BB1554" s="43">
        <f>IF(AU1554="",0,T1554*(AF1554-AT1554))</f>
        <v/>
      </c>
      <c r="BC1554" s="51" t="n">
        <v>0.008977361436377829</v>
      </c>
      <c r="BD1554" s="51" t="n">
        <v>0.02641165755919854</v>
      </c>
      <c r="BE1554" s="51" t="n">
        <v>0.09461285962541031</v>
      </c>
      <c r="BF1554" s="43" t="n">
        <v>7686</v>
      </c>
    </row>
    <row r="1555">
      <c r="A1555" s="42" t="inlineStr">
        <is>
          <t>KY</t>
        </is>
      </c>
      <c r="B1555" s="42" t="inlineStr">
        <is>
          <t>21183</t>
        </is>
      </c>
      <c r="C1555" s="42" t="inlineStr">
        <is>
          <t>Ohio</t>
        </is>
      </c>
      <c r="D1555" s="42" t="inlineStr">
        <is>
          <t>Small town &amp; rural</t>
        </is>
      </c>
      <c r="E1555" s="42" t="inlineStr"/>
      <c r="F1555" s="43" t="n">
        <v>2094</v>
      </c>
      <c r="G1555" s="43" t="n">
        <v>8679</v>
      </c>
      <c r="H1555" s="43" t="n">
        <v>10935</v>
      </c>
      <c r="I1555" s="43" t="n">
        <v>2404</v>
      </c>
      <c r="J1555" s="43" t="n">
        <v>8582</v>
      </c>
      <c r="K1555" s="42" t="inlineStr">
        <is>
          <t>US Senate</t>
        </is>
      </c>
      <c r="L1555" s="43" t="n">
        <v>1660</v>
      </c>
      <c r="M1555" s="43" t="n">
        <v>5617</v>
      </c>
      <c r="N1555" s="43" t="n">
        <v>7278</v>
      </c>
      <c r="O1555" s="44">
        <f>IFERROR((F1555-G1555)/(F1555+G1555),"")</f>
        <v/>
      </c>
      <c r="P1555" s="44">
        <f>IFERROR((I1555-J1555)/(I1555+J1555),"")</f>
        <v/>
      </c>
      <c r="Q1555" s="45">
        <f>IFERROR(O1555-P1555,"")</f>
        <v/>
      </c>
      <c r="R1555" s="44">
        <f>IFERROR((L1555-M1555)/(L1555+M1555),"")</f>
        <v/>
      </c>
      <c r="S1555" s="46">
        <f>H1555/SUMIFS(Counties!$H$2:$H$1583,Counties!$A$2:$A$1583,$A1555)</f>
        <v/>
      </c>
      <c r="T1555" s="44">
        <f>O1555+INDEX(Dashboard!$F$6:$F$22,MATCH($A1555,Dashboard!$A$6:$A$22,0))</f>
        <v/>
      </c>
      <c r="U1555" s="43">
        <f>AQ1555*INDEX(Dashboard!$G$6:$G$22,MATCH($A1555,Dashboard!$A$6:$A$22,0))</f>
        <v/>
      </c>
      <c r="V1555" s="47" t="n"/>
      <c r="W1555" s="47" t="n"/>
      <c r="X1555" s="47" t="n"/>
      <c r="Y1555" s="48" t="n"/>
      <c r="Z1555" s="49" t="n"/>
      <c r="AA1555" s="49" t="n"/>
      <c r="AB1555" s="49" t="n"/>
      <c r="AC1555" s="50" t="n"/>
      <c r="AD1555" s="43">
        <f>IF(Z1555&lt;&gt;"",Z1555,N(V1555))</f>
        <v/>
      </c>
      <c r="AE1555" s="43">
        <f>IF(AA1555&lt;&gt;"",AA1555,N(W1555))</f>
        <v/>
      </c>
      <c r="AF1555" s="43">
        <f>AD1555+AE1555</f>
        <v/>
      </c>
      <c r="AG1555" s="42">
        <f>IF(UPPER(AC1555)="Y",1,IF(AF1555=0,0,IF(AND(Z1555="",Y1555&lt;&gt;""),IF(Y1555&gt;=0.999,1,0),IF(AF1555&gt;=U1555,1,0))))</f>
        <v/>
      </c>
      <c r="AH1555" s="44">
        <f>IF(AF1555&gt;0,(AD1555-AE1555)/AF1555,"")</f>
        <v/>
      </c>
      <c r="AI1555" s="45">
        <f>IF(AG1555=1,AH1555-O1555,"")</f>
        <v/>
      </c>
      <c r="AJ1555" s="44">
        <f>IF(AG1555=1,AH1555,MAX(-1,MIN(1,O1555+INDEX(Types!$H:$H,MATCH($A1555&amp;"|"&amp;$D1555,Types!$A:$A,0)))))</f>
        <v/>
      </c>
      <c r="AK1555" s="43">
        <f>IF(AG1555=1,AF1555,MAX(AQ1555*AS1555,AF1555))</f>
        <v/>
      </c>
      <c r="AL1555" s="43">
        <f>IF(AG1555=1,AD1555,AK1555*(1+AJ1555)/2)</f>
        <v/>
      </c>
      <c r="AM1555" s="43">
        <f>IF(AG1555=1,AE1555,AK1555*(1-AJ1555)/2)</f>
        <v/>
      </c>
      <c r="AN1555" s="45">
        <f>IF(AH1555="","",AH1555-T1555)</f>
        <v/>
      </c>
      <c r="AO1555" s="51">
        <f>IF(AG1555=1,1,IF(U1555&gt;0,MIN(AF1555/U1555,0.99),0))</f>
        <v/>
      </c>
      <c r="AP1555" s="43">
        <f>IF(AG1555=1,AI1555*AF1555,0)</f>
        <v/>
      </c>
      <c r="AQ1555" s="43">
        <f>N1555*(F1555+G1555)/H1555</f>
        <v/>
      </c>
      <c r="AR1555" s="43">
        <f>O1555*AQ1555</f>
        <v/>
      </c>
      <c r="AS1555" s="52">
        <f>IF(AG1555=1,IF(AQ1555&gt;0,AF1555/AQ1555,1),IFERROR(INDEX(Types!$K:$K,MATCH($A1555&amp;"|"&amp;$D1555,Types!$A:$A,0)),INDEX(Dashboard!$X$6:$X$22,MATCH($A1555,Dashboard!$A$6:$A$22,0))))</f>
        <v/>
      </c>
      <c r="AT1555" s="43">
        <f>AQ1555*INDEX(Dashboard!$Y$6:$Y$22,MATCH($A1555,Dashboard!$A$6:$A$22,0))</f>
        <v/>
      </c>
      <c r="AU1555" s="53">
        <f>IF(AND(AG1555=1,AT1555&gt;0,AF1555&gt;0),100*AF1555/AT1555,"")</f>
        <v/>
      </c>
      <c r="AV1555" s="44">
        <f>IF(AU1555="","",T1555/(AU1555/100))</f>
        <v/>
      </c>
      <c r="AW1555" s="53">
        <f>IF(AU1555="","",IF(AND(ABS(AH1555)&gt;=0.1,ABS(T1555)&gt;=0.05,SIGN(AH1555)=SIGN(T1555)),100*T1555/AH1555,""))</f>
        <v/>
      </c>
      <c r="AX1555" s="45">
        <f>IF(AU1555="","",T1555-AV1555)</f>
        <v/>
      </c>
      <c r="AY1555" s="45">
        <f>IF(AU1555="","",AH1555-AV1555)</f>
        <v/>
      </c>
      <c r="AZ1555" s="54">
        <f>(AL1555-AM1555)-T1555*AT1555</f>
        <v/>
      </c>
      <c r="BA1555" s="43">
        <f>IF(AU1555="",0,(AH1555-T1555)*AF1555)</f>
        <v/>
      </c>
      <c r="BB1555" s="43">
        <f>IF(AU1555="",0,T1555*(AF1555-AT1555))</f>
        <v/>
      </c>
      <c r="BC1555" s="51" t="n">
        <v>0.01041225768221451</v>
      </c>
      <c r="BD1555" s="51" t="n">
        <v>0.04681283331922458</v>
      </c>
      <c r="BE1555" s="51" t="n">
        <v>0.1417826951765291</v>
      </c>
      <c r="BF1555" s="43" t="n">
        <v>23626</v>
      </c>
    </row>
    <row r="1556">
      <c r="A1556" s="42" t="inlineStr">
        <is>
          <t>KY</t>
        </is>
      </c>
      <c r="B1556" s="42" t="inlineStr">
        <is>
          <t>21185</t>
        </is>
      </c>
      <c r="C1556" s="42" t="inlineStr">
        <is>
          <t>Oldham</t>
        </is>
      </c>
      <c r="D1556" s="42" t="inlineStr">
        <is>
          <t>Small town &amp; rural</t>
        </is>
      </c>
      <c r="E1556" s="42" t="inlineStr"/>
      <c r="F1556" s="43" t="n">
        <v>14402</v>
      </c>
      <c r="G1556" s="43" t="n">
        <v>23025</v>
      </c>
      <c r="H1556" s="43" t="n">
        <v>38187</v>
      </c>
      <c r="I1556" s="43" t="n">
        <v>14505</v>
      </c>
      <c r="J1556" s="43" t="n">
        <v>22654</v>
      </c>
      <c r="K1556" s="42" t="inlineStr">
        <is>
          <t>US Senate</t>
        </is>
      </c>
      <c r="L1556" s="43" t="n">
        <v>10295</v>
      </c>
      <c r="M1556" s="43" t="n">
        <v>15998</v>
      </c>
      <c r="N1556" s="43" t="n">
        <v>26297</v>
      </c>
      <c r="O1556" s="44">
        <f>IFERROR((F1556-G1556)/(F1556+G1556),"")</f>
        <v/>
      </c>
      <c r="P1556" s="44">
        <f>IFERROR((I1556-J1556)/(I1556+J1556),"")</f>
        <v/>
      </c>
      <c r="Q1556" s="45">
        <f>IFERROR(O1556-P1556,"")</f>
        <v/>
      </c>
      <c r="R1556" s="44">
        <f>IFERROR((L1556-M1556)/(L1556+M1556),"")</f>
        <v/>
      </c>
      <c r="S1556" s="46">
        <f>H1556/SUMIFS(Counties!$H$2:$H$1583,Counties!$A$2:$A$1583,$A1556)</f>
        <v/>
      </c>
      <c r="T1556" s="44">
        <f>O1556+INDEX(Dashboard!$F$6:$F$22,MATCH($A1556,Dashboard!$A$6:$A$22,0))</f>
        <v/>
      </c>
      <c r="U1556" s="43">
        <f>AQ1556*INDEX(Dashboard!$G$6:$G$22,MATCH($A1556,Dashboard!$A$6:$A$22,0))</f>
        <v/>
      </c>
      <c r="V1556" s="47" t="n"/>
      <c r="W1556" s="47" t="n"/>
      <c r="X1556" s="47" t="n"/>
      <c r="Y1556" s="48" t="n"/>
      <c r="Z1556" s="49" t="n"/>
      <c r="AA1556" s="49" t="n"/>
      <c r="AB1556" s="49" t="n"/>
      <c r="AC1556" s="50" t="n"/>
      <c r="AD1556" s="43">
        <f>IF(Z1556&lt;&gt;"",Z1556,N(V1556))</f>
        <v/>
      </c>
      <c r="AE1556" s="43">
        <f>IF(AA1556&lt;&gt;"",AA1556,N(W1556))</f>
        <v/>
      </c>
      <c r="AF1556" s="43">
        <f>AD1556+AE1556</f>
        <v/>
      </c>
      <c r="AG1556" s="42">
        <f>IF(UPPER(AC1556)="Y",1,IF(AF1556=0,0,IF(AND(Z1556="",Y1556&lt;&gt;""),IF(Y1556&gt;=0.999,1,0),IF(AF1556&gt;=U1556,1,0))))</f>
        <v/>
      </c>
      <c r="AH1556" s="44">
        <f>IF(AF1556&gt;0,(AD1556-AE1556)/AF1556,"")</f>
        <v/>
      </c>
      <c r="AI1556" s="45">
        <f>IF(AG1556=1,AH1556-O1556,"")</f>
        <v/>
      </c>
      <c r="AJ1556" s="44">
        <f>IF(AG1556=1,AH1556,MAX(-1,MIN(1,O1556+INDEX(Types!$H:$H,MATCH($A1556&amp;"|"&amp;$D1556,Types!$A:$A,0)))))</f>
        <v/>
      </c>
      <c r="AK1556" s="43">
        <f>IF(AG1556=1,AF1556,MAX(AQ1556*AS1556,AF1556))</f>
        <v/>
      </c>
      <c r="AL1556" s="43">
        <f>IF(AG1556=1,AD1556,AK1556*(1+AJ1556)/2)</f>
        <v/>
      </c>
      <c r="AM1556" s="43">
        <f>IF(AG1556=1,AE1556,AK1556*(1-AJ1556)/2)</f>
        <v/>
      </c>
      <c r="AN1556" s="45">
        <f>IF(AH1556="","",AH1556-T1556)</f>
        <v/>
      </c>
      <c r="AO1556" s="51">
        <f>IF(AG1556=1,1,IF(U1556&gt;0,MIN(AF1556/U1556,0.99),0))</f>
        <v/>
      </c>
      <c r="AP1556" s="43">
        <f>IF(AG1556=1,AI1556*AF1556,0)</f>
        <v/>
      </c>
      <c r="AQ1556" s="43">
        <f>N1556*(F1556+G1556)/H1556</f>
        <v/>
      </c>
      <c r="AR1556" s="43">
        <f>O1556*AQ1556</f>
        <v/>
      </c>
      <c r="AS1556" s="52">
        <f>IF(AG1556=1,IF(AQ1556&gt;0,AF1556/AQ1556,1),IFERROR(INDEX(Types!$K:$K,MATCH($A1556&amp;"|"&amp;$D1556,Types!$A:$A,0)),INDEX(Dashboard!$X$6:$X$22,MATCH($A1556,Dashboard!$A$6:$A$22,0))))</f>
        <v/>
      </c>
      <c r="AT1556" s="43">
        <f>AQ1556*INDEX(Dashboard!$Y$6:$Y$22,MATCH($A1556,Dashboard!$A$6:$A$22,0))</f>
        <v/>
      </c>
      <c r="AU1556" s="53">
        <f>IF(AND(AG1556=1,AT1556&gt;0,AF1556&gt;0),100*AF1556/AT1556,"")</f>
        <v/>
      </c>
      <c r="AV1556" s="44">
        <f>IF(AU1556="","",T1556/(AU1556/100))</f>
        <v/>
      </c>
      <c r="AW1556" s="53">
        <f>IF(AU1556="","",IF(AND(ABS(AH1556)&gt;=0.1,ABS(T1556)&gt;=0.05,SIGN(AH1556)=SIGN(T1556)),100*T1556/AH1556,""))</f>
        <v/>
      </c>
      <c r="AX1556" s="45">
        <f>IF(AU1556="","",T1556-AV1556)</f>
        <v/>
      </c>
      <c r="AY1556" s="45">
        <f>IF(AU1556="","",AH1556-AV1556)</f>
        <v/>
      </c>
      <c r="AZ1556" s="54">
        <f>(AL1556-AM1556)-T1556*AT1556</f>
        <v/>
      </c>
      <c r="BA1556" s="43">
        <f>IF(AU1556="",0,(AH1556-T1556)*AF1556)</f>
        <v/>
      </c>
      <c r="BB1556" s="43">
        <f>IF(AU1556="",0,T1556*(AF1556-AT1556))</f>
        <v/>
      </c>
      <c r="BC1556" s="51" t="n">
        <v>0.04096433609278601</v>
      </c>
      <c r="BD1556" s="51" t="n">
        <v>0.05086701907869427</v>
      </c>
      <c r="BE1556" s="51" t="n">
        <v>0.4562667889667824</v>
      </c>
      <c r="BF1556" s="43" t="n">
        <v>70183</v>
      </c>
    </row>
    <row r="1557">
      <c r="A1557" s="42" t="inlineStr">
        <is>
          <t>KY</t>
        </is>
      </c>
      <c r="B1557" s="42" t="inlineStr">
        <is>
          <t>21187</t>
        </is>
      </c>
      <c r="C1557" s="42" t="inlineStr">
        <is>
          <t>Owen</t>
        </is>
      </c>
      <c r="D1557" s="42" t="inlineStr">
        <is>
          <t>Small town &amp; rural</t>
        </is>
      </c>
      <c r="E1557" s="42" t="inlineStr"/>
      <c r="F1557" s="43" t="n">
        <v>988</v>
      </c>
      <c r="G1557" s="43" t="n">
        <v>4434</v>
      </c>
      <c r="H1557" s="43" t="n">
        <v>5494</v>
      </c>
      <c r="I1557" s="43" t="n">
        <v>1098</v>
      </c>
      <c r="J1557" s="43" t="n">
        <v>4292</v>
      </c>
      <c r="K1557" s="42" t="inlineStr">
        <is>
          <t>US Senate</t>
        </is>
      </c>
      <c r="L1557" s="43" t="n">
        <v>958</v>
      </c>
      <c r="M1557" s="43" t="n">
        <v>2937</v>
      </c>
      <c r="N1557" s="43" t="n">
        <v>3895</v>
      </c>
      <c r="O1557" s="44">
        <f>IFERROR((F1557-G1557)/(F1557+G1557),"")</f>
        <v/>
      </c>
      <c r="P1557" s="44">
        <f>IFERROR((I1557-J1557)/(I1557+J1557),"")</f>
        <v/>
      </c>
      <c r="Q1557" s="45">
        <f>IFERROR(O1557-P1557,"")</f>
        <v/>
      </c>
      <c r="R1557" s="44">
        <f>IFERROR((L1557-M1557)/(L1557+M1557),"")</f>
        <v/>
      </c>
      <c r="S1557" s="46">
        <f>H1557/SUMIFS(Counties!$H$2:$H$1583,Counties!$A$2:$A$1583,$A1557)</f>
        <v/>
      </c>
      <c r="T1557" s="44">
        <f>O1557+INDEX(Dashboard!$F$6:$F$22,MATCH($A1557,Dashboard!$A$6:$A$22,0))</f>
        <v/>
      </c>
      <c r="U1557" s="43">
        <f>AQ1557*INDEX(Dashboard!$G$6:$G$22,MATCH($A1557,Dashboard!$A$6:$A$22,0))</f>
        <v/>
      </c>
      <c r="V1557" s="47" t="n"/>
      <c r="W1557" s="47" t="n"/>
      <c r="X1557" s="47" t="n"/>
      <c r="Y1557" s="48" t="n"/>
      <c r="Z1557" s="49" t="n"/>
      <c r="AA1557" s="49" t="n"/>
      <c r="AB1557" s="49" t="n"/>
      <c r="AC1557" s="50" t="n"/>
      <c r="AD1557" s="43">
        <f>IF(Z1557&lt;&gt;"",Z1557,N(V1557))</f>
        <v/>
      </c>
      <c r="AE1557" s="43">
        <f>IF(AA1557&lt;&gt;"",AA1557,N(W1557))</f>
        <v/>
      </c>
      <c r="AF1557" s="43">
        <f>AD1557+AE1557</f>
        <v/>
      </c>
      <c r="AG1557" s="42">
        <f>IF(UPPER(AC1557)="Y",1,IF(AF1557=0,0,IF(AND(Z1557="",Y1557&lt;&gt;""),IF(Y1557&gt;=0.999,1,0),IF(AF1557&gt;=U1557,1,0))))</f>
        <v/>
      </c>
      <c r="AH1557" s="44">
        <f>IF(AF1557&gt;0,(AD1557-AE1557)/AF1557,"")</f>
        <v/>
      </c>
      <c r="AI1557" s="45">
        <f>IF(AG1557=1,AH1557-O1557,"")</f>
        <v/>
      </c>
      <c r="AJ1557" s="44">
        <f>IF(AG1557=1,AH1557,MAX(-1,MIN(1,O1557+INDEX(Types!$H:$H,MATCH($A1557&amp;"|"&amp;$D1557,Types!$A:$A,0)))))</f>
        <v/>
      </c>
      <c r="AK1557" s="43">
        <f>IF(AG1557=1,AF1557,MAX(AQ1557*AS1557,AF1557))</f>
        <v/>
      </c>
      <c r="AL1557" s="43">
        <f>IF(AG1557=1,AD1557,AK1557*(1+AJ1557)/2)</f>
        <v/>
      </c>
      <c r="AM1557" s="43">
        <f>IF(AG1557=1,AE1557,AK1557*(1-AJ1557)/2)</f>
        <v/>
      </c>
      <c r="AN1557" s="45">
        <f>IF(AH1557="","",AH1557-T1557)</f>
        <v/>
      </c>
      <c r="AO1557" s="51">
        <f>IF(AG1557=1,1,IF(U1557&gt;0,MIN(AF1557/U1557,0.99),0))</f>
        <v/>
      </c>
      <c r="AP1557" s="43">
        <f>IF(AG1557=1,AI1557*AF1557,0)</f>
        <v/>
      </c>
      <c r="AQ1557" s="43">
        <f>N1557*(F1557+G1557)/H1557</f>
        <v/>
      </c>
      <c r="AR1557" s="43">
        <f>O1557*AQ1557</f>
        <v/>
      </c>
      <c r="AS1557" s="52">
        <f>IF(AG1557=1,IF(AQ1557&gt;0,AF1557/AQ1557,1),IFERROR(INDEX(Types!$K:$K,MATCH($A1557&amp;"|"&amp;$D1557,Types!$A:$A,0)),INDEX(Dashboard!$X$6:$X$22,MATCH($A1557,Dashboard!$A$6:$A$22,0))))</f>
        <v/>
      </c>
      <c r="AT1557" s="43">
        <f>AQ1557*INDEX(Dashboard!$Y$6:$Y$22,MATCH($A1557,Dashboard!$A$6:$A$22,0))</f>
        <v/>
      </c>
      <c r="AU1557" s="53">
        <f>IF(AND(AG1557=1,AT1557&gt;0,AF1557&gt;0),100*AF1557/AT1557,"")</f>
        <v/>
      </c>
      <c r="AV1557" s="44">
        <f>IF(AU1557="","",T1557/(AU1557/100))</f>
        <v/>
      </c>
      <c r="AW1557" s="53">
        <f>IF(AU1557="","",IF(AND(ABS(AH1557)&gt;=0.1,ABS(T1557)&gt;=0.05,SIGN(AH1557)=SIGN(T1557)),100*T1557/AH1557,""))</f>
        <v/>
      </c>
      <c r="AX1557" s="45">
        <f>IF(AU1557="","",T1557-AV1557)</f>
        <v/>
      </c>
      <c r="AY1557" s="45">
        <f>IF(AU1557="","",AH1557-AV1557)</f>
        <v/>
      </c>
      <c r="AZ1557" s="54">
        <f>(AL1557-AM1557)-T1557*AT1557</f>
        <v/>
      </c>
      <c r="BA1557" s="43">
        <f>IF(AU1557="",0,(AH1557-T1557)*AF1557)</f>
        <v/>
      </c>
      <c r="BB1557" s="43">
        <f>IF(AU1557="",0,T1557*(AF1557-AT1557))</f>
        <v/>
      </c>
      <c r="BC1557" s="51" t="n">
        <v>0.01325908247149297</v>
      </c>
      <c r="BD1557" s="51" t="n">
        <v>0.0261645894104128</v>
      </c>
      <c r="BE1557" s="51" t="n">
        <v>0.1727595836506728</v>
      </c>
      <c r="BF1557" s="43" t="n">
        <v>11313</v>
      </c>
    </row>
    <row r="1558">
      <c r="A1558" s="42" t="inlineStr">
        <is>
          <t>KY</t>
        </is>
      </c>
      <c r="B1558" s="42" t="inlineStr">
        <is>
          <t>21189</t>
        </is>
      </c>
      <c r="C1558" s="42" t="inlineStr">
        <is>
          <t>Owsley</t>
        </is>
      </c>
      <c r="D1558" s="42" t="inlineStr">
        <is>
          <t>Small town &amp; rural</t>
        </is>
      </c>
      <c r="E1558" s="42" t="inlineStr"/>
      <c r="F1558" s="43" t="n">
        <v>203</v>
      </c>
      <c r="G1558" s="43" t="n">
        <v>1625</v>
      </c>
      <c r="H1558" s="43" t="n">
        <v>1839</v>
      </c>
      <c r="I1558" s="43" t="n">
        <v>216</v>
      </c>
      <c r="J1558" s="43" t="n">
        <v>1671</v>
      </c>
      <c r="K1558" s="42" t="inlineStr">
        <is>
          <t>US Senate</t>
        </is>
      </c>
      <c r="L1558" s="43" t="n">
        <v>292</v>
      </c>
      <c r="M1558" s="43" t="n">
        <v>1467</v>
      </c>
      <c r="N1558" s="43" t="n">
        <v>1759</v>
      </c>
      <c r="O1558" s="44">
        <f>IFERROR((F1558-G1558)/(F1558+G1558),"")</f>
        <v/>
      </c>
      <c r="P1558" s="44">
        <f>IFERROR((I1558-J1558)/(I1558+J1558),"")</f>
        <v/>
      </c>
      <c r="Q1558" s="45">
        <f>IFERROR(O1558-P1558,"")</f>
        <v/>
      </c>
      <c r="R1558" s="44">
        <f>IFERROR((L1558-M1558)/(L1558+M1558),"")</f>
        <v/>
      </c>
      <c r="S1558" s="46">
        <f>H1558/SUMIFS(Counties!$H$2:$H$1583,Counties!$A$2:$A$1583,$A1558)</f>
        <v/>
      </c>
      <c r="T1558" s="44">
        <f>O1558+INDEX(Dashboard!$F$6:$F$22,MATCH($A1558,Dashboard!$A$6:$A$22,0))</f>
        <v/>
      </c>
      <c r="U1558" s="43">
        <f>AQ1558*INDEX(Dashboard!$G$6:$G$22,MATCH($A1558,Dashboard!$A$6:$A$22,0))</f>
        <v/>
      </c>
      <c r="V1558" s="47" t="n"/>
      <c r="W1558" s="47" t="n"/>
      <c r="X1558" s="47" t="n"/>
      <c r="Y1558" s="48" t="n"/>
      <c r="Z1558" s="49" t="n"/>
      <c r="AA1558" s="49" t="n"/>
      <c r="AB1558" s="49" t="n"/>
      <c r="AC1558" s="50" t="n"/>
      <c r="AD1558" s="43">
        <f>IF(Z1558&lt;&gt;"",Z1558,N(V1558))</f>
        <v/>
      </c>
      <c r="AE1558" s="43">
        <f>IF(AA1558&lt;&gt;"",AA1558,N(W1558))</f>
        <v/>
      </c>
      <c r="AF1558" s="43">
        <f>AD1558+AE1558</f>
        <v/>
      </c>
      <c r="AG1558" s="42">
        <f>IF(UPPER(AC1558)="Y",1,IF(AF1558=0,0,IF(AND(Z1558="",Y1558&lt;&gt;""),IF(Y1558&gt;=0.999,1,0),IF(AF1558&gt;=U1558,1,0))))</f>
        <v/>
      </c>
      <c r="AH1558" s="44">
        <f>IF(AF1558&gt;0,(AD1558-AE1558)/AF1558,"")</f>
        <v/>
      </c>
      <c r="AI1558" s="45">
        <f>IF(AG1558=1,AH1558-O1558,"")</f>
        <v/>
      </c>
      <c r="AJ1558" s="44">
        <f>IF(AG1558=1,AH1558,MAX(-1,MIN(1,O1558+INDEX(Types!$H:$H,MATCH($A1558&amp;"|"&amp;$D1558,Types!$A:$A,0)))))</f>
        <v/>
      </c>
      <c r="AK1558" s="43">
        <f>IF(AG1558=1,AF1558,MAX(AQ1558*AS1558,AF1558))</f>
        <v/>
      </c>
      <c r="AL1558" s="43">
        <f>IF(AG1558=1,AD1558,AK1558*(1+AJ1558)/2)</f>
        <v/>
      </c>
      <c r="AM1558" s="43">
        <f>IF(AG1558=1,AE1558,AK1558*(1-AJ1558)/2)</f>
        <v/>
      </c>
      <c r="AN1558" s="45">
        <f>IF(AH1558="","",AH1558-T1558)</f>
        <v/>
      </c>
      <c r="AO1558" s="51">
        <f>IF(AG1558=1,1,IF(U1558&gt;0,MIN(AF1558/U1558,0.99),0))</f>
        <v/>
      </c>
      <c r="AP1558" s="43">
        <f>IF(AG1558=1,AI1558*AF1558,0)</f>
        <v/>
      </c>
      <c r="AQ1558" s="43">
        <f>N1558*(F1558+G1558)/H1558</f>
        <v/>
      </c>
      <c r="AR1558" s="43">
        <f>O1558*AQ1558</f>
        <v/>
      </c>
      <c r="AS1558" s="52">
        <f>IF(AG1558=1,IF(AQ1558&gt;0,AF1558/AQ1558,1),IFERROR(INDEX(Types!$K:$K,MATCH($A1558&amp;"|"&amp;$D1558,Types!$A:$A,0)),INDEX(Dashboard!$X$6:$X$22,MATCH($A1558,Dashboard!$A$6:$A$22,0))))</f>
        <v/>
      </c>
      <c r="AT1558" s="43">
        <f>AQ1558*INDEX(Dashboard!$Y$6:$Y$22,MATCH($A1558,Dashboard!$A$6:$A$22,0))</f>
        <v/>
      </c>
      <c r="AU1558" s="53">
        <f>IF(AND(AG1558=1,AT1558&gt;0,AF1558&gt;0),100*AF1558/AT1558,"")</f>
        <v/>
      </c>
      <c r="AV1558" s="44">
        <f>IF(AU1558="","",T1558/(AU1558/100))</f>
        <v/>
      </c>
      <c r="AW1558" s="53">
        <f>IF(AU1558="","",IF(AND(ABS(AH1558)&gt;=0.1,ABS(T1558)&gt;=0.05,SIGN(AH1558)=SIGN(T1558)),100*T1558/AH1558,""))</f>
        <v/>
      </c>
      <c r="AX1558" s="45">
        <f>IF(AU1558="","",T1558-AV1558)</f>
        <v/>
      </c>
      <c r="AY1558" s="45">
        <f>IF(AU1558="","",AH1558-AV1558)</f>
        <v/>
      </c>
      <c r="AZ1558" s="54">
        <f>(AL1558-AM1558)-T1558*AT1558</f>
        <v/>
      </c>
      <c r="BA1558" s="43">
        <f>IF(AU1558="",0,(AH1558-T1558)*AF1558)</f>
        <v/>
      </c>
      <c r="BB1558" s="43">
        <f>IF(AU1558="",0,T1558*(AF1558-AT1558))</f>
        <v/>
      </c>
      <c r="BC1558" s="51" t="n">
        <v>0.009747563109222694</v>
      </c>
      <c r="BD1558" s="51" t="n">
        <v>0.01724568857785554</v>
      </c>
      <c r="BE1558" s="51" t="n">
        <v>0.114064602960969</v>
      </c>
      <c r="BF1558" s="43" t="n">
        <v>4001</v>
      </c>
    </row>
    <row r="1559">
      <c r="A1559" s="42" t="inlineStr">
        <is>
          <t>KY</t>
        </is>
      </c>
      <c r="B1559" s="42" t="inlineStr">
        <is>
          <t>21191</t>
        </is>
      </c>
      <c r="C1559" s="42" t="inlineStr">
        <is>
          <t>Pendleton</t>
        </is>
      </c>
      <c r="D1559" s="42" t="inlineStr">
        <is>
          <t>Small town &amp; rural</t>
        </is>
      </c>
      <c r="E1559" s="42" t="inlineStr"/>
      <c r="F1559" s="43" t="n">
        <v>1210</v>
      </c>
      <c r="G1559" s="43" t="n">
        <v>5593</v>
      </c>
      <c r="H1559" s="43" t="n">
        <v>6900</v>
      </c>
      <c r="I1559" s="43" t="n">
        <v>1322</v>
      </c>
      <c r="J1559" s="43" t="n">
        <v>5515</v>
      </c>
      <c r="K1559" s="42" t="inlineStr">
        <is>
          <t>US Senate</t>
        </is>
      </c>
      <c r="L1559" s="43" t="n">
        <v>1051</v>
      </c>
      <c r="M1559" s="43" t="n">
        <v>3841</v>
      </c>
      <c r="N1559" s="43" t="n">
        <v>4892</v>
      </c>
      <c r="O1559" s="44">
        <f>IFERROR((F1559-G1559)/(F1559+G1559),"")</f>
        <v/>
      </c>
      <c r="P1559" s="44">
        <f>IFERROR((I1559-J1559)/(I1559+J1559),"")</f>
        <v/>
      </c>
      <c r="Q1559" s="45">
        <f>IFERROR(O1559-P1559,"")</f>
        <v/>
      </c>
      <c r="R1559" s="44">
        <f>IFERROR((L1559-M1559)/(L1559+M1559),"")</f>
        <v/>
      </c>
      <c r="S1559" s="46">
        <f>H1559/SUMIFS(Counties!$H$2:$H$1583,Counties!$A$2:$A$1583,$A1559)</f>
        <v/>
      </c>
      <c r="T1559" s="44">
        <f>O1559+INDEX(Dashboard!$F$6:$F$22,MATCH($A1559,Dashboard!$A$6:$A$22,0))</f>
        <v/>
      </c>
      <c r="U1559" s="43">
        <f>AQ1559*INDEX(Dashboard!$G$6:$G$22,MATCH($A1559,Dashboard!$A$6:$A$22,0))</f>
        <v/>
      </c>
      <c r="V1559" s="47" t="n"/>
      <c r="W1559" s="47" t="n"/>
      <c r="X1559" s="47" t="n"/>
      <c r="Y1559" s="48" t="n"/>
      <c r="Z1559" s="49" t="n"/>
      <c r="AA1559" s="49" t="n"/>
      <c r="AB1559" s="49" t="n"/>
      <c r="AC1559" s="50" t="n"/>
      <c r="AD1559" s="43">
        <f>IF(Z1559&lt;&gt;"",Z1559,N(V1559))</f>
        <v/>
      </c>
      <c r="AE1559" s="43">
        <f>IF(AA1559&lt;&gt;"",AA1559,N(W1559))</f>
        <v/>
      </c>
      <c r="AF1559" s="43">
        <f>AD1559+AE1559</f>
        <v/>
      </c>
      <c r="AG1559" s="42">
        <f>IF(UPPER(AC1559)="Y",1,IF(AF1559=0,0,IF(AND(Z1559="",Y1559&lt;&gt;""),IF(Y1559&gt;=0.999,1,0),IF(AF1559&gt;=U1559,1,0))))</f>
        <v/>
      </c>
      <c r="AH1559" s="44">
        <f>IF(AF1559&gt;0,(AD1559-AE1559)/AF1559,"")</f>
        <v/>
      </c>
      <c r="AI1559" s="45">
        <f>IF(AG1559=1,AH1559-O1559,"")</f>
        <v/>
      </c>
      <c r="AJ1559" s="44">
        <f>IF(AG1559=1,AH1559,MAX(-1,MIN(1,O1559+INDEX(Types!$H:$H,MATCH($A1559&amp;"|"&amp;$D1559,Types!$A:$A,0)))))</f>
        <v/>
      </c>
      <c r="AK1559" s="43">
        <f>IF(AG1559=1,AF1559,MAX(AQ1559*AS1559,AF1559))</f>
        <v/>
      </c>
      <c r="AL1559" s="43">
        <f>IF(AG1559=1,AD1559,AK1559*(1+AJ1559)/2)</f>
        <v/>
      </c>
      <c r="AM1559" s="43">
        <f>IF(AG1559=1,AE1559,AK1559*(1-AJ1559)/2)</f>
        <v/>
      </c>
      <c r="AN1559" s="45">
        <f>IF(AH1559="","",AH1559-T1559)</f>
        <v/>
      </c>
      <c r="AO1559" s="51">
        <f>IF(AG1559=1,1,IF(U1559&gt;0,MIN(AF1559/U1559,0.99),0))</f>
        <v/>
      </c>
      <c r="AP1559" s="43">
        <f>IF(AG1559=1,AI1559*AF1559,0)</f>
        <v/>
      </c>
      <c r="AQ1559" s="43">
        <f>N1559*(F1559+G1559)/H1559</f>
        <v/>
      </c>
      <c r="AR1559" s="43">
        <f>O1559*AQ1559</f>
        <v/>
      </c>
      <c r="AS1559" s="52">
        <f>IF(AG1559=1,IF(AQ1559&gt;0,AF1559/AQ1559,1),IFERROR(INDEX(Types!$K:$K,MATCH($A1559&amp;"|"&amp;$D1559,Types!$A:$A,0)),INDEX(Dashboard!$X$6:$X$22,MATCH($A1559,Dashboard!$A$6:$A$22,0))))</f>
        <v/>
      </c>
      <c r="AT1559" s="43">
        <f>AQ1559*INDEX(Dashboard!$Y$6:$Y$22,MATCH($A1559,Dashboard!$A$6:$A$22,0))</f>
        <v/>
      </c>
      <c r="AU1559" s="53">
        <f>IF(AND(AG1559=1,AT1559&gt;0,AF1559&gt;0),100*AF1559/AT1559,"")</f>
        <v/>
      </c>
      <c r="AV1559" s="44">
        <f>IF(AU1559="","",T1559/(AU1559/100))</f>
        <v/>
      </c>
      <c r="AW1559" s="53">
        <f>IF(AU1559="","",IF(AND(ABS(AH1559)&gt;=0.1,ABS(T1559)&gt;=0.05,SIGN(AH1559)=SIGN(T1559)),100*T1559/AH1559,""))</f>
        <v/>
      </c>
      <c r="AX1559" s="45">
        <f>IF(AU1559="","",T1559-AV1559)</f>
        <v/>
      </c>
      <c r="AY1559" s="45">
        <f>IF(AU1559="","",AH1559-AV1559)</f>
        <v/>
      </c>
      <c r="AZ1559" s="54">
        <f>(AL1559-AM1559)-T1559*AT1559</f>
        <v/>
      </c>
      <c r="BA1559" s="43">
        <f>IF(AU1559="",0,(AH1559-T1559)*AF1559)</f>
        <v/>
      </c>
      <c r="BB1559" s="43">
        <f>IF(AU1559="",0,T1559*(AF1559-AT1559))</f>
        <v/>
      </c>
      <c r="BC1559" s="51" t="n">
        <v>0.009790681971640782</v>
      </c>
      <c r="BD1559" s="51" t="n">
        <v>0.01789331532748143</v>
      </c>
      <c r="BE1559" s="51" t="n">
        <v>0.1655505219617885</v>
      </c>
      <c r="BF1559" s="43" t="n">
        <v>14810</v>
      </c>
    </row>
    <row r="1560">
      <c r="A1560" s="42" t="inlineStr">
        <is>
          <t>KY</t>
        </is>
      </c>
      <c r="B1560" s="42" t="inlineStr">
        <is>
          <t>21193</t>
        </is>
      </c>
      <c r="C1560" s="42" t="inlineStr">
        <is>
          <t>Perry</t>
        </is>
      </c>
      <c r="D1560" s="42" t="inlineStr">
        <is>
          <t>Small town &amp; rural</t>
        </is>
      </c>
      <c r="E1560" s="42" t="inlineStr"/>
      <c r="F1560" s="43" t="n">
        <v>1966</v>
      </c>
      <c r="G1560" s="43" t="n">
        <v>7913</v>
      </c>
      <c r="H1560" s="43" t="n">
        <v>9992</v>
      </c>
      <c r="I1560" s="43" t="n">
        <v>2356</v>
      </c>
      <c r="J1560" s="43" t="n">
        <v>8129</v>
      </c>
      <c r="K1560" s="42" t="inlineStr">
        <is>
          <t>US Senate</t>
        </is>
      </c>
      <c r="L1560" s="43" t="n">
        <v>2250</v>
      </c>
      <c r="M1560" s="43" t="n">
        <v>5212</v>
      </c>
      <c r="N1560" s="43" t="n">
        <v>7462</v>
      </c>
      <c r="O1560" s="44">
        <f>IFERROR((F1560-G1560)/(F1560+G1560),"")</f>
        <v/>
      </c>
      <c r="P1560" s="44">
        <f>IFERROR((I1560-J1560)/(I1560+J1560),"")</f>
        <v/>
      </c>
      <c r="Q1560" s="45">
        <f>IFERROR(O1560-P1560,"")</f>
        <v/>
      </c>
      <c r="R1560" s="44">
        <f>IFERROR((L1560-M1560)/(L1560+M1560),"")</f>
        <v/>
      </c>
      <c r="S1560" s="46">
        <f>H1560/SUMIFS(Counties!$H$2:$H$1583,Counties!$A$2:$A$1583,$A1560)</f>
        <v/>
      </c>
      <c r="T1560" s="44">
        <f>O1560+INDEX(Dashboard!$F$6:$F$22,MATCH($A1560,Dashboard!$A$6:$A$22,0))</f>
        <v/>
      </c>
      <c r="U1560" s="43">
        <f>AQ1560*INDEX(Dashboard!$G$6:$G$22,MATCH($A1560,Dashboard!$A$6:$A$22,0))</f>
        <v/>
      </c>
      <c r="V1560" s="47" t="n"/>
      <c r="W1560" s="47" t="n"/>
      <c r="X1560" s="47" t="n"/>
      <c r="Y1560" s="48" t="n"/>
      <c r="Z1560" s="49" t="n"/>
      <c r="AA1560" s="49" t="n"/>
      <c r="AB1560" s="49" t="n"/>
      <c r="AC1560" s="50" t="n"/>
      <c r="AD1560" s="43">
        <f>IF(Z1560&lt;&gt;"",Z1560,N(V1560))</f>
        <v/>
      </c>
      <c r="AE1560" s="43">
        <f>IF(AA1560&lt;&gt;"",AA1560,N(W1560))</f>
        <v/>
      </c>
      <c r="AF1560" s="43">
        <f>AD1560+AE1560</f>
        <v/>
      </c>
      <c r="AG1560" s="42">
        <f>IF(UPPER(AC1560)="Y",1,IF(AF1560=0,0,IF(AND(Z1560="",Y1560&lt;&gt;""),IF(Y1560&gt;=0.999,1,0),IF(AF1560&gt;=U1560,1,0))))</f>
        <v/>
      </c>
      <c r="AH1560" s="44">
        <f>IF(AF1560&gt;0,(AD1560-AE1560)/AF1560,"")</f>
        <v/>
      </c>
      <c r="AI1560" s="45">
        <f>IF(AG1560=1,AH1560-O1560,"")</f>
        <v/>
      </c>
      <c r="AJ1560" s="44">
        <f>IF(AG1560=1,AH1560,MAX(-1,MIN(1,O1560+INDEX(Types!$H:$H,MATCH($A1560&amp;"|"&amp;$D1560,Types!$A:$A,0)))))</f>
        <v/>
      </c>
      <c r="AK1560" s="43">
        <f>IF(AG1560=1,AF1560,MAX(AQ1560*AS1560,AF1560))</f>
        <v/>
      </c>
      <c r="AL1560" s="43">
        <f>IF(AG1560=1,AD1560,AK1560*(1+AJ1560)/2)</f>
        <v/>
      </c>
      <c r="AM1560" s="43">
        <f>IF(AG1560=1,AE1560,AK1560*(1-AJ1560)/2)</f>
        <v/>
      </c>
      <c r="AN1560" s="45">
        <f>IF(AH1560="","",AH1560-T1560)</f>
        <v/>
      </c>
      <c r="AO1560" s="51">
        <f>IF(AG1560=1,1,IF(U1560&gt;0,MIN(AF1560/U1560,0.99),0))</f>
        <v/>
      </c>
      <c r="AP1560" s="43">
        <f>IF(AG1560=1,AI1560*AF1560,0)</f>
        <v/>
      </c>
      <c r="AQ1560" s="43">
        <f>N1560*(F1560+G1560)/H1560</f>
        <v/>
      </c>
      <c r="AR1560" s="43">
        <f>O1560*AQ1560</f>
        <v/>
      </c>
      <c r="AS1560" s="52">
        <f>IF(AG1560=1,IF(AQ1560&gt;0,AF1560/AQ1560,1),IFERROR(INDEX(Types!$K:$K,MATCH($A1560&amp;"|"&amp;$D1560,Types!$A:$A,0)),INDEX(Dashboard!$X$6:$X$22,MATCH($A1560,Dashboard!$A$6:$A$22,0))))</f>
        <v/>
      </c>
      <c r="AT1560" s="43">
        <f>AQ1560*INDEX(Dashboard!$Y$6:$Y$22,MATCH($A1560,Dashboard!$A$6:$A$22,0))</f>
        <v/>
      </c>
      <c r="AU1560" s="53">
        <f>IF(AND(AG1560=1,AT1560&gt;0,AF1560&gt;0),100*AF1560/AT1560,"")</f>
        <v/>
      </c>
      <c r="AV1560" s="44">
        <f>IF(AU1560="","",T1560/(AU1560/100))</f>
        <v/>
      </c>
      <c r="AW1560" s="53">
        <f>IF(AU1560="","",IF(AND(ABS(AH1560)&gt;=0.1,ABS(T1560)&gt;=0.05,SIGN(AH1560)=SIGN(T1560)),100*T1560/AH1560,""))</f>
        <v/>
      </c>
      <c r="AX1560" s="45">
        <f>IF(AU1560="","",T1560-AV1560)</f>
        <v/>
      </c>
      <c r="AY1560" s="45">
        <f>IF(AU1560="","",AH1560-AV1560)</f>
        <v/>
      </c>
      <c r="AZ1560" s="54">
        <f>(AL1560-AM1560)-T1560*AT1560</f>
        <v/>
      </c>
      <c r="BA1560" s="43">
        <f>IF(AU1560="",0,(AH1560-T1560)*AF1560)</f>
        <v/>
      </c>
      <c r="BB1560" s="43">
        <f>IF(AU1560="",0,T1560*(AF1560-AT1560))</f>
        <v/>
      </c>
      <c r="BC1560" s="51" t="n">
        <v>0.01606899347657834</v>
      </c>
      <c r="BD1560" s="51" t="n">
        <v>0.01043010356392585</v>
      </c>
      <c r="BE1560" s="51" t="n">
        <v>0.142381391536018</v>
      </c>
      <c r="BF1560" s="43" t="n">
        <v>27133</v>
      </c>
    </row>
    <row r="1561">
      <c r="A1561" s="42" t="inlineStr">
        <is>
          <t>KY</t>
        </is>
      </c>
      <c r="B1561" s="42" t="inlineStr">
        <is>
          <t>21195</t>
        </is>
      </c>
      <c r="C1561" s="42" t="inlineStr">
        <is>
          <t>Pike</t>
        </is>
      </c>
      <c r="D1561" s="42" t="inlineStr">
        <is>
          <t>Small town &amp; rural</t>
        </is>
      </c>
      <c r="E1561" s="42" t="inlineStr">
        <is>
          <t>★</t>
        </is>
      </c>
      <c r="F1561" s="43" t="n">
        <v>4025</v>
      </c>
      <c r="G1561" s="43" t="n">
        <v>19684</v>
      </c>
      <c r="H1561" s="43" t="n">
        <v>23946</v>
      </c>
      <c r="I1561" s="43" t="n">
        <v>4866</v>
      </c>
      <c r="J1561" s="43" t="n">
        <v>20284</v>
      </c>
      <c r="K1561" s="42" t="inlineStr">
        <is>
          <t>US Senate</t>
        </is>
      </c>
      <c r="L1561" s="43" t="n">
        <v>4067</v>
      </c>
      <c r="M1561" s="43" t="n">
        <v>11667</v>
      </c>
      <c r="N1561" s="43" t="n">
        <v>15735</v>
      </c>
      <c r="O1561" s="44">
        <f>IFERROR((F1561-G1561)/(F1561+G1561),"")</f>
        <v/>
      </c>
      <c r="P1561" s="44">
        <f>IFERROR((I1561-J1561)/(I1561+J1561),"")</f>
        <v/>
      </c>
      <c r="Q1561" s="45">
        <f>IFERROR(O1561-P1561,"")</f>
        <v/>
      </c>
      <c r="R1561" s="44">
        <f>IFERROR((L1561-M1561)/(L1561+M1561),"")</f>
        <v/>
      </c>
      <c r="S1561" s="46">
        <f>H1561/SUMIFS(Counties!$H$2:$H$1583,Counties!$A$2:$A$1583,$A1561)</f>
        <v/>
      </c>
      <c r="T1561" s="44">
        <f>O1561+INDEX(Dashboard!$F$6:$F$22,MATCH($A1561,Dashboard!$A$6:$A$22,0))</f>
        <v/>
      </c>
      <c r="U1561" s="43">
        <f>AQ1561*INDEX(Dashboard!$G$6:$G$22,MATCH($A1561,Dashboard!$A$6:$A$22,0))</f>
        <v/>
      </c>
      <c r="V1561" s="47" t="n"/>
      <c r="W1561" s="47" t="n"/>
      <c r="X1561" s="47" t="n"/>
      <c r="Y1561" s="48" t="n"/>
      <c r="Z1561" s="49" t="n"/>
      <c r="AA1561" s="49" t="n"/>
      <c r="AB1561" s="49" t="n"/>
      <c r="AC1561" s="50" t="n"/>
      <c r="AD1561" s="43">
        <f>IF(Z1561&lt;&gt;"",Z1561,N(V1561))</f>
        <v/>
      </c>
      <c r="AE1561" s="43">
        <f>IF(AA1561&lt;&gt;"",AA1561,N(W1561))</f>
        <v/>
      </c>
      <c r="AF1561" s="43">
        <f>AD1561+AE1561</f>
        <v/>
      </c>
      <c r="AG1561" s="42">
        <f>IF(UPPER(AC1561)="Y",1,IF(AF1561=0,0,IF(AND(Z1561="",Y1561&lt;&gt;""),IF(Y1561&gt;=0.999,1,0),IF(AF1561&gt;=U1561,1,0))))</f>
        <v/>
      </c>
      <c r="AH1561" s="44">
        <f>IF(AF1561&gt;0,(AD1561-AE1561)/AF1561,"")</f>
        <v/>
      </c>
      <c r="AI1561" s="45">
        <f>IF(AG1561=1,AH1561-O1561,"")</f>
        <v/>
      </c>
      <c r="AJ1561" s="44">
        <f>IF(AG1561=1,AH1561,MAX(-1,MIN(1,O1561+INDEX(Types!$H:$H,MATCH($A1561&amp;"|"&amp;$D1561,Types!$A:$A,0)))))</f>
        <v/>
      </c>
      <c r="AK1561" s="43">
        <f>IF(AG1561=1,AF1561,MAX(AQ1561*AS1561,AF1561))</f>
        <v/>
      </c>
      <c r="AL1561" s="43">
        <f>IF(AG1561=1,AD1561,AK1561*(1+AJ1561)/2)</f>
        <v/>
      </c>
      <c r="AM1561" s="43">
        <f>IF(AG1561=1,AE1561,AK1561*(1-AJ1561)/2)</f>
        <v/>
      </c>
      <c r="AN1561" s="45">
        <f>IF(AH1561="","",AH1561-T1561)</f>
        <v/>
      </c>
      <c r="AO1561" s="51">
        <f>IF(AG1561=1,1,IF(U1561&gt;0,MIN(AF1561/U1561,0.99),0))</f>
        <v/>
      </c>
      <c r="AP1561" s="43">
        <f>IF(AG1561=1,AI1561*AF1561,0)</f>
        <v/>
      </c>
      <c r="AQ1561" s="43">
        <f>N1561*(F1561+G1561)/H1561</f>
        <v/>
      </c>
      <c r="AR1561" s="43">
        <f>O1561*AQ1561</f>
        <v/>
      </c>
      <c r="AS1561" s="52">
        <f>IF(AG1561=1,IF(AQ1561&gt;0,AF1561/AQ1561,1),IFERROR(INDEX(Types!$K:$K,MATCH($A1561&amp;"|"&amp;$D1561,Types!$A:$A,0)),INDEX(Dashboard!$X$6:$X$22,MATCH($A1561,Dashboard!$A$6:$A$22,0))))</f>
        <v/>
      </c>
      <c r="AT1561" s="43">
        <f>AQ1561*INDEX(Dashboard!$Y$6:$Y$22,MATCH($A1561,Dashboard!$A$6:$A$22,0))</f>
        <v/>
      </c>
      <c r="AU1561" s="53">
        <f>IF(AND(AG1561=1,AT1561&gt;0,AF1561&gt;0),100*AF1561/AT1561,"")</f>
        <v/>
      </c>
      <c r="AV1561" s="44">
        <f>IF(AU1561="","",T1561/(AU1561/100))</f>
        <v/>
      </c>
      <c r="AW1561" s="53">
        <f>IF(AU1561="","",IF(AND(ABS(AH1561)&gt;=0.1,ABS(T1561)&gt;=0.05,SIGN(AH1561)=SIGN(T1561)),100*T1561/AH1561,""))</f>
        <v/>
      </c>
      <c r="AX1561" s="45">
        <f>IF(AU1561="","",T1561-AV1561)</f>
        <v/>
      </c>
      <c r="AY1561" s="45">
        <f>IF(AU1561="","",AH1561-AV1561)</f>
        <v/>
      </c>
      <c r="AZ1561" s="54">
        <f>(AL1561-AM1561)-T1561*AT1561</f>
        <v/>
      </c>
      <c r="BA1561" s="43">
        <f>IF(AU1561="",0,(AH1561-T1561)*AF1561)</f>
        <v/>
      </c>
      <c r="BB1561" s="43">
        <f>IF(AU1561="",0,T1561*(AF1561-AT1561))</f>
        <v/>
      </c>
      <c r="BC1561" s="51" t="n">
        <v>0.008164650813785217</v>
      </c>
      <c r="BD1561" s="51" t="n">
        <v>0.01264895574652064</v>
      </c>
      <c r="BE1561" s="51" t="n">
        <v>0.1601031981696928</v>
      </c>
      <c r="BF1561" s="43" t="n">
        <v>55973</v>
      </c>
    </row>
    <row r="1562">
      <c r="A1562" s="42" t="inlineStr">
        <is>
          <t>KY</t>
        </is>
      </c>
      <c r="B1562" s="42" t="inlineStr">
        <is>
          <t>21197</t>
        </is>
      </c>
      <c r="C1562" s="42" t="inlineStr">
        <is>
          <t>Powell</t>
        </is>
      </c>
      <c r="D1562" s="42" t="inlineStr">
        <is>
          <t>Small town &amp; rural</t>
        </is>
      </c>
      <c r="E1562" s="42" t="inlineStr"/>
      <c r="F1562" s="43" t="n">
        <v>1174</v>
      </c>
      <c r="G1562" s="43" t="n">
        <v>4092</v>
      </c>
      <c r="H1562" s="43" t="n">
        <v>5360</v>
      </c>
      <c r="I1562" s="43" t="n">
        <v>1367</v>
      </c>
      <c r="J1562" s="43" t="n">
        <v>4041</v>
      </c>
      <c r="K1562" s="42" t="inlineStr">
        <is>
          <t>US Senate</t>
        </is>
      </c>
      <c r="L1562" s="43" t="n">
        <v>1089</v>
      </c>
      <c r="M1562" s="43" t="n">
        <v>2503</v>
      </c>
      <c r="N1562" s="43" t="n">
        <v>3592</v>
      </c>
      <c r="O1562" s="44">
        <f>IFERROR((F1562-G1562)/(F1562+G1562),"")</f>
        <v/>
      </c>
      <c r="P1562" s="44">
        <f>IFERROR((I1562-J1562)/(I1562+J1562),"")</f>
        <v/>
      </c>
      <c r="Q1562" s="45">
        <f>IFERROR(O1562-P1562,"")</f>
        <v/>
      </c>
      <c r="R1562" s="44">
        <f>IFERROR((L1562-M1562)/(L1562+M1562),"")</f>
        <v/>
      </c>
      <c r="S1562" s="46">
        <f>H1562/SUMIFS(Counties!$H$2:$H$1583,Counties!$A$2:$A$1583,$A1562)</f>
        <v/>
      </c>
      <c r="T1562" s="44">
        <f>O1562+INDEX(Dashboard!$F$6:$F$22,MATCH($A1562,Dashboard!$A$6:$A$22,0))</f>
        <v/>
      </c>
      <c r="U1562" s="43">
        <f>AQ1562*INDEX(Dashboard!$G$6:$G$22,MATCH($A1562,Dashboard!$A$6:$A$22,0))</f>
        <v/>
      </c>
      <c r="V1562" s="47" t="n"/>
      <c r="W1562" s="47" t="n"/>
      <c r="X1562" s="47" t="n"/>
      <c r="Y1562" s="48" t="n"/>
      <c r="Z1562" s="49" t="n"/>
      <c r="AA1562" s="49" t="n"/>
      <c r="AB1562" s="49" t="n"/>
      <c r="AC1562" s="50" t="n"/>
      <c r="AD1562" s="43">
        <f>IF(Z1562&lt;&gt;"",Z1562,N(V1562))</f>
        <v/>
      </c>
      <c r="AE1562" s="43">
        <f>IF(AA1562&lt;&gt;"",AA1562,N(W1562))</f>
        <v/>
      </c>
      <c r="AF1562" s="43">
        <f>AD1562+AE1562</f>
        <v/>
      </c>
      <c r="AG1562" s="42">
        <f>IF(UPPER(AC1562)="Y",1,IF(AF1562=0,0,IF(AND(Z1562="",Y1562&lt;&gt;""),IF(Y1562&gt;=0.999,1,0),IF(AF1562&gt;=U1562,1,0))))</f>
        <v/>
      </c>
      <c r="AH1562" s="44">
        <f>IF(AF1562&gt;0,(AD1562-AE1562)/AF1562,"")</f>
        <v/>
      </c>
      <c r="AI1562" s="45">
        <f>IF(AG1562=1,AH1562-O1562,"")</f>
        <v/>
      </c>
      <c r="AJ1562" s="44">
        <f>IF(AG1562=1,AH1562,MAX(-1,MIN(1,O1562+INDEX(Types!$H:$H,MATCH($A1562&amp;"|"&amp;$D1562,Types!$A:$A,0)))))</f>
        <v/>
      </c>
      <c r="AK1562" s="43">
        <f>IF(AG1562=1,AF1562,MAX(AQ1562*AS1562,AF1562))</f>
        <v/>
      </c>
      <c r="AL1562" s="43">
        <f>IF(AG1562=1,AD1562,AK1562*(1+AJ1562)/2)</f>
        <v/>
      </c>
      <c r="AM1562" s="43">
        <f>IF(AG1562=1,AE1562,AK1562*(1-AJ1562)/2)</f>
        <v/>
      </c>
      <c r="AN1562" s="45">
        <f>IF(AH1562="","",AH1562-T1562)</f>
        <v/>
      </c>
      <c r="AO1562" s="51">
        <f>IF(AG1562=1,1,IF(U1562&gt;0,MIN(AF1562/U1562,0.99),0))</f>
        <v/>
      </c>
      <c r="AP1562" s="43">
        <f>IF(AG1562=1,AI1562*AF1562,0)</f>
        <v/>
      </c>
      <c r="AQ1562" s="43">
        <f>N1562*(F1562+G1562)/H1562</f>
        <v/>
      </c>
      <c r="AR1562" s="43">
        <f>O1562*AQ1562</f>
        <v/>
      </c>
      <c r="AS1562" s="52">
        <f>IF(AG1562=1,IF(AQ1562&gt;0,AF1562/AQ1562,1),IFERROR(INDEX(Types!$K:$K,MATCH($A1562&amp;"|"&amp;$D1562,Types!$A:$A,0)),INDEX(Dashboard!$X$6:$X$22,MATCH($A1562,Dashboard!$A$6:$A$22,0))))</f>
        <v/>
      </c>
      <c r="AT1562" s="43">
        <f>AQ1562*INDEX(Dashboard!$Y$6:$Y$22,MATCH($A1562,Dashboard!$A$6:$A$22,0))</f>
        <v/>
      </c>
      <c r="AU1562" s="53">
        <f>IF(AND(AG1562=1,AT1562&gt;0,AF1562&gt;0),100*AF1562/AT1562,"")</f>
        <v/>
      </c>
      <c r="AV1562" s="44">
        <f>IF(AU1562="","",T1562/(AU1562/100))</f>
        <v/>
      </c>
      <c r="AW1562" s="53">
        <f>IF(AU1562="","",IF(AND(ABS(AH1562)&gt;=0.1,ABS(T1562)&gt;=0.05,SIGN(AH1562)=SIGN(T1562)),100*T1562/AH1562,""))</f>
        <v/>
      </c>
      <c r="AX1562" s="45">
        <f>IF(AU1562="","",T1562-AV1562)</f>
        <v/>
      </c>
      <c r="AY1562" s="45">
        <f>IF(AU1562="","",AH1562-AV1562)</f>
        <v/>
      </c>
      <c r="AZ1562" s="54">
        <f>(AL1562-AM1562)-T1562*AT1562</f>
        <v/>
      </c>
      <c r="BA1562" s="43">
        <f>IF(AU1562="",0,(AH1562-T1562)*AF1562)</f>
        <v/>
      </c>
      <c r="BB1562" s="43">
        <f>IF(AU1562="",0,T1562*(AF1562-AT1562))</f>
        <v/>
      </c>
      <c r="BC1562" s="51" t="n">
        <v>0.0120259019426457</v>
      </c>
      <c r="BD1562" s="51" t="n">
        <v>0.0168054270736972</v>
      </c>
      <c r="BE1562" s="51" t="n">
        <v>0.1731704558307884</v>
      </c>
      <c r="BF1562" s="43" t="n">
        <v>12972</v>
      </c>
    </row>
    <row r="1563">
      <c r="A1563" s="42" t="inlineStr">
        <is>
          <t>KY</t>
        </is>
      </c>
      <c r="B1563" s="42" t="inlineStr">
        <is>
          <t>21199</t>
        </is>
      </c>
      <c r="C1563" s="42" t="inlineStr">
        <is>
          <t>Pulaski</t>
        </is>
      </c>
      <c r="D1563" s="42" t="inlineStr">
        <is>
          <t>Small town &amp; rural</t>
        </is>
      </c>
      <c r="E1563" s="42" t="inlineStr"/>
      <c r="F1563" s="43" t="n">
        <v>5351</v>
      </c>
      <c r="G1563" s="43" t="n">
        <v>26051</v>
      </c>
      <c r="H1563" s="43" t="n">
        <v>31725</v>
      </c>
      <c r="I1563" s="43" t="n">
        <v>5666</v>
      </c>
      <c r="J1563" s="43" t="n">
        <v>25442</v>
      </c>
      <c r="K1563" s="42" t="inlineStr">
        <is>
          <t>US Senate</t>
        </is>
      </c>
      <c r="L1563" s="43" t="n">
        <v>4177</v>
      </c>
      <c r="M1563" s="43" t="n">
        <v>17000</v>
      </c>
      <c r="N1563" s="43" t="n">
        <v>21177</v>
      </c>
      <c r="O1563" s="44">
        <f>IFERROR((F1563-G1563)/(F1563+G1563),"")</f>
        <v/>
      </c>
      <c r="P1563" s="44">
        <f>IFERROR((I1563-J1563)/(I1563+J1563),"")</f>
        <v/>
      </c>
      <c r="Q1563" s="45">
        <f>IFERROR(O1563-P1563,"")</f>
        <v/>
      </c>
      <c r="R1563" s="44">
        <f>IFERROR((L1563-M1563)/(L1563+M1563),"")</f>
        <v/>
      </c>
      <c r="S1563" s="46">
        <f>H1563/SUMIFS(Counties!$H$2:$H$1583,Counties!$A$2:$A$1583,$A1563)</f>
        <v/>
      </c>
      <c r="T1563" s="44">
        <f>O1563+INDEX(Dashboard!$F$6:$F$22,MATCH($A1563,Dashboard!$A$6:$A$22,0))</f>
        <v/>
      </c>
      <c r="U1563" s="43">
        <f>AQ1563*INDEX(Dashboard!$G$6:$G$22,MATCH($A1563,Dashboard!$A$6:$A$22,0))</f>
        <v/>
      </c>
      <c r="V1563" s="47" t="n"/>
      <c r="W1563" s="47" t="n"/>
      <c r="X1563" s="47" t="n"/>
      <c r="Y1563" s="48" t="n"/>
      <c r="Z1563" s="49" t="n"/>
      <c r="AA1563" s="49" t="n"/>
      <c r="AB1563" s="49" t="n"/>
      <c r="AC1563" s="50" t="n"/>
      <c r="AD1563" s="43">
        <f>IF(Z1563&lt;&gt;"",Z1563,N(V1563))</f>
        <v/>
      </c>
      <c r="AE1563" s="43">
        <f>IF(AA1563&lt;&gt;"",AA1563,N(W1563))</f>
        <v/>
      </c>
      <c r="AF1563" s="43">
        <f>AD1563+AE1563</f>
        <v/>
      </c>
      <c r="AG1563" s="42">
        <f>IF(UPPER(AC1563)="Y",1,IF(AF1563=0,0,IF(AND(Z1563="",Y1563&lt;&gt;""),IF(Y1563&gt;=0.999,1,0),IF(AF1563&gt;=U1563,1,0))))</f>
        <v/>
      </c>
      <c r="AH1563" s="44">
        <f>IF(AF1563&gt;0,(AD1563-AE1563)/AF1563,"")</f>
        <v/>
      </c>
      <c r="AI1563" s="45">
        <f>IF(AG1563=1,AH1563-O1563,"")</f>
        <v/>
      </c>
      <c r="AJ1563" s="44">
        <f>IF(AG1563=1,AH1563,MAX(-1,MIN(1,O1563+INDEX(Types!$H:$H,MATCH($A1563&amp;"|"&amp;$D1563,Types!$A:$A,0)))))</f>
        <v/>
      </c>
      <c r="AK1563" s="43">
        <f>IF(AG1563=1,AF1563,MAX(AQ1563*AS1563,AF1563))</f>
        <v/>
      </c>
      <c r="AL1563" s="43">
        <f>IF(AG1563=1,AD1563,AK1563*(1+AJ1563)/2)</f>
        <v/>
      </c>
      <c r="AM1563" s="43">
        <f>IF(AG1563=1,AE1563,AK1563*(1-AJ1563)/2)</f>
        <v/>
      </c>
      <c r="AN1563" s="45">
        <f>IF(AH1563="","",AH1563-T1563)</f>
        <v/>
      </c>
      <c r="AO1563" s="51">
        <f>IF(AG1563=1,1,IF(U1563&gt;0,MIN(AF1563/U1563,0.99),0))</f>
        <v/>
      </c>
      <c r="AP1563" s="43">
        <f>IF(AG1563=1,AI1563*AF1563,0)</f>
        <v/>
      </c>
      <c r="AQ1563" s="43">
        <f>N1563*(F1563+G1563)/H1563</f>
        <v/>
      </c>
      <c r="AR1563" s="43">
        <f>O1563*AQ1563</f>
        <v/>
      </c>
      <c r="AS1563" s="52">
        <f>IF(AG1563=1,IF(AQ1563&gt;0,AF1563/AQ1563,1),IFERROR(INDEX(Types!$K:$K,MATCH($A1563&amp;"|"&amp;$D1563,Types!$A:$A,0)),INDEX(Dashboard!$X$6:$X$22,MATCH($A1563,Dashboard!$A$6:$A$22,0))))</f>
        <v/>
      </c>
      <c r="AT1563" s="43">
        <f>AQ1563*INDEX(Dashboard!$Y$6:$Y$22,MATCH($A1563,Dashboard!$A$6:$A$22,0))</f>
        <v/>
      </c>
      <c r="AU1563" s="53">
        <f>IF(AND(AG1563=1,AT1563&gt;0,AF1563&gt;0),100*AF1563/AT1563,"")</f>
        <v/>
      </c>
      <c r="AV1563" s="44">
        <f>IF(AU1563="","",T1563/(AU1563/100))</f>
        <v/>
      </c>
      <c r="AW1563" s="53">
        <f>IF(AU1563="","",IF(AND(ABS(AH1563)&gt;=0.1,ABS(T1563)&gt;=0.05,SIGN(AH1563)=SIGN(T1563)),100*T1563/AH1563,""))</f>
        <v/>
      </c>
      <c r="AX1563" s="45">
        <f>IF(AU1563="","",T1563-AV1563)</f>
        <v/>
      </c>
      <c r="AY1563" s="45">
        <f>IF(AU1563="","",AH1563-AV1563)</f>
        <v/>
      </c>
      <c r="AZ1563" s="54">
        <f>(AL1563-AM1563)-T1563*AT1563</f>
        <v/>
      </c>
      <c r="BA1563" s="43">
        <f>IF(AU1563="",0,(AH1563-T1563)*AF1563)</f>
        <v/>
      </c>
      <c r="BB1563" s="43">
        <f>IF(AU1563="",0,T1563*(AF1563-AT1563))</f>
        <v/>
      </c>
      <c r="BC1563" s="51" t="n">
        <v>0.0122373132298953</v>
      </c>
      <c r="BD1563" s="51" t="n">
        <v>0.03227024822105724</v>
      </c>
      <c r="BE1563" s="51" t="n">
        <v>0.1791311846502102</v>
      </c>
      <c r="BF1563" s="43" t="n">
        <v>66191</v>
      </c>
    </row>
    <row r="1564">
      <c r="A1564" s="42" t="inlineStr">
        <is>
          <t>KY</t>
        </is>
      </c>
      <c r="B1564" s="42" t="inlineStr">
        <is>
          <t>21201</t>
        </is>
      </c>
      <c r="C1564" s="42" t="inlineStr">
        <is>
          <t>Robertson</t>
        </is>
      </c>
      <c r="D1564" s="42" t="inlineStr">
        <is>
          <t>Small town &amp; rural</t>
        </is>
      </c>
      <c r="E1564" s="42" t="inlineStr"/>
      <c r="F1564" s="43" t="n">
        <v>215</v>
      </c>
      <c r="G1564" s="43" t="n">
        <v>915</v>
      </c>
      <c r="H1564" s="43" t="n">
        <v>1144</v>
      </c>
      <c r="I1564" s="43" t="n">
        <v>253</v>
      </c>
      <c r="J1564" s="43" t="n">
        <v>884</v>
      </c>
      <c r="K1564" s="42" t="inlineStr">
        <is>
          <t>US Senate</t>
        </is>
      </c>
      <c r="L1564" s="43" t="n">
        <v>295</v>
      </c>
      <c r="M1564" s="43" t="n">
        <v>684</v>
      </c>
      <c r="N1564" s="43" t="n">
        <v>979</v>
      </c>
      <c r="O1564" s="44">
        <f>IFERROR((F1564-G1564)/(F1564+G1564),"")</f>
        <v/>
      </c>
      <c r="P1564" s="44">
        <f>IFERROR((I1564-J1564)/(I1564+J1564),"")</f>
        <v/>
      </c>
      <c r="Q1564" s="45">
        <f>IFERROR(O1564-P1564,"")</f>
        <v/>
      </c>
      <c r="R1564" s="44">
        <f>IFERROR((L1564-M1564)/(L1564+M1564),"")</f>
        <v/>
      </c>
      <c r="S1564" s="46">
        <f>H1564/SUMIFS(Counties!$H$2:$H$1583,Counties!$A$2:$A$1583,$A1564)</f>
        <v/>
      </c>
      <c r="T1564" s="44">
        <f>O1564+INDEX(Dashboard!$F$6:$F$22,MATCH($A1564,Dashboard!$A$6:$A$22,0))</f>
        <v/>
      </c>
      <c r="U1564" s="43">
        <f>AQ1564*INDEX(Dashboard!$G$6:$G$22,MATCH($A1564,Dashboard!$A$6:$A$22,0))</f>
        <v/>
      </c>
      <c r="V1564" s="47" t="n"/>
      <c r="W1564" s="47" t="n"/>
      <c r="X1564" s="47" t="n"/>
      <c r="Y1564" s="48" t="n"/>
      <c r="Z1564" s="49" t="n"/>
      <c r="AA1564" s="49" t="n"/>
      <c r="AB1564" s="49" t="n"/>
      <c r="AC1564" s="50" t="n"/>
      <c r="AD1564" s="43">
        <f>IF(Z1564&lt;&gt;"",Z1564,N(V1564))</f>
        <v/>
      </c>
      <c r="AE1564" s="43">
        <f>IF(AA1564&lt;&gt;"",AA1564,N(W1564))</f>
        <v/>
      </c>
      <c r="AF1564" s="43">
        <f>AD1564+AE1564</f>
        <v/>
      </c>
      <c r="AG1564" s="42">
        <f>IF(UPPER(AC1564)="Y",1,IF(AF1564=0,0,IF(AND(Z1564="",Y1564&lt;&gt;""),IF(Y1564&gt;=0.999,1,0),IF(AF1564&gt;=U1564,1,0))))</f>
        <v/>
      </c>
      <c r="AH1564" s="44">
        <f>IF(AF1564&gt;0,(AD1564-AE1564)/AF1564,"")</f>
        <v/>
      </c>
      <c r="AI1564" s="45">
        <f>IF(AG1564=1,AH1564-O1564,"")</f>
        <v/>
      </c>
      <c r="AJ1564" s="44">
        <f>IF(AG1564=1,AH1564,MAX(-1,MIN(1,O1564+INDEX(Types!$H:$H,MATCH($A1564&amp;"|"&amp;$D1564,Types!$A:$A,0)))))</f>
        <v/>
      </c>
      <c r="AK1564" s="43">
        <f>IF(AG1564=1,AF1564,MAX(AQ1564*AS1564,AF1564))</f>
        <v/>
      </c>
      <c r="AL1564" s="43">
        <f>IF(AG1564=1,AD1564,AK1564*(1+AJ1564)/2)</f>
        <v/>
      </c>
      <c r="AM1564" s="43">
        <f>IF(AG1564=1,AE1564,AK1564*(1-AJ1564)/2)</f>
        <v/>
      </c>
      <c r="AN1564" s="45">
        <f>IF(AH1564="","",AH1564-T1564)</f>
        <v/>
      </c>
      <c r="AO1564" s="51">
        <f>IF(AG1564=1,1,IF(U1564&gt;0,MIN(AF1564/U1564,0.99),0))</f>
        <v/>
      </c>
      <c r="AP1564" s="43">
        <f>IF(AG1564=1,AI1564*AF1564,0)</f>
        <v/>
      </c>
      <c r="AQ1564" s="43">
        <f>N1564*(F1564+G1564)/H1564</f>
        <v/>
      </c>
      <c r="AR1564" s="43">
        <f>O1564*AQ1564</f>
        <v/>
      </c>
      <c r="AS1564" s="52">
        <f>IF(AG1564=1,IF(AQ1564&gt;0,AF1564/AQ1564,1),IFERROR(INDEX(Types!$K:$K,MATCH($A1564&amp;"|"&amp;$D1564,Types!$A:$A,0)),INDEX(Dashboard!$X$6:$X$22,MATCH($A1564,Dashboard!$A$6:$A$22,0))))</f>
        <v/>
      </c>
      <c r="AT1564" s="43">
        <f>AQ1564*INDEX(Dashboard!$Y$6:$Y$22,MATCH($A1564,Dashboard!$A$6:$A$22,0))</f>
        <v/>
      </c>
      <c r="AU1564" s="53">
        <f>IF(AND(AG1564=1,AT1564&gt;0,AF1564&gt;0),100*AF1564/AT1564,"")</f>
        <v/>
      </c>
      <c r="AV1564" s="44">
        <f>IF(AU1564="","",T1564/(AU1564/100))</f>
        <v/>
      </c>
      <c r="AW1564" s="53">
        <f>IF(AU1564="","",IF(AND(ABS(AH1564)&gt;=0.1,ABS(T1564)&gt;=0.05,SIGN(AH1564)=SIGN(T1564)),100*T1564/AH1564,""))</f>
        <v/>
      </c>
      <c r="AX1564" s="45">
        <f>IF(AU1564="","",T1564-AV1564)</f>
        <v/>
      </c>
      <c r="AY1564" s="45">
        <f>IF(AU1564="","",AH1564-AV1564)</f>
        <v/>
      </c>
      <c r="AZ1564" s="54">
        <f>(AL1564-AM1564)-T1564*AT1564</f>
        <v/>
      </c>
      <c r="BA1564" s="43">
        <f>IF(AU1564="",0,(AH1564-T1564)*AF1564)</f>
        <v/>
      </c>
      <c r="BB1564" s="43">
        <f>IF(AU1564="",0,T1564*(AF1564-AT1564))</f>
        <v/>
      </c>
      <c r="BC1564" s="51" t="n">
        <v>0.01167315175097276</v>
      </c>
      <c r="BD1564" s="51" t="n">
        <v>0.01945525291828794</v>
      </c>
      <c r="BE1564" s="51" t="n">
        <v>0.1354029062087186</v>
      </c>
      <c r="BF1564" s="43" t="n">
        <v>2313</v>
      </c>
    </row>
    <row r="1565">
      <c r="A1565" s="42" t="inlineStr">
        <is>
          <t>KY</t>
        </is>
      </c>
      <c r="B1565" s="42" t="inlineStr">
        <is>
          <t>21203</t>
        </is>
      </c>
      <c r="C1565" s="42" t="inlineStr">
        <is>
          <t>Rockcastle</t>
        </is>
      </c>
      <c r="D1565" s="42" t="inlineStr">
        <is>
          <t>Small town &amp; rural</t>
        </is>
      </c>
      <c r="E1565" s="42" t="inlineStr"/>
      <c r="F1565" s="43" t="n">
        <v>986</v>
      </c>
      <c r="G1565" s="43" t="n">
        <v>6635</v>
      </c>
      <c r="H1565" s="43" t="n">
        <v>7724</v>
      </c>
      <c r="I1565" s="43" t="n">
        <v>1134</v>
      </c>
      <c r="J1565" s="43" t="n">
        <v>6577</v>
      </c>
      <c r="K1565" s="42" t="inlineStr">
        <is>
          <t>US Senate</t>
        </is>
      </c>
      <c r="L1565" s="43" t="n">
        <v>761</v>
      </c>
      <c r="M1565" s="43" t="n">
        <v>4020</v>
      </c>
      <c r="N1565" s="43" t="n">
        <v>4781</v>
      </c>
      <c r="O1565" s="44">
        <f>IFERROR((F1565-G1565)/(F1565+G1565),"")</f>
        <v/>
      </c>
      <c r="P1565" s="44">
        <f>IFERROR((I1565-J1565)/(I1565+J1565),"")</f>
        <v/>
      </c>
      <c r="Q1565" s="45">
        <f>IFERROR(O1565-P1565,"")</f>
        <v/>
      </c>
      <c r="R1565" s="44">
        <f>IFERROR((L1565-M1565)/(L1565+M1565),"")</f>
        <v/>
      </c>
      <c r="S1565" s="46">
        <f>H1565/SUMIFS(Counties!$H$2:$H$1583,Counties!$A$2:$A$1583,$A1565)</f>
        <v/>
      </c>
      <c r="T1565" s="44">
        <f>O1565+INDEX(Dashboard!$F$6:$F$22,MATCH($A1565,Dashboard!$A$6:$A$22,0))</f>
        <v/>
      </c>
      <c r="U1565" s="43">
        <f>AQ1565*INDEX(Dashboard!$G$6:$G$22,MATCH($A1565,Dashboard!$A$6:$A$22,0))</f>
        <v/>
      </c>
      <c r="V1565" s="47" t="n"/>
      <c r="W1565" s="47" t="n"/>
      <c r="X1565" s="47" t="n"/>
      <c r="Y1565" s="48" t="n"/>
      <c r="Z1565" s="49" t="n"/>
      <c r="AA1565" s="49" t="n"/>
      <c r="AB1565" s="49" t="n"/>
      <c r="AC1565" s="50" t="n"/>
      <c r="AD1565" s="43">
        <f>IF(Z1565&lt;&gt;"",Z1565,N(V1565))</f>
        <v/>
      </c>
      <c r="AE1565" s="43">
        <f>IF(AA1565&lt;&gt;"",AA1565,N(W1565))</f>
        <v/>
      </c>
      <c r="AF1565" s="43">
        <f>AD1565+AE1565</f>
        <v/>
      </c>
      <c r="AG1565" s="42">
        <f>IF(UPPER(AC1565)="Y",1,IF(AF1565=0,0,IF(AND(Z1565="",Y1565&lt;&gt;""),IF(Y1565&gt;=0.999,1,0),IF(AF1565&gt;=U1565,1,0))))</f>
        <v/>
      </c>
      <c r="AH1565" s="44">
        <f>IF(AF1565&gt;0,(AD1565-AE1565)/AF1565,"")</f>
        <v/>
      </c>
      <c r="AI1565" s="45">
        <f>IF(AG1565=1,AH1565-O1565,"")</f>
        <v/>
      </c>
      <c r="AJ1565" s="44">
        <f>IF(AG1565=1,AH1565,MAX(-1,MIN(1,O1565+INDEX(Types!$H:$H,MATCH($A1565&amp;"|"&amp;$D1565,Types!$A:$A,0)))))</f>
        <v/>
      </c>
      <c r="AK1565" s="43">
        <f>IF(AG1565=1,AF1565,MAX(AQ1565*AS1565,AF1565))</f>
        <v/>
      </c>
      <c r="AL1565" s="43">
        <f>IF(AG1565=1,AD1565,AK1565*(1+AJ1565)/2)</f>
        <v/>
      </c>
      <c r="AM1565" s="43">
        <f>IF(AG1565=1,AE1565,AK1565*(1-AJ1565)/2)</f>
        <v/>
      </c>
      <c r="AN1565" s="45">
        <f>IF(AH1565="","",AH1565-T1565)</f>
        <v/>
      </c>
      <c r="AO1565" s="51">
        <f>IF(AG1565=1,1,IF(U1565&gt;0,MIN(AF1565/U1565,0.99),0))</f>
        <v/>
      </c>
      <c r="AP1565" s="43">
        <f>IF(AG1565=1,AI1565*AF1565,0)</f>
        <v/>
      </c>
      <c r="AQ1565" s="43">
        <f>N1565*(F1565+G1565)/H1565</f>
        <v/>
      </c>
      <c r="AR1565" s="43">
        <f>O1565*AQ1565</f>
        <v/>
      </c>
      <c r="AS1565" s="52">
        <f>IF(AG1565=1,IF(AQ1565&gt;0,AF1565/AQ1565,1),IFERROR(INDEX(Types!$K:$K,MATCH($A1565&amp;"|"&amp;$D1565,Types!$A:$A,0)),INDEX(Dashboard!$X$6:$X$22,MATCH($A1565,Dashboard!$A$6:$A$22,0))))</f>
        <v/>
      </c>
      <c r="AT1565" s="43">
        <f>AQ1565*INDEX(Dashboard!$Y$6:$Y$22,MATCH($A1565,Dashboard!$A$6:$A$22,0))</f>
        <v/>
      </c>
      <c r="AU1565" s="53">
        <f>IF(AND(AG1565=1,AT1565&gt;0,AF1565&gt;0),100*AF1565/AT1565,"")</f>
        <v/>
      </c>
      <c r="AV1565" s="44">
        <f>IF(AU1565="","",T1565/(AU1565/100))</f>
        <v/>
      </c>
      <c r="AW1565" s="53">
        <f>IF(AU1565="","",IF(AND(ABS(AH1565)&gt;=0.1,ABS(T1565)&gt;=0.05,SIGN(AH1565)=SIGN(T1565)),100*T1565/AH1565,""))</f>
        <v/>
      </c>
      <c r="AX1565" s="45">
        <f>IF(AU1565="","",T1565-AV1565)</f>
        <v/>
      </c>
      <c r="AY1565" s="45">
        <f>IF(AU1565="","",AH1565-AV1565)</f>
        <v/>
      </c>
      <c r="AZ1565" s="54">
        <f>(AL1565-AM1565)-T1565*AT1565</f>
        <v/>
      </c>
      <c r="BA1565" s="43">
        <f>IF(AU1565="",0,(AH1565-T1565)*AF1565)</f>
        <v/>
      </c>
      <c r="BB1565" s="43">
        <f>IF(AU1565="",0,T1565*(AF1565-AT1565))</f>
        <v/>
      </c>
      <c r="BC1565" s="51" t="n">
        <v>0.004879555281037677</v>
      </c>
      <c r="BD1565" s="51" t="n">
        <v>0.01426806670784435</v>
      </c>
      <c r="BE1565" s="51" t="n">
        <v>0.1369410127022795</v>
      </c>
      <c r="BF1565" s="43" t="n">
        <v>16190</v>
      </c>
    </row>
    <row r="1566">
      <c r="A1566" s="42" t="inlineStr">
        <is>
          <t>KY</t>
        </is>
      </c>
      <c r="B1566" s="42" t="inlineStr">
        <is>
          <t>21205</t>
        </is>
      </c>
      <c r="C1566" s="42" t="inlineStr">
        <is>
          <t>Rowan</t>
        </is>
      </c>
      <c r="D1566" s="42" t="inlineStr">
        <is>
          <t>Small town &amp; rural</t>
        </is>
      </c>
      <c r="E1566" s="42" t="inlineStr"/>
      <c r="F1566" s="43" t="n">
        <v>3484</v>
      </c>
      <c r="G1566" s="43" t="n">
        <v>6224</v>
      </c>
      <c r="H1566" s="43" t="n">
        <v>9872</v>
      </c>
      <c r="I1566" s="43" t="n">
        <v>3880</v>
      </c>
      <c r="J1566" s="43" t="n">
        <v>5994</v>
      </c>
      <c r="K1566" s="42" t="inlineStr">
        <is>
          <t>US Senate</t>
        </is>
      </c>
      <c r="L1566" s="43" t="n">
        <v>3180</v>
      </c>
      <c r="M1566" s="43" t="n">
        <v>4235</v>
      </c>
      <c r="N1566" s="43" t="n">
        <v>7416</v>
      </c>
      <c r="O1566" s="44">
        <f>IFERROR((F1566-G1566)/(F1566+G1566),"")</f>
        <v/>
      </c>
      <c r="P1566" s="44">
        <f>IFERROR((I1566-J1566)/(I1566+J1566),"")</f>
        <v/>
      </c>
      <c r="Q1566" s="45">
        <f>IFERROR(O1566-P1566,"")</f>
        <v/>
      </c>
      <c r="R1566" s="44">
        <f>IFERROR((L1566-M1566)/(L1566+M1566),"")</f>
        <v/>
      </c>
      <c r="S1566" s="46">
        <f>H1566/SUMIFS(Counties!$H$2:$H$1583,Counties!$A$2:$A$1583,$A1566)</f>
        <v/>
      </c>
      <c r="T1566" s="44">
        <f>O1566+INDEX(Dashboard!$F$6:$F$22,MATCH($A1566,Dashboard!$A$6:$A$22,0))</f>
        <v/>
      </c>
      <c r="U1566" s="43">
        <f>AQ1566*INDEX(Dashboard!$G$6:$G$22,MATCH($A1566,Dashboard!$A$6:$A$22,0))</f>
        <v/>
      </c>
      <c r="V1566" s="47" t="n"/>
      <c r="W1566" s="47" t="n"/>
      <c r="X1566" s="47" t="n"/>
      <c r="Y1566" s="48" t="n"/>
      <c r="Z1566" s="49" t="n"/>
      <c r="AA1566" s="49" t="n"/>
      <c r="AB1566" s="49" t="n"/>
      <c r="AC1566" s="50" t="n"/>
      <c r="AD1566" s="43">
        <f>IF(Z1566&lt;&gt;"",Z1566,N(V1566))</f>
        <v/>
      </c>
      <c r="AE1566" s="43">
        <f>IF(AA1566&lt;&gt;"",AA1566,N(W1566))</f>
        <v/>
      </c>
      <c r="AF1566" s="43">
        <f>AD1566+AE1566</f>
        <v/>
      </c>
      <c r="AG1566" s="42">
        <f>IF(UPPER(AC1566)="Y",1,IF(AF1566=0,0,IF(AND(Z1566="",Y1566&lt;&gt;""),IF(Y1566&gt;=0.999,1,0),IF(AF1566&gt;=U1566,1,0))))</f>
        <v/>
      </c>
      <c r="AH1566" s="44">
        <f>IF(AF1566&gt;0,(AD1566-AE1566)/AF1566,"")</f>
        <v/>
      </c>
      <c r="AI1566" s="45">
        <f>IF(AG1566=1,AH1566-O1566,"")</f>
        <v/>
      </c>
      <c r="AJ1566" s="44">
        <f>IF(AG1566=1,AH1566,MAX(-1,MIN(1,O1566+INDEX(Types!$H:$H,MATCH($A1566&amp;"|"&amp;$D1566,Types!$A:$A,0)))))</f>
        <v/>
      </c>
      <c r="AK1566" s="43">
        <f>IF(AG1566=1,AF1566,MAX(AQ1566*AS1566,AF1566))</f>
        <v/>
      </c>
      <c r="AL1566" s="43">
        <f>IF(AG1566=1,AD1566,AK1566*(1+AJ1566)/2)</f>
        <v/>
      </c>
      <c r="AM1566" s="43">
        <f>IF(AG1566=1,AE1566,AK1566*(1-AJ1566)/2)</f>
        <v/>
      </c>
      <c r="AN1566" s="45">
        <f>IF(AH1566="","",AH1566-T1566)</f>
        <v/>
      </c>
      <c r="AO1566" s="51">
        <f>IF(AG1566=1,1,IF(U1566&gt;0,MIN(AF1566/U1566,0.99),0))</f>
        <v/>
      </c>
      <c r="AP1566" s="43">
        <f>IF(AG1566=1,AI1566*AF1566,0)</f>
        <v/>
      </c>
      <c r="AQ1566" s="43">
        <f>N1566*(F1566+G1566)/H1566</f>
        <v/>
      </c>
      <c r="AR1566" s="43">
        <f>O1566*AQ1566</f>
        <v/>
      </c>
      <c r="AS1566" s="52">
        <f>IF(AG1566=1,IF(AQ1566&gt;0,AF1566/AQ1566,1),IFERROR(INDEX(Types!$K:$K,MATCH($A1566&amp;"|"&amp;$D1566,Types!$A:$A,0)),INDEX(Dashboard!$X$6:$X$22,MATCH($A1566,Dashboard!$A$6:$A$22,0))))</f>
        <v/>
      </c>
      <c r="AT1566" s="43">
        <f>AQ1566*INDEX(Dashboard!$Y$6:$Y$22,MATCH($A1566,Dashboard!$A$6:$A$22,0))</f>
        <v/>
      </c>
      <c r="AU1566" s="53">
        <f>IF(AND(AG1566=1,AT1566&gt;0,AF1566&gt;0),100*AF1566/AT1566,"")</f>
        <v/>
      </c>
      <c r="AV1566" s="44">
        <f>IF(AU1566="","",T1566/(AU1566/100))</f>
        <v/>
      </c>
      <c r="AW1566" s="53">
        <f>IF(AU1566="","",IF(AND(ABS(AH1566)&gt;=0.1,ABS(T1566)&gt;=0.05,SIGN(AH1566)=SIGN(T1566)),100*T1566/AH1566,""))</f>
        <v/>
      </c>
      <c r="AX1566" s="45">
        <f>IF(AU1566="","",T1566-AV1566)</f>
        <v/>
      </c>
      <c r="AY1566" s="45">
        <f>IF(AU1566="","",AH1566-AV1566)</f>
        <v/>
      </c>
      <c r="AZ1566" s="54">
        <f>(AL1566-AM1566)-T1566*AT1566</f>
        <v/>
      </c>
      <c r="BA1566" s="43">
        <f>IF(AU1566="",0,(AH1566-T1566)*AF1566)</f>
        <v/>
      </c>
      <c r="BB1566" s="43">
        <f>IF(AU1566="",0,T1566*(AF1566-AT1566))</f>
        <v/>
      </c>
      <c r="BC1566" s="51" t="n">
        <v>0.01704289401450285</v>
      </c>
      <c r="BD1566" s="51" t="n">
        <v>0.0240075382031218</v>
      </c>
      <c r="BE1566" s="51" t="n">
        <v>0.2702198257984239</v>
      </c>
      <c r="BF1566" s="43" t="n">
        <v>24409</v>
      </c>
    </row>
    <row r="1567">
      <c r="A1567" s="42" t="inlineStr">
        <is>
          <t>KY</t>
        </is>
      </c>
      <c r="B1567" s="42" t="inlineStr">
        <is>
          <t>21207</t>
        </is>
      </c>
      <c r="C1567" s="42" t="inlineStr">
        <is>
          <t>Russell</t>
        </is>
      </c>
      <c r="D1567" s="42" t="inlineStr">
        <is>
          <t>Small town &amp; rural</t>
        </is>
      </c>
      <c r="E1567" s="42" t="inlineStr"/>
      <c r="F1567" s="43" t="n">
        <v>1200</v>
      </c>
      <c r="G1567" s="43" t="n">
        <v>7622</v>
      </c>
      <c r="H1567" s="43" t="n">
        <v>8893</v>
      </c>
      <c r="I1567" s="43" t="n">
        <v>1331</v>
      </c>
      <c r="J1567" s="43" t="n">
        <v>7519</v>
      </c>
      <c r="K1567" s="42" t="inlineStr">
        <is>
          <t>US Senate</t>
        </is>
      </c>
      <c r="L1567" s="43" t="n">
        <v>973</v>
      </c>
      <c r="M1567" s="43" t="n">
        <v>5373</v>
      </c>
      <c r="N1567" s="43" t="n">
        <v>6346</v>
      </c>
      <c r="O1567" s="44">
        <f>IFERROR((F1567-G1567)/(F1567+G1567),"")</f>
        <v/>
      </c>
      <c r="P1567" s="44">
        <f>IFERROR((I1567-J1567)/(I1567+J1567),"")</f>
        <v/>
      </c>
      <c r="Q1567" s="45">
        <f>IFERROR(O1567-P1567,"")</f>
        <v/>
      </c>
      <c r="R1567" s="44">
        <f>IFERROR((L1567-M1567)/(L1567+M1567),"")</f>
        <v/>
      </c>
      <c r="S1567" s="46">
        <f>H1567/SUMIFS(Counties!$H$2:$H$1583,Counties!$A$2:$A$1583,$A1567)</f>
        <v/>
      </c>
      <c r="T1567" s="44">
        <f>O1567+INDEX(Dashboard!$F$6:$F$22,MATCH($A1567,Dashboard!$A$6:$A$22,0))</f>
        <v/>
      </c>
      <c r="U1567" s="43">
        <f>AQ1567*INDEX(Dashboard!$G$6:$G$22,MATCH($A1567,Dashboard!$A$6:$A$22,0))</f>
        <v/>
      </c>
      <c r="V1567" s="47" t="n"/>
      <c r="W1567" s="47" t="n"/>
      <c r="X1567" s="47" t="n"/>
      <c r="Y1567" s="48" t="n"/>
      <c r="Z1567" s="49" t="n"/>
      <c r="AA1567" s="49" t="n"/>
      <c r="AB1567" s="49" t="n"/>
      <c r="AC1567" s="50" t="n"/>
      <c r="AD1567" s="43">
        <f>IF(Z1567&lt;&gt;"",Z1567,N(V1567))</f>
        <v/>
      </c>
      <c r="AE1567" s="43">
        <f>IF(AA1567&lt;&gt;"",AA1567,N(W1567))</f>
        <v/>
      </c>
      <c r="AF1567" s="43">
        <f>AD1567+AE1567</f>
        <v/>
      </c>
      <c r="AG1567" s="42">
        <f>IF(UPPER(AC1567)="Y",1,IF(AF1567=0,0,IF(AND(Z1567="",Y1567&lt;&gt;""),IF(Y1567&gt;=0.999,1,0),IF(AF1567&gt;=U1567,1,0))))</f>
        <v/>
      </c>
      <c r="AH1567" s="44">
        <f>IF(AF1567&gt;0,(AD1567-AE1567)/AF1567,"")</f>
        <v/>
      </c>
      <c r="AI1567" s="45">
        <f>IF(AG1567=1,AH1567-O1567,"")</f>
        <v/>
      </c>
      <c r="AJ1567" s="44">
        <f>IF(AG1567=1,AH1567,MAX(-1,MIN(1,O1567+INDEX(Types!$H:$H,MATCH($A1567&amp;"|"&amp;$D1567,Types!$A:$A,0)))))</f>
        <v/>
      </c>
      <c r="AK1567" s="43">
        <f>IF(AG1567=1,AF1567,MAX(AQ1567*AS1567,AF1567))</f>
        <v/>
      </c>
      <c r="AL1567" s="43">
        <f>IF(AG1567=1,AD1567,AK1567*(1+AJ1567)/2)</f>
        <v/>
      </c>
      <c r="AM1567" s="43">
        <f>IF(AG1567=1,AE1567,AK1567*(1-AJ1567)/2)</f>
        <v/>
      </c>
      <c r="AN1567" s="45">
        <f>IF(AH1567="","",AH1567-T1567)</f>
        <v/>
      </c>
      <c r="AO1567" s="51">
        <f>IF(AG1567=1,1,IF(U1567&gt;0,MIN(AF1567/U1567,0.99),0))</f>
        <v/>
      </c>
      <c r="AP1567" s="43">
        <f>IF(AG1567=1,AI1567*AF1567,0)</f>
        <v/>
      </c>
      <c r="AQ1567" s="43">
        <f>N1567*(F1567+G1567)/H1567</f>
        <v/>
      </c>
      <c r="AR1567" s="43">
        <f>O1567*AQ1567</f>
        <v/>
      </c>
      <c r="AS1567" s="52">
        <f>IF(AG1567=1,IF(AQ1567&gt;0,AF1567/AQ1567,1),IFERROR(INDEX(Types!$K:$K,MATCH($A1567&amp;"|"&amp;$D1567,Types!$A:$A,0)),INDEX(Dashboard!$X$6:$X$22,MATCH($A1567,Dashboard!$A$6:$A$22,0))))</f>
        <v/>
      </c>
      <c r="AT1567" s="43">
        <f>AQ1567*INDEX(Dashboard!$Y$6:$Y$22,MATCH($A1567,Dashboard!$A$6:$A$22,0))</f>
        <v/>
      </c>
      <c r="AU1567" s="53">
        <f>IF(AND(AG1567=1,AT1567&gt;0,AF1567&gt;0),100*AF1567/AT1567,"")</f>
        <v/>
      </c>
      <c r="AV1567" s="44">
        <f>IF(AU1567="","",T1567/(AU1567/100))</f>
        <v/>
      </c>
      <c r="AW1567" s="53">
        <f>IF(AU1567="","",IF(AND(ABS(AH1567)&gt;=0.1,ABS(T1567)&gt;=0.05,SIGN(AH1567)=SIGN(T1567)),100*T1567/AH1567,""))</f>
        <v/>
      </c>
      <c r="AX1567" s="45">
        <f>IF(AU1567="","",T1567-AV1567)</f>
        <v/>
      </c>
      <c r="AY1567" s="45">
        <f>IF(AU1567="","",AH1567-AV1567)</f>
        <v/>
      </c>
      <c r="AZ1567" s="54">
        <f>(AL1567-AM1567)-T1567*AT1567</f>
        <v/>
      </c>
      <c r="BA1567" s="43">
        <f>IF(AU1567="",0,(AH1567-T1567)*AF1567)</f>
        <v/>
      </c>
      <c r="BB1567" s="43">
        <f>IF(AU1567="",0,T1567*(AF1567-AT1567))</f>
        <v/>
      </c>
      <c r="BC1567" s="51" t="n">
        <v>0.009354997538158542</v>
      </c>
      <c r="BD1567" s="51" t="n">
        <v>0.04535259040428907</v>
      </c>
      <c r="BE1567" s="51" t="n">
        <v>0.1580420699032232</v>
      </c>
      <c r="BF1567" s="43" t="n">
        <v>18279</v>
      </c>
    </row>
    <row r="1568">
      <c r="A1568" s="42" t="inlineStr">
        <is>
          <t>KY</t>
        </is>
      </c>
      <c r="B1568" s="42" t="inlineStr">
        <is>
          <t>21209</t>
        </is>
      </c>
      <c r="C1568" s="42" t="inlineStr">
        <is>
          <t>Scott</t>
        </is>
      </c>
      <c r="D1568" s="42" t="inlineStr">
        <is>
          <t>Small town &amp; rural</t>
        </is>
      </c>
      <c r="E1568" s="42" t="inlineStr"/>
      <c r="F1568" s="43" t="n">
        <v>10501</v>
      </c>
      <c r="G1568" s="43" t="n">
        <v>18747</v>
      </c>
      <c r="H1568" s="43" t="n">
        <v>29761</v>
      </c>
      <c r="I1568" s="43" t="n">
        <v>10567</v>
      </c>
      <c r="J1568" s="43" t="n">
        <v>17767</v>
      </c>
      <c r="K1568" s="42" t="inlineStr">
        <is>
          <t>US Senate</t>
        </is>
      </c>
      <c r="L1568" s="43" t="n">
        <v>8198</v>
      </c>
      <c r="M1568" s="43" t="n">
        <v>12302</v>
      </c>
      <c r="N1568" s="43" t="n">
        <v>20503</v>
      </c>
      <c r="O1568" s="44">
        <f>IFERROR((F1568-G1568)/(F1568+G1568),"")</f>
        <v/>
      </c>
      <c r="P1568" s="44">
        <f>IFERROR((I1568-J1568)/(I1568+J1568),"")</f>
        <v/>
      </c>
      <c r="Q1568" s="45">
        <f>IFERROR(O1568-P1568,"")</f>
        <v/>
      </c>
      <c r="R1568" s="44">
        <f>IFERROR((L1568-M1568)/(L1568+M1568),"")</f>
        <v/>
      </c>
      <c r="S1568" s="46">
        <f>H1568/SUMIFS(Counties!$H$2:$H$1583,Counties!$A$2:$A$1583,$A1568)</f>
        <v/>
      </c>
      <c r="T1568" s="44">
        <f>O1568+INDEX(Dashboard!$F$6:$F$22,MATCH($A1568,Dashboard!$A$6:$A$22,0))</f>
        <v/>
      </c>
      <c r="U1568" s="43">
        <f>AQ1568*INDEX(Dashboard!$G$6:$G$22,MATCH($A1568,Dashboard!$A$6:$A$22,0))</f>
        <v/>
      </c>
      <c r="V1568" s="47" t="n"/>
      <c r="W1568" s="47" t="n"/>
      <c r="X1568" s="47" t="n"/>
      <c r="Y1568" s="48" t="n"/>
      <c r="Z1568" s="49" t="n"/>
      <c r="AA1568" s="49" t="n"/>
      <c r="AB1568" s="49" t="n"/>
      <c r="AC1568" s="50" t="n"/>
      <c r="AD1568" s="43">
        <f>IF(Z1568&lt;&gt;"",Z1568,N(V1568))</f>
        <v/>
      </c>
      <c r="AE1568" s="43">
        <f>IF(AA1568&lt;&gt;"",AA1568,N(W1568))</f>
        <v/>
      </c>
      <c r="AF1568" s="43">
        <f>AD1568+AE1568</f>
        <v/>
      </c>
      <c r="AG1568" s="42">
        <f>IF(UPPER(AC1568)="Y",1,IF(AF1568=0,0,IF(AND(Z1568="",Y1568&lt;&gt;""),IF(Y1568&gt;=0.999,1,0),IF(AF1568&gt;=U1568,1,0))))</f>
        <v/>
      </c>
      <c r="AH1568" s="44">
        <f>IF(AF1568&gt;0,(AD1568-AE1568)/AF1568,"")</f>
        <v/>
      </c>
      <c r="AI1568" s="45">
        <f>IF(AG1568=1,AH1568-O1568,"")</f>
        <v/>
      </c>
      <c r="AJ1568" s="44">
        <f>IF(AG1568=1,AH1568,MAX(-1,MIN(1,O1568+INDEX(Types!$H:$H,MATCH($A1568&amp;"|"&amp;$D1568,Types!$A:$A,0)))))</f>
        <v/>
      </c>
      <c r="AK1568" s="43">
        <f>IF(AG1568=1,AF1568,MAX(AQ1568*AS1568,AF1568))</f>
        <v/>
      </c>
      <c r="AL1568" s="43">
        <f>IF(AG1568=1,AD1568,AK1568*(1+AJ1568)/2)</f>
        <v/>
      </c>
      <c r="AM1568" s="43">
        <f>IF(AG1568=1,AE1568,AK1568*(1-AJ1568)/2)</f>
        <v/>
      </c>
      <c r="AN1568" s="45">
        <f>IF(AH1568="","",AH1568-T1568)</f>
        <v/>
      </c>
      <c r="AO1568" s="51">
        <f>IF(AG1568=1,1,IF(U1568&gt;0,MIN(AF1568/U1568,0.99),0))</f>
        <v/>
      </c>
      <c r="AP1568" s="43">
        <f>IF(AG1568=1,AI1568*AF1568,0)</f>
        <v/>
      </c>
      <c r="AQ1568" s="43">
        <f>N1568*(F1568+G1568)/H1568</f>
        <v/>
      </c>
      <c r="AR1568" s="43">
        <f>O1568*AQ1568</f>
        <v/>
      </c>
      <c r="AS1568" s="52">
        <f>IF(AG1568=1,IF(AQ1568&gt;0,AF1568/AQ1568,1),IFERROR(INDEX(Types!$K:$K,MATCH($A1568&amp;"|"&amp;$D1568,Types!$A:$A,0)),INDEX(Dashboard!$X$6:$X$22,MATCH($A1568,Dashboard!$A$6:$A$22,0))))</f>
        <v/>
      </c>
      <c r="AT1568" s="43">
        <f>AQ1568*INDEX(Dashboard!$Y$6:$Y$22,MATCH($A1568,Dashboard!$A$6:$A$22,0))</f>
        <v/>
      </c>
      <c r="AU1568" s="53">
        <f>IF(AND(AG1568=1,AT1568&gt;0,AF1568&gt;0),100*AF1568/AT1568,"")</f>
        <v/>
      </c>
      <c r="AV1568" s="44">
        <f>IF(AU1568="","",T1568/(AU1568/100))</f>
        <v/>
      </c>
      <c r="AW1568" s="53">
        <f>IF(AU1568="","",IF(AND(ABS(AH1568)&gt;=0.1,ABS(T1568)&gt;=0.05,SIGN(AH1568)=SIGN(T1568)),100*T1568/AH1568,""))</f>
        <v/>
      </c>
      <c r="AX1568" s="45">
        <f>IF(AU1568="","",T1568-AV1568)</f>
        <v/>
      </c>
      <c r="AY1568" s="45">
        <f>IF(AU1568="","",AH1568-AV1568)</f>
        <v/>
      </c>
      <c r="AZ1568" s="54">
        <f>(AL1568-AM1568)-T1568*AT1568</f>
        <v/>
      </c>
      <c r="BA1568" s="43">
        <f>IF(AU1568="",0,(AH1568-T1568)*AF1568)</f>
        <v/>
      </c>
      <c r="BB1568" s="43">
        <f>IF(AU1568="",0,T1568*(AF1568-AT1568))</f>
        <v/>
      </c>
      <c r="BC1568" s="51" t="n">
        <v>0.05800425475335726</v>
      </c>
      <c r="BD1568" s="51" t="n">
        <v>0.0588020210078447</v>
      </c>
      <c r="BE1568" s="51" t="n">
        <v>0.3324571220362804</v>
      </c>
      <c r="BF1568" s="43" t="n">
        <v>60168</v>
      </c>
    </row>
    <row r="1569">
      <c r="A1569" s="42" t="inlineStr">
        <is>
          <t>KY</t>
        </is>
      </c>
      <c r="B1569" s="42" t="inlineStr">
        <is>
          <t>21211</t>
        </is>
      </c>
      <c r="C1569" s="42" t="inlineStr">
        <is>
          <t>Shelby</t>
        </is>
      </c>
      <c r="D1569" s="42" t="inlineStr">
        <is>
          <t>Small town &amp; rural</t>
        </is>
      </c>
      <c r="E1569" s="42" t="inlineStr"/>
      <c r="F1569" s="43" t="n">
        <v>7822</v>
      </c>
      <c r="G1569" s="43" t="n">
        <v>16356</v>
      </c>
      <c r="H1569" s="43" t="n">
        <v>24607</v>
      </c>
      <c r="I1569" s="43" t="n">
        <v>8077</v>
      </c>
      <c r="J1569" s="43" t="n">
        <v>15055</v>
      </c>
      <c r="K1569" s="42" t="inlineStr">
        <is>
          <t>US Senate</t>
        </is>
      </c>
      <c r="L1569" s="43" t="n">
        <v>6194</v>
      </c>
      <c r="M1569" s="43" t="n">
        <v>11606</v>
      </c>
      <c r="N1569" s="43" t="n">
        <v>17806</v>
      </c>
      <c r="O1569" s="44">
        <f>IFERROR((F1569-G1569)/(F1569+G1569),"")</f>
        <v/>
      </c>
      <c r="P1569" s="44">
        <f>IFERROR((I1569-J1569)/(I1569+J1569),"")</f>
        <v/>
      </c>
      <c r="Q1569" s="45">
        <f>IFERROR(O1569-P1569,"")</f>
        <v/>
      </c>
      <c r="R1569" s="44">
        <f>IFERROR((L1569-M1569)/(L1569+M1569),"")</f>
        <v/>
      </c>
      <c r="S1569" s="46">
        <f>H1569/SUMIFS(Counties!$H$2:$H$1583,Counties!$A$2:$A$1583,$A1569)</f>
        <v/>
      </c>
      <c r="T1569" s="44">
        <f>O1569+INDEX(Dashboard!$F$6:$F$22,MATCH($A1569,Dashboard!$A$6:$A$22,0))</f>
        <v/>
      </c>
      <c r="U1569" s="43">
        <f>AQ1569*INDEX(Dashboard!$G$6:$G$22,MATCH($A1569,Dashboard!$A$6:$A$22,0))</f>
        <v/>
      </c>
      <c r="V1569" s="47" t="n"/>
      <c r="W1569" s="47" t="n"/>
      <c r="X1569" s="47" t="n"/>
      <c r="Y1569" s="48" t="n"/>
      <c r="Z1569" s="49" t="n"/>
      <c r="AA1569" s="49" t="n"/>
      <c r="AB1569" s="49" t="n"/>
      <c r="AC1569" s="50" t="n"/>
      <c r="AD1569" s="43">
        <f>IF(Z1569&lt;&gt;"",Z1569,N(V1569))</f>
        <v/>
      </c>
      <c r="AE1569" s="43">
        <f>IF(AA1569&lt;&gt;"",AA1569,N(W1569))</f>
        <v/>
      </c>
      <c r="AF1569" s="43">
        <f>AD1569+AE1569</f>
        <v/>
      </c>
      <c r="AG1569" s="42">
        <f>IF(UPPER(AC1569)="Y",1,IF(AF1569=0,0,IF(AND(Z1569="",Y1569&lt;&gt;""),IF(Y1569&gt;=0.999,1,0),IF(AF1569&gt;=U1569,1,0))))</f>
        <v/>
      </c>
      <c r="AH1569" s="44">
        <f>IF(AF1569&gt;0,(AD1569-AE1569)/AF1569,"")</f>
        <v/>
      </c>
      <c r="AI1569" s="45">
        <f>IF(AG1569=1,AH1569-O1569,"")</f>
        <v/>
      </c>
      <c r="AJ1569" s="44">
        <f>IF(AG1569=1,AH1569,MAX(-1,MIN(1,O1569+INDEX(Types!$H:$H,MATCH($A1569&amp;"|"&amp;$D1569,Types!$A:$A,0)))))</f>
        <v/>
      </c>
      <c r="AK1569" s="43">
        <f>IF(AG1569=1,AF1569,MAX(AQ1569*AS1569,AF1569))</f>
        <v/>
      </c>
      <c r="AL1569" s="43">
        <f>IF(AG1569=1,AD1569,AK1569*(1+AJ1569)/2)</f>
        <v/>
      </c>
      <c r="AM1569" s="43">
        <f>IF(AG1569=1,AE1569,AK1569*(1-AJ1569)/2)</f>
        <v/>
      </c>
      <c r="AN1569" s="45">
        <f>IF(AH1569="","",AH1569-T1569)</f>
        <v/>
      </c>
      <c r="AO1569" s="51">
        <f>IF(AG1569=1,1,IF(U1569&gt;0,MIN(AF1569/U1569,0.99),0))</f>
        <v/>
      </c>
      <c r="AP1569" s="43">
        <f>IF(AG1569=1,AI1569*AF1569,0)</f>
        <v/>
      </c>
      <c r="AQ1569" s="43">
        <f>N1569*(F1569+G1569)/H1569</f>
        <v/>
      </c>
      <c r="AR1569" s="43">
        <f>O1569*AQ1569</f>
        <v/>
      </c>
      <c r="AS1569" s="52">
        <f>IF(AG1569=1,IF(AQ1569&gt;0,AF1569/AQ1569,1),IFERROR(INDEX(Types!$K:$K,MATCH($A1569&amp;"|"&amp;$D1569,Types!$A:$A,0)),INDEX(Dashboard!$X$6:$X$22,MATCH($A1569,Dashboard!$A$6:$A$22,0))))</f>
        <v/>
      </c>
      <c r="AT1569" s="43">
        <f>AQ1569*INDEX(Dashboard!$Y$6:$Y$22,MATCH($A1569,Dashboard!$A$6:$A$22,0))</f>
        <v/>
      </c>
      <c r="AU1569" s="53">
        <f>IF(AND(AG1569=1,AT1569&gt;0,AF1569&gt;0),100*AF1569/AT1569,"")</f>
        <v/>
      </c>
      <c r="AV1569" s="44">
        <f>IF(AU1569="","",T1569/(AU1569/100))</f>
        <v/>
      </c>
      <c r="AW1569" s="53">
        <f>IF(AU1569="","",IF(AND(ABS(AH1569)&gt;=0.1,ABS(T1569)&gt;=0.05,SIGN(AH1569)=SIGN(T1569)),100*T1569/AH1569,""))</f>
        <v/>
      </c>
      <c r="AX1569" s="45">
        <f>IF(AU1569="","",T1569-AV1569)</f>
        <v/>
      </c>
      <c r="AY1569" s="45">
        <f>IF(AU1569="","",AH1569-AV1569)</f>
        <v/>
      </c>
      <c r="AZ1569" s="54">
        <f>(AL1569-AM1569)-T1569*AT1569</f>
        <v/>
      </c>
      <c r="BA1569" s="43">
        <f>IF(AU1569="",0,(AH1569-T1569)*AF1569)</f>
        <v/>
      </c>
      <c r="BB1569" s="43">
        <f>IF(AU1569="",0,T1569*(AF1569-AT1569))</f>
        <v/>
      </c>
      <c r="BC1569" s="51" t="n">
        <v>0.06470766434413815</v>
      </c>
      <c r="BD1569" s="51" t="n">
        <v>0.1089770776532364</v>
      </c>
      <c r="BE1569" s="51" t="n">
        <v>0.3104469654334883</v>
      </c>
      <c r="BF1569" s="43" t="n">
        <v>49515</v>
      </c>
    </row>
    <row r="1570">
      <c r="A1570" s="42" t="inlineStr">
        <is>
          <t>KY</t>
        </is>
      </c>
      <c r="B1570" s="42" t="inlineStr">
        <is>
          <t>21213</t>
        </is>
      </c>
      <c r="C1570" s="42" t="inlineStr">
        <is>
          <t>Simpson</t>
        </is>
      </c>
      <c r="D1570" s="42" t="inlineStr">
        <is>
          <t>Small town &amp; rural</t>
        </is>
      </c>
      <c r="E1570" s="42" t="inlineStr"/>
      <c r="F1570" s="43" t="n">
        <v>2403</v>
      </c>
      <c r="G1570" s="43" t="n">
        <v>6253</v>
      </c>
      <c r="H1570" s="43" t="n">
        <v>8776</v>
      </c>
      <c r="I1570" s="43" t="n">
        <v>2681</v>
      </c>
      <c r="J1570" s="43" t="n">
        <v>5888</v>
      </c>
      <c r="K1570" s="42" t="inlineStr">
        <is>
          <t>US Senate</t>
        </is>
      </c>
      <c r="L1570" s="43" t="n">
        <v>1763</v>
      </c>
      <c r="M1570" s="43" t="n">
        <v>3975</v>
      </c>
      <c r="N1570" s="43" t="n">
        <v>5738</v>
      </c>
      <c r="O1570" s="44">
        <f>IFERROR((F1570-G1570)/(F1570+G1570),"")</f>
        <v/>
      </c>
      <c r="P1570" s="44">
        <f>IFERROR((I1570-J1570)/(I1570+J1570),"")</f>
        <v/>
      </c>
      <c r="Q1570" s="45">
        <f>IFERROR(O1570-P1570,"")</f>
        <v/>
      </c>
      <c r="R1570" s="44">
        <f>IFERROR((L1570-M1570)/(L1570+M1570),"")</f>
        <v/>
      </c>
      <c r="S1570" s="46">
        <f>H1570/SUMIFS(Counties!$H$2:$H$1583,Counties!$A$2:$A$1583,$A1570)</f>
        <v/>
      </c>
      <c r="T1570" s="44">
        <f>O1570+INDEX(Dashboard!$F$6:$F$22,MATCH($A1570,Dashboard!$A$6:$A$22,0))</f>
        <v/>
      </c>
      <c r="U1570" s="43">
        <f>AQ1570*INDEX(Dashboard!$G$6:$G$22,MATCH($A1570,Dashboard!$A$6:$A$22,0))</f>
        <v/>
      </c>
      <c r="V1570" s="47" t="n"/>
      <c r="W1570" s="47" t="n"/>
      <c r="X1570" s="47" t="n"/>
      <c r="Y1570" s="48" t="n"/>
      <c r="Z1570" s="49" t="n"/>
      <c r="AA1570" s="49" t="n"/>
      <c r="AB1570" s="49" t="n"/>
      <c r="AC1570" s="50" t="n"/>
      <c r="AD1570" s="43">
        <f>IF(Z1570&lt;&gt;"",Z1570,N(V1570))</f>
        <v/>
      </c>
      <c r="AE1570" s="43">
        <f>IF(AA1570&lt;&gt;"",AA1570,N(W1570))</f>
        <v/>
      </c>
      <c r="AF1570" s="43">
        <f>AD1570+AE1570</f>
        <v/>
      </c>
      <c r="AG1570" s="42">
        <f>IF(UPPER(AC1570)="Y",1,IF(AF1570=0,0,IF(AND(Z1570="",Y1570&lt;&gt;""),IF(Y1570&gt;=0.999,1,0),IF(AF1570&gt;=U1570,1,0))))</f>
        <v/>
      </c>
      <c r="AH1570" s="44">
        <f>IF(AF1570&gt;0,(AD1570-AE1570)/AF1570,"")</f>
        <v/>
      </c>
      <c r="AI1570" s="45">
        <f>IF(AG1570=1,AH1570-O1570,"")</f>
        <v/>
      </c>
      <c r="AJ1570" s="44">
        <f>IF(AG1570=1,AH1570,MAX(-1,MIN(1,O1570+INDEX(Types!$H:$H,MATCH($A1570&amp;"|"&amp;$D1570,Types!$A:$A,0)))))</f>
        <v/>
      </c>
      <c r="AK1570" s="43">
        <f>IF(AG1570=1,AF1570,MAX(AQ1570*AS1570,AF1570))</f>
        <v/>
      </c>
      <c r="AL1570" s="43">
        <f>IF(AG1570=1,AD1570,AK1570*(1+AJ1570)/2)</f>
        <v/>
      </c>
      <c r="AM1570" s="43">
        <f>IF(AG1570=1,AE1570,AK1570*(1-AJ1570)/2)</f>
        <v/>
      </c>
      <c r="AN1570" s="45">
        <f>IF(AH1570="","",AH1570-T1570)</f>
        <v/>
      </c>
      <c r="AO1570" s="51">
        <f>IF(AG1570=1,1,IF(U1570&gt;0,MIN(AF1570/U1570,0.99),0))</f>
        <v/>
      </c>
      <c r="AP1570" s="43">
        <f>IF(AG1570=1,AI1570*AF1570,0)</f>
        <v/>
      </c>
      <c r="AQ1570" s="43">
        <f>N1570*(F1570+G1570)/H1570</f>
        <v/>
      </c>
      <c r="AR1570" s="43">
        <f>O1570*AQ1570</f>
        <v/>
      </c>
      <c r="AS1570" s="52">
        <f>IF(AG1570=1,IF(AQ1570&gt;0,AF1570/AQ1570,1),IFERROR(INDEX(Types!$K:$K,MATCH($A1570&amp;"|"&amp;$D1570,Types!$A:$A,0)),INDEX(Dashboard!$X$6:$X$22,MATCH($A1570,Dashboard!$A$6:$A$22,0))))</f>
        <v/>
      </c>
      <c r="AT1570" s="43">
        <f>AQ1570*INDEX(Dashboard!$Y$6:$Y$22,MATCH($A1570,Dashboard!$A$6:$A$22,0))</f>
        <v/>
      </c>
      <c r="AU1570" s="53">
        <f>IF(AND(AG1570=1,AT1570&gt;0,AF1570&gt;0),100*AF1570/AT1570,"")</f>
        <v/>
      </c>
      <c r="AV1570" s="44">
        <f>IF(AU1570="","",T1570/(AU1570/100))</f>
        <v/>
      </c>
      <c r="AW1570" s="53">
        <f>IF(AU1570="","",IF(AND(ABS(AH1570)&gt;=0.1,ABS(T1570)&gt;=0.05,SIGN(AH1570)=SIGN(T1570)),100*T1570/AH1570,""))</f>
        <v/>
      </c>
      <c r="AX1570" s="45">
        <f>IF(AU1570="","",T1570-AV1570)</f>
        <v/>
      </c>
      <c r="AY1570" s="45">
        <f>IF(AU1570="","",AH1570-AV1570)</f>
        <v/>
      </c>
      <c r="AZ1570" s="54">
        <f>(AL1570-AM1570)-T1570*AT1570</f>
        <v/>
      </c>
      <c r="BA1570" s="43">
        <f>IF(AU1570="",0,(AH1570-T1570)*AF1570)</f>
        <v/>
      </c>
      <c r="BB1570" s="43">
        <f>IF(AU1570="",0,T1570*(AF1570-AT1570))</f>
        <v/>
      </c>
      <c r="BC1570" s="51" t="n">
        <v>0.08878435256251548</v>
      </c>
      <c r="BD1570" s="51" t="n">
        <v>0.03723693983659321</v>
      </c>
      <c r="BE1570" s="51" t="n">
        <v>0.1675263511998206</v>
      </c>
      <c r="BF1570" s="43" t="n">
        <v>20195</v>
      </c>
    </row>
    <row r="1571">
      <c r="A1571" s="42" t="inlineStr">
        <is>
          <t>KY</t>
        </is>
      </c>
      <c r="B1571" s="42" t="inlineStr">
        <is>
          <t>21215</t>
        </is>
      </c>
      <c r="C1571" s="42" t="inlineStr">
        <is>
          <t>Spencer</t>
        </is>
      </c>
      <c r="D1571" s="42" t="inlineStr">
        <is>
          <t>Small town &amp; rural</t>
        </is>
      </c>
      <c r="E1571" s="42" t="inlineStr"/>
      <c r="F1571" s="43" t="n">
        <v>2415</v>
      </c>
      <c r="G1571" s="43" t="n">
        <v>8927</v>
      </c>
      <c r="H1571" s="43" t="n">
        <v>11479</v>
      </c>
      <c r="I1571" s="43" t="n">
        <v>2530</v>
      </c>
      <c r="J1571" s="43" t="n">
        <v>8737</v>
      </c>
      <c r="K1571" s="42" t="inlineStr">
        <is>
          <t>US Senate</t>
        </is>
      </c>
      <c r="L1571" s="43" t="n">
        <v>1889</v>
      </c>
      <c r="M1571" s="43" t="n">
        <v>5844</v>
      </c>
      <c r="N1571" s="43" t="n">
        <v>7734</v>
      </c>
      <c r="O1571" s="44">
        <f>IFERROR((F1571-G1571)/(F1571+G1571),"")</f>
        <v/>
      </c>
      <c r="P1571" s="44">
        <f>IFERROR((I1571-J1571)/(I1571+J1571),"")</f>
        <v/>
      </c>
      <c r="Q1571" s="45">
        <f>IFERROR(O1571-P1571,"")</f>
        <v/>
      </c>
      <c r="R1571" s="44">
        <f>IFERROR((L1571-M1571)/(L1571+M1571),"")</f>
        <v/>
      </c>
      <c r="S1571" s="46">
        <f>H1571/SUMIFS(Counties!$H$2:$H$1583,Counties!$A$2:$A$1583,$A1571)</f>
        <v/>
      </c>
      <c r="T1571" s="44">
        <f>O1571+INDEX(Dashboard!$F$6:$F$22,MATCH($A1571,Dashboard!$A$6:$A$22,0))</f>
        <v/>
      </c>
      <c r="U1571" s="43">
        <f>AQ1571*INDEX(Dashboard!$G$6:$G$22,MATCH($A1571,Dashboard!$A$6:$A$22,0))</f>
        <v/>
      </c>
      <c r="V1571" s="47" t="n"/>
      <c r="W1571" s="47" t="n"/>
      <c r="X1571" s="47" t="n"/>
      <c r="Y1571" s="48" t="n"/>
      <c r="Z1571" s="49" t="n"/>
      <c r="AA1571" s="49" t="n"/>
      <c r="AB1571" s="49" t="n"/>
      <c r="AC1571" s="50" t="n"/>
      <c r="AD1571" s="43">
        <f>IF(Z1571&lt;&gt;"",Z1571,N(V1571))</f>
        <v/>
      </c>
      <c r="AE1571" s="43">
        <f>IF(AA1571&lt;&gt;"",AA1571,N(W1571))</f>
        <v/>
      </c>
      <c r="AF1571" s="43">
        <f>AD1571+AE1571</f>
        <v/>
      </c>
      <c r="AG1571" s="42">
        <f>IF(UPPER(AC1571)="Y",1,IF(AF1571=0,0,IF(AND(Z1571="",Y1571&lt;&gt;""),IF(Y1571&gt;=0.999,1,0),IF(AF1571&gt;=U1571,1,0))))</f>
        <v/>
      </c>
      <c r="AH1571" s="44">
        <f>IF(AF1571&gt;0,(AD1571-AE1571)/AF1571,"")</f>
        <v/>
      </c>
      <c r="AI1571" s="45">
        <f>IF(AG1571=1,AH1571-O1571,"")</f>
        <v/>
      </c>
      <c r="AJ1571" s="44">
        <f>IF(AG1571=1,AH1571,MAX(-1,MIN(1,O1571+INDEX(Types!$H:$H,MATCH($A1571&amp;"|"&amp;$D1571,Types!$A:$A,0)))))</f>
        <v/>
      </c>
      <c r="AK1571" s="43">
        <f>IF(AG1571=1,AF1571,MAX(AQ1571*AS1571,AF1571))</f>
        <v/>
      </c>
      <c r="AL1571" s="43">
        <f>IF(AG1571=1,AD1571,AK1571*(1+AJ1571)/2)</f>
        <v/>
      </c>
      <c r="AM1571" s="43">
        <f>IF(AG1571=1,AE1571,AK1571*(1-AJ1571)/2)</f>
        <v/>
      </c>
      <c r="AN1571" s="45">
        <f>IF(AH1571="","",AH1571-T1571)</f>
        <v/>
      </c>
      <c r="AO1571" s="51">
        <f>IF(AG1571=1,1,IF(U1571&gt;0,MIN(AF1571/U1571,0.99),0))</f>
        <v/>
      </c>
      <c r="AP1571" s="43">
        <f>IF(AG1571=1,AI1571*AF1571,0)</f>
        <v/>
      </c>
      <c r="AQ1571" s="43">
        <f>N1571*(F1571+G1571)/H1571</f>
        <v/>
      </c>
      <c r="AR1571" s="43">
        <f>O1571*AQ1571</f>
        <v/>
      </c>
      <c r="AS1571" s="52">
        <f>IF(AG1571=1,IF(AQ1571&gt;0,AF1571/AQ1571,1),IFERROR(INDEX(Types!$K:$K,MATCH($A1571&amp;"|"&amp;$D1571,Types!$A:$A,0)),INDEX(Dashboard!$X$6:$X$22,MATCH($A1571,Dashboard!$A$6:$A$22,0))))</f>
        <v/>
      </c>
      <c r="AT1571" s="43">
        <f>AQ1571*INDEX(Dashboard!$Y$6:$Y$22,MATCH($A1571,Dashboard!$A$6:$A$22,0))</f>
        <v/>
      </c>
      <c r="AU1571" s="53">
        <f>IF(AND(AG1571=1,AT1571&gt;0,AF1571&gt;0),100*AF1571/AT1571,"")</f>
        <v/>
      </c>
      <c r="AV1571" s="44">
        <f>IF(AU1571="","",T1571/(AU1571/100))</f>
        <v/>
      </c>
      <c r="AW1571" s="53">
        <f>IF(AU1571="","",IF(AND(ABS(AH1571)&gt;=0.1,ABS(T1571)&gt;=0.05,SIGN(AH1571)=SIGN(T1571)),100*T1571/AH1571,""))</f>
        <v/>
      </c>
      <c r="AX1571" s="45">
        <f>IF(AU1571="","",T1571-AV1571)</f>
        <v/>
      </c>
      <c r="AY1571" s="45">
        <f>IF(AU1571="","",AH1571-AV1571)</f>
        <v/>
      </c>
      <c r="AZ1571" s="54">
        <f>(AL1571-AM1571)-T1571*AT1571</f>
        <v/>
      </c>
      <c r="BA1571" s="43">
        <f>IF(AU1571="",0,(AH1571-T1571)*AF1571)</f>
        <v/>
      </c>
      <c r="BB1571" s="43">
        <f>IF(AU1571="",0,T1571*(AF1571-AT1571))</f>
        <v/>
      </c>
      <c r="BC1571" s="51" t="n">
        <v>0.01836247625541864</v>
      </c>
      <c r="BD1571" s="51" t="n">
        <v>0.02800642930203108</v>
      </c>
      <c r="BE1571" s="51" t="n">
        <v>0.2210435779816514</v>
      </c>
      <c r="BF1571" s="43" t="n">
        <v>20531</v>
      </c>
    </row>
    <row r="1572">
      <c r="A1572" s="42" t="inlineStr">
        <is>
          <t>KY</t>
        </is>
      </c>
      <c r="B1572" s="42" t="inlineStr">
        <is>
          <t>21217</t>
        </is>
      </c>
      <c r="C1572" s="42" t="inlineStr">
        <is>
          <t>Taylor</t>
        </is>
      </c>
      <c r="D1572" s="42" t="inlineStr">
        <is>
          <t>Small town &amp; rural</t>
        </is>
      </c>
      <c r="E1572" s="42" t="inlineStr"/>
      <c r="F1572" s="43" t="n">
        <v>2576</v>
      </c>
      <c r="G1572" s="43" t="n">
        <v>9523</v>
      </c>
      <c r="H1572" s="43" t="n">
        <v>12256</v>
      </c>
      <c r="I1572" s="43" t="n">
        <v>2963</v>
      </c>
      <c r="J1572" s="43" t="n">
        <v>9376</v>
      </c>
      <c r="K1572" s="42" t="inlineStr">
        <is>
          <t>US Senate</t>
        </is>
      </c>
      <c r="L1572" s="43" t="n">
        <v>2244</v>
      </c>
      <c r="M1572" s="43" t="n">
        <v>6751</v>
      </c>
      <c r="N1572" s="43" t="n">
        <v>8996</v>
      </c>
      <c r="O1572" s="44">
        <f>IFERROR((F1572-G1572)/(F1572+G1572),"")</f>
        <v/>
      </c>
      <c r="P1572" s="44">
        <f>IFERROR((I1572-J1572)/(I1572+J1572),"")</f>
        <v/>
      </c>
      <c r="Q1572" s="45">
        <f>IFERROR(O1572-P1572,"")</f>
        <v/>
      </c>
      <c r="R1572" s="44">
        <f>IFERROR((L1572-M1572)/(L1572+M1572),"")</f>
        <v/>
      </c>
      <c r="S1572" s="46">
        <f>H1572/SUMIFS(Counties!$H$2:$H$1583,Counties!$A$2:$A$1583,$A1572)</f>
        <v/>
      </c>
      <c r="T1572" s="44">
        <f>O1572+INDEX(Dashboard!$F$6:$F$22,MATCH($A1572,Dashboard!$A$6:$A$22,0))</f>
        <v/>
      </c>
      <c r="U1572" s="43">
        <f>AQ1572*INDEX(Dashboard!$G$6:$G$22,MATCH($A1572,Dashboard!$A$6:$A$22,0))</f>
        <v/>
      </c>
      <c r="V1572" s="47" t="n"/>
      <c r="W1572" s="47" t="n"/>
      <c r="X1572" s="47" t="n"/>
      <c r="Y1572" s="48" t="n"/>
      <c r="Z1572" s="49" t="n"/>
      <c r="AA1572" s="49" t="n"/>
      <c r="AB1572" s="49" t="n"/>
      <c r="AC1572" s="50" t="n"/>
      <c r="AD1572" s="43">
        <f>IF(Z1572&lt;&gt;"",Z1572,N(V1572))</f>
        <v/>
      </c>
      <c r="AE1572" s="43">
        <f>IF(AA1572&lt;&gt;"",AA1572,N(W1572))</f>
        <v/>
      </c>
      <c r="AF1572" s="43">
        <f>AD1572+AE1572</f>
        <v/>
      </c>
      <c r="AG1572" s="42">
        <f>IF(UPPER(AC1572)="Y",1,IF(AF1572=0,0,IF(AND(Z1572="",Y1572&lt;&gt;""),IF(Y1572&gt;=0.999,1,0),IF(AF1572&gt;=U1572,1,0))))</f>
        <v/>
      </c>
      <c r="AH1572" s="44">
        <f>IF(AF1572&gt;0,(AD1572-AE1572)/AF1572,"")</f>
        <v/>
      </c>
      <c r="AI1572" s="45">
        <f>IF(AG1572=1,AH1572-O1572,"")</f>
        <v/>
      </c>
      <c r="AJ1572" s="44">
        <f>IF(AG1572=1,AH1572,MAX(-1,MIN(1,O1572+INDEX(Types!$H:$H,MATCH($A1572&amp;"|"&amp;$D1572,Types!$A:$A,0)))))</f>
        <v/>
      </c>
      <c r="AK1572" s="43">
        <f>IF(AG1572=1,AF1572,MAX(AQ1572*AS1572,AF1572))</f>
        <v/>
      </c>
      <c r="AL1572" s="43">
        <f>IF(AG1572=1,AD1572,AK1572*(1+AJ1572)/2)</f>
        <v/>
      </c>
      <c r="AM1572" s="43">
        <f>IF(AG1572=1,AE1572,AK1572*(1-AJ1572)/2)</f>
        <v/>
      </c>
      <c r="AN1572" s="45">
        <f>IF(AH1572="","",AH1572-T1572)</f>
        <v/>
      </c>
      <c r="AO1572" s="51">
        <f>IF(AG1572=1,1,IF(U1572&gt;0,MIN(AF1572/U1572,0.99),0))</f>
        <v/>
      </c>
      <c r="AP1572" s="43">
        <f>IF(AG1572=1,AI1572*AF1572,0)</f>
        <v/>
      </c>
      <c r="AQ1572" s="43">
        <f>N1572*(F1572+G1572)/H1572</f>
        <v/>
      </c>
      <c r="AR1572" s="43">
        <f>O1572*AQ1572</f>
        <v/>
      </c>
      <c r="AS1572" s="52">
        <f>IF(AG1572=1,IF(AQ1572&gt;0,AF1572/AQ1572,1),IFERROR(INDEX(Types!$K:$K,MATCH($A1572&amp;"|"&amp;$D1572,Types!$A:$A,0)),INDEX(Dashboard!$X$6:$X$22,MATCH($A1572,Dashboard!$A$6:$A$22,0))))</f>
        <v/>
      </c>
      <c r="AT1572" s="43">
        <f>AQ1572*INDEX(Dashboard!$Y$6:$Y$22,MATCH($A1572,Dashboard!$A$6:$A$22,0))</f>
        <v/>
      </c>
      <c r="AU1572" s="53">
        <f>IF(AND(AG1572=1,AT1572&gt;0,AF1572&gt;0),100*AF1572/AT1572,"")</f>
        <v/>
      </c>
      <c r="AV1572" s="44">
        <f>IF(AU1572="","",T1572/(AU1572/100))</f>
        <v/>
      </c>
      <c r="AW1572" s="53">
        <f>IF(AU1572="","",IF(AND(ABS(AH1572)&gt;=0.1,ABS(T1572)&gt;=0.05,SIGN(AH1572)=SIGN(T1572)),100*T1572/AH1572,""))</f>
        <v/>
      </c>
      <c r="AX1572" s="45">
        <f>IF(AU1572="","",T1572-AV1572)</f>
        <v/>
      </c>
      <c r="AY1572" s="45">
        <f>IF(AU1572="","",AH1572-AV1572)</f>
        <v/>
      </c>
      <c r="AZ1572" s="54">
        <f>(AL1572-AM1572)-T1572*AT1572</f>
        <v/>
      </c>
      <c r="BA1572" s="43">
        <f>IF(AU1572="",0,(AH1572-T1572)*AF1572)</f>
        <v/>
      </c>
      <c r="BB1572" s="43">
        <f>IF(AU1572="",0,T1572*(AF1572-AT1572))</f>
        <v/>
      </c>
      <c r="BC1572" s="51" t="n">
        <v>0.05241462768974776</v>
      </c>
      <c r="BD1572" s="51" t="n">
        <v>0.03119918314865938</v>
      </c>
      <c r="BE1572" s="51" t="n">
        <v>0.2197527998607323</v>
      </c>
      <c r="BF1572" s="43" t="n">
        <v>26443</v>
      </c>
    </row>
    <row r="1573">
      <c r="A1573" s="42" t="inlineStr">
        <is>
          <t>KY</t>
        </is>
      </c>
      <c r="B1573" s="42" t="inlineStr">
        <is>
          <t>21219</t>
        </is>
      </c>
      <c r="C1573" s="42" t="inlineStr">
        <is>
          <t>Todd</t>
        </is>
      </c>
      <c r="D1573" s="42" t="inlineStr">
        <is>
          <t>Small town &amp; rural</t>
        </is>
      </c>
      <c r="E1573" s="42" t="inlineStr"/>
      <c r="F1573" s="43" t="n">
        <v>1051</v>
      </c>
      <c r="G1573" s="43" t="n">
        <v>4009</v>
      </c>
      <c r="H1573" s="43" t="n">
        <v>5112</v>
      </c>
      <c r="I1573" s="43" t="n">
        <v>1205</v>
      </c>
      <c r="J1573" s="43" t="n">
        <v>4062</v>
      </c>
      <c r="K1573" s="42" t="inlineStr">
        <is>
          <t>US Senate</t>
        </is>
      </c>
      <c r="L1573" s="43" t="n">
        <v>814</v>
      </c>
      <c r="M1573" s="43" t="n">
        <v>2681</v>
      </c>
      <c r="N1573" s="43" t="n">
        <v>3495</v>
      </c>
      <c r="O1573" s="44">
        <f>IFERROR((F1573-G1573)/(F1573+G1573),"")</f>
        <v/>
      </c>
      <c r="P1573" s="44">
        <f>IFERROR((I1573-J1573)/(I1573+J1573),"")</f>
        <v/>
      </c>
      <c r="Q1573" s="45">
        <f>IFERROR(O1573-P1573,"")</f>
        <v/>
      </c>
      <c r="R1573" s="44">
        <f>IFERROR((L1573-M1573)/(L1573+M1573),"")</f>
        <v/>
      </c>
      <c r="S1573" s="46">
        <f>H1573/SUMIFS(Counties!$H$2:$H$1583,Counties!$A$2:$A$1583,$A1573)</f>
        <v/>
      </c>
      <c r="T1573" s="44">
        <f>O1573+INDEX(Dashboard!$F$6:$F$22,MATCH($A1573,Dashboard!$A$6:$A$22,0))</f>
        <v/>
      </c>
      <c r="U1573" s="43">
        <f>AQ1573*INDEX(Dashboard!$G$6:$G$22,MATCH($A1573,Dashboard!$A$6:$A$22,0))</f>
        <v/>
      </c>
      <c r="V1573" s="47" t="n"/>
      <c r="W1573" s="47" t="n"/>
      <c r="X1573" s="47" t="n"/>
      <c r="Y1573" s="48" t="n"/>
      <c r="Z1573" s="49" t="n"/>
      <c r="AA1573" s="49" t="n"/>
      <c r="AB1573" s="49" t="n"/>
      <c r="AC1573" s="50" t="n"/>
      <c r="AD1573" s="43">
        <f>IF(Z1573&lt;&gt;"",Z1573,N(V1573))</f>
        <v/>
      </c>
      <c r="AE1573" s="43">
        <f>IF(AA1573&lt;&gt;"",AA1573,N(W1573))</f>
        <v/>
      </c>
      <c r="AF1573" s="43">
        <f>AD1573+AE1573</f>
        <v/>
      </c>
      <c r="AG1573" s="42">
        <f>IF(UPPER(AC1573)="Y",1,IF(AF1573=0,0,IF(AND(Z1573="",Y1573&lt;&gt;""),IF(Y1573&gt;=0.999,1,0),IF(AF1573&gt;=U1573,1,0))))</f>
        <v/>
      </c>
      <c r="AH1573" s="44">
        <f>IF(AF1573&gt;0,(AD1573-AE1573)/AF1573,"")</f>
        <v/>
      </c>
      <c r="AI1573" s="45">
        <f>IF(AG1573=1,AH1573-O1573,"")</f>
        <v/>
      </c>
      <c r="AJ1573" s="44">
        <f>IF(AG1573=1,AH1573,MAX(-1,MIN(1,O1573+INDEX(Types!$H:$H,MATCH($A1573&amp;"|"&amp;$D1573,Types!$A:$A,0)))))</f>
        <v/>
      </c>
      <c r="AK1573" s="43">
        <f>IF(AG1573=1,AF1573,MAX(AQ1573*AS1573,AF1573))</f>
        <v/>
      </c>
      <c r="AL1573" s="43">
        <f>IF(AG1573=1,AD1573,AK1573*(1+AJ1573)/2)</f>
        <v/>
      </c>
      <c r="AM1573" s="43">
        <f>IF(AG1573=1,AE1573,AK1573*(1-AJ1573)/2)</f>
        <v/>
      </c>
      <c r="AN1573" s="45">
        <f>IF(AH1573="","",AH1573-T1573)</f>
        <v/>
      </c>
      <c r="AO1573" s="51">
        <f>IF(AG1573=1,1,IF(U1573&gt;0,MIN(AF1573/U1573,0.99),0))</f>
        <v/>
      </c>
      <c r="AP1573" s="43">
        <f>IF(AG1573=1,AI1573*AF1573,0)</f>
        <v/>
      </c>
      <c r="AQ1573" s="43">
        <f>N1573*(F1573+G1573)/H1573</f>
        <v/>
      </c>
      <c r="AR1573" s="43">
        <f>O1573*AQ1573</f>
        <v/>
      </c>
      <c r="AS1573" s="52">
        <f>IF(AG1573=1,IF(AQ1573&gt;0,AF1573/AQ1573,1),IFERROR(INDEX(Types!$K:$K,MATCH($A1573&amp;"|"&amp;$D1573,Types!$A:$A,0)),INDEX(Dashboard!$X$6:$X$22,MATCH($A1573,Dashboard!$A$6:$A$22,0))))</f>
        <v/>
      </c>
      <c r="AT1573" s="43">
        <f>AQ1573*INDEX(Dashboard!$Y$6:$Y$22,MATCH($A1573,Dashboard!$A$6:$A$22,0))</f>
        <v/>
      </c>
      <c r="AU1573" s="53">
        <f>IF(AND(AG1573=1,AT1573&gt;0,AF1573&gt;0),100*AF1573/AT1573,"")</f>
        <v/>
      </c>
      <c r="AV1573" s="44">
        <f>IF(AU1573="","",T1573/(AU1573/100))</f>
        <v/>
      </c>
      <c r="AW1573" s="53">
        <f>IF(AU1573="","",IF(AND(ABS(AH1573)&gt;=0.1,ABS(T1573)&gt;=0.05,SIGN(AH1573)=SIGN(T1573)),100*T1573/AH1573,""))</f>
        <v/>
      </c>
      <c r="AX1573" s="45">
        <f>IF(AU1573="","",T1573-AV1573)</f>
        <v/>
      </c>
      <c r="AY1573" s="45">
        <f>IF(AU1573="","",AH1573-AV1573)</f>
        <v/>
      </c>
      <c r="AZ1573" s="54">
        <f>(AL1573-AM1573)-T1573*AT1573</f>
        <v/>
      </c>
      <c r="BA1573" s="43">
        <f>IF(AU1573="",0,(AH1573-T1573)*AF1573)</f>
        <v/>
      </c>
      <c r="BB1573" s="43">
        <f>IF(AU1573="",0,T1573*(AF1573-AT1573))</f>
        <v/>
      </c>
      <c r="BC1573" s="51" t="n">
        <v>0.07275492236273411</v>
      </c>
      <c r="BD1573" s="51" t="n">
        <v>0.05554666239795102</v>
      </c>
      <c r="BE1573" s="51" t="n">
        <v>0.1593769470404984</v>
      </c>
      <c r="BF1573" s="43" t="n">
        <v>12494</v>
      </c>
    </row>
    <row r="1574">
      <c r="A1574" s="42" t="inlineStr">
        <is>
          <t>KY</t>
        </is>
      </c>
      <c r="B1574" s="42" t="inlineStr">
        <is>
          <t>21221</t>
        </is>
      </c>
      <c r="C1574" s="42" t="inlineStr">
        <is>
          <t>Trigg</t>
        </is>
      </c>
      <c r="D1574" s="42" t="inlineStr">
        <is>
          <t>Small town &amp; rural</t>
        </is>
      </c>
      <c r="E1574" s="42" t="inlineStr"/>
      <c r="F1574" s="43" t="n">
        <v>1667</v>
      </c>
      <c r="G1574" s="43" t="n">
        <v>5436</v>
      </c>
      <c r="H1574" s="43" t="n">
        <v>7196</v>
      </c>
      <c r="I1574" s="43" t="n">
        <v>1791</v>
      </c>
      <c r="J1574" s="43" t="n">
        <v>5487</v>
      </c>
      <c r="K1574" s="42" t="inlineStr">
        <is>
          <t>US Senate</t>
        </is>
      </c>
      <c r="L1574" s="43" t="n">
        <v>1396</v>
      </c>
      <c r="M1574" s="43" t="n">
        <v>4057</v>
      </c>
      <c r="N1574" s="43" t="n">
        <v>5455</v>
      </c>
      <c r="O1574" s="44">
        <f>IFERROR((F1574-G1574)/(F1574+G1574),"")</f>
        <v/>
      </c>
      <c r="P1574" s="44">
        <f>IFERROR((I1574-J1574)/(I1574+J1574),"")</f>
        <v/>
      </c>
      <c r="Q1574" s="45">
        <f>IFERROR(O1574-P1574,"")</f>
        <v/>
      </c>
      <c r="R1574" s="44">
        <f>IFERROR((L1574-M1574)/(L1574+M1574),"")</f>
        <v/>
      </c>
      <c r="S1574" s="46">
        <f>H1574/SUMIFS(Counties!$H$2:$H$1583,Counties!$A$2:$A$1583,$A1574)</f>
        <v/>
      </c>
      <c r="T1574" s="44">
        <f>O1574+INDEX(Dashboard!$F$6:$F$22,MATCH($A1574,Dashboard!$A$6:$A$22,0))</f>
        <v/>
      </c>
      <c r="U1574" s="43">
        <f>AQ1574*INDEX(Dashboard!$G$6:$G$22,MATCH($A1574,Dashboard!$A$6:$A$22,0))</f>
        <v/>
      </c>
      <c r="V1574" s="47" t="n"/>
      <c r="W1574" s="47" t="n"/>
      <c r="X1574" s="47" t="n"/>
      <c r="Y1574" s="48" t="n"/>
      <c r="Z1574" s="49" t="n"/>
      <c r="AA1574" s="49" t="n"/>
      <c r="AB1574" s="49" t="n"/>
      <c r="AC1574" s="50" t="n"/>
      <c r="AD1574" s="43">
        <f>IF(Z1574&lt;&gt;"",Z1574,N(V1574))</f>
        <v/>
      </c>
      <c r="AE1574" s="43">
        <f>IF(AA1574&lt;&gt;"",AA1574,N(W1574))</f>
        <v/>
      </c>
      <c r="AF1574" s="43">
        <f>AD1574+AE1574</f>
        <v/>
      </c>
      <c r="AG1574" s="42">
        <f>IF(UPPER(AC1574)="Y",1,IF(AF1574=0,0,IF(AND(Z1574="",Y1574&lt;&gt;""),IF(Y1574&gt;=0.999,1,0),IF(AF1574&gt;=U1574,1,0))))</f>
        <v/>
      </c>
      <c r="AH1574" s="44">
        <f>IF(AF1574&gt;0,(AD1574-AE1574)/AF1574,"")</f>
        <v/>
      </c>
      <c r="AI1574" s="45">
        <f>IF(AG1574=1,AH1574-O1574,"")</f>
        <v/>
      </c>
      <c r="AJ1574" s="44">
        <f>IF(AG1574=1,AH1574,MAX(-1,MIN(1,O1574+INDEX(Types!$H:$H,MATCH($A1574&amp;"|"&amp;$D1574,Types!$A:$A,0)))))</f>
        <v/>
      </c>
      <c r="AK1574" s="43">
        <f>IF(AG1574=1,AF1574,MAX(AQ1574*AS1574,AF1574))</f>
        <v/>
      </c>
      <c r="AL1574" s="43">
        <f>IF(AG1574=1,AD1574,AK1574*(1+AJ1574)/2)</f>
        <v/>
      </c>
      <c r="AM1574" s="43">
        <f>IF(AG1574=1,AE1574,AK1574*(1-AJ1574)/2)</f>
        <v/>
      </c>
      <c r="AN1574" s="45">
        <f>IF(AH1574="","",AH1574-T1574)</f>
        <v/>
      </c>
      <c r="AO1574" s="51">
        <f>IF(AG1574=1,1,IF(U1574&gt;0,MIN(AF1574/U1574,0.99),0))</f>
        <v/>
      </c>
      <c r="AP1574" s="43">
        <f>IF(AG1574=1,AI1574*AF1574,0)</f>
        <v/>
      </c>
      <c r="AQ1574" s="43">
        <f>N1574*(F1574+G1574)/H1574</f>
        <v/>
      </c>
      <c r="AR1574" s="43">
        <f>O1574*AQ1574</f>
        <v/>
      </c>
      <c r="AS1574" s="52">
        <f>IF(AG1574=1,IF(AQ1574&gt;0,AF1574/AQ1574,1),IFERROR(INDEX(Types!$K:$K,MATCH($A1574&amp;"|"&amp;$D1574,Types!$A:$A,0)),INDEX(Dashboard!$X$6:$X$22,MATCH($A1574,Dashboard!$A$6:$A$22,0))))</f>
        <v/>
      </c>
      <c r="AT1574" s="43">
        <f>AQ1574*INDEX(Dashboard!$Y$6:$Y$22,MATCH($A1574,Dashboard!$A$6:$A$22,0))</f>
        <v/>
      </c>
      <c r="AU1574" s="53">
        <f>IF(AND(AG1574=1,AT1574&gt;0,AF1574&gt;0),100*AF1574/AT1574,"")</f>
        <v/>
      </c>
      <c r="AV1574" s="44">
        <f>IF(AU1574="","",T1574/(AU1574/100))</f>
        <v/>
      </c>
      <c r="AW1574" s="53">
        <f>IF(AU1574="","",IF(AND(ABS(AH1574)&gt;=0.1,ABS(T1574)&gt;=0.05,SIGN(AH1574)=SIGN(T1574)),100*T1574/AH1574,""))</f>
        <v/>
      </c>
      <c r="AX1574" s="45">
        <f>IF(AU1574="","",T1574-AV1574)</f>
        <v/>
      </c>
      <c r="AY1574" s="45">
        <f>IF(AU1574="","",AH1574-AV1574)</f>
        <v/>
      </c>
      <c r="AZ1574" s="54">
        <f>(AL1574-AM1574)-T1574*AT1574</f>
        <v/>
      </c>
      <c r="BA1574" s="43">
        <f>IF(AU1574="",0,(AH1574-T1574)*AF1574)</f>
        <v/>
      </c>
      <c r="BB1574" s="43">
        <f>IF(AU1574="",0,T1574*(AF1574-AT1574))</f>
        <v/>
      </c>
      <c r="BC1574" s="51" t="n">
        <v>0.06980304822882595</v>
      </c>
      <c r="BD1574" s="51" t="n">
        <v>0.02804648896930893</v>
      </c>
      <c r="BE1574" s="51" t="n">
        <v>0.2030341838242538</v>
      </c>
      <c r="BF1574" s="43" t="n">
        <v>14369</v>
      </c>
    </row>
    <row r="1575">
      <c r="A1575" s="42" t="inlineStr">
        <is>
          <t>KY</t>
        </is>
      </c>
      <c r="B1575" s="42" t="inlineStr">
        <is>
          <t>21223</t>
        </is>
      </c>
      <c r="C1575" s="42" t="inlineStr">
        <is>
          <t>Trimble</t>
        </is>
      </c>
      <c r="D1575" s="42" t="inlineStr">
        <is>
          <t>Small town &amp; rural</t>
        </is>
      </c>
      <c r="E1575" s="42" t="inlineStr"/>
      <c r="F1575" s="43" t="n">
        <v>923</v>
      </c>
      <c r="G1575" s="43" t="n">
        <v>3283</v>
      </c>
      <c r="H1575" s="43" t="n">
        <v>4249</v>
      </c>
      <c r="I1575" s="43" t="n">
        <v>1012</v>
      </c>
      <c r="J1575" s="43" t="n">
        <v>3227</v>
      </c>
      <c r="K1575" s="42" t="inlineStr">
        <is>
          <t>US Senate</t>
        </is>
      </c>
      <c r="L1575" s="43" t="n">
        <v>795</v>
      </c>
      <c r="M1575" s="43" t="n">
        <v>2394</v>
      </c>
      <c r="N1575" s="43" t="n">
        <v>3190</v>
      </c>
      <c r="O1575" s="44">
        <f>IFERROR((F1575-G1575)/(F1575+G1575),"")</f>
        <v/>
      </c>
      <c r="P1575" s="44">
        <f>IFERROR((I1575-J1575)/(I1575+J1575),"")</f>
        <v/>
      </c>
      <c r="Q1575" s="45">
        <f>IFERROR(O1575-P1575,"")</f>
        <v/>
      </c>
      <c r="R1575" s="44">
        <f>IFERROR((L1575-M1575)/(L1575+M1575),"")</f>
        <v/>
      </c>
      <c r="S1575" s="46">
        <f>H1575/SUMIFS(Counties!$H$2:$H$1583,Counties!$A$2:$A$1583,$A1575)</f>
        <v/>
      </c>
      <c r="T1575" s="44">
        <f>O1575+INDEX(Dashboard!$F$6:$F$22,MATCH($A1575,Dashboard!$A$6:$A$22,0))</f>
        <v/>
      </c>
      <c r="U1575" s="43">
        <f>AQ1575*INDEX(Dashboard!$G$6:$G$22,MATCH($A1575,Dashboard!$A$6:$A$22,0))</f>
        <v/>
      </c>
      <c r="V1575" s="47" t="n"/>
      <c r="W1575" s="47" t="n"/>
      <c r="X1575" s="47" t="n"/>
      <c r="Y1575" s="48" t="n"/>
      <c r="Z1575" s="49" t="n"/>
      <c r="AA1575" s="49" t="n"/>
      <c r="AB1575" s="49" t="n"/>
      <c r="AC1575" s="50" t="n"/>
      <c r="AD1575" s="43">
        <f>IF(Z1575&lt;&gt;"",Z1575,N(V1575))</f>
        <v/>
      </c>
      <c r="AE1575" s="43">
        <f>IF(AA1575&lt;&gt;"",AA1575,N(W1575))</f>
        <v/>
      </c>
      <c r="AF1575" s="43">
        <f>AD1575+AE1575</f>
        <v/>
      </c>
      <c r="AG1575" s="42">
        <f>IF(UPPER(AC1575)="Y",1,IF(AF1575=0,0,IF(AND(Z1575="",Y1575&lt;&gt;""),IF(Y1575&gt;=0.999,1,0),IF(AF1575&gt;=U1575,1,0))))</f>
        <v/>
      </c>
      <c r="AH1575" s="44">
        <f>IF(AF1575&gt;0,(AD1575-AE1575)/AF1575,"")</f>
        <v/>
      </c>
      <c r="AI1575" s="45">
        <f>IF(AG1575=1,AH1575-O1575,"")</f>
        <v/>
      </c>
      <c r="AJ1575" s="44">
        <f>IF(AG1575=1,AH1575,MAX(-1,MIN(1,O1575+INDEX(Types!$H:$H,MATCH($A1575&amp;"|"&amp;$D1575,Types!$A:$A,0)))))</f>
        <v/>
      </c>
      <c r="AK1575" s="43">
        <f>IF(AG1575=1,AF1575,MAX(AQ1575*AS1575,AF1575))</f>
        <v/>
      </c>
      <c r="AL1575" s="43">
        <f>IF(AG1575=1,AD1575,AK1575*(1+AJ1575)/2)</f>
        <v/>
      </c>
      <c r="AM1575" s="43">
        <f>IF(AG1575=1,AE1575,AK1575*(1-AJ1575)/2)</f>
        <v/>
      </c>
      <c r="AN1575" s="45">
        <f>IF(AH1575="","",AH1575-T1575)</f>
        <v/>
      </c>
      <c r="AO1575" s="51">
        <f>IF(AG1575=1,1,IF(U1575&gt;0,MIN(AF1575/U1575,0.99),0))</f>
        <v/>
      </c>
      <c r="AP1575" s="43">
        <f>IF(AG1575=1,AI1575*AF1575,0)</f>
        <v/>
      </c>
      <c r="AQ1575" s="43">
        <f>N1575*(F1575+G1575)/H1575</f>
        <v/>
      </c>
      <c r="AR1575" s="43">
        <f>O1575*AQ1575</f>
        <v/>
      </c>
      <c r="AS1575" s="52">
        <f>IF(AG1575=1,IF(AQ1575&gt;0,AF1575/AQ1575,1),IFERROR(INDEX(Types!$K:$K,MATCH($A1575&amp;"|"&amp;$D1575,Types!$A:$A,0)),INDEX(Dashboard!$X$6:$X$22,MATCH($A1575,Dashboard!$A$6:$A$22,0))))</f>
        <v/>
      </c>
      <c r="AT1575" s="43">
        <f>AQ1575*INDEX(Dashboard!$Y$6:$Y$22,MATCH($A1575,Dashboard!$A$6:$A$22,0))</f>
        <v/>
      </c>
      <c r="AU1575" s="53">
        <f>IF(AND(AG1575=1,AT1575&gt;0,AF1575&gt;0),100*AF1575/AT1575,"")</f>
        <v/>
      </c>
      <c r="AV1575" s="44">
        <f>IF(AU1575="","",T1575/(AU1575/100))</f>
        <v/>
      </c>
      <c r="AW1575" s="53">
        <f>IF(AU1575="","",IF(AND(ABS(AH1575)&gt;=0.1,ABS(T1575)&gt;=0.05,SIGN(AH1575)=SIGN(T1575)),100*T1575/AH1575,""))</f>
        <v/>
      </c>
      <c r="AX1575" s="45">
        <f>IF(AU1575="","",T1575-AV1575)</f>
        <v/>
      </c>
      <c r="AY1575" s="45">
        <f>IF(AU1575="","",AH1575-AV1575)</f>
        <v/>
      </c>
      <c r="AZ1575" s="54">
        <f>(AL1575-AM1575)-T1575*AT1575</f>
        <v/>
      </c>
      <c r="BA1575" s="43">
        <f>IF(AU1575="",0,(AH1575-T1575)*AF1575)</f>
        <v/>
      </c>
      <c r="BB1575" s="43">
        <f>IF(AU1575="",0,T1575*(AF1575-AT1575))</f>
        <v/>
      </c>
      <c r="BC1575" s="51" t="n">
        <v>0.006854885558266527</v>
      </c>
      <c r="BD1575" s="51" t="n">
        <v>0.03102126176368072</v>
      </c>
      <c r="BE1575" s="51" t="n">
        <v>0.1469367424871326</v>
      </c>
      <c r="BF1575" s="43" t="n">
        <v>8607</v>
      </c>
    </row>
    <row r="1576">
      <c r="A1576" s="42" t="inlineStr">
        <is>
          <t>KY</t>
        </is>
      </c>
      <c r="B1576" s="42" t="inlineStr">
        <is>
          <t>21225</t>
        </is>
      </c>
      <c r="C1576" s="42" t="inlineStr">
        <is>
          <t>Union</t>
        </is>
      </c>
      <c r="D1576" s="42" t="inlineStr">
        <is>
          <t>Small town &amp; rural</t>
        </is>
      </c>
      <c r="E1576" s="42" t="inlineStr"/>
      <c r="F1576" s="43" t="n">
        <v>1225</v>
      </c>
      <c r="G1576" s="43" t="n">
        <v>4758</v>
      </c>
      <c r="H1576" s="43" t="n">
        <v>6058</v>
      </c>
      <c r="I1576" s="43" t="n">
        <v>1529</v>
      </c>
      <c r="J1576" s="43" t="n">
        <v>4965</v>
      </c>
      <c r="K1576" s="42" t="inlineStr">
        <is>
          <t>US Senate</t>
        </is>
      </c>
      <c r="L1576" s="43" t="n">
        <v>1193</v>
      </c>
      <c r="M1576" s="43" t="n">
        <v>3688</v>
      </c>
      <c r="N1576" s="43" t="n">
        <v>4881</v>
      </c>
      <c r="O1576" s="44">
        <f>IFERROR((F1576-G1576)/(F1576+G1576),"")</f>
        <v/>
      </c>
      <c r="P1576" s="44">
        <f>IFERROR((I1576-J1576)/(I1576+J1576),"")</f>
        <v/>
      </c>
      <c r="Q1576" s="45">
        <f>IFERROR(O1576-P1576,"")</f>
        <v/>
      </c>
      <c r="R1576" s="44">
        <f>IFERROR((L1576-M1576)/(L1576+M1576),"")</f>
        <v/>
      </c>
      <c r="S1576" s="46">
        <f>H1576/SUMIFS(Counties!$H$2:$H$1583,Counties!$A$2:$A$1583,$A1576)</f>
        <v/>
      </c>
      <c r="T1576" s="44">
        <f>O1576+INDEX(Dashboard!$F$6:$F$22,MATCH($A1576,Dashboard!$A$6:$A$22,0))</f>
        <v/>
      </c>
      <c r="U1576" s="43">
        <f>AQ1576*INDEX(Dashboard!$G$6:$G$22,MATCH($A1576,Dashboard!$A$6:$A$22,0))</f>
        <v/>
      </c>
      <c r="V1576" s="47" t="n"/>
      <c r="W1576" s="47" t="n"/>
      <c r="X1576" s="47" t="n"/>
      <c r="Y1576" s="48" t="n"/>
      <c r="Z1576" s="49" t="n"/>
      <c r="AA1576" s="49" t="n"/>
      <c r="AB1576" s="49" t="n"/>
      <c r="AC1576" s="50" t="n"/>
      <c r="AD1576" s="43">
        <f>IF(Z1576&lt;&gt;"",Z1576,N(V1576))</f>
        <v/>
      </c>
      <c r="AE1576" s="43">
        <f>IF(AA1576&lt;&gt;"",AA1576,N(W1576))</f>
        <v/>
      </c>
      <c r="AF1576" s="43">
        <f>AD1576+AE1576</f>
        <v/>
      </c>
      <c r="AG1576" s="42">
        <f>IF(UPPER(AC1576)="Y",1,IF(AF1576=0,0,IF(AND(Z1576="",Y1576&lt;&gt;""),IF(Y1576&gt;=0.999,1,0),IF(AF1576&gt;=U1576,1,0))))</f>
        <v/>
      </c>
      <c r="AH1576" s="44">
        <f>IF(AF1576&gt;0,(AD1576-AE1576)/AF1576,"")</f>
        <v/>
      </c>
      <c r="AI1576" s="45">
        <f>IF(AG1576=1,AH1576-O1576,"")</f>
        <v/>
      </c>
      <c r="AJ1576" s="44">
        <f>IF(AG1576=1,AH1576,MAX(-1,MIN(1,O1576+INDEX(Types!$H:$H,MATCH($A1576&amp;"|"&amp;$D1576,Types!$A:$A,0)))))</f>
        <v/>
      </c>
      <c r="AK1576" s="43">
        <f>IF(AG1576=1,AF1576,MAX(AQ1576*AS1576,AF1576))</f>
        <v/>
      </c>
      <c r="AL1576" s="43">
        <f>IF(AG1576=1,AD1576,AK1576*(1+AJ1576)/2)</f>
        <v/>
      </c>
      <c r="AM1576" s="43">
        <f>IF(AG1576=1,AE1576,AK1576*(1-AJ1576)/2)</f>
        <v/>
      </c>
      <c r="AN1576" s="45">
        <f>IF(AH1576="","",AH1576-T1576)</f>
        <v/>
      </c>
      <c r="AO1576" s="51">
        <f>IF(AG1576=1,1,IF(U1576&gt;0,MIN(AF1576/U1576,0.99),0))</f>
        <v/>
      </c>
      <c r="AP1576" s="43">
        <f>IF(AG1576=1,AI1576*AF1576,0)</f>
        <v/>
      </c>
      <c r="AQ1576" s="43">
        <f>N1576*(F1576+G1576)/H1576</f>
        <v/>
      </c>
      <c r="AR1576" s="43">
        <f>O1576*AQ1576</f>
        <v/>
      </c>
      <c r="AS1576" s="52">
        <f>IF(AG1576=1,IF(AQ1576&gt;0,AF1576/AQ1576,1),IFERROR(INDEX(Types!$K:$K,MATCH($A1576&amp;"|"&amp;$D1576,Types!$A:$A,0)),INDEX(Dashboard!$X$6:$X$22,MATCH($A1576,Dashboard!$A$6:$A$22,0))))</f>
        <v/>
      </c>
      <c r="AT1576" s="43">
        <f>AQ1576*INDEX(Dashboard!$Y$6:$Y$22,MATCH($A1576,Dashboard!$A$6:$A$22,0))</f>
        <v/>
      </c>
      <c r="AU1576" s="53">
        <f>IF(AND(AG1576=1,AT1576&gt;0,AF1576&gt;0),100*AF1576/AT1576,"")</f>
        <v/>
      </c>
      <c r="AV1576" s="44">
        <f>IF(AU1576="","",T1576/(AU1576/100))</f>
        <v/>
      </c>
      <c r="AW1576" s="53">
        <f>IF(AU1576="","",IF(AND(ABS(AH1576)&gt;=0.1,ABS(T1576)&gt;=0.05,SIGN(AH1576)=SIGN(T1576)),100*T1576/AH1576,""))</f>
        <v/>
      </c>
      <c r="AX1576" s="45">
        <f>IF(AU1576="","",T1576-AV1576)</f>
        <v/>
      </c>
      <c r="AY1576" s="45">
        <f>IF(AU1576="","",AH1576-AV1576)</f>
        <v/>
      </c>
      <c r="AZ1576" s="54">
        <f>(AL1576-AM1576)-T1576*AT1576</f>
        <v/>
      </c>
      <c r="BA1576" s="43">
        <f>IF(AU1576="",0,(AH1576-T1576)*AF1576)</f>
        <v/>
      </c>
      <c r="BB1576" s="43">
        <f>IF(AU1576="",0,T1576*(AF1576-AT1576))</f>
        <v/>
      </c>
      <c r="BC1576" s="51" t="n">
        <v>0.07294368991301693</v>
      </c>
      <c r="BD1576" s="51" t="n">
        <v>0.01892263085609644</v>
      </c>
      <c r="BE1576" s="51" t="n">
        <v>0.1179345516362091</v>
      </c>
      <c r="BF1576" s="43" t="n">
        <v>13106</v>
      </c>
    </row>
    <row r="1577">
      <c r="A1577" s="42" t="inlineStr">
        <is>
          <t>KY</t>
        </is>
      </c>
      <c r="B1577" s="42" t="inlineStr">
        <is>
          <t>21227</t>
        </is>
      </c>
      <c r="C1577" s="42" t="inlineStr">
        <is>
          <t>Warren</t>
        </is>
      </c>
      <c r="D1577" s="42" t="inlineStr">
        <is>
          <t>Mid-size/working metro</t>
        </is>
      </c>
      <c r="E1577" s="42" t="inlineStr">
        <is>
          <t>★</t>
        </is>
      </c>
      <c r="F1577" s="43" t="n">
        <v>21065</v>
      </c>
      <c r="G1577" s="43" t="n">
        <v>34862</v>
      </c>
      <c r="H1577" s="43" t="n">
        <v>56860</v>
      </c>
      <c r="I1577" s="43" t="n">
        <v>22479</v>
      </c>
      <c r="J1577" s="43" t="n">
        <v>31791</v>
      </c>
      <c r="K1577" s="42" t="inlineStr">
        <is>
          <t>US Senate</t>
        </is>
      </c>
      <c r="L1577" s="43" t="n">
        <v>15403</v>
      </c>
      <c r="M1577" s="43" t="n">
        <v>22951</v>
      </c>
      <c r="N1577" s="43" t="n">
        <v>38358</v>
      </c>
      <c r="O1577" s="44">
        <f>IFERROR((F1577-G1577)/(F1577+G1577),"")</f>
        <v/>
      </c>
      <c r="P1577" s="44">
        <f>IFERROR((I1577-J1577)/(I1577+J1577),"")</f>
        <v/>
      </c>
      <c r="Q1577" s="45">
        <f>IFERROR(O1577-P1577,"")</f>
        <v/>
      </c>
      <c r="R1577" s="44">
        <f>IFERROR((L1577-M1577)/(L1577+M1577),"")</f>
        <v/>
      </c>
      <c r="S1577" s="46">
        <f>H1577/SUMIFS(Counties!$H$2:$H$1583,Counties!$A$2:$A$1583,$A1577)</f>
        <v/>
      </c>
      <c r="T1577" s="44">
        <f>O1577+INDEX(Dashboard!$F$6:$F$22,MATCH($A1577,Dashboard!$A$6:$A$22,0))</f>
        <v/>
      </c>
      <c r="U1577" s="43">
        <f>AQ1577*INDEX(Dashboard!$G$6:$G$22,MATCH($A1577,Dashboard!$A$6:$A$22,0))</f>
        <v/>
      </c>
      <c r="V1577" s="47" t="n"/>
      <c r="W1577" s="47" t="n"/>
      <c r="X1577" s="47" t="n"/>
      <c r="Y1577" s="48" t="n"/>
      <c r="Z1577" s="49" t="n"/>
      <c r="AA1577" s="49" t="n"/>
      <c r="AB1577" s="49" t="n"/>
      <c r="AC1577" s="50" t="n"/>
      <c r="AD1577" s="43">
        <f>IF(Z1577&lt;&gt;"",Z1577,N(V1577))</f>
        <v/>
      </c>
      <c r="AE1577" s="43">
        <f>IF(AA1577&lt;&gt;"",AA1577,N(W1577))</f>
        <v/>
      </c>
      <c r="AF1577" s="43">
        <f>AD1577+AE1577</f>
        <v/>
      </c>
      <c r="AG1577" s="42">
        <f>IF(UPPER(AC1577)="Y",1,IF(AF1577=0,0,IF(AND(Z1577="",Y1577&lt;&gt;""),IF(Y1577&gt;=0.999,1,0),IF(AF1577&gt;=U1577,1,0))))</f>
        <v/>
      </c>
      <c r="AH1577" s="44">
        <f>IF(AF1577&gt;0,(AD1577-AE1577)/AF1577,"")</f>
        <v/>
      </c>
      <c r="AI1577" s="45">
        <f>IF(AG1577=1,AH1577-O1577,"")</f>
        <v/>
      </c>
      <c r="AJ1577" s="44">
        <f>IF(AG1577=1,AH1577,MAX(-1,MIN(1,O1577+INDEX(Types!$H:$H,MATCH($A1577&amp;"|"&amp;$D1577,Types!$A:$A,0)))))</f>
        <v/>
      </c>
      <c r="AK1577" s="43">
        <f>IF(AG1577=1,AF1577,MAX(AQ1577*AS1577,AF1577))</f>
        <v/>
      </c>
      <c r="AL1577" s="43">
        <f>IF(AG1577=1,AD1577,AK1577*(1+AJ1577)/2)</f>
        <v/>
      </c>
      <c r="AM1577" s="43">
        <f>IF(AG1577=1,AE1577,AK1577*(1-AJ1577)/2)</f>
        <v/>
      </c>
      <c r="AN1577" s="45">
        <f>IF(AH1577="","",AH1577-T1577)</f>
        <v/>
      </c>
      <c r="AO1577" s="51">
        <f>IF(AG1577=1,1,IF(U1577&gt;0,MIN(AF1577/U1577,0.99),0))</f>
        <v/>
      </c>
      <c r="AP1577" s="43">
        <f>IF(AG1577=1,AI1577*AF1577,0)</f>
        <v/>
      </c>
      <c r="AQ1577" s="43">
        <f>N1577*(F1577+G1577)/H1577</f>
        <v/>
      </c>
      <c r="AR1577" s="43">
        <f>O1577*AQ1577</f>
        <v/>
      </c>
      <c r="AS1577" s="52">
        <f>IF(AG1577=1,IF(AQ1577&gt;0,AF1577/AQ1577,1),IFERROR(INDEX(Types!$K:$K,MATCH($A1577&amp;"|"&amp;$D1577,Types!$A:$A,0)),INDEX(Dashboard!$X$6:$X$22,MATCH($A1577,Dashboard!$A$6:$A$22,0))))</f>
        <v/>
      </c>
      <c r="AT1577" s="43">
        <f>AQ1577*INDEX(Dashboard!$Y$6:$Y$22,MATCH($A1577,Dashboard!$A$6:$A$22,0))</f>
        <v/>
      </c>
      <c r="AU1577" s="53">
        <f>IF(AND(AG1577=1,AT1577&gt;0,AF1577&gt;0),100*AF1577/AT1577,"")</f>
        <v/>
      </c>
      <c r="AV1577" s="44">
        <f>IF(AU1577="","",T1577/(AU1577/100))</f>
        <v/>
      </c>
      <c r="AW1577" s="53">
        <f>IF(AU1577="","",IF(AND(ABS(AH1577)&gt;=0.1,ABS(T1577)&gt;=0.05,SIGN(AH1577)=SIGN(T1577)),100*T1577/AH1577,""))</f>
        <v/>
      </c>
      <c r="AX1577" s="45">
        <f>IF(AU1577="","",T1577-AV1577)</f>
        <v/>
      </c>
      <c r="AY1577" s="45">
        <f>IF(AU1577="","",AH1577-AV1577)</f>
        <v/>
      </c>
      <c r="AZ1577" s="54">
        <f>(AL1577-AM1577)-T1577*AT1577</f>
        <v/>
      </c>
      <c r="BA1577" s="43">
        <f>IF(AU1577="",0,(AH1577-T1577)*AF1577)</f>
        <v/>
      </c>
      <c r="BB1577" s="43">
        <f>IF(AU1577="",0,T1577*(AF1577-AT1577))</f>
        <v/>
      </c>
      <c r="BC1577" s="51" t="n">
        <v>0.09615479262316405</v>
      </c>
      <c r="BD1577" s="51" t="n">
        <v>0.07054116952238995</v>
      </c>
      <c r="BE1577" s="51" t="n">
        <v>0.3335939258259005</v>
      </c>
      <c r="BF1577" s="43" t="n">
        <v>142229</v>
      </c>
    </row>
    <row r="1578">
      <c r="A1578" s="42" t="inlineStr">
        <is>
          <t>KY</t>
        </is>
      </c>
      <c r="B1578" s="42" t="inlineStr">
        <is>
          <t>21229</t>
        </is>
      </c>
      <c r="C1578" s="42" t="inlineStr">
        <is>
          <t>Washington</t>
        </is>
      </c>
      <c r="D1578" s="42" t="inlineStr">
        <is>
          <t>Small town &amp; rural</t>
        </is>
      </c>
      <c r="E1578" s="42" t="inlineStr"/>
      <c r="F1578" s="43" t="n">
        <v>1533</v>
      </c>
      <c r="G1578" s="43" t="n">
        <v>4720</v>
      </c>
      <c r="H1578" s="43" t="n">
        <v>6338</v>
      </c>
      <c r="I1578" s="43" t="n">
        <v>1644</v>
      </c>
      <c r="J1578" s="43" t="n">
        <v>4482</v>
      </c>
      <c r="K1578" s="42" t="inlineStr">
        <is>
          <t>US Senate</t>
        </is>
      </c>
      <c r="L1578" s="43" t="n">
        <v>1464</v>
      </c>
      <c r="M1578" s="43" t="n">
        <v>3492</v>
      </c>
      <c r="N1578" s="43" t="n">
        <v>4956</v>
      </c>
      <c r="O1578" s="44">
        <f>IFERROR((F1578-G1578)/(F1578+G1578),"")</f>
        <v/>
      </c>
      <c r="P1578" s="44">
        <f>IFERROR((I1578-J1578)/(I1578+J1578),"")</f>
        <v/>
      </c>
      <c r="Q1578" s="45">
        <f>IFERROR(O1578-P1578,"")</f>
        <v/>
      </c>
      <c r="R1578" s="44">
        <f>IFERROR((L1578-M1578)/(L1578+M1578),"")</f>
        <v/>
      </c>
      <c r="S1578" s="46">
        <f>H1578/SUMIFS(Counties!$H$2:$H$1583,Counties!$A$2:$A$1583,$A1578)</f>
        <v/>
      </c>
      <c r="T1578" s="44">
        <f>O1578+INDEX(Dashboard!$F$6:$F$22,MATCH($A1578,Dashboard!$A$6:$A$22,0))</f>
        <v/>
      </c>
      <c r="U1578" s="43">
        <f>AQ1578*INDEX(Dashboard!$G$6:$G$22,MATCH($A1578,Dashboard!$A$6:$A$22,0))</f>
        <v/>
      </c>
      <c r="V1578" s="47" t="n"/>
      <c r="W1578" s="47" t="n"/>
      <c r="X1578" s="47" t="n"/>
      <c r="Y1578" s="48" t="n"/>
      <c r="Z1578" s="49" t="n"/>
      <c r="AA1578" s="49" t="n"/>
      <c r="AB1578" s="49" t="n"/>
      <c r="AC1578" s="50" t="n"/>
      <c r="AD1578" s="43">
        <f>IF(Z1578&lt;&gt;"",Z1578,N(V1578))</f>
        <v/>
      </c>
      <c r="AE1578" s="43">
        <f>IF(AA1578&lt;&gt;"",AA1578,N(W1578))</f>
        <v/>
      </c>
      <c r="AF1578" s="43">
        <f>AD1578+AE1578</f>
        <v/>
      </c>
      <c r="AG1578" s="42">
        <f>IF(UPPER(AC1578)="Y",1,IF(AF1578=0,0,IF(AND(Z1578="",Y1578&lt;&gt;""),IF(Y1578&gt;=0.999,1,0),IF(AF1578&gt;=U1578,1,0))))</f>
        <v/>
      </c>
      <c r="AH1578" s="44">
        <f>IF(AF1578&gt;0,(AD1578-AE1578)/AF1578,"")</f>
        <v/>
      </c>
      <c r="AI1578" s="45">
        <f>IF(AG1578=1,AH1578-O1578,"")</f>
        <v/>
      </c>
      <c r="AJ1578" s="44">
        <f>IF(AG1578=1,AH1578,MAX(-1,MIN(1,O1578+INDEX(Types!$H:$H,MATCH($A1578&amp;"|"&amp;$D1578,Types!$A:$A,0)))))</f>
        <v/>
      </c>
      <c r="AK1578" s="43">
        <f>IF(AG1578=1,AF1578,MAX(AQ1578*AS1578,AF1578))</f>
        <v/>
      </c>
      <c r="AL1578" s="43">
        <f>IF(AG1578=1,AD1578,AK1578*(1+AJ1578)/2)</f>
        <v/>
      </c>
      <c r="AM1578" s="43">
        <f>IF(AG1578=1,AE1578,AK1578*(1-AJ1578)/2)</f>
        <v/>
      </c>
      <c r="AN1578" s="45">
        <f>IF(AH1578="","",AH1578-T1578)</f>
        <v/>
      </c>
      <c r="AO1578" s="51">
        <f>IF(AG1578=1,1,IF(U1578&gt;0,MIN(AF1578/U1578,0.99),0))</f>
        <v/>
      </c>
      <c r="AP1578" s="43">
        <f>IF(AG1578=1,AI1578*AF1578,0)</f>
        <v/>
      </c>
      <c r="AQ1578" s="43">
        <f>N1578*(F1578+G1578)/H1578</f>
        <v/>
      </c>
      <c r="AR1578" s="43">
        <f>O1578*AQ1578</f>
        <v/>
      </c>
      <c r="AS1578" s="52">
        <f>IF(AG1578=1,IF(AQ1578&gt;0,AF1578/AQ1578,1),IFERROR(INDEX(Types!$K:$K,MATCH($A1578&amp;"|"&amp;$D1578,Types!$A:$A,0)),INDEX(Dashboard!$X$6:$X$22,MATCH($A1578,Dashboard!$A$6:$A$22,0))))</f>
        <v/>
      </c>
      <c r="AT1578" s="43">
        <f>AQ1578*INDEX(Dashboard!$Y$6:$Y$22,MATCH($A1578,Dashboard!$A$6:$A$22,0))</f>
        <v/>
      </c>
      <c r="AU1578" s="53">
        <f>IF(AND(AG1578=1,AT1578&gt;0,AF1578&gt;0),100*AF1578/AT1578,"")</f>
        <v/>
      </c>
      <c r="AV1578" s="44">
        <f>IF(AU1578="","",T1578/(AU1578/100))</f>
        <v/>
      </c>
      <c r="AW1578" s="53">
        <f>IF(AU1578="","",IF(AND(ABS(AH1578)&gt;=0.1,ABS(T1578)&gt;=0.05,SIGN(AH1578)=SIGN(T1578)),100*T1578/AH1578,""))</f>
        <v/>
      </c>
      <c r="AX1578" s="45">
        <f>IF(AU1578="","",T1578-AV1578)</f>
        <v/>
      </c>
      <c r="AY1578" s="45">
        <f>IF(AU1578="","",AH1578-AV1578)</f>
        <v/>
      </c>
      <c r="AZ1578" s="54">
        <f>(AL1578-AM1578)-T1578*AT1578</f>
        <v/>
      </c>
      <c r="BA1578" s="43">
        <f>IF(AU1578="",0,(AH1578-T1578)*AF1578)</f>
        <v/>
      </c>
      <c r="BB1578" s="43">
        <f>IF(AU1578="",0,T1578*(AF1578-AT1578))</f>
        <v/>
      </c>
      <c r="BC1578" s="51" t="n">
        <v>0.05119426102551561</v>
      </c>
      <c r="BD1578" s="51" t="n">
        <v>0.04385750387217738</v>
      </c>
      <c r="BE1578" s="51" t="n">
        <v>0.1888823181549379</v>
      </c>
      <c r="BF1578" s="43" t="n">
        <v>12267</v>
      </c>
    </row>
    <row r="1579">
      <c r="A1579" s="42" t="inlineStr">
        <is>
          <t>KY</t>
        </is>
      </c>
      <c r="B1579" s="42" t="inlineStr">
        <is>
          <t>21231</t>
        </is>
      </c>
      <c r="C1579" s="42" t="inlineStr">
        <is>
          <t>Wayne</t>
        </is>
      </c>
      <c r="D1579" s="42" t="inlineStr">
        <is>
          <t>Small town &amp; rural</t>
        </is>
      </c>
      <c r="E1579" s="42" t="inlineStr"/>
      <c r="F1579" s="43" t="n">
        <v>1444</v>
      </c>
      <c r="G1579" s="43" t="n">
        <v>7203</v>
      </c>
      <c r="H1579" s="43" t="n">
        <v>8733</v>
      </c>
      <c r="I1579" s="43" t="n">
        <v>1700</v>
      </c>
      <c r="J1579" s="43" t="n">
        <v>7430</v>
      </c>
      <c r="K1579" s="42" t="inlineStr">
        <is>
          <t>US Senate</t>
        </is>
      </c>
      <c r="L1579" s="43" t="n">
        <v>1310</v>
      </c>
      <c r="M1579" s="43" t="n">
        <v>5021</v>
      </c>
      <c r="N1579" s="43" t="n">
        <v>6331</v>
      </c>
      <c r="O1579" s="44">
        <f>IFERROR((F1579-G1579)/(F1579+G1579),"")</f>
        <v/>
      </c>
      <c r="P1579" s="44">
        <f>IFERROR((I1579-J1579)/(I1579+J1579),"")</f>
        <v/>
      </c>
      <c r="Q1579" s="45">
        <f>IFERROR(O1579-P1579,"")</f>
        <v/>
      </c>
      <c r="R1579" s="44">
        <f>IFERROR((L1579-M1579)/(L1579+M1579),"")</f>
        <v/>
      </c>
      <c r="S1579" s="46">
        <f>H1579/SUMIFS(Counties!$H$2:$H$1583,Counties!$A$2:$A$1583,$A1579)</f>
        <v/>
      </c>
      <c r="T1579" s="44">
        <f>O1579+INDEX(Dashboard!$F$6:$F$22,MATCH($A1579,Dashboard!$A$6:$A$22,0))</f>
        <v/>
      </c>
      <c r="U1579" s="43">
        <f>AQ1579*INDEX(Dashboard!$G$6:$G$22,MATCH($A1579,Dashboard!$A$6:$A$22,0))</f>
        <v/>
      </c>
      <c r="V1579" s="47" t="n"/>
      <c r="W1579" s="47" t="n"/>
      <c r="X1579" s="47" t="n"/>
      <c r="Y1579" s="48" t="n"/>
      <c r="Z1579" s="49" t="n"/>
      <c r="AA1579" s="49" t="n"/>
      <c r="AB1579" s="49" t="n"/>
      <c r="AC1579" s="50" t="n"/>
      <c r="AD1579" s="43">
        <f>IF(Z1579&lt;&gt;"",Z1579,N(V1579))</f>
        <v/>
      </c>
      <c r="AE1579" s="43">
        <f>IF(AA1579&lt;&gt;"",AA1579,N(W1579))</f>
        <v/>
      </c>
      <c r="AF1579" s="43">
        <f>AD1579+AE1579</f>
        <v/>
      </c>
      <c r="AG1579" s="42">
        <f>IF(UPPER(AC1579)="Y",1,IF(AF1579=0,0,IF(AND(Z1579="",Y1579&lt;&gt;""),IF(Y1579&gt;=0.999,1,0),IF(AF1579&gt;=U1579,1,0))))</f>
        <v/>
      </c>
      <c r="AH1579" s="44">
        <f>IF(AF1579&gt;0,(AD1579-AE1579)/AF1579,"")</f>
        <v/>
      </c>
      <c r="AI1579" s="45">
        <f>IF(AG1579=1,AH1579-O1579,"")</f>
        <v/>
      </c>
      <c r="AJ1579" s="44">
        <f>IF(AG1579=1,AH1579,MAX(-1,MIN(1,O1579+INDEX(Types!$H:$H,MATCH($A1579&amp;"|"&amp;$D1579,Types!$A:$A,0)))))</f>
        <v/>
      </c>
      <c r="AK1579" s="43">
        <f>IF(AG1579=1,AF1579,MAX(AQ1579*AS1579,AF1579))</f>
        <v/>
      </c>
      <c r="AL1579" s="43">
        <f>IF(AG1579=1,AD1579,AK1579*(1+AJ1579)/2)</f>
        <v/>
      </c>
      <c r="AM1579" s="43">
        <f>IF(AG1579=1,AE1579,AK1579*(1-AJ1579)/2)</f>
        <v/>
      </c>
      <c r="AN1579" s="45">
        <f>IF(AH1579="","",AH1579-T1579)</f>
        <v/>
      </c>
      <c r="AO1579" s="51">
        <f>IF(AG1579=1,1,IF(U1579&gt;0,MIN(AF1579/U1579,0.99),0))</f>
        <v/>
      </c>
      <c r="AP1579" s="43">
        <f>IF(AG1579=1,AI1579*AF1579,0)</f>
        <v/>
      </c>
      <c r="AQ1579" s="43">
        <f>N1579*(F1579+G1579)/H1579</f>
        <v/>
      </c>
      <c r="AR1579" s="43">
        <f>O1579*AQ1579</f>
        <v/>
      </c>
      <c r="AS1579" s="52">
        <f>IF(AG1579=1,IF(AQ1579&gt;0,AF1579/AQ1579,1),IFERROR(INDEX(Types!$K:$K,MATCH($A1579&amp;"|"&amp;$D1579,Types!$A:$A,0)),INDEX(Dashboard!$X$6:$X$22,MATCH($A1579,Dashboard!$A$6:$A$22,0))))</f>
        <v/>
      </c>
      <c r="AT1579" s="43">
        <f>AQ1579*INDEX(Dashboard!$Y$6:$Y$22,MATCH($A1579,Dashboard!$A$6:$A$22,0))</f>
        <v/>
      </c>
      <c r="AU1579" s="53">
        <f>IF(AND(AG1579=1,AT1579&gt;0,AF1579&gt;0),100*AF1579/AT1579,"")</f>
        <v/>
      </c>
      <c r="AV1579" s="44">
        <f>IF(AU1579="","",T1579/(AU1579/100))</f>
        <v/>
      </c>
      <c r="AW1579" s="53">
        <f>IF(AU1579="","",IF(AND(ABS(AH1579)&gt;=0.1,ABS(T1579)&gt;=0.05,SIGN(AH1579)=SIGN(T1579)),100*T1579/AH1579,""))</f>
        <v/>
      </c>
      <c r="AX1579" s="45">
        <f>IF(AU1579="","",T1579-AV1579)</f>
        <v/>
      </c>
      <c r="AY1579" s="45">
        <f>IF(AU1579="","",AH1579-AV1579)</f>
        <v/>
      </c>
      <c r="AZ1579" s="54">
        <f>(AL1579-AM1579)-T1579*AT1579</f>
        <v/>
      </c>
      <c r="BA1579" s="43">
        <f>IF(AU1579="",0,(AH1579-T1579)*AF1579)</f>
        <v/>
      </c>
      <c r="BB1579" s="43">
        <f>IF(AU1579="",0,T1579*(AF1579-AT1579))</f>
        <v/>
      </c>
      <c r="BC1579" s="51" t="n">
        <v>0.0177732379979571</v>
      </c>
      <c r="BD1579" s="51" t="n">
        <v>0.04382022471910112</v>
      </c>
      <c r="BE1579" s="51" t="n">
        <v>0.137213103105237</v>
      </c>
      <c r="BF1579" s="43" t="n">
        <v>19580</v>
      </c>
    </row>
    <row r="1580">
      <c r="A1580" s="42" t="inlineStr">
        <is>
          <t>KY</t>
        </is>
      </c>
      <c r="B1580" s="42" t="inlineStr">
        <is>
          <t>21233</t>
        </is>
      </c>
      <c r="C1580" s="42" t="inlineStr">
        <is>
          <t>Webster</t>
        </is>
      </c>
      <c r="D1580" s="42" t="inlineStr">
        <is>
          <t>Small town &amp; rural</t>
        </is>
      </c>
      <c r="E1580" s="42" t="inlineStr"/>
      <c r="F1580" s="43" t="n">
        <v>1153</v>
      </c>
      <c r="G1580" s="43" t="n">
        <v>4339</v>
      </c>
      <c r="H1580" s="43" t="n">
        <v>5556</v>
      </c>
      <c r="I1580" s="43" t="n">
        <v>1412</v>
      </c>
      <c r="J1580" s="43" t="n">
        <v>4506</v>
      </c>
      <c r="K1580" s="42" t="inlineStr">
        <is>
          <t>US Senate</t>
        </is>
      </c>
      <c r="L1580" s="43" t="n">
        <v>1054</v>
      </c>
      <c r="M1580" s="43" t="n">
        <v>3158</v>
      </c>
      <c r="N1580" s="43" t="n">
        <v>4212</v>
      </c>
      <c r="O1580" s="44">
        <f>IFERROR((F1580-G1580)/(F1580+G1580),"")</f>
        <v/>
      </c>
      <c r="P1580" s="44">
        <f>IFERROR((I1580-J1580)/(I1580+J1580),"")</f>
        <v/>
      </c>
      <c r="Q1580" s="45">
        <f>IFERROR(O1580-P1580,"")</f>
        <v/>
      </c>
      <c r="R1580" s="44">
        <f>IFERROR((L1580-M1580)/(L1580+M1580),"")</f>
        <v/>
      </c>
      <c r="S1580" s="46">
        <f>H1580/SUMIFS(Counties!$H$2:$H$1583,Counties!$A$2:$A$1583,$A1580)</f>
        <v/>
      </c>
      <c r="T1580" s="44">
        <f>O1580+INDEX(Dashboard!$F$6:$F$22,MATCH($A1580,Dashboard!$A$6:$A$22,0))</f>
        <v/>
      </c>
      <c r="U1580" s="43">
        <f>AQ1580*INDEX(Dashboard!$G$6:$G$22,MATCH($A1580,Dashboard!$A$6:$A$22,0))</f>
        <v/>
      </c>
      <c r="V1580" s="47" t="n"/>
      <c r="W1580" s="47" t="n"/>
      <c r="X1580" s="47" t="n"/>
      <c r="Y1580" s="48" t="n"/>
      <c r="Z1580" s="49" t="n"/>
      <c r="AA1580" s="49" t="n"/>
      <c r="AB1580" s="49" t="n"/>
      <c r="AC1580" s="50" t="n"/>
      <c r="AD1580" s="43">
        <f>IF(Z1580&lt;&gt;"",Z1580,N(V1580))</f>
        <v/>
      </c>
      <c r="AE1580" s="43">
        <f>IF(AA1580&lt;&gt;"",AA1580,N(W1580))</f>
        <v/>
      </c>
      <c r="AF1580" s="43">
        <f>AD1580+AE1580</f>
        <v/>
      </c>
      <c r="AG1580" s="42">
        <f>IF(UPPER(AC1580)="Y",1,IF(AF1580=0,0,IF(AND(Z1580="",Y1580&lt;&gt;""),IF(Y1580&gt;=0.999,1,0),IF(AF1580&gt;=U1580,1,0))))</f>
        <v/>
      </c>
      <c r="AH1580" s="44">
        <f>IF(AF1580&gt;0,(AD1580-AE1580)/AF1580,"")</f>
        <v/>
      </c>
      <c r="AI1580" s="45">
        <f>IF(AG1580=1,AH1580-O1580,"")</f>
        <v/>
      </c>
      <c r="AJ1580" s="44">
        <f>IF(AG1580=1,AH1580,MAX(-1,MIN(1,O1580+INDEX(Types!$H:$H,MATCH($A1580&amp;"|"&amp;$D1580,Types!$A:$A,0)))))</f>
        <v/>
      </c>
      <c r="AK1580" s="43">
        <f>IF(AG1580=1,AF1580,MAX(AQ1580*AS1580,AF1580))</f>
        <v/>
      </c>
      <c r="AL1580" s="43">
        <f>IF(AG1580=1,AD1580,AK1580*(1+AJ1580)/2)</f>
        <v/>
      </c>
      <c r="AM1580" s="43">
        <f>IF(AG1580=1,AE1580,AK1580*(1-AJ1580)/2)</f>
        <v/>
      </c>
      <c r="AN1580" s="45">
        <f>IF(AH1580="","",AH1580-T1580)</f>
        <v/>
      </c>
      <c r="AO1580" s="51">
        <f>IF(AG1580=1,1,IF(U1580&gt;0,MIN(AF1580/U1580,0.99),0))</f>
        <v/>
      </c>
      <c r="AP1580" s="43">
        <f>IF(AG1580=1,AI1580*AF1580,0)</f>
        <v/>
      </c>
      <c r="AQ1580" s="43">
        <f>N1580*(F1580+G1580)/H1580</f>
        <v/>
      </c>
      <c r="AR1580" s="43">
        <f>O1580*AQ1580</f>
        <v/>
      </c>
      <c r="AS1580" s="52">
        <f>IF(AG1580=1,IF(AQ1580&gt;0,AF1580/AQ1580,1),IFERROR(INDEX(Types!$K:$K,MATCH($A1580&amp;"|"&amp;$D1580,Types!$A:$A,0)),INDEX(Dashboard!$X$6:$X$22,MATCH($A1580,Dashboard!$A$6:$A$22,0))))</f>
        <v/>
      </c>
      <c r="AT1580" s="43">
        <f>AQ1580*INDEX(Dashboard!$Y$6:$Y$22,MATCH($A1580,Dashboard!$A$6:$A$22,0))</f>
        <v/>
      </c>
      <c r="AU1580" s="53">
        <f>IF(AND(AG1580=1,AT1580&gt;0,AF1580&gt;0),100*AF1580/AT1580,"")</f>
        <v/>
      </c>
      <c r="AV1580" s="44">
        <f>IF(AU1580="","",T1580/(AU1580/100))</f>
        <v/>
      </c>
      <c r="AW1580" s="53">
        <f>IF(AU1580="","",IF(AND(ABS(AH1580)&gt;=0.1,ABS(T1580)&gt;=0.05,SIGN(AH1580)=SIGN(T1580)),100*T1580/AH1580,""))</f>
        <v/>
      </c>
      <c r="AX1580" s="45">
        <f>IF(AU1580="","",T1580-AV1580)</f>
        <v/>
      </c>
      <c r="AY1580" s="45">
        <f>IF(AU1580="","",AH1580-AV1580)</f>
        <v/>
      </c>
      <c r="AZ1580" s="54">
        <f>(AL1580-AM1580)-T1580*AT1580</f>
        <v/>
      </c>
      <c r="BA1580" s="43">
        <f>IF(AU1580="",0,(AH1580-T1580)*AF1580)</f>
        <v/>
      </c>
      <c r="BB1580" s="43">
        <f>IF(AU1580="",0,T1580*(AF1580-AT1580))</f>
        <v/>
      </c>
      <c r="BC1580" s="51" t="n">
        <v>0.03716800251453717</v>
      </c>
      <c r="BD1580" s="51" t="n">
        <v>0.06954266855256955</v>
      </c>
      <c r="BE1580" s="51" t="n">
        <v>0.1259743237047226</v>
      </c>
      <c r="BF1580" s="43" t="n">
        <v>12726</v>
      </c>
    </row>
    <row r="1581">
      <c r="A1581" s="42" t="inlineStr">
        <is>
          <t>KY</t>
        </is>
      </c>
      <c r="B1581" s="42" t="inlineStr">
        <is>
          <t>21235</t>
        </is>
      </c>
      <c r="C1581" s="42" t="inlineStr">
        <is>
          <t>Whitley</t>
        </is>
      </c>
      <c r="D1581" s="42" t="inlineStr">
        <is>
          <t>Small town &amp; rural</t>
        </is>
      </c>
      <c r="E1581" s="42" t="inlineStr"/>
      <c r="F1581" s="43" t="n">
        <v>2237</v>
      </c>
      <c r="G1581" s="43" t="n">
        <v>12687</v>
      </c>
      <c r="H1581" s="43" t="n">
        <v>15075</v>
      </c>
      <c r="I1581" s="43" t="n">
        <v>2552</v>
      </c>
      <c r="J1581" s="43" t="n">
        <v>12567</v>
      </c>
      <c r="K1581" s="42" t="inlineStr">
        <is>
          <t>US Senate</t>
        </is>
      </c>
      <c r="L1581" s="43" t="n">
        <v>1822</v>
      </c>
      <c r="M1581" s="43" t="n">
        <v>8221</v>
      </c>
      <c r="N1581" s="43" t="n">
        <v>10043</v>
      </c>
      <c r="O1581" s="44">
        <f>IFERROR((F1581-G1581)/(F1581+G1581),"")</f>
        <v/>
      </c>
      <c r="P1581" s="44">
        <f>IFERROR((I1581-J1581)/(I1581+J1581),"")</f>
        <v/>
      </c>
      <c r="Q1581" s="45">
        <f>IFERROR(O1581-P1581,"")</f>
        <v/>
      </c>
      <c r="R1581" s="44">
        <f>IFERROR((L1581-M1581)/(L1581+M1581),"")</f>
        <v/>
      </c>
      <c r="S1581" s="46">
        <f>H1581/SUMIFS(Counties!$H$2:$H$1583,Counties!$A$2:$A$1583,$A1581)</f>
        <v/>
      </c>
      <c r="T1581" s="44">
        <f>O1581+INDEX(Dashboard!$F$6:$F$22,MATCH($A1581,Dashboard!$A$6:$A$22,0))</f>
        <v/>
      </c>
      <c r="U1581" s="43">
        <f>AQ1581*INDEX(Dashboard!$G$6:$G$22,MATCH($A1581,Dashboard!$A$6:$A$22,0))</f>
        <v/>
      </c>
      <c r="V1581" s="47" t="n"/>
      <c r="W1581" s="47" t="n"/>
      <c r="X1581" s="47" t="n"/>
      <c r="Y1581" s="48" t="n"/>
      <c r="Z1581" s="49" t="n"/>
      <c r="AA1581" s="49" t="n"/>
      <c r="AB1581" s="49" t="n"/>
      <c r="AC1581" s="50" t="n"/>
      <c r="AD1581" s="43">
        <f>IF(Z1581&lt;&gt;"",Z1581,N(V1581))</f>
        <v/>
      </c>
      <c r="AE1581" s="43">
        <f>IF(AA1581&lt;&gt;"",AA1581,N(W1581))</f>
        <v/>
      </c>
      <c r="AF1581" s="43">
        <f>AD1581+AE1581</f>
        <v/>
      </c>
      <c r="AG1581" s="42">
        <f>IF(UPPER(AC1581)="Y",1,IF(AF1581=0,0,IF(AND(Z1581="",Y1581&lt;&gt;""),IF(Y1581&gt;=0.999,1,0),IF(AF1581&gt;=U1581,1,0))))</f>
        <v/>
      </c>
      <c r="AH1581" s="44">
        <f>IF(AF1581&gt;0,(AD1581-AE1581)/AF1581,"")</f>
        <v/>
      </c>
      <c r="AI1581" s="45">
        <f>IF(AG1581=1,AH1581-O1581,"")</f>
        <v/>
      </c>
      <c r="AJ1581" s="44">
        <f>IF(AG1581=1,AH1581,MAX(-1,MIN(1,O1581+INDEX(Types!$H:$H,MATCH($A1581&amp;"|"&amp;$D1581,Types!$A:$A,0)))))</f>
        <v/>
      </c>
      <c r="AK1581" s="43">
        <f>IF(AG1581=1,AF1581,MAX(AQ1581*AS1581,AF1581))</f>
        <v/>
      </c>
      <c r="AL1581" s="43">
        <f>IF(AG1581=1,AD1581,AK1581*(1+AJ1581)/2)</f>
        <v/>
      </c>
      <c r="AM1581" s="43">
        <f>IF(AG1581=1,AE1581,AK1581*(1-AJ1581)/2)</f>
        <v/>
      </c>
      <c r="AN1581" s="45">
        <f>IF(AH1581="","",AH1581-T1581)</f>
        <v/>
      </c>
      <c r="AO1581" s="51">
        <f>IF(AG1581=1,1,IF(U1581&gt;0,MIN(AF1581/U1581,0.99),0))</f>
        <v/>
      </c>
      <c r="AP1581" s="43">
        <f>IF(AG1581=1,AI1581*AF1581,0)</f>
        <v/>
      </c>
      <c r="AQ1581" s="43">
        <f>N1581*(F1581+G1581)/H1581</f>
        <v/>
      </c>
      <c r="AR1581" s="43">
        <f>O1581*AQ1581</f>
        <v/>
      </c>
      <c r="AS1581" s="52">
        <f>IF(AG1581=1,IF(AQ1581&gt;0,AF1581/AQ1581,1),IFERROR(INDEX(Types!$K:$K,MATCH($A1581&amp;"|"&amp;$D1581,Types!$A:$A,0)),INDEX(Dashboard!$X$6:$X$22,MATCH($A1581,Dashboard!$A$6:$A$22,0))))</f>
        <v/>
      </c>
      <c r="AT1581" s="43">
        <f>AQ1581*INDEX(Dashboard!$Y$6:$Y$22,MATCH($A1581,Dashboard!$A$6:$A$22,0))</f>
        <v/>
      </c>
      <c r="AU1581" s="53">
        <f>IF(AND(AG1581=1,AT1581&gt;0,AF1581&gt;0),100*AF1581/AT1581,"")</f>
        <v/>
      </c>
      <c r="AV1581" s="44">
        <f>IF(AU1581="","",T1581/(AU1581/100))</f>
        <v/>
      </c>
      <c r="AW1581" s="53">
        <f>IF(AU1581="","",IF(AND(ABS(AH1581)&gt;=0.1,ABS(T1581)&gt;=0.05,SIGN(AH1581)=SIGN(T1581)),100*T1581/AH1581,""))</f>
        <v/>
      </c>
      <c r="AX1581" s="45">
        <f>IF(AU1581="","",T1581-AV1581)</f>
        <v/>
      </c>
      <c r="AY1581" s="45">
        <f>IF(AU1581="","",AH1581-AV1581)</f>
        <v/>
      </c>
      <c r="AZ1581" s="54">
        <f>(AL1581-AM1581)-T1581*AT1581</f>
        <v/>
      </c>
      <c r="BA1581" s="43">
        <f>IF(AU1581="",0,(AH1581-T1581)*AF1581)</f>
        <v/>
      </c>
      <c r="BB1581" s="43">
        <f>IF(AU1581="",0,T1581*(AF1581-AT1581))</f>
        <v/>
      </c>
      <c r="BC1581" s="51" t="n">
        <v>0.009395790902919213</v>
      </c>
      <c r="BD1581" s="51" t="n">
        <v>0.02052953156822811</v>
      </c>
      <c r="BE1581" s="51" t="n">
        <v>0.1981140237044727</v>
      </c>
      <c r="BF1581" s="43" t="n">
        <v>36825</v>
      </c>
    </row>
    <row r="1582">
      <c r="A1582" s="42" t="inlineStr">
        <is>
          <t>KY</t>
        </is>
      </c>
      <c r="B1582" s="42" t="inlineStr">
        <is>
          <t>21237</t>
        </is>
      </c>
      <c r="C1582" s="42" t="inlineStr">
        <is>
          <t>Wolfe</t>
        </is>
      </c>
      <c r="D1582" s="42" t="inlineStr">
        <is>
          <t>Small town &amp; rural</t>
        </is>
      </c>
      <c r="E1582" s="42" t="inlineStr"/>
      <c r="F1582" s="43" t="n">
        <v>689</v>
      </c>
      <c r="G1582" s="43" t="n">
        <v>2163</v>
      </c>
      <c r="H1582" s="43" t="n">
        <v>2915</v>
      </c>
      <c r="I1582" s="43" t="n">
        <v>839</v>
      </c>
      <c r="J1582" s="43" t="n">
        <v>2097</v>
      </c>
      <c r="K1582" s="42" t="inlineStr">
        <is>
          <t>US Senate</t>
        </is>
      </c>
      <c r="L1582" s="43" t="n">
        <v>853</v>
      </c>
      <c r="M1582" s="43" t="n">
        <v>1400</v>
      </c>
      <c r="N1582" s="43" t="n">
        <v>2253</v>
      </c>
      <c r="O1582" s="44">
        <f>IFERROR((F1582-G1582)/(F1582+G1582),"")</f>
        <v/>
      </c>
      <c r="P1582" s="44">
        <f>IFERROR((I1582-J1582)/(I1582+J1582),"")</f>
        <v/>
      </c>
      <c r="Q1582" s="45">
        <f>IFERROR(O1582-P1582,"")</f>
        <v/>
      </c>
      <c r="R1582" s="44">
        <f>IFERROR((L1582-M1582)/(L1582+M1582),"")</f>
        <v/>
      </c>
      <c r="S1582" s="46">
        <f>H1582/SUMIFS(Counties!$H$2:$H$1583,Counties!$A$2:$A$1583,$A1582)</f>
        <v/>
      </c>
      <c r="T1582" s="44">
        <f>O1582+INDEX(Dashboard!$F$6:$F$22,MATCH($A1582,Dashboard!$A$6:$A$22,0))</f>
        <v/>
      </c>
      <c r="U1582" s="43">
        <f>AQ1582*INDEX(Dashboard!$G$6:$G$22,MATCH($A1582,Dashboard!$A$6:$A$22,0))</f>
        <v/>
      </c>
      <c r="V1582" s="47" t="n"/>
      <c r="W1582" s="47" t="n"/>
      <c r="X1582" s="47" t="n"/>
      <c r="Y1582" s="48" t="n"/>
      <c r="Z1582" s="49" t="n"/>
      <c r="AA1582" s="49" t="n"/>
      <c r="AB1582" s="49" t="n"/>
      <c r="AC1582" s="50" t="n"/>
      <c r="AD1582" s="43">
        <f>IF(Z1582&lt;&gt;"",Z1582,N(V1582))</f>
        <v/>
      </c>
      <c r="AE1582" s="43">
        <f>IF(AA1582&lt;&gt;"",AA1582,N(W1582))</f>
        <v/>
      </c>
      <c r="AF1582" s="43">
        <f>AD1582+AE1582</f>
        <v/>
      </c>
      <c r="AG1582" s="42">
        <f>IF(UPPER(AC1582)="Y",1,IF(AF1582=0,0,IF(AND(Z1582="",Y1582&lt;&gt;""),IF(Y1582&gt;=0.999,1,0),IF(AF1582&gt;=U1582,1,0))))</f>
        <v/>
      </c>
      <c r="AH1582" s="44">
        <f>IF(AF1582&gt;0,(AD1582-AE1582)/AF1582,"")</f>
        <v/>
      </c>
      <c r="AI1582" s="45">
        <f>IF(AG1582=1,AH1582-O1582,"")</f>
        <v/>
      </c>
      <c r="AJ1582" s="44">
        <f>IF(AG1582=1,AH1582,MAX(-1,MIN(1,O1582+INDEX(Types!$H:$H,MATCH($A1582&amp;"|"&amp;$D1582,Types!$A:$A,0)))))</f>
        <v/>
      </c>
      <c r="AK1582" s="43">
        <f>IF(AG1582=1,AF1582,MAX(AQ1582*AS1582,AF1582))</f>
        <v/>
      </c>
      <c r="AL1582" s="43">
        <f>IF(AG1582=1,AD1582,AK1582*(1+AJ1582)/2)</f>
        <v/>
      </c>
      <c r="AM1582" s="43">
        <f>IF(AG1582=1,AE1582,AK1582*(1-AJ1582)/2)</f>
        <v/>
      </c>
      <c r="AN1582" s="45">
        <f>IF(AH1582="","",AH1582-T1582)</f>
        <v/>
      </c>
      <c r="AO1582" s="51">
        <f>IF(AG1582=1,1,IF(U1582&gt;0,MIN(AF1582/U1582,0.99),0))</f>
        <v/>
      </c>
      <c r="AP1582" s="43">
        <f>IF(AG1582=1,AI1582*AF1582,0)</f>
        <v/>
      </c>
      <c r="AQ1582" s="43">
        <f>N1582*(F1582+G1582)/H1582</f>
        <v/>
      </c>
      <c r="AR1582" s="43">
        <f>O1582*AQ1582</f>
        <v/>
      </c>
      <c r="AS1582" s="52">
        <f>IF(AG1582=1,IF(AQ1582&gt;0,AF1582/AQ1582,1),IFERROR(INDEX(Types!$K:$K,MATCH($A1582&amp;"|"&amp;$D1582,Types!$A:$A,0)),INDEX(Dashboard!$X$6:$X$22,MATCH($A1582,Dashboard!$A$6:$A$22,0))))</f>
        <v/>
      </c>
      <c r="AT1582" s="43">
        <f>AQ1582*INDEX(Dashboard!$Y$6:$Y$22,MATCH($A1582,Dashboard!$A$6:$A$22,0))</f>
        <v/>
      </c>
      <c r="AU1582" s="53">
        <f>IF(AND(AG1582=1,AT1582&gt;0,AF1582&gt;0),100*AF1582/AT1582,"")</f>
        <v/>
      </c>
      <c r="AV1582" s="44">
        <f>IF(AU1582="","",T1582/(AU1582/100))</f>
        <v/>
      </c>
      <c r="AW1582" s="53">
        <f>IF(AU1582="","",IF(AND(ABS(AH1582)&gt;=0.1,ABS(T1582)&gt;=0.05,SIGN(AH1582)=SIGN(T1582)),100*T1582/AH1582,""))</f>
        <v/>
      </c>
      <c r="AX1582" s="45">
        <f>IF(AU1582="","",T1582-AV1582)</f>
        <v/>
      </c>
      <c r="AY1582" s="45">
        <f>IF(AU1582="","",AH1582-AV1582)</f>
        <v/>
      </c>
      <c r="AZ1582" s="54">
        <f>(AL1582-AM1582)-T1582*AT1582</f>
        <v/>
      </c>
      <c r="BA1582" s="43">
        <f>IF(AU1582="",0,(AH1582-T1582)*AF1582)</f>
        <v/>
      </c>
      <c r="BB1582" s="43">
        <f>IF(AU1582="",0,T1582*(AF1582-AT1582))</f>
        <v/>
      </c>
      <c r="BC1582" s="51" t="n">
        <v>0.004138809296402419</v>
      </c>
      <c r="BD1582" s="51" t="n">
        <v>0.01273479783508437</v>
      </c>
      <c r="BE1582" s="51" t="n">
        <v>0.07393428063943161</v>
      </c>
      <c r="BF1582" s="43" t="n">
        <v>6282</v>
      </c>
    </row>
    <row r="1583">
      <c r="A1583" s="42" t="inlineStr">
        <is>
          <t>KY</t>
        </is>
      </c>
      <c r="B1583" s="42" t="inlineStr">
        <is>
          <t>21239</t>
        </is>
      </c>
      <c r="C1583" s="42" t="inlineStr">
        <is>
          <t>Woodford</t>
        </is>
      </c>
      <c r="D1583" s="42" t="inlineStr">
        <is>
          <t>Small town &amp; rural</t>
        </is>
      </c>
      <c r="E1583" s="42" t="inlineStr"/>
      <c r="F1583" s="43" t="n">
        <v>6282</v>
      </c>
      <c r="G1583" s="43" t="n">
        <v>8419</v>
      </c>
      <c r="H1583" s="43" t="n">
        <v>14984</v>
      </c>
      <c r="I1583" s="43" t="n">
        <v>6530</v>
      </c>
      <c r="J1583" s="43" t="n">
        <v>8362</v>
      </c>
      <c r="K1583" s="42" t="inlineStr">
        <is>
          <t>US Senate</t>
        </is>
      </c>
      <c r="L1583" s="43" t="n">
        <v>5023</v>
      </c>
      <c r="M1583" s="43" t="n">
        <v>6227</v>
      </c>
      <c r="N1583" s="43" t="n">
        <v>11251</v>
      </c>
      <c r="O1583" s="44">
        <f>IFERROR((F1583-G1583)/(F1583+G1583),"")</f>
        <v/>
      </c>
      <c r="P1583" s="44">
        <f>IFERROR((I1583-J1583)/(I1583+J1583),"")</f>
        <v/>
      </c>
      <c r="Q1583" s="45">
        <f>IFERROR(O1583-P1583,"")</f>
        <v/>
      </c>
      <c r="R1583" s="44">
        <f>IFERROR((L1583-M1583)/(L1583+M1583),"")</f>
        <v/>
      </c>
      <c r="S1583" s="46">
        <f>H1583/SUMIFS(Counties!$H$2:$H$1583,Counties!$A$2:$A$1583,$A1583)</f>
        <v/>
      </c>
      <c r="T1583" s="44">
        <f>O1583+INDEX(Dashboard!$F$6:$F$22,MATCH($A1583,Dashboard!$A$6:$A$22,0))</f>
        <v/>
      </c>
      <c r="U1583" s="43">
        <f>AQ1583*INDEX(Dashboard!$G$6:$G$22,MATCH($A1583,Dashboard!$A$6:$A$22,0))</f>
        <v/>
      </c>
      <c r="V1583" s="47" t="n"/>
      <c r="W1583" s="47" t="n"/>
      <c r="X1583" s="47" t="n"/>
      <c r="Y1583" s="48" t="n"/>
      <c r="Z1583" s="49" t="n"/>
      <c r="AA1583" s="49" t="n"/>
      <c r="AB1583" s="49" t="n"/>
      <c r="AC1583" s="50" t="n"/>
      <c r="AD1583" s="43">
        <f>IF(Z1583&lt;&gt;"",Z1583,N(V1583))</f>
        <v/>
      </c>
      <c r="AE1583" s="43">
        <f>IF(AA1583&lt;&gt;"",AA1583,N(W1583))</f>
        <v/>
      </c>
      <c r="AF1583" s="43">
        <f>AD1583+AE1583</f>
        <v/>
      </c>
      <c r="AG1583" s="42">
        <f>IF(UPPER(AC1583)="Y",1,IF(AF1583=0,0,IF(AND(Z1583="",Y1583&lt;&gt;""),IF(Y1583&gt;=0.999,1,0),IF(AF1583&gt;=U1583,1,0))))</f>
        <v/>
      </c>
      <c r="AH1583" s="44">
        <f>IF(AF1583&gt;0,(AD1583-AE1583)/AF1583,"")</f>
        <v/>
      </c>
      <c r="AI1583" s="45">
        <f>IF(AG1583=1,AH1583-O1583,"")</f>
        <v/>
      </c>
      <c r="AJ1583" s="44">
        <f>IF(AG1583=1,AH1583,MAX(-1,MIN(1,O1583+INDEX(Types!$H:$H,MATCH($A1583&amp;"|"&amp;$D1583,Types!$A:$A,0)))))</f>
        <v/>
      </c>
      <c r="AK1583" s="43">
        <f>IF(AG1583=1,AF1583,MAX(AQ1583*AS1583,AF1583))</f>
        <v/>
      </c>
      <c r="AL1583" s="43">
        <f>IF(AG1583=1,AD1583,AK1583*(1+AJ1583)/2)</f>
        <v/>
      </c>
      <c r="AM1583" s="43">
        <f>IF(AG1583=1,AE1583,AK1583*(1-AJ1583)/2)</f>
        <v/>
      </c>
      <c r="AN1583" s="45">
        <f>IF(AH1583="","",AH1583-T1583)</f>
        <v/>
      </c>
      <c r="AO1583" s="51">
        <f>IF(AG1583=1,1,IF(U1583&gt;0,MIN(AF1583/U1583,0.99),0))</f>
        <v/>
      </c>
      <c r="AP1583" s="43">
        <f>IF(AG1583=1,AI1583*AF1583,0)</f>
        <v/>
      </c>
      <c r="AQ1583" s="43">
        <f>N1583*(F1583+G1583)/H1583</f>
        <v/>
      </c>
      <c r="AR1583" s="43">
        <f>O1583*AQ1583</f>
        <v/>
      </c>
      <c r="AS1583" s="52">
        <f>IF(AG1583=1,IF(AQ1583&gt;0,AF1583/AQ1583,1),IFERROR(INDEX(Types!$K:$K,MATCH($A1583&amp;"|"&amp;$D1583,Types!$A:$A,0)),INDEX(Dashboard!$X$6:$X$22,MATCH($A1583,Dashboard!$A$6:$A$22,0))))</f>
        <v/>
      </c>
      <c r="AT1583" s="43">
        <f>AQ1583*INDEX(Dashboard!$Y$6:$Y$22,MATCH($A1583,Dashboard!$A$6:$A$22,0))</f>
        <v/>
      </c>
      <c r="AU1583" s="53">
        <f>IF(AND(AG1583=1,AT1583&gt;0,AF1583&gt;0),100*AF1583/AT1583,"")</f>
        <v/>
      </c>
      <c r="AV1583" s="44">
        <f>IF(AU1583="","",T1583/(AU1583/100))</f>
        <v/>
      </c>
      <c r="AW1583" s="53">
        <f>IF(AU1583="","",IF(AND(ABS(AH1583)&gt;=0.1,ABS(T1583)&gt;=0.05,SIGN(AH1583)=SIGN(T1583)),100*T1583/AH1583,""))</f>
        <v/>
      </c>
      <c r="AX1583" s="45">
        <f>IF(AU1583="","",T1583-AV1583)</f>
        <v/>
      </c>
      <c r="AY1583" s="45">
        <f>IF(AU1583="","",AH1583-AV1583)</f>
        <v/>
      </c>
      <c r="AZ1583" s="54">
        <f>(AL1583-AM1583)-T1583*AT1583</f>
        <v/>
      </c>
      <c r="BA1583" s="43">
        <f>IF(AU1583="",0,(AH1583-T1583)*AF1583)</f>
        <v/>
      </c>
      <c r="BB1583" s="43">
        <f>IF(AU1583="",0,T1583*(AF1583-AT1583))</f>
        <v/>
      </c>
      <c r="BC1583" s="51" t="n">
        <v>0.0465747396215344</v>
      </c>
      <c r="BD1583" s="51" t="n">
        <v>0.07404283409124249</v>
      </c>
      <c r="BE1583" s="51" t="n">
        <v>0.4171197100522333</v>
      </c>
      <c r="BF1583" s="43" t="n">
        <v>27268</v>
      </c>
    </row>
  </sheetData>
  <autoFilter ref="A1:BF1583"/>
  <dataValidations count="1">
    <dataValidation sqref="AC2:AC1583" showDropDown="0" showInputMessage="0" showErrorMessage="0" allowBlank="1" type="list">
      <formula1>"Y"</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AF74"/>
  <sheetViews>
    <sheetView workbookViewId="0">
      <pane xSplit="3" ySplit="3" topLeftCell="D4" activePane="bottomRight" state="frozen"/>
      <selection pane="topRight"/>
      <selection pane="bottomLeft"/>
      <selection pane="bottomRight" activeCell="A1" sqref="A1"/>
    </sheetView>
  </sheetViews>
  <sheetFormatPr baseColWidth="8" defaultRowHeight="15"/>
  <cols>
    <col hidden="1" width="26" customWidth="1" min="1" max="1"/>
    <col width="6" customWidth="1" min="2" max="2"/>
    <col width="20" customWidth="1" min="3" max="3"/>
    <col width="10" customWidth="1" min="4" max="4"/>
    <col width="10" customWidth="1" min="5" max="5"/>
    <col width="10" customWidth="1" min="6" max="6"/>
    <col width="10" customWidth="1" min="7" max="7"/>
    <col width="10" customWidth="1" min="8" max="8"/>
    <col hidden="1"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20" customWidth="1" min="21" max="21"/>
    <col width="10" customWidth="1" min="22" max="22"/>
    <col width="10" customWidth="1" min="23" max="23"/>
    <col width="10" customWidth="1" min="24" max="24"/>
    <col width="10" customWidth="1" min="25" max="25"/>
    <col width="95" customWidth="1" min="26" max="26"/>
    <col width="24" customWidth="1" min="28" max="28"/>
    <col width="11" customWidth="1" min="29" max="29"/>
    <col width="14" customWidth="1" min="30" max="30"/>
    <col width="12" customWidth="1" min="31" max="31"/>
    <col width="11" customWidth="1" min="32" max="32"/>
  </cols>
  <sheetData>
    <row r="1" ht="30" customHeight="1">
      <c r="A1" s="55" t="inlineStr">
        <is>
          <t>County types: what each kind of county needs to look like, and how it's doing. Benchmarks assume every county moves the same amount from 2024 with 2022's turnout pattern. Unfinished counties are projected with their type's swing and turnout pace (or the state's, when none of that type is in).</t>
        </is>
      </c>
    </row>
    <row r="2">
      <c r="AB2" s="56" t="inlineStr">
        <is>
          <t>National read (all states pooled)</t>
        </is>
      </c>
    </row>
    <row r="3" ht="66" customHeight="1">
      <c r="A3" s="7" t="inlineStr">
        <is>
          <t>Key</t>
        </is>
      </c>
      <c r="B3" s="7" t="inlineStr">
        <is>
          <t>State</t>
        </is>
      </c>
      <c r="C3" s="7" t="inlineStr">
        <is>
          <t>Type</t>
        </is>
      </c>
      <c r="D3" s="7" t="inlineStr">
        <is>
          <t>Counties</t>
        </is>
      </c>
      <c r="E3" s="7" t="inlineStr">
        <is>
          <t>Complete</t>
        </is>
      </c>
      <c r="F3" s="7" t="inlineStr">
        <is>
          <t>Complete 2-party votes</t>
        </is>
      </c>
      <c r="G3" s="7" t="inlineStr">
        <is>
          <t>Type swing</t>
        </is>
      </c>
      <c r="H3" s="7" t="inlineStr">
        <is>
          <t>Swing used</t>
        </is>
      </c>
      <c r="I3" s="7" t="inlineStr">
        <is>
          <t>Complete 2022-pattern votes</t>
        </is>
      </c>
      <c r="J3" s="7" t="inlineStr">
        <is>
          <t>Turnout pace observed (vs 2022)</t>
        </is>
      </c>
      <c r="K3" s="7" t="inlineStr">
        <is>
          <t>Turnout pace used</t>
        </is>
      </c>
      <c r="L3" s="7" t="inlineStr">
        <is>
          <t>Share of state vote (2022 pattern)</t>
        </is>
      </c>
      <c r="M3" s="7" t="inlineStr">
        <is>
          <t>2024 margin (2022 pattern)</t>
        </is>
      </c>
      <c r="N3" s="7" t="inlineStr">
        <is>
          <t>Type margin if state ends R+5</t>
        </is>
      </c>
      <c r="O3" s="7" t="inlineStr">
        <is>
          <t>Type margin if state ends R+1</t>
        </is>
      </c>
      <c r="P3" s="7" t="inlineStr">
        <is>
          <t>Type margin if state ends tie</t>
        </is>
      </c>
      <c r="Q3" s="7" t="inlineStr">
        <is>
          <t>Type margin if state ends D+1</t>
        </is>
      </c>
      <c r="R3" s="7" t="inlineStr">
        <is>
          <t>Type margin if state ends D+5</t>
        </is>
      </c>
      <c r="S3" s="7" t="inlineStr">
        <is>
          <t>Projected type margin</t>
        </is>
      </c>
      <c r="T3" s="7" t="inlineStr">
        <is>
          <t>Swing vs what D needs</t>
        </is>
      </c>
      <c r="U3" s="7" t="inlineStr">
        <is>
          <t>Reading</t>
        </is>
      </c>
      <c r="V3" s="7" t="inlineStr">
        <is>
          <t>Turnout index (complete counties)</t>
        </is>
      </c>
      <c r="W3" s="7" t="inlineStr">
        <is>
          <t>Break-even at that turnout</t>
        </is>
      </c>
      <c r="X3" s="7" t="inlineStr">
        <is>
          <t>Margin + turnout vs tie pace (pts)</t>
        </is>
      </c>
      <c r="Y3" s="7" t="inlineStr">
        <is>
          <t>Net votes vs tie pace</t>
        </is>
      </c>
      <c r="Z3" s="7" t="inlineStr">
        <is>
          <t>What it needs to look like</t>
        </is>
      </c>
      <c r="AB3" s="7" t="inlineStr">
        <is>
          <t>County type</t>
        </is>
      </c>
      <c r="AC3" s="7" t="inlineStr">
        <is>
          <t>Complete counties</t>
        </is>
      </c>
      <c r="AD3" s="7" t="inlineStr">
        <is>
          <t>Complete 2-party votes</t>
        </is>
      </c>
      <c r="AE3" s="7" t="inlineStr">
        <is>
          <t>Swing vs 2024</t>
        </is>
      </c>
      <c r="AF3" s="7" t="inlineStr">
        <is>
          <t>Turnout vs 2022</t>
        </is>
      </c>
    </row>
    <row r="4" ht="40" customHeight="1">
      <c r="A4" s="8" t="inlineStr">
        <is>
          <t>AK|Alaska district</t>
        </is>
      </c>
      <c r="B4" s="8" t="inlineStr">
        <is>
          <t>AK</t>
        </is>
      </c>
      <c r="C4" s="8" t="inlineStr">
        <is>
          <t>Alaska district</t>
        </is>
      </c>
      <c r="D4" s="8">
        <f>COUNTIFS(Counties!$A$2:$A$1583,B4,Counties!$D$2:$D$1583,C4)</f>
        <v/>
      </c>
      <c r="E4" s="8">
        <f>COUNTIFS(Counties!$A$2:$A$1583,B4,Counties!$D$2:$D$1583,C4,Counties!$AG$2:$AG$1583,1)</f>
        <v/>
      </c>
      <c r="F4" s="12">
        <f>SUMIFS(Counties!$AF$2:$AF$1583,Counties!$A$2:$A$1583,$B4,Counties!$D$2:$D$1583,$C4,Counties!$AG$2:$AG$1583,1)</f>
        <v/>
      </c>
      <c r="G4" s="10">
        <f>IF(F4&gt;0,SUMIFS(Counties!$AP$2:$AP$1583,Counties!$A$2:$A$1583,$B4,Counties!$D$2:$D$1583,$C4)/F4,"")</f>
        <v/>
      </c>
      <c r="H4" s="10">
        <f>IF(G4&lt;&gt;"",G4,IF(Dashboard!$N$6&lt;&gt;"",Dashboard!$N$6,0))</f>
        <v/>
      </c>
      <c r="I4" s="12">
        <f>SUMIFS(Counties!$AQ$2:$AQ$1583,Counties!$A$2:$A$1583,$B4,Counties!$D$2:$D$1583,$C4,Counties!$AG$2:$AG$1583,1)</f>
        <v/>
      </c>
      <c r="J4" s="15">
        <f>IF(I4&gt;0,F4/I4,"")</f>
        <v/>
      </c>
      <c r="K4" s="15">
        <f>IF(J4="",Dashboard!$X$6,Dashboard!$X$6+(J4-Dashboard!$X$6)*E4/(E4+3))</f>
        <v/>
      </c>
      <c r="L4" s="57">
        <f>SUMIFS(Counties!$AQ$2:$AQ$1583,Counties!$A$2:$A$1583,$B4,Counties!$D$2:$D$1583,$C4)/SUMIFS(Counties!$AQ$2:$AQ$1583,Counties!$A$2:$A$1583,$B4)</f>
        <v/>
      </c>
      <c r="M4" s="9">
        <f>SUMIFS(Counties!$AR$2:$AR$1583,Counties!$A$2:$A$1583,$B4,Counties!$D$2:$D$1583,$C4)/SUMIFS(Counties!$AQ$2:$AQ$1583,Counties!$A$2:$A$1583,$B4,Counties!$D$2:$D$1583,$C4)</f>
        <v/>
      </c>
      <c r="N4" s="9">
        <f>M4+-0.05+Dashboard!$F$6</f>
        <v/>
      </c>
      <c r="O4" s="9">
        <f>M4+-0.01+Dashboard!$F$6</f>
        <v/>
      </c>
      <c r="P4" s="36">
        <f>M4+0.0+Dashboard!$F$6</f>
        <v/>
      </c>
      <c r="Q4" s="9">
        <f>M4+0.01+Dashboard!$F$6</f>
        <v/>
      </c>
      <c r="R4" s="9">
        <f>M4+0.05+Dashboard!$F$6</f>
        <v/>
      </c>
      <c r="S4" s="9">
        <f>IF(Dashboard!$K$6&gt;0,M4+H4,"")</f>
        <v/>
      </c>
      <c r="T4" s="10">
        <f>IF(G4="","",G4-Dashboard!$F$6)</f>
        <v/>
      </c>
      <c r="U4" s="8">
        <f>IF(F4=0,"no county of this type finished",IF(X4&gt;=0.05,"Great for Peltola",IF(X4&gt;=0.01,"Peltola on track",IF(X4&gt;-0.01,"Toss-up",IF(X4&gt;-0.05,"Sullivan on track","Great for Sullivan")))))</f>
        <v/>
      </c>
      <c r="V4" s="16">
        <f>IF(I4&gt;0,100*F4/(I4*Dashboard!$Y$6),"")</f>
        <v/>
      </c>
      <c r="W4" s="9">
        <f>IF(V4="","",P4/(V4/100))</f>
        <v/>
      </c>
      <c r="X4" s="10">
        <f>IF(F4&gt;0,(SUMIFS(Counties!$BA$2:$BA$1583,Counties!$A$2:$A$1583,$B4,Counties!$D$2:$D$1583,$C4,Counties!$AG$2:$AG$1583,1)+SUMIFS(Counties!$BB$2:$BB$1583,Counties!$A$2:$A$1583,$B4,Counties!$D$2:$D$1583,$C4,Counties!$AG$2:$AG$1583,1))/F4,"")</f>
        <v/>
      </c>
      <c r="Y4" s="37">
        <f>SUMIFS(Counties!$AZ$2:$AZ$1583,Counties!$A$2:$A$1583,$B4,Counties!$D$2:$D$1583,$C4)</f>
        <v/>
      </c>
      <c r="Z4" s="17">
        <f>"Alaska district: "&amp;TEXT(L4,"0.0%")&amp;" of the expected vote. Tie: "&amp;IF(P4&gt;=0,"D+","R+")&amp;TEXT(ABS(P4)*100,"0.0")&amp;". Peltola on track at "&amp;IF(Q4&gt;=0,"D+","R+")&amp;TEXT(ABS(Q4)*100,"0.0")&amp;", great at "&amp;IF(R4&gt;=0,"D+","R+")&amp;TEXT(ABS(R4)*100,"0.0")&amp;"; Sullivan on track at "&amp;IF(O4&gt;=0,"D+","R+")&amp;TEXT(ABS(O4)*100,"0.0")&amp;", great at "&amp;IF(N4&gt;=0,"D+","R+")&amp;TEXT(ABS(N4)*100,"0.0")&amp;". Turnout: if these counties vote at 95% of the state pace, the break-even moves to "&amp;IF((P4/0.95)&gt;=0,"D+","R+")&amp;TEXT(ABS((P4/0.95))*100,"0.0")&amp;"; at 105%, "&amp;IF((P4/1.05)&gt;=0,"D+","R+")&amp;TEXT(ABS((P4/1.05))*100,"0.0")&amp;"."</f>
        <v/>
      </c>
      <c r="AB4" s="56" t="inlineStr">
        <is>
          <t>All counties</t>
        </is>
      </c>
      <c r="AC4" s="56">
        <f>COUNTIFS(Counties!$AG$2:$AG$1583,1)</f>
        <v/>
      </c>
      <c r="AD4" s="58">
        <f>SUMIFS(Counties!$AF$2:$AF$1583,Counties!$AG$2:$AG$1583,1)</f>
        <v/>
      </c>
      <c r="AE4" s="59">
        <f>IF(AD4&gt;0,SUMIFS(Counties!$AP$2:$AP$1583,Counties!$AG$2:$AG$1583,1)/AD4,"")</f>
        <v/>
      </c>
      <c r="AF4" s="60">
        <f>IF(AC4&gt;0,SUMIFS(Counties!$AF$2:$AF$1583,Counties!$AG$2:$AG$1583,1)/SUMIFS(Counties!$AQ$2:$AQ$1583,Counties!$AG$2:$AG$1583,1),"")</f>
        <v/>
      </c>
    </row>
    <row r="5" ht="40" customHeight="1">
      <c r="A5" s="8" t="inlineStr">
        <is>
          <t>GA|Big metro core</t>
        </is>
      </c>
      <c r="B5" s="8" t="inlineStr">
        <is>
          <t>GA</t>
        </is>
      </c>
      <c r="C5" s="8" t="inlineStr">
        <is>
          <t>Big metro core</t>
        </is>
      </c>
      <c r="D5" s="8">
        <f>COUNTIFS(Counties!$A$2:$A$1583,B5,Counties!$D$2:$D$1583,C5)</f>
        <v/>
      </c>
      <c r="E5" s="8">
        <f>COUNTIFS(Counties!$A$2:$A$1583,B5,Counties!$D$2:$D$1583,C5,Counties!$AG$2:$AG$1583,1)</f>
        <v/>
      </c>
      <c r="F5" s="12">
        <f>SUMIFS(Counties!$AF$2:$AF$1583,Counties!$A$2:$A$1583,$B5,Counties!$D$2:$D$1583,$C5,Counties!$AG$2:$AG$1583,1)</f>
        <v/>
      </c>
      <c r="G5" s="10">
        <f>IF(F5&gt;0,SUMIFS(Counties!$AP$2:$AP$1583,Counties!$A$2:$A$1583,$B5,Counties!$D$2:$D$1583,$C5)/F5,"")</f>
        <v/>
      </c>
      <c r="H5" s="10">
        <f>IF(G5&lt;&gt;"",G5,IF(Dashboard!$N$7&lt;&gt;"",Dashboard!$N$7,0))</f>
        <v/>
      </c>
      <c r="I5" s="12">
        <f>SUMIFS(Counties!$AQ$2:$AQ$1583,Counties!$A$2:$A$1583,$B5,Counties!$D$2:$D$1583,$C5,Counties!$AG$2:$AG$1583,1)</f>
        <v/>
      </c>
      <c r="J5" s="15">
        <f>IF(I5&gt;0,F5/I5,"")</f>
        <v/>
      </c>
      <c r="K5" s="15">
        <f>IF(J5="",Dashboard!$X$7,Dashboard!$X$7+(J5-Dashboard!$X$7)*E5/(E5+3))</f>
        <v/>
      </c>
      <c r="L5" s="57">
        <f>SUMIFS(Counties!$AQ$2:$AQ$1583,Counties!$A$2:$A$1583,$B5,Counties!$D$2:$D$1583,$C5)/SUMIFS(Counties!$AQ$2:$AQ$1583,Counties!$A$2:$A$1583,$B5)</f>
        <v/>
      </c>
      <c r="M5" s="9">
        <f>SUMIFS(Counties!$AR$2:$AR$1583,Counties!$A$2:$A$1583,$B5,Counties!$D$2:$D$1583,$C5)/SUMIFS(Counties!$AQ$2:$AQ$1583,Counties!$A$2:$A$1583,$B5,Counties!$D$2:$D$1583,$C5)</f>
        <v/>
      </c>
      <c r="N5" s="9">
        <f>M5+-0.05+Dashboard!$F$7</f>
        <v/>
      </c>
      <c r="O5" s="9">
        <f>M5+-0.01+Dashboard!$F$7</f>
        <v/>
      </c>
      <c r="P5" s="36">
        <f>M5+0.0+Dashboard!$F$7</f>
        <v/>
      </c>
      <c r="Q5" s="9">
        <f>M5+0.01+Dashboard!$F$7</f>
        <v/>
      </c>
      <c r="R5" s="9">
        <f>M5+0.05+Dashboard!$F$7</f>
        <v/>
      </c>
      <c r="S5" s="9">
        <f>IF(Dashboard!$K$7&gt;0,M5+H5,"")</f>
        <v/>
      </c>
      <c r="T5" s="10">
        <f>IF(G5="","",G5-Dashboard!$F$7)</f>
        <v/>
      </c>
      <c r="U5" s="8">
        <f>IF(F5=0,"no county of this type finished",IF(X5&gt;=0.05,"Great for Ossoff",IF(X5&gt;=0.01,"Ossoff on track",IF(X5&gt;-0.01,"Toss-up",IF(X5&gt;-0.05,"Collins on track","Great for Collins")))))</f>
        <v/>
      </c>
      <c r="V5" s="16">
        <f>IF(I5&gt;0,100*F5/(I5*Dashboard!$Y$7),"")</f>
        <v/>
      </c>
      <c r="W5" s="9">
        <f>IF(V5="","",P5/(V5/100))</f>
        <v/>
      </c>
      <c r="X5" s="10">
        <f>IF(F5&gt;0,(SUMIFS(Counties!$BA$2:$BA$1583,Counties!$A$2:$A$1583,$B5,Counties!$D$2:$D$1583,$C5,Counties!$AG$2:$AG$1583,1)+SUMIFS(Counties!$BB$2:$BB$1583,Counties!$A$2:$A$1583,$B5,Counties!$D$2:$D$1583,$C5,Counties!$AG$2:$AG$1583,1))/F5,"")</f>
        <v/>
      </c>
      <c r="Y5" s="37">
        <f>SUMIFS(Counties!$AZ$2:$AZ$1583,Counties!$A$2:$A$1583,$B5,Counties!$D$2:$D$1583,$C5)</f>
        <v/>
      </c>
      <c r="Z5" s="17">
        <f>"Big metro core: "&amp;TEXT(L5,"0.0%")&amp;" of the expected vote. Tie: "&amp;IF(P5&gt;=0,"D+","R+")&amp;TEXT(ABS(P5)*100,"0.0")&amp;". Ossoff on track at "&amp;IF(Q5&gt;=0,"D+","R+")&amp;TEXT(ABS(Q5)*100,"0.0")&amp;", great at "&amp;IF(R5&gt;=0,"D+","R+")&amp;TEXT(ABS(R5)*100,"0.0")&amp;"; Collins on track at "&amp;IF(O5&gt;=0,"D+","R+")&amp;TEXT(ABS(O5)*100,"0.0")&amp;", great at "&amp;IF(N5&gt;=0,"D+","R+")&amp;TEXT(ABS(N5)*100,"0.0")&amp;". Turnout: if these counties vote at 95% of the state pace, the break-even moves to "&amp;IF((P5/0.95)&gt;=0,"D+","R+")&amp;TEXT(ABS((P5/0.95))*100,"0.0")&amp;"; at 105%, "&amp;IF((P5/1.05)&gt;=0,"D+","R+")&amp;TEXT(ABS((P5/1.05))*100,"0.0")&amp;"."</f>
        <v/>
      </c>
      <c r="AB5" s="42" t="inlineStr">
        <is>
          <t>Big metro core</t>
        </is>
      </c>
      <c r="AC5" s="42">
        <f>COUNTIFS(Counties!$AG$2:$AG$1583,1,Counties!$D$2:$D$1583,AB5)</f>
        <v/>
      </c>
      <c r="AD5" s="43">
        <f>SUMIFS(Counties!$AF$2:$AF$1583,Counties!$AG$2:$AG$1583,1,Counties!$D$2:$D$1583,AB5)</f>
        <v/>
      </c>
      <c r="AE5" s="45">
        <f>IF(AD5&gt;0,SUMIFS(Counties!$AP$2:$AP$1583,Counties!$AG$2:$AG$1583,1,Counties!$D$2:$D$1583,AB5)/AD5,"")</f>
        <v/>
      </c>
      <c r="AF5" s="51">
        <f>IF(AC5&gt;0,SUMIFS(Counties!$AF$2:$AF$1583,Counties!$AG$2:$AG$1583,1,Counties!$D$2:$D$1583,AB5)/SUMIFS(Counties!$AQ$2:$AQ$1583,Counties!$AG$2:$AG$1583,1,Counties!$D$2:$D$1583,AB5),"")</f>
        <v/>
      </c>
    </row>
    <row r="6" ht="40" customHeight="1">
      <c r="A6" s="8" t="inlineStr">
        <is>
          <t>GA|College suburb/metro</t>
        </is>
      </c>
      <c r="B6" s="8" t="inlineStr">
        <is>
          <t>GA</t>
        </is>
      </c>
      <c r="C6" s="8" t="inlineStr">
        <is>
          <t>College suburb/metro</t>
        </is>
      </c>
      <c r="D6" s="8">
        <f>COUNTIFS(Counties!$A$2:$A$1583,B6,Counties!$D$2:$D$1583,C6)</f>
        <v/>
      </c>
      <c r="E6" s="8">
        <f>COUNTIFS(Counties!$A$2:$A$1583,B6,Counties!$D$2:$D$1583,C6,Counties!$AG$2:$AG$1583,1)</f>
        <v/>
      </c>
      <c r="F6" s="12">
        <f>SUMIFS(Counties!$AF$2:$AF$1583,Counties!$A$2:$A$1583,$B6,Counties!$D$2:$D$1583,$C6,Counties!$AG$2:$AG$1583,1)</f>
        <v/>
      </c>
      <c r="G6" s="10">
        <f>IF(F6&gt;0,SUMIFS(Counties!$AP$2:$AP$1583,Counties!$A$2:$A$1583,$B6,Counties!$D$2:$D$1583,$C6)/F6,"")</f>
        <v/>
      </c>
      <c r="H6" s="10">
        <f>IF(G6&lt;&gt;"",G6,IF(Dashboard!$N$7&lt;&gt;"",Dashboard!$N$7,0))</f>
        <v/>
      </c>
      <c r="I6" s="12">
        <f>SUMIFS(Counties!$AQ$2:$AQ$1583,Counties!$A$2:$A$1583,$B6,Counties!$D$2:$D$1583,$C6,Counties!$AG$2:$AG$1583,1)</f>
        <v/>
      </c>
      <c r="J6" s="15">
        <f>IF(I6&gt;0,F6/I6,"")</f>
        <v/>
      </c>
      <c r="K6" s="15">
        <f>IF(J6="",Dashboard!$X$7,Dashboard!$X$7+(J6-Dashboard!$X$7)*E6/(E6+3))</f>
        <v/>
      </c>
      <c r="L6" s="57">
        <f>SUMIFS(Counties!$AQ$2:$AQ$1583,Counties!$A$2:$A$1583,$B6,Counties!$D$2:$D$1583,$C6)/SUMIFS(Counties!$AQ$2:$AQ$1583,Counties!$A$2:$A$1583,$B6)</f>
        <v/>
      </c>
      <c r="M6" s="9">
        <f>SUMIFS(Counties!$AR$2:$AR$1583,Counties!$A$2:$A$1583,$B6,Counties!$D$2:$D$1583,$C6)/SUMIFS(Counties!$AQ$2:$AQ$1583,Counties!$A$2:$A$1583,$B6,Counties!$D$2:$D$1583,$C6)</f>
        <v/>
      </c>
      <c r="N6" s="9">
        <f>M6+-0.05+Dashboard!$F$7</f>
        <v/>
      </c>
      <c r="O6" s="9">
        <f>M6+-0.01+Dashboard!$F$7</f>
        <v/>
      </c>
      <c r="P6" s="36">
        <f>M6+0.0+Dashboard!$F$7</f>
        <v/>
      </c>
      <c r="Q6" s="9">
        <f>M6+0.01+Dashboard!$F$7</f>
        <v/>
      </c>
      <c r="R6" s="9">
        <f>M6+0.05+Dashboard!$F$7</f>
        <v/>
      </c>
      <c r="S6" s="9">
        <f>IF(Dashboard!$K$7&gt;0,M6+H6,"")</f>
        <v/>
      </c>
      <c r="T6" s="10">
        <f>IF(G6="","",G6-Dashboard!$F$7)</f>
        <v/>
      </c>
      <c r="U6" s="8">
        <f>IF(F6=0,"no county of this type finished",IF(X6&gt;=0.05,"Great for Ossoff",IF(X6&gt;=0.01,"Ossoff on track",IF(X6&gt;-0.01,"Toss-up",IF(X6&gt;-0.05,"Collins on track","Great for Collins")))))</f>
        <v/>
      </c>
      <c r="V6" s="16">
        <f>IF(I6&gt;0,100*F6/(I6*Dashboard!$Y$7),"")</f>
        <v/>
      </c>
      <c r="W6" s="9">
        <f>IF(V6="","",P6/(V6/100))</f>
        <v/>
      </c>
      <c r="X6" s="10">
        <f>IF(F6&gt;0,(SUMIFS(Counties!$BA$2:$BA$1583,Counties!$A$2:$A$1583,$B6,Counties!$D$2:$D$1583,$C6,Counties!$AG$2:$AG$1583,1)+SUMIFS(Counties!$BB$2:$BB$1583,Counties!$A$2:$A$1583,$B6,Counties!$D$2:$D$1583,$C6,Counties!$AG$2:$AG$1583,1))/F6,"")</f>
        <v/>
      </c>
      <c r="Y6" s="37">
        <f>SUMIFS(Counties!$AZ$2:$AZ$1583,Counties!$A$2:$A$1583,$B6,Counties!$D$2:$D$1583,$C6)</f>
        <v/>
      </c>
      <c r="Z6" s="17">
        <f>"College suburb/metro: "&amp;TEXT(L6,"0.0%")&amp;" of the expected vote. Tie: "&amp;IF(P6&gt;=0,"D+","R+")&amp;TEXT(ABS(P6)*100,"0.0")&amp;". Ossoff on track at "&amp;IF(Q6&gt;=0,"D+","R+")&amp;TEXT(ABS(Q6)*100,"0.0")&amp;", great at "&amp;IF(R6&gt;=0,"D+","R+")&amp;TEXT(ABS(R6)*100,"0.0")&amp;"; Collins on track at "&amp;IF(O6&gt;=0,"D+","R+")&amp;TEXT(ABS(O6)*100,"0.0")&amp;", great at "&amp;IF(N6&gt;=0,"D+","R+")&amp;TEXT(ABS(N6)*100,"0.0")&amp;". Turnout: if these counties vote at 95% of the state pace, the break-even moves to "&amp;IF((P6/0.95)&gt;=0,"D+","R+")&amp;TEXT(ABS((P6/0.95))*100,"0.0")&amp;"; at 105%, "&amp;IF((P6/1.05)&gt;=0,"D+","R+")&amp;TEXT(ABS((P6/1.05))*100,"0.0")&amp;"."</f>
        <v/>
      </c>
      <c r="AB6" s="42" t="inlineStr">
        <is>
          <t>College suburb/metro</t>
        </is>
      </c>
      <c r="AC6" s="42">
        <f>COUNTIFS(Counties!$AG$2:$AG$1583,1,Counties!$D$2:$D$1583,AB6)</f>
        <v/>
      </c>
      <c r="AD6" s="43">
        <f>SUMIFS(Counties!$AF$2:$AF$1583,Counties!$AG$2:$AG$1583,1,Counties!$D$2:$D$1583,AB6)</f>
        <v/>
      </c>
      <c r="AE6" s="45">
        <f>IF(AD6&gt;0,SUMIFS(Counties!$AP$2:$AP$1583,Counties!$AG$2:$AG$1583,1,Counties!$D$2:$D$1583,AB6)/AD6,"")</f>
        <v/>
      </c>
      <c r="AF6" s="51">
        <f>IF(AC6&gt;0,SUMIFS(Counties!$AF$2:$AF$1583,Counties!$AG$2:$AG$1583,1,Counties!$D$2:$D$1583,AB6)/SUMIFS(Counties!$AQ$2:$AQ$1583,Counties!$AG$2:$AG$1583,1,Counties!$D$2:$D$1583,AB6),"")</f>
        <v/>
      </c>
    </row>
    <row r="7" ht="40" customHeight="1">
      <c r="A7" s="8" t="inlineStr">
        <is>
          <t>GA|Mid-size/working metro</t>
        </is>
      </c>
      <c r="B7" s="8" t="inlineStr">
        <is>
          <t>GA</t>
        </is>
      </c>
      <c r="C7" s="8" t="inlineStr">
        <is>
          <t>Mid-size/working metro</t>
        </is>
      </c>
      <c r="D7" s="8">
        <f>COUNTIFS(Counties!$A$2:$A$1583,B7,Counties!$D$2:$D$1583,C7)</f>
        <v/>
      </c>
      <c r="E7" s="8">
        <f>COUNTIFS(Counties!$A$2:$A$1583,B7,Counties!$D$2:$D$1583,C7,Counties!$AG$2:$AG$1583,1)</f>
        <v/>
      </c>
      <c r="F7" s="12">
        <f>SUMIFS(Counties!$AF$2:$AF$1583,Counties!$A$2:$A$1583,$B7,Counties!$D$2:$D$1583,$C7,Counties!$AG$2:$AG$1583,1)</f>
        <v/>
      </c>
      <c r="G7" s="10">
        <f>IF(F7&gt;0,SUMIFS(Counties!$AP$2:$AP$1583,Counties!$A$2:$A$1583,$B7,Counties!$D$2:$D$1583,$C7)/F7,"")</f>
        <v/>
      </c>
      <c r="H7" s="10">
        <f>IF(G7&lt;&gt;"",G7,IF(Dashboard!$N$7&lt;&gt;"",Dashboard!$N$7,0))</f>
        <v/>
      </c>
      <c r="I7" s="12">
        <f>SUMIFS(Counties!$AQ$2:$AQ$1583,Counties!$A$2:$A$1583,$B7,Counties!$D$2:$D$1583,$C7,Counties!$AG$2:$AG$1583,1)</f>
        <v/>
      </c>
      <c r="J7" s="15">
        <f>IF(I7&gt;0,F7/I7,"")</f>
        <v/>
      </c>
      <c r="K7" s="15">
        <f>IF(J7="",Dashboard!$X$7,Dashboard!$X$7+(J7-Dashboard!$X$7)*E7/(E7+3))</f>
        <v/>
      </c>
      <c r="L7" s="57">
        <f>SUMIFS(Counties!$AQ$2:$AQ$1583,Counties!$A$2:$A$1583,$B7,Counties!$D$2:$D$1583,$C7)/SUMIFS(Counties!$AQ$2:$AQ$1583,Counties!$A$2:$A$1583,$B7)</f>
        <v/>
      </c>
      <c r="M7" s="9">
        <f>SUMIFS(Counties!$AR$2:$AR$1583,Counties!$A$2:$A$1583,$B7,Counties!$D$2:$D$1583,$C7)/SUMIFS(Counties!$AQ$2:$AQ$1583,Counties!$A$2:$A$1583,$B7,Counties!$D$2:$D$1583,$C7)</f>
        <v/>
      </c>
      <c r="N7" s="9">
        <f>M7+-0.05+Dashboard!$F$7</f>
        <v/>
      </c>
      <c r="O7" s="9">
        <f>M7+-0.01+Dashboard!$F$7</f>
        <v/>
      </c>
      <c r="P7" s="36">
        <f>M7+0.0+Dashboard!$F$7</f>
        <v/>
      </c>
      <c r="Q7" s="9">
        <f>M7+0.01+Dashboard!$F$7</f>
        <v/>
      </c>
      <c r="R7" s="9">
        <f>M7+0.05+Dashboard!$F$7</f>
        <v/>
      </c>
      <c r="S7" s="9">
        <f>IF(Dashboard!$K$7&gt;0,M7+H7,"")</f>
        <v/>
      </c>
      <c r="T7" s="10">
        <f>IF(G7="","",G7-Dashboard!$F$7)</f>
        <v/>
      </c>
      <c r="U7" s="8">
        <f>IF(F7=0,"no county of this type finished",IF(X7&gt;=0.05,"Great for Ossoff",IF(X7&gt;=0.01,"Ossoff on track",IF(X7&gt;-0.01,"Toss-up",IF(X7&gt;-0.05,"Collins on track","Great for Collins")))))</f>
        <v/>
      </c>
      <c r="V7" s="16">
        <f>IF(I7&gt;0,100*F7/(I7*Dashboard!$Y$7),"")</f>
        <v/>
      </c>
      <c r="W7" s="9">
        <f>IF(V7="","",P7/(V7/100))</f>
        <v/>
      </c>
      <c r="X7" s="10">
        <f>IF(F7&gt;0,(SUMIFS(Counties!$BA$2:$BA$1583,Counties!$A$2:$A$1583,$B7,Counties!$D$2:$D$1583,$C7,Counties!$AG$2:$AG$1583,1)+SUMIFS(Counties!$BB$2:$BB$1583,Counties!$A$2:$A$1583,$B7,Counties!$D$2:$D$1583,$C7,Counties!$AG$2:$AG$1583,1))/F7,"")</f>
        <v/>
      </c>
      <c r="Y7" s="37">
        <f>SUMIFS(Counties!$AZ$2:$AZ$1583,Counties!$A$2:$A$1583,$B7,Counties!$D$2:$D$1583,$C7)</f>
        <v/>
      </c>
      <c r="Z7" s="17">
        <f>"Mid-size/working metro: "&amp;TEXT(L7,"0.0%")&amp;" of the expected vote. Tie: "&amp;IF(P7&gt;=0,"D+","R+")&amp;TEXT(ABS(P7)*100,"0.0")&amp;". Ossoff on track at "&amp;IF(Q7&gt;=0,"D+","R+")&amp;TEXT(ABS(Q7)*100,"0.0")&amp;", great at "&amp;IF(R7&gt;=0,"D+","R+")&amp;TEXT(ABS(R7)*100,"0.0")&amp;"; Collins on track at "&amp;IF(O7&gt;=0,"D+","R+")&amp;TEXT(ABS(O7)*100,"0.0")&amp;", great at "&amp;IF(N7&gt;=0,"D+","R+")&amp;TEXT(ABS(N7)*100,"0.0")&amp;". Turnout: if these counties vote at 95% of the state pace, the break-even moves to "&amp;IF((P7/0.95)&gt;=0,"D+","R+")&amp;TEXT(ABS((P7/0.95))*100,"0.0")&amp;"; at 105%, "&amp;IF((P7/1.05)&gt;=0,"D+","R+")&amp;TEXT(ABS((P7/1.05))*100,"0.0")&amp;"."</f>
        <v/>
      </c>
      <c r="AB7" s="42" t="inlineStr">
        <is>
          <t>Mid-size/working metro</t>
        </is>
      </c>
      <c r="AC7" s="42">
        <f>COUNTIFS(Counties!$AG$2:$AG$1583,1,Counties!$D$2:$D$1583,AB7)</f>
        <v/>
      </c>
      <c r="AD7" s="43">
        <f>SUMIFS(Counties!$AF$2:$AF$1583,Counties!$AG$2:$AG$1583,1,Counties!$D$2:$D$1583,AB7)</f>
        <v/>
      </c>
      <c r="AE7" s="45">
        <f>IF(AD7&gt;0,SUMIFS(Counties!$AP$2:$AP$1583,Counties!$AG$2:$AG$1583,1,Counties!$D$2:$D$1583,AB7)/AD7,"")</f>
        <v/>
      </c>
      <c r="AF7" s="51">
        <f>IF(AC7&gt;0,SUMIFS(Counties!$AF$2:$AF$1583,Counties!$AG$2:$AG$1583,1,Counties!$D$2:$D$1583,AB7)/SUMIFS(Counties!$AQ$2:$AQ$1583,Counties!$AG$2:$AG$1583,1,Counties!$D$2:$D$1583,AB7),"")</f>
        <v/>
      </c>
    </row>
    <row r="8" ht="40" customHeight="1">
      <c r="A8" s="8" t="inlineStr">
        <is>
          <t>GA|Black Belt</t>
        </is>
      </c>
      <c r="B8" s="8" t="inlineStr">
        <is>
          <t>GA</t>
        </is>
      </c>
      <c r="C8" s="8" t="inlineStr">
        <is>
          <t>Black Belt</t>
        </is>
      </c>
      <c r="D8" s="8">
        <f>COUNTIFS(Counties!$A$2:$A$1583,B8,Counties!$D$2:$D$1583,C8)</f>
        <v/>
      </c>
      <c r="E8" s="8">
        <f>COUNTIFS(Counties!$A$2:$A$1583,B8,Counties!$D$2:$D$1583,C8,Counties!$AG$2:$AG$1583,1)</f>
        <v/>
      </c>
      <c r="F8" s="12">
        <f>SUMIFS(Counties!$AF$2:$AF$1583,Counties!$A$2:$A$1583,$B8,Counties!$D$2:$D$1583,$C8,Counties!$AG$2:$AG$1583,1)</f>
        <v/>
      </c>
      <c r="G8" s="10">
        <f>IF(F8&gt;0,SUMIFS(Counties!$AP$2:$AP$1583,Counties!$A$2:$A$1583,$B8,Counties!$D$2:$D$1583,$C8)/F8,"")</f>
        <v/>
      </c>
      <c r="H8" s="10">
        <f>IF(G8&lt;&gt;"",G8,IF(Dashboard!$N$7&lt;&gt;"",Dashboard!$N$7,0))</f>
        <v/>
      </c>
      <c r="I8" s="12">
        <f>SUMIFS(Counties!$AQ$2:$AQ$1583,Counties!$A$2:$A$1583,$B8,Counties!$D$2:$D$1583,$C8,Counties!$AG$2:$AG$1583,1)</f>
        <v/>
      </c>
      <c r="J8" s="15">
        <f>IF(I8&gt;0,F8/I8,"")</f>
        <v/>
      </c>
      <c r="K8" s="15">
        <f>IF(J8="",Dashboard!$X$7,Dashboard!$X$7+(J8-Dashboard!$X$7)*E8/(E8+3))</f>
        <v/>
      </c>
      <c r="L8" s="57">
        <f>SUMIFS(Counties!$AQ$2:$AQ$1583,Counties!$A$2:$A$1583,$B8,Counties!$D$2:$D$1583,$C8)/SUMIFS(Counties!$AQ$2:$AQ$1583,Counties!$A$2:$A$1583,$B8)</f>
        <v/>
      </c>
      <c r="M8" s="9">
        <f>SUMIFS(Counties!$AR$2:$AR$1583,Counties!$A$2:$A$1583,$B8,Counties!$D$2:$D$1583,$C8)/SUMIFS(Counties!$AQ$2:$AQ$1583,Counties!$A$2:$A$1583,$B8,Counties!$D$2:$D$1583,$C8)</f>
        <v/>
      </c>
      <c r="N8" s="9">
        <f>M8+-0.05+Dashboard!$F$7</f>
        <v/>
      </c>
      <c r="O8" s="9">
        <f>M8+-0.01+Dashboard!$F$7</f>
        <v/>
      </c>
      <c r="P8" s="36">
        <f>M8+0.0+Dashboard!$F$7</f>
        <v/>
      </c>
      <c r="Q8" s="9">
        <f>M8+0.01+Dashboard!$F$7</f>
        <v/>
      </c>
      <c r="R8" s="9">
        <f>M8+0.05+Dashboard!$F$7</f>
        <v/>
      </c>
      <c r="S8" s="9">
        <f>IF(Dashboard!$K$7&gt;0,M8+H8,"")</f>
        <v/>
      </c>
      <c r="T8" s="10">
        <f>IF(G8="","",G8-Dashboard!$F$7)</f>
        <v/>
      </c>
      <c r="U8" s="8">
        <f>IF(F8=0,"no county of this type finished",IF(X8&gt;=0.05,"Great for Ossoff",IF(X8&gt;=0.01,"Ossoff on track",IF(X8&gt;-0.01,"Toss-up",IF(X8&gt;-0.05,"Collins on track","Great for Collins")))))</f>
        <v/>
      </c>
      <c r="V8" s="16">
        <f>IF(I8&gt;0,100*F8/(I8*Dashboard!$Y$7),"")</f>
        <v/>
      </c>
      <c r="W8" s="9">
        <f>IF(V8="","",P8/(V8/100))</f>
        <v/>
      </c>
      <c r="X8" s="10">
        <f>IF(F8&gt;0,(SUMIFS(Counties!$BA$2:$BA$1583,Counties!$A$2:$A$1583,$B8,Counties!$D$2:$D$1583,$C8,Counties!$AG$2:$AG$1583,1)+SUMIFS(Counties!$BB$2:$BB$1583,Counties!$A$2:$A$1583,$B8,Counties!$D$2:$D$1583,$C8,Counties!$AG$2:$AG$1583,1))/F8,"")</f>
        <v/>
      </c>
      <c r="Y8" s="37">
        <f>SUMIFS(Counties!$AZ$2:$AZ$1583,Counties!$A$2:$A$1583,$B8,Counties!$D$2:$D$1583,$C8)</f>
        <v/>
      </c>
      <c r="Z8" s="17">
        <f>"Black Belt: "&amp;TEXT(L8,"0.0%")&amp;" of the expected vote. Tie: "&amp;IF(P8&gt;=0,"D+","R+")&amp;TEXT(ABS(P8)*100,"0.0")&amp;". Ossoff on track at "&amp;IF(Q8&gt;=0,"D+","R+")&amp;TEXT(ABS(Q8)*100,"0.0")&amp;", great at "&amp;IF(R8&gt;=0,"D+","R+")&amp;TEXT(ABS(R8)*100,"0.0")&amp;"; Collins on track at "&amp;IF(O8&gt;=0,"D+","R+")&amp;TEXT(ABS(O8)*100,"0.0")&amp;", great at "&amp;IF(N8&gt;=0,"D+","R+")&amp;TEXT(ABS(N8)*100,"0.0")&amp;". Turnout: if these counties vote at 95% of the state pace, the break-even moves to "&amp;IF((P8/0.95)&gt;=0,"D+","R+")&amp;TEXT(ABS((P8/0.95))*100,"0.0")&amp;"; at 105%, "&amp;IF((P8/1.05)&gt;=0,"D+","R+")&amp;TEXT(ABS((P8/1.05))*100,"0.0")&amp;"."</f>
        <v/>
      </c>
      <c r="AB8" s="42" t="inlineStr">
        <is>
          <t>Black Belt</t>
        </is>
      </c>
      <c r="AC8" s="42">
        <f>COUNTIFS(Counties!$AG$2:$AG$1583,1,Counties!$D$2:$D$1583,AB8)</f>
        <v/>
      </c>
      <c r="AD8" s="43">
        <f>SUMIFS(Counties!$AF$2:$AF$1583,Counties!$AG$2:$AG$1583,1,Counties!$D$2:$D$1583,AB8)</f>
        <v/>
      </c>
      <c r="AE8" s="45">
        <f>IF(AD8&gt;0,SUMIFS(Counties!$AP$2:$AP$1583,Counties!$AG$2:$AG$1583,1,Counties!$D$2:$D$1583,AB8)/AD8,"")</f>
        <v/>
      </c>
      <c r="AF8" s="51">
        <f>IF(AC8&gt;0,SUMIFS(Counties!$AF$2:$AF$1583,Counties!$AG$2:$AG$1583,1,Counties!$D$2:$D$1583,AB8)/SUMIFS(Counties!$AQ$2:$AQ$1583,Counties!$AG$2:$AG$1583,1,Counties!$D$2:$D$1583,AB8),"")</f>
        <v/>
      </c>
    </row>
    <row r="9" ht="40" customHeight="1">
      <c r="A9" s="8" t="inlineStr">
        <is>
          <t>GA|Small town &amp; rural</t>
        </is>
      </c>
      <c r="B9" s="8" t="inlineStr">
        <is>
          <t>GA</t>
        </is>
      </c>
      <c r="C9" s="8" t="inlineStr">
        <is>
          <t>Small town &amp; rural</t>
        </is>
      </c>
      <c r="D9" s="8">
        <f>COUNTIFS(Counties!$A$2:$A$1583,B9,Counties!$D$2:$D$1583,C9)</f>
        <v/>
      </c>
      <c r="E9" s="8">
        <f>COUNTIFS(Counties!$A$2:$A$1583,B9,Counties!$D$2:$D$1583,C9,Counties!$AG$2:$AG$1583,1)</f>
        <v/>
      </c>
      <c r="F9" s="12">
        <f>SUMIFS(Counties!$AF$2:$AF$1583,Counties!$A$2:$A$1583,$B9,Counties!$D$2:$D$1583,$C9,Counties!$AG$2:$AG$1583,1)</f>
        <v/>
      </c>
      <c r="G9" s="10">
        <f>IF(F9&gt;0,SUMIFS(Counties!$AP$2:$AP$1583,Counties!$A$2:$A$1583,$B9,Counties!$D$2:$D$1583,$C9)/F9,"")</f>
        <v/>
      </c>
      <c r="H9" s="10">
        <f>IF(G9&lt;&gt;"",G9,IF(Dashboard!$N$7&lt;&gt;"",Dashboard!$N$7,0))</f>
        <v/>
      </c>
      <c r="I9" s="12">
        <f>SUMIFS(Counties!$AQ$2:$AQ$1583,Counties!$A$2:$A$1583,$B9,Counties!$D$2:$D$1583,$C9,Counties!$AG$2:$AG$1583,1)</f>
        <v/>
      </c>
      <c r="J9" s="15">
        <f>IF(I9&gt;0,F9/I9,"")</f>
        <v/>
      </c>
      <c r="K9" s="15">
        <f>IF(J9="",Dashboard!$X$7,Dashboard!$X$7+(J9-Dashboard!$X$7)*E9/(E9+3))</f>
        <v/>
      </c>
      <c r="L9" s="57">
        <f>SUMIFS(Counties!$AQ$2:$AQ$1583,Counties!$A$2:$A$1583,$B9,Counties!$D$2:$D$1583,$C9)/SUMIFS(Counties!$AQ$2:$AQ$1583,Counties!$A$2:$A$1583,$B9)</f>
        <v/>
      </c>
      <c r="M9" s="9">
        <f>SUMIFS(Counties!$AR$2:$AR$1583,Counties!$A$2:$A$1583,$B9,Counties!$D$2:$D$1583,$C9)/SUMIFS(Counties!$AQ$2:$AQ$1583,Counties!$A$2:$A$1583,$B9,Counties!$D$2:$D$1583,$C9)</f>
        <v/>
      </c>
      <c r="N9" s="9">
        <f>M9+-0.05+Dashboard!$F$7</f>
        <v/>
      </c>
      <c r="O9" s="9">
        <f>M9+-0.01+Dashboard!$F$7</f>
        <v/>
      </c>
      <c r="P9" s="36">
        <f>M9+0.0+Dashboard!$F$7</f>
        <v/>
      </c>
      <c r="Q9" s="9">
        <f>M9+0.01+Dashboard!$F$7</f>
        <v/>
      </c>
      <c r="R9" s="9">
        <f>M9+0.05+Dashboard!$F$7</f>
        <v/>
      </c>
      <c r="S9" s="9">
        <f>IF(Dashboard!$K$7&gt;0,M9+H9,"")</f>
        <v/>
      </c>
      <c r="T9" s="10">
        <f>IF(G9="","",G9-Dashboard!$F$7)</f>
        <v/>
      </c>
      <c r="U9" s="8">
        <f>IF(F9=0,"no county of this type finished",IF(X9&gt;=0.05,"Great for Ossoff",IF(X9&gt;=0.01,"Ossoff on track",IF(X9&gt;-0.01,"Toss-up",IF(X9&gt;-0.05,"Collins on track","Great for Collins")))))</f>
        <v/>
      </c>
      <c r="V9" s="16">
        <f>IF(I9&gt;0,100*F9/(I9*Dashboard!$Y$7),"")</f>
        <v/>
      </c>
      <c r="W9" s="9">
        <f>IF(V9="","",P9/(V9/100))</f>
        <v/>
      </c>
      <c r="X9" s="10">
        <f>IF(F9&gt;0,(SUMIFS(Counties!$BA$2:$BA$1583,Counties!$A$2:$A$1583,$B9,Counties!$D$2:$D$1583,$C9,Counties!$AG$2:$AG$1583,1)+SUMIFS(Counties!$BB$2:$BB$1583,Counties!$A$2:$A$1583,$B9,Counties!$D$2:$D$1583,$C9,Counties!$AG$2:$AG$1583,1))/F9,"")</f>
        <v/>
      </c>
      <c r="Y9" s="37">
        <f>SUMIFS(Counties!$AZ$2:$AZ$1583,Counties!$A$2:$A$1583,$B9,Counties!$D$2:$D$1583,$C9)</f>
        <v/>
      </c>
      <c r="Z9" s="17">
        <f>"Small town &amp; rural: "&amp;TEXT(L9,"0.0%")&amp;" of the expected vote. Tie: "&amp;IF(P9&gt;=0,"D+","R+")&amp;TEXT(ABS(P9)*100,"0.0")&amp;". Ossoff on track at "&amp;IF(Q9&gt;=0,"D+","R+")&amp;TEXT(ABS(Q9)*100,"0.0")&amp;", great at "&amp;IF(R9&gt;=0,"D+","R+")&amp;TEXT(ABS(R9)*100,"0.0")&amp;"; Collins on track at "&amp;IF(O9&gt;=0,"D+","R+")&amp;TEXT(ABS(O9)*100,"0.0")&amp;", great at "&amp;IF(N9&gt;=0,"D+","R+")&amp;TEXT(ABS(N9)*100,"0.0")&amp;". Turnout: if these counties vote at 95% of the state pace, the break-even moves to "&amp;IF((P9/0.95)&gt;=0,"D+","R+")&amp;TEXT(ABS((P9/0.95))*100,"0.0")&amp;"; at 105%, "&amp;IF((P9/1.05)&gt;=0,"D+","R+")&amp;TEXT(ABS((P9/1.05))*100,"0.0")&amp;"."</f>
        <v/>
      </c>
      <c r="AB9" s="42" t="inlineStr">
        <is>
          <t>Hispanic</t>
        </is>
      </c>
      <c r="AC9" s="42">
        <f>COUNTIFS(Counties!$AG$2:$AG$1583,1,Counties!$D$2:$D$1583,AB9)</f>
        <v/>
      </c>
      <c r="AD9" s="43">
        <f>SUMIFS(Counties!$AF$2:$AF$1583,Counties!$AG$2:$AG$1583,1,Counties!$D$2:$D$1583,AB9)</f>
        <v/>
      </c>
      <c r="AE9" s="45">
        <f>IF(AD9&gt;0,SUMIFS(Counties!$AP$2:$AP$1583,Counties!$AG$2:$AG$1583,1,Counties!$D$2:$D$1583,AB9)/AD9,"")</f>
        <v/>
      </c>
      <c r="AF9" s="51">
        <f>IF(AC9&gt;0,SUMIFS(Counties!$AF$2:$AF$1583,Counties!$AG$2:$AG$1583,1,Counties!$D$2:$D$1583,AB9)/SUMIFS(Counties!$AQ$2:$AQ$1583,Counties!$AG$2:$AG$1583,1,Counties!$D$2:$D$1583,AB9),"")</f>
        <v/>
      </c>
    </row>
    <row r="10" ht="40" customHeight="1">
      <c r="A10" s="8" t="inlineStr">
        <is>
          <t>IA|College suburb/metro</t>
        </is>
      </c>
      <c r="B10" s="8" t="inlineStr">
        <is>
          <t>IA</t>
        </is>
      </c>
      <c r="C10" s="8" t="inlineStr">
        <is>
          <t>College suburb/metro</t>
        </is>
      </c>
      <c r="D10" s="8">
        <f>COUNTIFS(Counties!$A$2:$A$1583,B10,Counties!$D$2:$D$1583,C10)</f>
        <v/>
      </c>
      <c r="E10" s="8">
        <f>COUNTIFS(Counties!$A$2:$A$1583,B10,Counties!$D$2:$D$1583,C10,Counties!$AG$2:$AG$1583,1)</f>
        <v/>
      </c>
      <c r="F10" s="12">
        <f>SUMIFS(Counties!$AF$2:$AF$1583,Counties!$A$2:$A$1583,$B10,Counties!$D$2:$D$1583,$C10,Counties!$AG$2:$AG$1583,1)</f>
        <v/>
      </c>
      <c r="G10" s="10">
        <f>IF(F10&gt;0,SUMIFS(Counties!$AP$2:$AP$1583,Counties!$A$2:$A$1583,$B10,Counties!$D$2:$D$1583,$C10)/F10,"")</f>
        <v/>
      </c>
      <c r="H10" s="10">
        <f>IF(G10&lt;&gt;"",G10,IF(Dashboard!$N$8&lt;&gt;"",Dashboard!$N$8,0))</f>
        <v/>
      </c>
      <c r="I10" s="12">
        <f>SUMIFS(Counties!$AQ$2:$AQ$1583,Counties!$A$2:$A$1583,$B10,Counties!$D$2:$D$1583,$C10,Counties!$AG$2:$AG$1583,1)</f>
        <v/>
      </c>
      <c r="J10" s="15">
        <f>IF(I10&gt;0,F10/I10,"")</f>
        <v/>
      </c>
      <c r="K10" s="15">
        <f>IF(J10="",Dashboard!$X$8,Dashboard!$X$8+(J10-Dashboard!$X$8)*E10/(E10+3))</f>
        <v/>
      </c>
      <c r="L10" s="57">
        <f>SUMIFS(Counties!$AQ$2:$AQ$1583,Counties!$A$2:$A$1583,$B10,Counties!$D$2:$D$1583,$C10)/SUMIFS(Counties!$AQ$2:$AQ$1583,Counties!$A$2:$A$1583,$B10)</f>
        <v/>
      </c>
      <c r="M10" s="9">
        <f>SUMIFS(Counties!$AR$2:$AR$1583,Counties!$A$2:$A$1583,$B10,Counties!$D$2:$D$1583,$C10)/SUMIFS(Counties!$AQ$2:$AQ$1583,Counties!$A$2:$A$1583,$B10,Counties!$D$2:$D$1583,$C10)</f>
        <v/>
      </c>
      <c r="N10" s="9">
        <f>M10+-0.05+Dashboard!$F$8</f>
        <v/>
      </c>
      <c r="O10" s="9">
        <f>M10+-0.01+Dashboard!$F$8</f>
        <v/>
      </c>
      <c r="P10" s="36">
        <f>M10+0.0+Dashboard!$F$8</f>
        <v/>
      </c>
      <c r="Q10" s="9">
        <f>M10+0.01+Dashboard!$F$8</f>
        <v/>
      </c>
      <c r="R10" s="9">
        <f>M10+0.05+Dashboard!$F$8</f>
        <v/>
      </c>
      <c r="S10" s="9">
        <f>IF(Dashboard!$K$8&gt;0,M10+H10,"")</f>
        <v/>
      </c>
      <c r="T10" s="10">
        <f>IF(G10="","",G10-Dashboard!$F$8)</f>
        <v/>
      </c>
      <c r="U10" s="8">
        <f>IF(F10=0,"no county of this type finished",IF(X10&gt;=0.05,"Great for Turek",IF(X10&gt;=0.01,"Turek on track",IF(X10&gt;-0.01,"Toss-up",IF(X10&gt;-0.05,"Hinson on track","Great for Hinson")))))</f>
        <v/>
      </c>
      <c r="V10" s="16">
        <f>IF(I10&gt;0,100*F10/(I10*Dashboard!$Y$8),"")</f>
        <v/>
      </c>
      <c r="W10" s="9">
        <f>IF(V10="","",P10/(V10/100))</f>
        <v/>
      </c>
      <c r="X10" s="10">
        <f>IF(F10&gt;0,(SUMIFS(Counties!$BA$2:$BA$1583,Counties!$A$2:$A$1583,$B10,Counties!$D$2:$D$1583,$C10,Counties!$AG$2:$AG$1583,1)+SUMIFS(Counties!$BB$2:$BB$1583,Counties!$A$2:$A$1583,$B10,Counties!$D$2:$D$1583,$C10,Counties!$AG$2:$AG$1583,1))/F10,"")</f>
        <v/>
      </c>
      <c r="Y10" s="37">
        <f>SUMIFS(Counties!$AZ$2:$AZ$1583,Counties!$A$2:$A$1583,$B10,Counties!$D$2:$D$1583,$C10)</f>
        <v/>
      </c>
      <c r="Z10" s="17">
        <f>"College suburb/metro: "&amp;TEXT(L10,"0.0%")&amp;" of the expected vote. Tie: "&amp;IF(P10&gt;=0,"D+","R+")&amp;TEXT(ABS(P10)*100,"0.0")&amp;". Turek on track at "&amp;IF(Q10&gt;=0,"D+","R+")&amp;TEXT(ABS(Q10)*100,"0.0")&amp;", great at "&amp;IF(R10&gt;=0,"D+","R+")&amp;TEXT(ABS(R10)*100,"0.0")&amp;"; Hinson on track at "&amp;IF(O10&gt;=0,"D+","R+")&amp;TEXT(ABS(O10)*100,"0.0")&amp;", great at "&amp;IF(N10&gt;=0,"D+","R+")&amp;TEXT(ABS(N10)*100,"0.0")&amp;". Turnout: if these counties vote at 95% of the state pace, the break-even moves to "&amp;IF((P10/0.95)&gt;=0,"D+","R+")&amp;TEXT(ABS((P10/0.95))*100,"0.0")&amp;"; at 105%, "&amp;IF((P10/1.05)&gt;=0,"D+","R+")&amp;TEXT(ABS((P10/1.05))*100,"0.0")&amp;"."</f>
        <v/>
      </c>
      <c r="AB10" s="42" t="inlineStr">
        <is>
          <t>Native American</t>
        </is>
      </c>
      <c r="AC10" s="42">
        <f>COUNTIFS(Counties!$AG$2:$AG$1583,1,Counties!$D$2:$D$1583,AB10)</f>
        <v/>
      </c>
      <c r="AD10" s="43">
        <f>SUMIFS(Counties!$AF$2:$AF$1583,Counties!$AG$2:$AG$1583,1,Counties!$D$2:$D$1583,AB10)</f>
        <v/>
      </c>
      <c r="AE10" s="45">
        <f>IF(AD10&gt;0,SUMIFS(Counties!$AP$2:$AP$1583,Counties!$AG$2:$AG$1583,1,Counties!$D$2:$D$1583,AB10)/AD10,"")</f>
        <v/>
      </c>
      <c r="AF10" s="51">
        <f>IF(AC10&gt;0,SUMIFS(Counties!$AF$2:$AF$1583,Counties!$AG$2:$AG$1583,1,Counties!$D$2:$D$1583,AB10)/SUMIFS(Counties!$AQ$2:$AQ$1583,Counties!$AG$2:$AG$1583,1,Counties!$D$2:$D$1583,AB10),"")</f>
        <v/>
      </c>
    </row>
    <row r="11" ht="40" customHeight="1">
      <c r="A11" s="8" t="inlineStr">
        <is>
          <t>IA|Mid-size/working metro</t>
        </is>
      </c>
      <c r="B11" s="8" t="inlineStr">
        <is>
          <t>IA</t>
        </is>
      </c>
      <c r="C11" s="8" t="inlineStr">
        <is>
          <t>Mid-size/working metro</t>
        </is>
      </c>
      <c r="D11" s="8">
        <f>COUNTIFS(Counties!$A$2:$A$1583,B11,Counties!$D$2:$D$1583,C11)</f>
        <v/>
      </c>
      <c r="E11" s="8">
        <f>COUNTIFS(Counties!$A$2:$A$1583,B11,Counties!$D$2:$D$1583,C11,Counties!$AG$2:$AG$1583,1)</f>
        <v/>
      </c>
      <c r="F11" s="12">
        <f>SUMIFS(Counties!$AF$2:$AF$1583,Counties!$A$2:$A$1583,$B11,Counties!$D$2:$D$1583,$C11,Counties!$AG$2:$AG$1583,1)</f>
        <v/>
      </c>
      <c r="G11" s="10">
        <f>IF(F11&gt;0,SUMIFS(Counties!$AP$2:$AP$1583,Counties!$A$2:$A$1583,$B11,Counties!$D$2:$D$1583,$C11)/F11,"")</f>
        <v/>
      </c>
      <c r="H11" s="10">
        <f>IF(G11&lt;&gt;"",G11,IF(Dashboard!$N$8&lt;&gt;"",Dashboard!$N$8,0))</f>
        <v/>
      </c>
      <c r="I11" s="12">
        <f>SUMIFS(Counties!$AQ$2:$AQ$1583,Counties!$A$2:$A$1583,$B11,Counties!$D$2:$D$1583,$C11,Counties!$AG$2:$AG$1583,1)</f>
        <v/>
      </c>
      <c r="J11" s="15">
        <f>IF(I11&gt;0,F11/I11,"")</f>
        <v/>
      </c>
      <c r="K11" s="15">
        <f>IF(J11="",Dashboard!$X$8,Dashboard!$X$8+(J11-Dashboard!$X$8)*E11/(E11+3))</f>
        <v/>
      </c>
      <c r="L11" s="57">
        <f>SUMIFS(Counties!$AQ$2:$AQ$1583,Counties!$A$2:$A$1583,$B11,Counties!$D$2:$D$1583,$C11)/SUMIFS(Counties!$AQ$2:$AQ$1583,Counties!$A$2:$A$1583,$B11)</f>
        <v/>
      </c>
      <c r="M11" s="9">
        <f>SUMIFS(Counties!$AR$2:$AR$1583,Counties!$A$2:$A$1583,$B11,Counties!$D$2:$D$1583,$C11)/SUMIFS(Counties!$AQ$2:$AQ$1583,Counties!$A$2:$A$1583,$B11,Counties!$D$2:$D$1583,$C11)</f>
        <v/>
      </c>
      <c r="N11" s="9">
        <f>M11+-0.05+Dashboard!$F$8</f>
        <v/>
      </c>
      <c r="O11" s="9">
        <f>M11+-0.01+Dashboard!$F$8</f>
        <v/>
      </c>
      <c r="P11" s="36">
        <f>M11+0.0+Dashboard!$F$8</f>
        <v/>
      </c>
      <c r="Q11" s="9">
        <f>M11+0.01+Dashboard!$F$8</f>
        <v/>
      </c>
      <c r="R11" s="9">
        <f>M11+0.05+Dashboard!$F$8</f>
        <v/>
      </c>
      <c r="S11" s="9">
        <f>IF(Dashboard!$K$8&gt;0,M11+H11,"")</f>
        <v/>
      </c>
      <c r="T11" s="10">
        <f>IF(G11="","",G11-Dashboard!$F$8)</f>
        <v/>
      </c>
      <c r="U11" s="8">
        <f>IF(F11=0,"no county of this type finished",IF(X11&gt;=0.05,"Great for Turek",IF(X11&gt;=0.01,"Turek on track",IF(X11&gt;-0.01,"Toss-up",IF(X11&gt;-0.05,"Hinson on track","Great for Hinson")))))</f>
        <v/>
      </c>
      <c r="V11" s="16">
        <f>IF(I11&gt;0,100*F11/(I11*Dashboard!$Y$8),"")</f>
        <v/>
      </c>
      <c r="W11" s="9">
        <f>IF(V11="","",P11/(V11/100))</f>
        <v/>
      </c>
      <c r="X11" s="10">
        <f>IF(F11&gt;0,(SUMIFS(Counties!$BA$2:$BA$1583,Counties!$A$2:$A$1583,$B11,Counties!$D$2:$D$1583,$C11,Counties!$AG$2:$AG$1583,1)+SUMIFS(Counties!$BB$2:$BB$1583,Counties!$A$2:$A$1583,$B11,Counties!$D$2:$D$1583,$C11,Counties!$AG$2:$AG$1583,1))/F11,"")</f>
        <v/>
      </c>
      <c r="Y11" s="37">
        <f>SUMIFS(Counties!$AZ$2:$AZ$1583,Counties!$A$2:$A$1583,$B11,Counties!$D$2:$D$1583,$C11)</f>
        <v/>
      </c>
      <c r="Z11" s="17">
        <f>"Mid-size/working metro: "&amp;TEXT(L11,"0.0%")&amp;" of the expected vote. Tie: "&amp;IF(P11&gt;=0,"D+","R+")&amp;TEXT(ABS(P11)*100,"0.0")&amp;". Turek on track at "&amp;IF(Q11&gt;=0,"D+","R+")&amp;TEXT(ABS(Q11)*100,"0.0")&amp;", great at "&amp;IF(R11&gt;=0,"D+","R+")&amp;TEXT(ABS(R11)*100,"0.0")&amp;"; Hinson on track at "&amp;IF(O11&gt;=0,"D+","R+")&amp;TEXT(ABS(O11)*100,"0.0")&amp;", great at "&amp;IF(N11&gt;=0,"D+","R+")&amp;TEXT(ABS(N11)*100,"0.0")&amp;". Turnout: if these counties vote at 95% of the state pace, the break-even moves to "&amp;IF((P11/0.95)&gt;=0,"D+","R+")&amp;TEXT(ABS((P11/0.95))*100,"0.0")&amp;"; at 105%, "&amp;IF((P11/1.05)&gt;=0,"D+","R+")&amp;TEXT(ABS((P11/1.05))*100,"0.0")&amp;"."</f>
        <v/>
      </c>
      <c r="AB11" s="42" t="inlineStr">
        <is>
          <t>Small town &amp; rural</t>
        </is>
      </c>
      <c r="AC11" s="42">
        <f>COUNTIFS(Counties!$AG$2:$AG$1583,1,Counties!$D$2:$D$1583,AB11)</f>
        <v/>
      </c>
      <c r="AD11" s="43">
        <f>SUMIFS(Counties!$AF$2:$AF$1583,Counties!$AG$2:$AG$1583,1,Counties!$D$2:$D$1583,AB11)</f>
        <v/>
      </c>
      <c r="AE11" s="45">
        <f>IF(AD11&gt;0,SUMIFS(Counties!$AP$2:$AP$1583,Counties!$AG$2:$AG$1583,1,Counties!$D$2:$D$1583,AB11)/AD11,"")</f>
        <v/>
      </c>
      <c r="AF11" s="51">
        <f>IF(AC11&gt;0,SUMIFS(Counties!$AF$2:$AF$1583,Counties!$AG$2:$AG$1583,1,Counties!$D$2:$D$1583,AB11)/SUMIFS(Counties!$AQ$2:$AQ$1583,Counties!$AG$2:$AG$1583,1,Counties!$D$2:$D$1583,AB11),"")</f>
        <v/>
      </c>
    </row>
    <row r="12" ht="40" customHeight="1">
      <c r="A12" s="8" t="inlineStr">
        <is>
          <t>IA|Small town &amp; rural</t>
        </is>
      </c>
      <c r="B12" s="8" t="inlineStr">
        <is>
          <t>IA</t>
        </is>
      </c>
      <c r="C12" s="8" t="inlineStr">
        <is>
          <t>Small town &amp; rural</t>
        </is>
      </c>
      <c r="D12" s="8">
        <f>COUNTIFS(Counties!$A$2:$A$1583,B12,Counties!$D$2:$D$1583,C12)</f>
        <v/>
      </c>
      <c r="E12" s="8">
        <f>COUNTIFS(Counties!$A$2:$A$1583,B12,Counties!$D$2:$D$1583,C12,Counties!$AG$2:$AG$1583,1)</f>
        <v/>
      </c>
      <c r="F12" s="12">
        <f>SUMIFS(Counties!$AF$2:$AF$1583,Counties!$A$2:$A$1583,$B12,Counties!$D$2:$D$1583,$C12,Counties!$AG$2:$AG$1583,1)</f>
        <v/>
      </c>
      <c r="G12" s="10">
        <f>IF(F12&gt;0,SUMIFS(Counties!$AP$2:$AP$1583,Counties!$A$2:$A$1583,$B12,Counties!$D$2:$D$1583,$C12)/F12,"")</f>
        <v/>
      </c>
      <c r="H12" s="10">
        <f>IF(G12&lt;&gt;"",G12,IF(Dashboard!$N$8&lt;&gt;"",Dashboard!$N$8,0))</f>
        <v/>
      </c>
      <c r="I12" s="12">
        <f>SUMIFS(Counties!$AQ$2:$AQ$1583,Counties!$A$2:$A$1583,$B12,Counties!$D$2:$D$1583,$C12,Counties!$AG$2:$AG$1583,1)</f>
        <v/>
      </c>
      <c r="J12" s="15">
        <f>IF(I12&gt;0,F12/I12,"")</f>
        <v/>
      </c>
      <c r="K12" s="15">
        <f>IF(J12="",Dashboard!$X$8,Dashboard!$X$8+(J12-Dashboard!$X$8)*E12/(E12+3))</f>
        <v/>
      </c>
      <c r="L12" s="57">
        <f>SUMIFS(Counties!$AQ$2:$AQ$1583,Counties!$A$2:$A$1583,$B12,Counties!$D$2:$D$1583,$C12)/SUMIFS(Counties!$AQ$2:$AQ$1583,Counties!$A$2:$A$1583,$B12)</f>
        <v/>
      </c>
      <c r="M12" s="9">
        <f>SUMIFS(Counties!$AR$2:$AR$1583,Counties!$A$2:$A$1583,$B12,Counties!$D$2:$D$1583,$C12)/SUMIFS(Counties!$AQ$2:$AQ$1583,Counties!$A$2:$A$1583,$B12,Counties!$D$2:$D$1583,$C12)</f>
        <v/>
      </c>
      <c r="N12" s="9">
        <f>M12+-0.05+Dashboard!$F$8</f>
        <v/>
      </c>
      <c r="O12" s="9">
        <f>M12+-0.01+Dashboard!$F$8</f>
        <v/>
      </c>
      <c r="P12" s="36">
        <f>M12+0.0+Dashboard!$F$8</f>
        <v/>
      </c>
      <c r="Q12" s="9">
        <f>M12+0.01+Dashboard!$F$8</f>
        <v/>
      </c>
      <c r="R12" s="9">
        <f>M12+0.05+Dashboard!$F$8</f>
        <v/>
      </c>
      <c r="S12" s="9">
        <f>IF(Dashboard!$K$8&gt;0,M12+H12,"")</f>
        <v/>
      </c>
      <c r="T12" s="10">
        <f>IF(G12="","",G12-Dashboard!$F$8)</f>
        <v/>
      </c>
      <c r="U12" s="8">
        <f>IF(F12=0,"no county of this type finished",IF(X12&gt;=0.05,"Great for Turek",IF(X12&gt;=0.01,"Turek on track",IF(X12&gt;-0.01,"Toss-up",IF(X12&gt;-0.05,"Hinson on track","Great for Hinson")))))</f>
        <v/>
      </c>
      <c r="V12" s="16">
        <f>IF(I12&gt;0,100*F12/(I12*Dashboard!$Y$8),"")</f>
        <v/>
      </c>
      <c r="W12" s="9">
        <f>IF(V12="","",P12/(V12/100))</f>
        <v/>
      </c>
      <c r="X12" s="10">
        <f>IF(F12&gt;0,(SUMIFS(Counties!$BA$2:$BA$1583,Counties!$A$2:$A$1583,$B12,Counties!$D$2:$D$1583,$C12,Counties!$AG$2:$AG$1583,1)+SUMIFS(Counties!$BB$2:$BB$1583,Counties!$A$2:$A$1583,$B12,Counties!$D$2:$D$1583,$C12,Counties!$AG$2:$AG$1583,1))/F12,"")</f>
        <v/>
      </c>
      <c r="Y12" s="37">
        <f>SUMIFS(Counties!$AZ$2:$AZ$1583,Counties!$A$2:$A$1583,$B12,Counties!$D$2:$D$1583,$C12)</f>
        <v/>
      </c>
      <c r="Z12" s="17">
        <f>"Small town &amp; rural: "&amp;TEXT(L12,"0.0%")&amp;" of the expected vote. Tie: "&amp;IF(P12&gt;=0,"D+","R+")&amp;TEXT(ABS(P12)*100,"0.0")&amp;". Turek on track at "&amp;IF(Q12&gt;=0,"D+","R+")&amp;TEXT(ABS(Q12)*100,"0.0")&amp;", great at "&amp;IF(R12&gt;=0,"D+","R+")&amp;TEXT(ABS(R12)*100,"0.0")&amp;"; Hinson on track at "&amp;IF(O12&gt;=0,"D+","R+")&amp;TEXT(ABS(O12)*100,"0.0")&amp;", great at "&amp;IF(N12&gt;=0,"D+","R+")&amp;TEXT(ABS(N12)*100,"0.0")&amp;". Turnout: if these counties vote at 95% of the state pace, the break-even moves to "&amp;IF((P12/0.95)&gt;=0,"D+","R+")&amp;TEXT(ABS((P12/0.95))*100,"0.0")&amp;"; at 105%, "&amp;IF((P12/1.05)&gt;=0,"D+","R+")&amp;TEXT(ABS((P12/1.05))*100,"0.0")&amp;"."</f>
        <v/>
      </c>
      <c r="AB12" s="42" t="inlineStr">
        <is>
          <t>Alaska district</t>
        </is>
      </c>
      <c r="AC12" s="42">
        <f>COUNTIFS(Counties!$AG$2:$AG$1583,1,Counties!$D$2:$D$1583,AB12)</f>
        <v/>
      </c>
      <c r="AD12" s="43">
        <f>SUMIFS(Counties!$AF$2:$AF$1583,Counties!$AG$2:$AG$1583,1,Counties!$D$2:$D$1583,AB12)</f>
        <v/>
      </c>
      <c r="AE12" s="45">
        <f>IF(AD12&gt;0,SUMIFS(Counties!$AP$2:$AP$1583,Counties!$AG$2:$AG$1583,1,Counties!$D$2:$D$1583,AB12)/AD12,"")</f>
        <v/>
      </c>
      <c r="AF12" s="51">
        <f>IF(AC12&gt;0,SUMIFS(Counties!$AF$2:$AF$1583,Counties!$AG$2:$AG$1583,1,Counties!$D$2:$D$1583,AB12)/SUMIFS(Counties!$AQ$2:$AQ$1583,Counties!$AG$2:$AG$1583,1,Counties!$D$2:$D$1583,AB12),"")</f>
        <v/>
      </c>
    </row>
    <row r="13" ht="40" customHeight="1">
      <c r="A13" s="8" t="inlineStr">
        <is>
          <t>KS|College suburb/metro</t>
        </is>
      </c>
      <c r="B13" s="8" t="inlineStr">
        <is>
          <t>KS</t>
        </is>
      </c>
      <c r="C13" s="8" t="inlineStr">
        <is>
          <t>College suburb/metro</t>
        </is>
      </c>
      <c r="D13" s="8">
        <f>COUNTIFS(Counties!$A$2:$A$1583,B13,Counties!$D$2:$D$1583,C13)</f>
        <v/>
      </c>
      <c r="E13" s="8">
        <f>COUNTIFS(Counties!$A$2:$A$1583,B13,Counties!$D$2:$D$1583,C13,Counties!$AG$2:$AG$1583,1)</f>
        <v/>
      </c>
      <c r="F13" s="12">
        <f>SUMIFS(Counties!$AF$2:$AF$1583,Counties!$A$2:$A$1583,$B13,Counties!$D$2:$D$1583,$C13,Counties!$AG$2:$AG$1583,1)</f>
        <v/>
      </c>
      <c r="G13" s="10">
        <f>IF(F13&gt;0,SUMIFS(Counties!$AP$2:$AP$1583,Counties!$A$2:$A$1583,$B13,Counties!$D$2:$D$1583,$C13)/F13,"")</f>
        <v/>
      </c>
      <c r="H13" s="10">
        <f>IF(G13&lt;&gt;"",G13,IF(Dashboard!$N$9&lt;&gt;"",Dashboard!$N$9,0))</f>
        <v/>
      </c>
      <c r="I13" s="12">
        <f>SUMIFS(Counties!$AQ$2:$AQ$1583,Counties!$A$2:$A$1583,$B13,Counties!$D$2:$D$1583,$C13,Counties!$AG$2:$AG$1583,1)</f>
        <v/>
      </c>
      <c r="J13" s="15">
        <f>IF(I13&gt;0,F13/I13,"")</f>
        <v/>
      </c>
      <c r="K13" s="15">
        <f>IF(J13="",Dashboard!$X$9,Dashboard!$X$9+(J13-Dashboard!$X$9)*E13/(E13+3))</f>
        <v/>
      </c>
      <c r="L13" s="57">
        <f>SUMIFS(Counties!$AQ$2:$AQ$1583,Counties!$A$2:$A$1583,$B13,Counties!$D$2:$D$1583,$C13)/SUMIFS(Counties!$AQ$2:$AQ$1583,Counties!$A$2:$A$1583,$B13)</f>
        <v/>
      </c>
      <c r="M13" s="9">
        <f>SUMIFS(Counties!$AR$2:$AR$1583,Counties!$A$2:$A$1583,$B13,Counties!$D$2:$D$1583,$C13)/SUMIFS(Counties!$AQ$2:$AQ$1583,Counties!$A$2:$A$1583,$B13,Counties!$D$2:$D$1583,$C13)</f>
        <v/>
      </c>
      <c r="N13" s="9">
        <f>M13+-0.05+Dashboard!$F$9</f>
        <v/>
      </c>
      <c r="O13" s="9">
        <f>M13+-0.01+Dashboard!$F$9</f>
        <v/>
      </c>
      <c r="P13" s="36">
        <f>M13+0.0+Dashboard!$F$9</f>
        <v/>
      </c>
      <c r="Q13" s="9">
        <f>M13+0.01+Dashboard!$F$9</f>
        <v/>
      </c>
      <c r="R13" s="9">
        <f>M13+0.05+Dashboard!$F$9</f>
        <v/>
      </c>
      <c r="S13" s="9">
        <f>IF(Dashboard!$K$9&gt;0,M13+H13,"")</f>
        <v/>
      </c>
      <c r="T13" s="10">
        <f>IF(G13="","",G13-Dashboard!$F$9)</f>
        <v/>
      </c>
      <c r="U13" s="8">
        <f>IF(F13=0,"no county of this type finished",IF(X13&gt;=0.05,"Great for Hamilton",IF(X13&gt;=0.01,"Hamilton on track",IF(X13&gt;-0.01,"Toss-up",IF(X13&gt;-0.05,"Marshall on track","Great for Marshall")))))</f>
        <v/>
      </c>
      <c r="V13" s="16">
        <f>IF(I13&gt;0,100*F13/(I13*Dashboard!$Y$9),"")</f>
        <v/>
      </c>
      <c r="W13" s="9">
        <f>IF(V13="","",P13/(V13/100))</f>
        <v/>
      </c>
      <c r="X13" s="10">
        <f>IF(F13&gt;0,(SUMIFS(Counties!$BA$2:$BA$1583,Counties!$A$2:$A$1583,$B13,Counties!$D$2:$D$1583,$C13,Counties!$AG$2:$AG$1583,1)+SUMIFS(Counties!$BB$2:$BB$1583,Counties!$A$2:$A$1583,$B13,Counties!$D$2:$D$1583,$C13,Counties!$AG$2:$AG$1583,1))/F13,"")</f>
        <v/>
      </c>
      <c r="Y13" s="37">
        <f>SUMIFS(Counties!$AZ$2:$AZ$1583,Counties!$A$2:$A$1583,$B13,Counties!$D$2:$D$1583,$C13)</f>
        <v/>
      </c>
      <c r="Z13" s="17">
        <f>"College suburb/metro: "&amp;TEXT(L13,"0.0%")&amp;" of the expected vote. Tie: "&amp;IF(P13&gt;=0,"D+","R+")&amp;TEXT(ABS(P13)*100,"0.0")&amp;". Hamilton on track at "&amp;IF(Q13&gt;=0,"D+","R+")&amp;TEXT(ABS(Q13)*100,"0.0")&amp;", great at "&amp;IF(R13&gt;=0,"D+","R+")&amp;TEXT(ABS(R13)*100,"0.0")&amp;"; Marshall on track at "&amp;IF(O13&gt;=0,"D+","R+")&amp;TEXT(ABS(O13)*100,"0.0")&amp;", great at "&amp;IF(N13&gt;=0,"D+","R+")&amp;TEXT(ABS(N13)*100,"0.0")&amp;". Turnout: if these counties vote at 95% of the state pace, the break-even moves to "&amp;IF((P13/0.95)&gt;=0,"D+","R+")&amp;TEXT(ABS((P13/0.95))*100,"0.0")&amp;"; at 105%, "&amp;IF((P13/1.05)&gt;=0,"D+","R+")&amp;TEXT(ABS((P13/1.05))*100,"0.0")&amp;"."</f>
        <v/>
      </c>
    </row>
    <row r="14" ht="40" customHeight="1">
      <c r="A14" s="8" t="inlineStr">
        <is>
          <t>KS|Mid-size/working metro</t>
        </is>
      </c>
      <c r="B14" s="8" t="inlineStr">
        <is>
          <t>KS</t>
        </is>
      </c>
      <c r="C14" s="8" t="inlineStr">
        <is>
          <t>Mid-size/working metro</t>
        </is>
      </c>
      <c r="D14" s="8">
        <f>COUNTIFS(Counties!$A$2:$A$1583,B14,Counties!$D$2:$D$1583,C14)</f>
        <v/>
      </c>
      <c r="E14" s="8">
        <f>COUNTIFS(Counties!$A$2:$A$1583,B14,Counties!$D$2:$D$1583,C14,Counties!$AG$2:$AG$1583,1)</f>
        <v/>
      </c>
      <c r="F14" s="12">
        <f>SUMIFS(Counties!$AF$2:$AF$1583,Counties!$A$2:$A$1583,$B14,Counties!$D$2:$D$1583,$C14,Counties!$AG$2:$AG$1583,1)</f>
        <v/>
      </c>
      <c r="G14" s="10">
        <f>IF(F14&gt;0,SUMIFS(Counties!$AP$2:$AP$1583,Counties!$A$2:$A$1583,$B14,Counties!$D$2:$D$1583,$C14)/F14,"")</f>
        <v/>
      </c>
      <c r="H14" s="10">
        <f>IF(G14&lt;&gt;"",G14,IF(Dashboard!$N$9&lt;&gt;"",Dashboard!$N$9,0))</f>
        <v/>
      </c>
      <c r="I14" s="12">
        <f>SUMIFS(Counties!$AQ$2:$AQ$1583,Counties!$A$2:$A$1583,$B14,Counties!$D$2:$D$1583,$C14,Counties!$AG$2:$AG$1583,1)</f>
        <v/>
      </c>
      <c r="J14" s="15">
        <f>IF(I14&gt;0,F14/I14,"")</f>
        <v/>
      </c>
      <c r="K14" s="15">
        <f>IF(J14="",Dashboard!$X$9,Dashboard!$X$9+(J14-Dashboard!$X$9)*E14/(E14+3))</f>
        <v/>
      </c>
      <c r="L14" s="57">
        <f>SUMIFS(Counties!$AQ$2:$AQ$1583,Counties!$A$2:$A$1583,$B14,Counties!$D$2:$D$1583,$C14)/SUMIFS(Counties!$AQ$2:$AQ$1583,Counties!$A$2:$A$1583,$B14)</f>
        <v/>
      </c>
      <c r="M14" s="9">
        <f>SUMIFS(Counties!$AR$2:$AR$1583,Counties!$A$2:$A$1583,$B14,Counties!$D$2:$D$1583,$C14)/SUMIFS(Counties!$AQ$2:$AQ$1583,Counties!$A$2:$A$1583,$B14,Counties!$D$2:$D$1583,$C14)</f>
        <v/>
      </c>
      <c r="N14" s="9">
        <f>M14+-0.05+Dashboard!$F$9</f>
        <v/>
      </c>
      <c r="O14" s="9">
        <f>M14+-0.01+Dashboard!$F$9</f>
        <v/>
      </c>
      <c r="P14" s="36">
        <f>M14+0.0+Dashboard!$F$9</f>
        <v/>
      </c>
      <c r="Q14" s="9">
        <f>M14+0.01+Dashboard!$F$9</f>
        <v/>
      </c>
      <c r="R14" s="9">
        <f>M14+0.05+Dashboard!$F$9</f>
        <v/>
      </c>
      <c r="S14" s="9">
        <f>IF(Dashboard!$K$9&gt;0,M14+H14,"")</f>
        <v/>
      </c>
      <c r="T14" s="10">
        <f>IF(G14="","",G14-Dashboard!$F$9)</f>
        <v/>
      </c>
      <c r="U14" s="8">
        <f>IF(F14=0,"no county of this type finished",IF(X14&gt;=0.05,"Great for Hamilton",IF(X14&gt;=0.01,"Hamilton on track",IF(X14&gt;-0.01,"Toss-up",IF(X14&gt;-0.05,"Marshall on track","Great for Marshall")))))</f>
        <v/>
      </c>
      <c r="V14" s="16">
        <f>IF(I14&gt;0,100*F14/(I14*Dashboard!$Y$9),"")</f>
        <v/>
      </c>
      <c r="W14" s="9">
        <f>IF(V14="","",P14/(V14/100))</f>
        <v/>
      </c>
      <c r="X14" s="10">
        <f>IF(F14&gt;0,(SUMIFS(Counties!$BA$2:$BA$1583,Counties!$A$2:$A$1583,$B14,Counties!$D$2:$D$1583,$C14,Counties!$AG$2:$AG$1583,1)+SUMIFS(Counties!$BB$2:$BB$1583,Counties!$A$2:$A$1583,$B14,Counties!$D$2:$D$1583,$C14,Counties!$AG$2:$AG$1583,1))/F14,"")</f>
        <v/>
      </c>
      <c r="Y14" s="37">
        <f>SUMIFS(Counties!$AZ$2:$AZ$1583,Counties!$A$2:$A$1583,$B14,Counties!$D$2:$D$1583,$C14)</f>
        <v/>
      </c>
      <c r="Z14" s="17">
        <f>"Mid-size/working metro: "&amp;TEXT(L14,"0.0%")&amp;" of the expected vote. Tie: "&amp;IF(P14&gt;=0,"D+","R+")&amp;TEXT(ABS(P14)*100,"0.0")&amp;". Hamilton on track at "&amp;IF(Q14&gt;=0,"D+","R+")&amp;TEXT(ABS(Q14)*100,"0.0")&amp;", great at "&amp;IF(R14&gt;=0,"D+","R+")&amp;TEXT(ABS(R14)*100,"0.0")&amp;"; Marshall on track at "&amp;IF(O14&gt;=0,"D+","R+")&amp;TEXT(ABS(O14)*100,"0.0")&amp;", great at "&amp;IF(N14&gt;=0,"D+","R+")&amp;TEXT(ABS(N14)*100,"0.0")&amp;". Turnout: if these counties vote at 95% of the state pace, the break-even moves to "&amp;IF((P14/0.95)&gt;=0,"D+","R+")&amp;TEXT(ABS((P14/0.95))*100,"0.0")&amp;"; at 105%, "&amp;IF((P14/1.05)&gt;=0,"D+","R+")&amp;TEXT(ABS((P14/1.05))*100,"0.0")&amp;"."</f>
        <v/>
      </c>
    </row>
    <row r="15" ht="40" customHeight="1">
      <c r="A15" s="8" t="inlineStr">
        <is>
          <t>KS|Hispanic</t>
        </is>
      </c>
      <c r="B15" s="8" t="inlineStr">
        <is>
          <t>KS</t>
        </is>
      </c>
      <c r="C15" s="8" t="inlineStr">
        <is>
          <t>Hispanic</t>
        </is>
      </c>
      <c r="D15" s="8">
        <f>COUNTIFS(Counties!$A$2:$A$1583,B15,Counties!$D$2:$D$1583,C15)</f>
        <v/>
      </c>
      <c r="E15" s="8">
        <f>COUNTIFS(Counties!$A$2:$A$1583,B15,Counties!$D$2:$D$1583,C15,Counties!$AG$2:$AG$1583,1)</f>
        <v/>
      </c>
      <c r="F15" s="12">
        <f>SUMIFS(Counties!$AF$2:$AF$1583,Counties!$A$2:$A$1583,$B15,Counties!$D$2:$D$1583,$C15,Counties!$AG$2:$AG$1583,1)</f>
        <v/>
      </c>
      <c r="G15" s="10">
        <f>IF(F15&gt;0,SUMIFS(Counties!$AP$2:$AP$1583,Counties!$A$2:$A$1583,$B15,Counties!$D$2:$D$1583,$C15)/F15,"")</f>
        <v/>
      </c>
      <c r="H15" s="10">
        <f>IF(G15&lt;&gt;"",G15,IF(Dashboard!$N$9&lt;&gt;"",Dashboard!$N$9,0))</f>
        <v/>
      </c>
      <c r="I15" s="12">
        <f>SUMIFS(Counties!$AQ$2:$AQ$1583,Counties!$A$2:$A$1583,$B15,Counties!$D$2:$D$1583,$C15,Counties!$AG$2:$AG$1583,1)</f>
        <v/>
      </c>
      <c r="J15" s="15">
        <f>IF(I15&gt;0,F15/I15,"")</f>
        <v/>
      </c>
      <c r="K15" s="15">
        <f>IF(J15="",Dashboard!$X$9,Dashboard!$X$9+(J15-Dashboard!$X$9)*E15/(E15+3))</f>
        <v/>
      </c>
      <c r="L15" s="57">
        <f>SUMIFS(Counties!$AQ$2:$AQ$1583,Counties!$A$2:$A$1583,$B15,Counties!$D$2:$D$1583,$C15)/SUMIFS(Counties!$AQ$2:$AQ$1583,Counties!$A$2:$A$1583,$B15)</f>
        <v/>
      </c>
      <c r="M15" s="9">
        <f>SUMIFS(Counties!$AR$2:$AR$1583,Counties!$A$2:$A$1583,$B15,Counties!$D$2:$D$1583,$C15)/SUMIFS(Counties!$AQ$2:$AQ$1583,Counties!$A$2:$A$1583,$B15,Counties!$D$2:$D$1583,$C15)</f>
        <v/>
      </c>
      <c r="N15" s="9">
        <f>M15+-0.05+Dashboard!$F$9</f>
        <v/>
      </c>
      <c r="O15" s="9">
        <f>M15+-0.01+Dashboard!$F$9</f>
        <v/>
      </c>
      <c r="P15" s="36">
        <f>M15+0.0+Dashboard!$F$9</f>
        <v/>
      </c>
      <c r="Q15" s="9">
        <f>M15+0.01+Dashboard!$F$9</f>
        <v/>
      </c>
      <c r="R15" s="9">
        <f>M15+0.05+Dashboard!$F$9</f>
        <v/>
      </c>
      <c r="S15" s="9">
        <f>IF(Dashboard!$K$9&gt;0,M15+H15,"")</f>
        <v/>
      </c>
      <c r="T15" s="10">
        <f>IF(G15="","",G15-Dashboard!$F$9)</f>
        <v/>
      </c>
      <c r="U15" s="8">
        <f>IF(F15=0,"no county of this type finished",IF(X15&gt;=0.05,"Great for Hamilton",IF(X15&gt;=0.01,"Hamilton on track",IF(X15&gt;-0.01,"Toss-up",IF(X15&gt;-0.05,"Marshall on track","Great for Marshall")))))</f>
        <v/>
      </c>
      <c r="V15" s="16">
        <f>IF(I15&gt;0,100*F15/(I15*Dashboard!$Y$9),"")</f>
        <v/>
      </c>
      <c r="W15" s="9">
        <f>IF(V15="","",P15/(V15/100))</f>
        <v/>
      </c>
      <c r="X15" s="10">
        <f>IF(F15&gt;0,(SUMIFS(Counties!$BA$2:$BA$1583,Counties!$A$2:$A$1583,$B15,Counties!$D$2:$D$1583,$C15,Counties!$AG$2:$AG$1583,1)+SUMIFS(Counties!$BB$2:$BB$1583,Counties!$A$2:$A$1583,$B15,Counties!$D$2:$D$1583,$C15,Counties!$AG$2:$AG$1583,1))/F15,"")</f>
        <v/>
      </c>
      <c r="Y15" s="37">
        <f>SUMIFS(Counties!$AZ$2:$AZ$1583,Counties!$A$2:$A$1583,$B15,Counties!$D$2:$D$1583,$C15)</f>
        <v/>
      </c>
      <c r="Z15" s="17">
        <f>"Hispanic: "&amp;TEXT(L15,"0.0%")&amp;" of the expected vote. Tie: "&amp;IF(P15&gt;=0,"D+","R+")&amp;TEXT(ABS(P15)*100,"0.0")&amp;". Hamilton on track at "&amp;IF(Q15&gt;=0,"D+","R+")&amp;TEXT(ABS(Q15)*100,"0.0")&amp;", great at "&amp;IF(R15&gt;=0,"D+","R+")&amp;TEXT(ABS(R15)*100,"0.0")&amp;"; Marshall on track at "&amp;IF(O15&gt;=0,"D+","R+")&amp;TEXT(ABS(O15)*100,"0.0")&amp;", great at "&amp;IF(N15&gt;=0,"D+","R+")&amp;TEXT(ABS(N15)*100,"0.0")&amp;". Turnout: if these counties vote at 95% of the state pace, the break-even moves to "&amp;IF((P15/0.95)&gt;=0,"D+","R+")&amp;TEXT(ABS((P15/0.95))*100,"0.0")&amp;"; at 105%, "&amp;IF((P15/1.05)&gt;=0,"D+","R+")&amp;TEXT(ABS((P15/1.05))*100,"0.0")&amp;"."</f>
        <v/>
      </c>
    </row>
    <row r="16" ht="40" customHeight="1">
      <c r="A16" s="8" t="inlineStr">
        <is>
          <t>KS|Small town &amp; rural</t>
        </is>
      </c>
      <c r="B16" s="8" t="inlineStr">
        <is>
          <t>KS</t>
        </is>
      </c>
      <c r="C16" s="8" t="inlineStr">
        <is>
          <t>Small town &amp; rural</t>
        </is>
      </c>
      <c r="D16" s="8">
        <f>COUNTIFS(Counties!$A$2:$A$1583,B16,Counties!$D$2:$D$1583,C16)</f>
        <v/>
      </c>
      <c r="E16" s="8">
        <f>COUNTIFS(Counties!$A$2:$A$1583,B16,Counties!$D$2:$D$1583,C16,Counties!$AG$2:$AG$1583,1)</f>
        <v/>
      </c>
      <c r="F16" s="12">
        <f>SUMIFS(Counties!$AF$2:$AF$1583,Counties!$A$2:$A$1583,$B16,Counties!$D$2:$D$1583,$C16,Counties!$AG$2:$AG$1583,1)</f>
        <v/>
      </c>
      <c r="G16" s="10">
        <f>IF(F16&gt;0,SUMIFS(Counties!$AP$2:$AP$1583,Counties!$A$2:$A$1583,$B16,Counties!$D$2:$D$1583,$C16)/F16,"")</f>
        <v/>
      </c>
      <c r="H16" s="10">
        <f>IF(G16&lt;&gt;"",G16,IF(Dashboard!$N$9&lt;&gt;"",Dashboard!$N$9,0))</f>
        <v/>
      </c>
      <c r="I16" s="12">
        <f>SUMIFS(Counties!$AQ$2:$AQ$1583,Counties!$A$2:$A$1583,$B16,Counties!$D$2:$D$1583,$C16,Counties!$AG$2:$AG$1583,1)</f>
        <v/>
      </c>
      <c r="J16" s="15">
        <f>IF(I16&gt;0,F16/I16,"")</f>
        <v/>
      </c>
      <c r="K16" s="15">
        <f>IF(J16="",Dashboard!$X$9,Dashboard!$X$9+(J16-Dashboard!$X$9)*E16/(E16+3))</f>
        <v/>
      </c>
      <c r="L16" s="57">
        <f>SUMIFS(Counties!$AQ$2:$AQ$1583,Counties!$A$2:$A$1583,$B16,Counties!$D$2:$D$1583,$C16)/SUMIFS(Counties!$AQ$2:$AQ$1583,Counties!$A$2:$A$1583,$B16)</f>
        <v/>
      </c>
      <c r="M16" s="9">
        <f>SUMIFS(Counties!$AR$2:$AR$1583,Counties!$A$2:$A$1583,$B16,Counties!$D$2:$D$1583,$C16)/SUMIFS(Counties!$AQ$2:$AQ$1583,Counties!$A$2:$A$1583,$B16,Counties!$D$2:$D$1583,$C16)</f>
        <v/>
      </c>
      <c r="N16" s="9">
        <f>M16+-0.05+Dashboard!$F$9</f>
        <v/>
      </c>
      <c r="O16" s="9">
        <f>M16+-0.01+Dashboard!$F$9</f>
        <v/>
      </c>
      <c r="P16" s="36">
        <f>M16+0.0+Dashboard!$F$9</f>
        <v/>
      </c>
      <c r="Q16" s="9">
        <f>M16+0.01+Dashboard!$F$9</f>
        <v/>
      </c>
      <c r="R16" s="9">
        <f>M16+0.05+Dashboard!$F$9</f>
        <v/>
      </c>
      <c r="S16" s="9">
        <f>IF(Dashboard!$K$9&gt;0,M16+H16,"")</f>
        <v/>
      </c>
      <c r="T16" s="10">
        <f>IF(G16="","",G16-Dashboard!$F$9)</f>
        <v/>
      </c>
      <c r="U16" s="8">
        <f>IF(F16=0,"no county of this type finished",IF(X16&gt;=0.05,"Great for Hamilton",IF(X16&gt;=0.01,"Hamilton on track",IF(X16&gt;-0.01,"Toss-up",IF(X16&gt;-0.05,"Marshall on track","Great for Marshall")))))</f>
        <v/>
      </c>
      <c r="V16" s="16">
        <f>IF(I16&gt;0,100*F16/(I16*Dashboard!$Y$9),"")</f>
        <v/>
      </c>
      <c r="W16" s="9">
        <f>IF(V16="","",P16/(V16/100))</f>
        <v/>
      </c>
      <c r="X16" s="10">
        <f>IF(F16&gt;0,(SUMIFS(Counties!$BA$2:$BA$1583,Counties!$A$2:$A$1583,$B16,Counties!$D$2:$D$1583,$C16,Counties!$AG$2:$AG$1583,1)+SUMIFS(Counties!$BB$2:$BB$1583,Counties!$A$2:$A$1583,$B16,Counties!$D$2:$D$1583,$C16,Counties!$AG$2:$AG$1583,1))/F16,"")</f>
        <v/>
      </c>
      <c r="Y16" s="37">
        <f>SUMIFS(Counties!$AZ$2:$AZ$1583,Counties!$A$2:$A$1583,$B16,Counties!$D$2:$D$1583,$C16)</f>
        <v/>
      </c>
      <c r="Z16" s="17">
        <f>"Small town &amp; rural: "&amp;TEXT(L16,"0.0%")&amp;" of the expected vote. Tie: "&amp;IF(P16&gt;=0,"D+","R+")&amp;TEXT(ABS(P16)*100,"0.0")&amp;". Hamilton on track at "&amp;IF(Q16&gt;=0,"D+","R+")&amp;TEXT(ABS(Q16)*100,"0.0")&amp;", great at "&amp;IF(R16&gt;=0,"D+","R+")&amp;TEXT(ABS(R16)*100,"0.0")&amp;"; Marshall on track at "&amp;IF(O16&gt;=0,"D+","R+")&amp;TEXT(ABS(O16)*100,"0.0")&amp;", great at "&amp;IF(N16&gt;=0,"D+","R+")&amp;TEXT(ABS(N16)*100,"0.0")&amp;". Turnout: if these counties vote at 95% of the state pace, the break-even moves to "&amp;IF((P16/0.95)&gt;=0,"D+","R+")&amp;TEXT(ABS((P16/0.95))*100,"0.0")&amp;"; at 105%, "&amp;IF((P16/1.05)&gt;=0,"D+","R+")&amp;TEXT(ABS((P16/1.05))*100,"0.0")&amp;"."</f>
        <v/>
      </c>
    </row>
    <row r="17" ht="40" customHeight="1">
      <c r="A17" s="8" t="inlineStr">
        <is>
          <t>ME|College suburb/metro</t>
        </is>
      </c>
      <c r="B17" s="8" t="inlineStr">
        <is>
          <t>ME</t>
        </is>
      </c>
      <c r="C17" s="8" t="inlineStr">
        <is>
          <t>College suburb/metro</t>
        </is>
      </c>
      <c r="D17" s="8">
        <f>COUNTIFS(Counties!$A$2:$A$1583,B17,Counties!$D$2:$D$1583,C17)</f>
        <v/>
      </c>
      <c r="E17" s="8">
        <f>COUNTIFS(Counties!$A$2:$A$1583,B17,Counties!$D$2:$D$1583,C17,Counties!$AG$2:$AG$1583,1)</f>
        <v/>
      </c>
      <c r="F17" s="12">
        <f>SUMIFS(Counties!$AF$2:$AF$1583,Counties!$A$2:$A$1583,$B17,Counties!$D$2:$D$1583,$C17,Counties!$AG$2:$AG$1583,1)</f>
        <v/>
      </c>
      <c r="G17" s="10">
        <f>IF(F17&gt;0,SUMIFS(Counties!$AP$2:$AP$1583,Counties!$A$2:$A$1583,$B17,Counties!$D$2:$D$1583,$C17)/F17,"")</f>
        <v/>
      </c>
      <c r="H17" s="10">
        <f>IF(G17&lt;&gt;"",G17,IF(Dashboard!$N$10&lt;&gt;"",Dashboard!$N$10,0))</f>
        <v/>
      </c>
      <c r="I17" s="12">
        <f>SUMIFS(Counties!$AQ$2:$AQ$1583,Counties!$A$2:$A$1583,$B17,Counties!$D$2:$D$1583,$C17,Counties!$AG$2:$AG$1583,1)</f>
        <v/>
      </c>
      <c r="J17" s="15">
        <f>IF(I17&gt;0,F17/I17,"")</f>
        <v/>
      </c>
      <c r="K17" s="15">
        <f>IF(J17="",Dashboard!$X$10,Dashboard!$X$10+(J17-Dashboard!$X$10)*E17/(E17+3))</f>
        <v/>
      </c>
      <c r="L17" s="57">
        <f>SUMIFS(Counties!$AQ$2:$AQ$1583,Counties!$A$2:$A$1583,$B17,Counties!$D$2:$D$1583,$C17)/SUMIFS(Counties!$AQ$2:$AQ$1583,Counties!$A$2:$A$1583,$B17)</f>
        <v/>
      </c>
      <c r="M17" s="9">
        <f>SUMIFS(Counties!$AR$2:$AR$1583,Counties!$A$2:$A$1583,$B17,Counties!$D$2:$D$1583,$C17)/SUMIFS(Counties!$AQ$2:$AQ$1583,Counties!$A$2:$A$1583,$B17,Counties!$D$2:$D$1583,$C17)</f>
        <v/>
      </c>
      <c r="N17" s="9">
        <f>M17+-0.05+Dashboard!$F$10</f>
        <v/>
      </c>
      <c r="O17" s="9">
        <f>M17+-0.01+Dashboard!$F$10</f>
        <v/>
      </c>
      <c r="P17" s="36">
        <f>M17+0.0+Dashboard!$F$10</f>
        <v/>
      </c>
      <c r="Q17" s="9">
        <f>M17+0.01+Dashboard!$F$10</f>
        <v/>
      </c>
      <c r="R17" s="9">
        <f>M17+0.05+Dashboard!$F$10</f>
        <v/>
      </c>
      <c r="S17" s="9">
        <f>IF(Dashboard!$K$10&gt;0,M17+H17,"")</f>
        <v/>
      </c>
      <c r="T17" s="10">
        <f>IF(G17="","",G17-Dashboard!$F$10)</f>
        <v/>
      </c>
      <c r="U17" s="8">
        <f>IF(F17=0,"no county of this type finished",IF(X17&gt;=0.05,"Great for Jackson",IF(X17&gt;=0.01,"Jackson on track",IF(X17&gt;-0.01,"Toss-up",IF(X17&gt;-0.05,"Collins on track","Great for Collins")))))</f>
        <v/>
      </c>
      <c r="V17" s="16">
        <f>IF(I17&gt;0,100*F17/(I17*Dashboard!$Y$10),"")</f>
        <v/>
      </c>
      <c r="W17" s="9">
        <f>IF(V17="","",P17/(V17/100))</f>
        <v/>
      </c>
      <c r="X17" s="10">
        <f>IF(F17&gt;0,(SUMIFS(Counties!$BA$2:$BA$1583,Counties!$A$2:$A$1583,$B17,Counties!$D$2:$D$1583,$C17,Counties!$AG$2:$AG$1583,1)+SUMIFS(Counties!$BB$2:$BB$1583,Counties!$A$2:$A$1583,$B17,Counties!$D$2:$D$1583,$C17,Counties!$AG$2:$AG$1583,1))/F17,"")</f>
        <v/>
      </c>
      <c r="Y17" s="37">
        <f>SUMIFS(Counties!$AZ$2:$AZ$1583,Counties!$A$2:$A$1583,$B17,Counties!$D$2:$D$1583,$C17)</f>
        <v/>
      </c>
      <c r="Z17" s="17">
        <f>"College suburb/metro: "&amp;TEXT(L17,"0.0%")&amp;" of the expected vote. Tie: "&amp;IF(P17&gt;=0,"D+","R+")&amp;TEXT(ABS(P17)*100,"0.0")&amp;". Jackson on track at "&amp;IF(Q17&gt;=0,"D+","R+")&amp;TEXT(ABS(Q17)*100,"0.0")&amp;", great at "&amp;IF(R17&gt;=0,"D+","R+")&amp;TEXT(ABS(R17)*100,"0.0")&amp;"; Collins on track at "&amp;IF(O17&gt;=0,"D+","R+")&amp;TEXT(ABS(O17)*100,"0.0")&amp;", great at "&amp;IF(N17&gt;=0,"D+","R+")&amp;TEXT(ABS(N17)*100,"0.0")&amp;". Turnout: if these counties vote at 95% of the state pace, the break-even moves to "&amp;IF((P17/0.95)&gt;=0,"D+","R+")&amp;TEXT(ABS((P17/0.95))*100,"0.0")&amp;"; at 105%, "&amp;IF((P17/1.05)&gt;=0,"D+","R+")&amp;TEXT(ABS((P17/1.05))*100,"0.0")&amp;"."</f>
        <v/>
      </c>
    </row>
    <row r="18" ht="40" customHeight="1">
      <c r="A18" s="8" t="inlineStr">
        <is>
          <t>ME|Mid-size/working metro</t>
        </is>
      </c>
      <c r="B18" s="8" t="inlineStr">
        <is>
          <t>ME</t>
        </is>
      </c>
      <c r="C18" s="8" t="inlineStr">
        <is>
          <t>Mid-size/working metro</t>
        </is>
      </c>
      <c r="D18" s="8">
        <f>COUNTIFS(Counties!$A$2:$A$1583,B18,Counties!$D$2:$D$1583,C18)</f>
        <v/>
      </c>
      <c r="E18" s="8">
        <f>COUNTIFS(Counties!$A$2:$A$1583,B18,Counties!$D$2:$D$1583,C18,Counties!$AG$2:$AG$1583,1)</f>
        <v/>
      </c>
      <c r="F18" s="12">
        <f>SUMIFS(Counties!$AF$2:$AF$1583,Counties!$A$2:$A$1583,$B18,Counties!$D$2:$D$1583,$C18,Counties!$AG$2:$AG$1583,1)</f>
        <v/>
      </c>
      <c r="G18" s="10">
        <f>IF(F18&gt;0,SUMIFS(Counties!$AP$2:$AP$1583,Counties!$A$2:$A$1583,$B18,Counties!$D$2:$D$1583,$C18)/F18,"")</f>
        <v/>
      </c>
      <c r="H18" s="10">
        <f>IF(G18&lt;&gt;"",G18,IF(Dashboard!$N$10&lt;&gt;"",Dashboard!$N$10,0))</f>
        <v/>
      </c>
      <c r="I18" s="12">
        <f>SUMIFS(Counties!$AQ$2:$AQ$1583,Counties!$A$2:$A$1583,$B18,Counties!$D$2:$D$1583,$C18,Counties!$AG$2:$AG$1583,1)</f>
        <v/>
      </c>
      <c r="J18" s="15">
        <f>IF(I18&gt;0,F18/I18,"")</f>
        <v/>
      </c>
      <c r="K18" s="15">
        <f>IF(J18="",Dashboard!$X$10,Dashboard!$X$10+(J18-Dashboard!$X$10)*E18/(E18+3))</f>
        <v/>
      </c>
      <c r="L18" s="57">
        <f>SUMIFS(Counties!$AQ$2:$AQ$1583,Counties!$A$2:$A$1583,$B18,Counties!$D$2:$D$1583,$C18)/SUMIFS(Counties!$AQ$2:$AQ$1583,Counties!$A$2:$A$1583,$B18)</f>
        <v/>
      </c>
      <c r="M18" s="9">
        <f>SUMIFS(Counties!$AR$2:$AR$1583,Counties!$A$2:$A$1583,$B18,Counties!$D$2:$D$1583,$C18)/SUMIFS(Counties!$AQ$2:$AQ$1583,Counties!$A$2:$A$1583,$B18,Counties!$D$2:$D$1583,$C18)</f>
        <v/>
      </c>
      <c r="N18" s="9">
        <f>M18+-0.05+Dashboard!$F$10</f>
        <v/>
      </c>
      <c r="O18" s="9">
        <f>M18+-0.01+Dashboard!$F$10</f>
        <v/>
      </c>
      <c r="P18" s="36">
        <f>M18+0.0+Dashboard!$F$10</f>
        <v/>
      </c>
      <c r="Q18" s="9">
        <f>M18+0.01+Dashboard!$F$10</f>
        <v/>
      </c>
      <c r="R18" s="9">
        <f>M18+0.05+Dashboard!$F$10</f>
        <v/>
      </c>
      <c r="S18" s="9">
        <f>IF(Dashboard!$K$10&gt;0,M18+H18,"")</f>
        <v/>
      </c>
      <c r="T18" s="10">
        <f>IF(G18="","",G18-Dashboard!$F$10)</f>
        <v/>
      </c>
      <c r="U18" s="8">
        <f>IF(F18=0,"no county of this type finished",IF(X18&gt;=0.05,"Great for Jackson",IF(X18&gt;=0.01,"Jackson on track",IF(X18&gt;-0.01,"Toss-up",IF(X18&gt;-0.05,"Collins on track","Great for Collins")))))</f>
        <v/>
      </c>
      <c r="V18" s="16">
        <f>IF(I18&gt;0,100*F18/(I18*Dashboard!$Y$10),"")</f>
        <v/>
      </c>
      <c r="W18" s="9">
        <f>IF(V18="","",P18/(V18/100))</f>
        <v/>
      </c>
      <c r="X18" s="10">
        <f>IF(F18&gt;0,(SUMIFS(Counties!$BA$2:$BA$1583,Counties!$A$2:$A$1583,$B18,Counties!$D$2:$D$1583,$C18,Counties!$AG$2:$AG$1583,1)+SUMIFS(Counties!$BB$2:$BB$1583,Counties!$A$2:$A$1583,$B18,Counties!$D$2:$D$1583,$C18,Counties!$AG$2:$AG$1583,1))/F18,"")</f>
        <v/>
      </c>
      <c r="Y18" s="37">
        <f>SUMIFS(Counties!$AZ$2:$AZ$1583,Counties!$A$2:$A$1583,$B18,Counties!$D$2:$D$1583,$C18)</f>
        <v/>
      </c>
      <c r="Z18" s="17">
        <f>"Mid-size/working metro: "&amp;TEXT(L18,"0.0%")&amp;" of the expected vote. Tie: "&amp;IF(P18&gt;=0,"D+","R+")&amp;TEXT(ABS(P18)*100,"0.0")&amp;". Jackson on track at "&amp;IF(Q18&gt;=0,"D+","R+")&amp;TEXT(ABS(Q18)*100,"0.0")&amp;", great at "&amp;IF(R18&gt;=0,"D+","R+")&amp;TEXT(ABS(R18)*100,"0.0")&amp;"; Collins on track at "&amp;IF(O18&gt;=0,"D+","R+")&amp;TEXT(ABS(O18)*100,"0.0")&amp;", great at "&amp;IF(N18&gt;=0,"D+","R+")&amp;TEXT(ABS(N18)*100,"0.0")&amp;". Turnout: if these counties vote at 95% of the state pace, the break-even moves to "&amp;IF((P18/0.95)&gt;=0,"D+","R+")&amp;TEXT(ABS((P18/0.95))*100,"0.0")&amp;"; at 105%, "&amp;IF((P18/1.05)&gt;=0,"D+","R+")&amp;TEXT(ABS((P18/1.05))*100,"0.0")&amp;"."</f>
        <v/>
      </c>
    </row>
    <row r="19" ht="40" customHeight="1">
      <c r="A19" s="8" t="inlineStr">
        <is>
          <t>ME|Small town &amp; rural</t>
        </is>
      </c>
      <c r="B19" s="8" t="inlineStr">
        <is>
          <t>ME</t>
        </is>
      </c>
      <c r="C19" s="8" t="inlineStr">
        <is>
          <t>Small town &amp; rural</t>
        </is>
      </c>
      <c r="D19" s="8">
        <f>COUNTIFS(Counties!$A$2:$A$1583,B19,Counties!$D$2:$D$1583,C19)</f>
        <v/>
      </c>
      <c r="E19" s="8">
        <f>COUNTIFS(Counties!$A$2:$A$1583,B19,Counties!$D$2:$D$1583,C19,Counties!$AG$2:$AG$1583,1)</f>
        <v/>
      </c>
      <c r="F19" s="12">
        <f>SUMIFS(Counties!$AF$2:$AF$1583,Counties!$A$2:$A$1583,$B19,Counties!$D$2:$D$1583,$C19,Counties!$AG$2:$AG$1583,1)</f>
        <v/>
      </c>
      <c r="G19" s="10">
        <f>IF(F19&gt;0,SUMIFS(Counties!$AP$2:$AP$1583,Counties!$A$2:$A$1583,$B19,Counties!$D$2:$D$1583,$C19)/F19,"")</f>
        <v/>
      </c>
      <c r="H19" s="10">
        <f>IF(G19&lt;&gt;"",G19,IF(Dashboard!$N$10&lt;&gt;"",Dashboard!$N$10,0))</f>
        <v/>
      </c>
      <c r="I19" s="12">
        <f>SUMIFS(Counties!$AQ$2:$AQ$1583,Counties!$A$2:$A$1583,$B19,Counties!$D$2:$D$1583,$C19,Counties!$AG$2:$AG$1583,1)</f>
        <v/>
      </c>
      <c r="J19" s="15">
        <f>IF(I19&gt;0,F19/I19,"")</f>
        <v/>
      </c>
      <c r="K19" s="15">
        <f>IF(J19="",Dashboard!$X$10,Dashboard!$X$10+(J19-Dashboard!$X$10)*E19/(E19+3))</f>
        <v/>
      </c>
      <c r="L19" s="57">
        <f>SUMIFS(Counties!$AQ$2:$AQ$1583,Counties!$A$2:$A$1583,$B19,Counties!$D$2:$D$1583,$C19)/SUMIFS(Counties!$AQ$2:$AQ$1583,Counties!$A$2:$A$1583,$B19)</f>
        <v/>
      </c>
      <c r="M19" s="9">
        <f>SUMIFS(Counties!$AR$2:$AR$1583,Counties!$A$2:$A$1583,$B19,Counties!$D$2:$D$1583,$C19)/SUMIFS(Counties!$AQ$2:$AQ$1583,Counties!$A$2:$A$1583,$B19,Counties!$D$2:$D$1583,$C19)</f>
        <v/>
      </c>
      <c r="N19" s="9">
        <f>M19+-0.05+Dashboard!$F$10</f>
        <v/>
      </c>
      <c r="O19" s="9">
        <f>M19+-0.01+Dashboard!$F$10</f>
        <v/>
      </c>
      <c r="P19" s="36">
        <f>M19+0.0+Dashboard!$F$10</f>
        <v/>
      </c>
      <c r="Q19" s="9">
        <f>M19+0.01+Dashboard!$F$10</f>
        <v/>
      </c>
      <c r="R19" s="9">
        <f>M19+0.05+Dashboard!$F$10</f>
        <v/>
      </c>
      <c r="S19" s="9">
        <f>IF(Dashboard!$K$10&gt;0,M19+H19,"")</f>
        <v/>
      </c>
      <c r="T19" s="10">
        <f>IF(G19="","",G19-Dashboard!$F$10)</f>
        <v/>
      </c>
      <c r="U19" s="8">
        <f>IF(F19=0,"no county of this type finished",IF(X19&gt;=0.05,"Great for Jackson",IF(X19&gt;=0.01,"Jackson on track",IF(X19&gt;-0.01,"Toss-up",IF(X19&gt;-0.05,"Collins on track","Great for Collins")))))</f>
        <v/>
      </c>
      <c r="V19" s="16">
        <f>IF(I19&gt;0,100*F19/(I19*Dashboard!$Y$10),"")</f>
        <v/>
      </c>
      <c r="W19" s="9">
        <f>IF(V19="","",P19/(V19/100))</f>
        <v/>
      </c>
      <c r="X19" s="10">
        <f>IF(F19&gt;0,(SUMIFS(Counties!$BA$2:$BA$1583,Counties!$A$2:$A$1583,$B19,Counties!$D$2:$D$1583,$C19,Counties!$AG$2:$AG$1583,1)+SUMIFS(Counties!$BB$2:$BB$1583,Counties!$A$2:$A$1583,$B19,Counties!$D$2:$D$1583,$C19,Counties!$AG$2:$AG$1583,1))/F19,"")</f>
        <v/>
      </c>
      <c r="Y19" s="37">
        <f>SUMIFS(Counties!$AZ$2:$AZ$1583,Counties!$A$2:$A$1583,$B19,Counties!$D$2:$D$1583,$C19)</f>
        <v/>
      </c>
      <c r="Z19" s="17">
        <f>"Small town &amp; rural: "&amp;TEXT(L19,"0.0%")&amp;" of the expected vote. Tie: "&amp;IF(P19&gt;=0,"D+","R+")&amp;TEXT(ABS(P19)*100,"0.0")&amp;". Jackson on track at "&amp;IF(Q19&gt;=0,"D+","R+")&amp;TEXT(ABS(Q19)*100,"0.0")&amp;", great at "&amp;IF(R19&gt;=0,"D+","R+")&amp;TEXT(ABS(R19)*100,"0.0")&amp;"; Collins on track at "&amp;IF(O19&gt;=0,"D+","R+")&amp;TEXT(ABS(O19)*100,"0.0")&amp;", great at "&amp;IF(N19&gt;=0,"D+","R+")&amp;TEXT(ABS(N19)*100,"0.0")&amp;". Turnout: if these counties vote at 95% of the state pace, the break-even moves to "&amp;IF((P19/0.95)&gt;=0,"D+","R+")&amp;TEXT(ABS((P19/0.95))*100,"0.0")&amp;"; at 105%, "&amp;IF((P19/1.05)&gt;=0,"D+","R+")&amp;TEXT(ABS((P19/1.05))*100,"0.0")&amp;"."</f>
        <v/>
      </c>
    </row>
    <row r="20" ht="40" customHeight="1">
      <c r="A20" s="8" t="inlineStr">
        <is>
          <t>MI|Big metro core</t>
        </is>
      </c>
      <c r="B20" s="8" t="inlineStr">
        <is>
          <t>MI</t>
        </is>
      </c>
      <c r="C20" s="8" t="inlineStr">
        <is>
          <t>Big metro core</t>
        </is>
      </c>
      <c r="D20" s="8">
        <f>COUNTIFS(Counties!$A$2:$A$1583,B20,Counties!$D$2:$D$1583,C20)</f>
        <v/>
      </c>
      <c r="E20" s="8">
        <f>COUNTIFS(Counties!$A$2:$A$1583,B20,Counties!$D$2:$D$1583,C20,Counties!$AG$2:$AG$1583,1)</f>
        <v/>
      </c>
      <c r="F20" s="12">
        <f>SUMIFS(Counties!$AF$2:$AF$1583,Counties!$A$2:$A$1583,$B20,Counties!$D$2:$D$1583,$C20,Counties!$AG$2:$AG$1583,1)</f>
        <v/>
      </c>
      <c r="G20" s="10">
        <f>IF(F20&gt;0,SUMIFS(Counties!$AP$2:$AP$1583,Counties!$A$2:$A$1583,$B20,Counties!$D$2:$D$1583,$C20)/F20,"")</f>
        <v/>
      </c>
      <c r="H20" s="10">
        <f>IF(G20&lt;&gt;"",G20,IF(Dashboard!$N$11&lt;&gt;"",Dashboard!$N$11,0))</f>
        <v/>
      </c>
      <c r="I20" s="12">
        <f>SUMIFS(Counties!$AQ$2:$AQ$1583,Counties!$A$2:$A$1583,$B20,Counties!$D$2:$D$1583,$C20,Counties!$AG$2:$AG$1583,1)</f>
        <v/>
      </c>
      <c r="J20" s="15">
        <f>IF(I20&gt;0,F20/I20,"")</f>
        <v/>
      </c>
      <c r="K20" s="15">
        <f>IF(J20="",Dashboard!$X$11,Dashboard!$X$11+(J20-Dashboard!$X$11)*E20/(E20+3))</f>
        <v/>
      </c>
      <c r="L20" s="57">
        <f>SUMIFS(Counties!$AQ$2:$AQ$1583,Counties!$A$2:$A$1583,$B20,Counties!$D$2:$D$1583,$C20)/SUMIFS(Counties!$AQ$2:$AQ$1583,Counties!$A$2:$A$1583,$B20)</f>
        <v/>
      </c>
      <c r="M20" s="9">
        <f>SUMIFS(Counties!$AR$2:$AR$1583,Counties!$A$2:$A$1583,$B20,Counties!$D$2:$D$1583,$C20)/SUMIFS(Counties!$AQ$2:$AQ$1583,Counties!$A$2:$A$1583,$B20,Counties!$D$2:$D$1583,$C20)</f>
        <v/>
      </c>
      <c r="N20" s="9">
        <f>M20+-0.05+Dashboard!$F$11</f>
        <v/>
      </c>
      <c r="O20" s="9">
        <f>M20+-0.01+Dashboard!$F$11</f>
        <v/>
      </c>
      <c r="P20" s="36">
        <f>M20+0.0+Dashboard!$F$11</f>
        <v/>
      </c>
      <c r="Q20" s="9">
        <f>M20+0.01+Dashboard!$F$11</f>
        <v/>
      </c>
      <c r="R20" s="9">
        <f>M20+0.05+Dashboard!$F$11</f>
        <v/>
      </c>
      <c r="S20" s="9">
        <f>IF(Dashboard!$K$11&gt;0,M20+H20,"")</f>
        <v/>
      </c>
      <c r="T20" s="10">
        <f>IF(G20="","",G20-Dashboard!$F$11)</f>
        <v/>
      </c>
      <c r="U20" s="8">
        <f>IF(F20=0,"no county of this type finished",IF(X20&gt;=0.05,"Great for El-Sayed",IF(X20&gt;=0.01,"El-Sayed on track",IF(X20&gt;-0.01,"Toss-up",IF(X20&gt;-0.05,"Rogers on track","Great for Rogers")))))</f>
        <v/>
      </c>
      <c r="V20" s="16">
        <f>IF(I20&gt;0,100*F20/(I20*Dashboard!$Y$11),"")</f>
        <v/>
      </c>
      <c r="W20" s="9">
        <f>IF(V20="","",P20/(V20/100))</f>
        <v/>
      </c>
      <c r="X20" s="10">
        <f>IF(F20&gt;0,(SUMIFS(Counties!$BA$2:$BA$1583,Counties!$A$2:$A$1583,$B20,Counties!$D$2:$D$1583,$C20,Counties!$AG$2:$AG$1583,1)+SUMIFS(Counties!$BB$2:$BB$1583,Counties!$A$2:$A$1583,$B20,Counties!$D$2:$D$1583,$C20,Counties!$AG$2:$AG$1583,1))/F20,"")</f>
        <v/>
      </c>
      <c r="Y20" s="37">
        <f>SUMIFS(Counties!$AZ$2:$AZ$1583,Counties!$A$2:$A$1583,$B20,Counties!$D$2:$D$1583,$C20)</f>
        <v/>
      </c>
      <c r="Z20" s="17">
        <f>"Big metro core: "&amp;TEXT(L20,"0.0%")&amp;" of the expected vote. Tie: "&amp;IF(P20&gt;=0,"D+","R+")&amp;TEXT(ABS(P20)*100,"0.0")&amp;". El-Sayed on track at "&amp;IF(Q20&gt;=0,"D+","R+")&amp;TEXT(ABS(Q20)*100,"0.0")&amp;", great at "&amp;IF(R20&gt;=0,"D+","R+")&amp;TEXT(ABS(R20)*100,"0.0")&amp;"; Rogers on track at "&amp;IF(O20&gt;=0,"D+","R+")&amp;TEXT(ABS(O20)*100,"0.0")&amp;", great at "&amp;IF(N20&gt;=0,"D+","R+")&amp;TEXT(ABS(N20)*100,"0.0")&amp;". Turnout: if these counties vote at 95% of the state pace, the break-even moves to "&amp;IF((P20/0.95)&gt;=0,"D+","R+")&amp;TEXT(ABS((P20/0.95))*100,"0.0")&amp;"; at 105%, "&amp;IF((P20/1.05)&gt;=0,"D+","R+")&amp;TEXT(ABS((P20/1.05))*100,"0.0")&amp;"."</f>
        <v/>
      </c>
    </row>
    <row r="21" ht="40" customHeight="1">
      <c r="A21" s="8" t="inlineStr">
        <is>
          <t>MI|College suburb/metro</t>
        </is>
      </c>
      <c r="B21" s="8" t="inlineStr">
        <is>
          <t>MI</t>
        </is>
      </c>
      <c r="C21" s="8" t="inlineStr">
        <is>
          <t>College suburb/metro</t>
        </is>
      </c>
      <c r="D21" s="8">
        <f>COUNTIFS(Counties!$A$2:$A$1583,B21,Counties!$D$2:$D$1583,C21)</f>
        <v/>
      </c>
      <c r="E21" s="8">
        <f>COUNTIFS(Counties!$A$2:$A$1583,B21,Counties!$D$2:$D$1583,C21,Counties!$AG$2:$AG$1583,1)</f>
        <v/>
      </c>
      <c r="F21" s="12">
        <f>SUMIFS(Counties!$AF$2:$AF$1583,Counties!$A$2:$A$1583,$B21,Counties!$D$2:$D$1583,$C21,Counties!$AG$2:$AG$1583,1)</f>
        <v/>
      </c>
      <c r="G21" s="10">
        <f>IF(F21&gt;0,SUMIFS(Counties!$AP$2:$AP$1583,Counties!$A$2:$A$1583,$B21,Counties!$D$2:$D$1583,$C21)/F21,"")</f>
        <v/>
      </c>
      <c r="H21" s="10">
        <f>IF(G21&lt;&gt;"",G21,IF(Dashboard!$N$11&lt;&gt;"",Dashboard!$N$11,0))</f>
        <v/>
      </c>
      <c r="I21" s="12">
        <f>SUMIFS(Counties!$AQ$2:$AQ$1583,Counties!$A$2:$A$1583,$B21,Counties!$D$2:$D$1583,$C21,Counties!$AG$2:$AG$1583,1)</f>
        <v/>
      </c>
      <c r="J21" s="15">
        <f>IF(I21&gt;0,F21/I21,"")</f>
        <v/>
      </c>
      <c r="K21" s="15">
        <f>IF(J21="",Dashboard!$X$11,Dashboard!$X$11+(J21-Dashboard!$X$11)*E21/(E21+3))</f>
        <v/>
      </c>
      <c r="L21" s="57">
        <f>SUMIFS(Counties!$AQ$2:$AQ$1583,Counties!$A$2:$A$1583,$B21,Counties!$D$2:$D$1583,$C21)/SUMIFS(Counties!$AQ$2:$AQ$1583,Counties!$A$2:$A$1583,$B21)</f>
        <v/>
      </c>
      <c r="M21" s="9">
        <f>SUMIFS(Counties!$AR$2:$AR$1583,Counties!$A$2:$A$1583,$B21,Counties!$D$2:$D$1583,$C21)/SUMIFS(Counties!$AQ$2:$AQ$1583,Counties!$A$2:$A$1583,$B21,Counties!$D$2:$D$1583,$C21)</f>
        <v/>
      </c>
      <c r="N21" s="9">
        <f>M21+-0.05+Dashboard!$F$11</f>
        <v/>
      </c>
      <c r="O21" s="9">
        <f>M21+-0.01+Dashboard!$F$11</f>
        <v/>
      </c>
      <c r="P21" s="36">
        <f>M21+0.0+Dashboard!$F$11</f>
        <v/>
      </c>
      <c r="Q21" s="9">
        <f>M21+0.01+Dashboard!$F$11</f>
        <v/>
      </c>
      <c r="R21" s="9">
        <f>M21+0.05+Dashboard!$F$11</f>
        <v/>
      </c>
      <c r="S21" s="9">
        <f>IF(Dashboard!$K$11&gt;0,M21+H21,"")</f>
        <v/>
      </c>
      <c r="T21" s="10">
        <f>IF(G21="","",G21-Dashboard!$F$11)</f>
        <v/>
      </c>
      <c r="U21" s="8">
        <f>IF(F21=0,"no county of this type finished",IF(X21&gt;=0.05,"Great for El-Sayed",IF(X21&gt;=0.01,"El-Sayed on track",IF(X21&gt;-0.01,"Toss-up",IF(X21&gt;-0.05,"Rogers on track","Great for Rogers")))))</f>
        <v/>
      </c>
      <c r="V21" s="16">
        <f>IF(I21&gt;0,100*F21/(I21*Dashboard!$Y$11),"")</f>
        <v/>
      </c>
      <c r="W21" s="9">
        <f>IF(V21="","",P21/(V21/100))</f>
        <v/>
      </c>
      <c r="X21" s="10">
        <f>IF(F21&gt;0,(SUMIFS(Counties!$BA$2:$BA$1583,Counties!$A$2:$A$1583,$B21,Counties!$D$2:$D$1583,$C21,Counties!$AG$2:$AG$1583,1)+SUMIFS(Counties!$BB$2:$BB$1583,Counties!$A$2:$A$1583,$B21,Counties!$D$2:$D$1583,$C21,Counties!$AG$2:$AG$1583,1))/F21,"")</f>
        <v/>
      </c>
      <c r="Y21" s="37">
        <f>SUMIFS(Counties!$AZ$2:$AZ$1583,Counties!$A$2:$A$1583,$B21,Counties!$D$2:$D$1583,$C21)</f>
        <v/>
      </c>
      <c r="Z21" s="17">
        <f>"College suburb/metro: "&amp;TEXT(L21,"0.0%")&amp;" of the expected vote. Tie: "&amp;IF(P21&gt;=0,"D+","R+")&amp;TEXT(ABS(P21)*100,"0.0")&amp;". El-Sayed on track at "&amp;IF(Q21&gt;=0,"D+","R+")&amp;TEXT(ABS(Q21)*100,"0.0")&amp;", great at "&amp;IF(R21&gt;=0,"D+","R+")&amp;TEXT(ABS(R21)*100,"0.0")&amp;"; Rogers on track at "&amp;IF(O21&gt;=0,"D+","R+")&amp;TEXT(ABS(O21)*100,"0.0")&amp;", great at "&amp;IF(N21&gt;=0,"D+","R+")&amp;TEXT(ABS(N21)*100,"0.0")&amp;". Turnout: if these counties vote at 95% of the state pace, the break-even moves to "&amp;IF((P21/0.95)&gt;=0,"D+","R+")&amp;TEXT(ABS((P21/0.95))*100,"0.0")&amp;"; at 105%, "&amp;IF((P21/1.05)&gt;=0,"D+","R+")&amp;TEXT(ABS((P21/1.05))*100,"0.0")&amp;"."</f>
        <v/>
      </c>
    </row>
    <row r="22" ht="40" customHeight="1">
      <c r="A22" s="8" t="inlineStr">
        <is>
          <t>MI|Mid-size/working metro</t>
        </is>
      </c>
      <c r="B22" s="8" t="inlineStr">
        <is>
          <t>MI</t>
        </is>
      </c>
      <c r="C22" s="8" t="inlineStr">
        <is>
          <t>Mid-size/working metro</t>
        </is>
      </c>
      <c r="D22" s="8">
        <f>COUNTIFS(Counties!$A$2:$A$1583,B22,Counties!$D$2:$D$1583,C22)</f>
        <v/>
      </c>
      <c r="E22" s="8">
        <f>COUNTIFS(Counties!$A$2:$A$1583,B22,Counties!$D$2:$D$1583,C22,Counties!$AG$2:$AG$1583,1)</f>
        <v/>
      </c>
      <c r="F22" s="12">
        <f>SUMIFS(Counties!$AF$2:$AF$1583,Counties!$A$2:$A$1583,$B22,Counties!$D$2:$D$1583,$C22,Counties!$AG$2:$AG$1583,1)</f>
        <v/>
      </c>
      <c r="G22" s="10">
        <f>IF(F22&gt;0,SUMIFS(Counties!$AP$2:$AP$1583,Counties!$A$2:$A$1583,$B22,Counties!$D$2:$D$1583,$C22)/F22,"")</f>
        <v/>
      </c>
      <c r="H22" s="10">
        <f>IF(G22&lt;&gt;"",G22,IF(Dashboard!$N$11&lt;&gt;"",Dashboard!$N$11,0))</f>
        <v/>
      </c>
      <c r="I22" s="12">
        <f>SUMIFS(Counties!$AQ$2:$AQ$1583,Counties!$A$2:$A$1583,$B22,Counties!$D$2:$D$1583,$C22,Counties!$AG$2:$AG$1583,1)</f>
        <v/>
      </c>
      <c r="J22" s="15">
        <f>IF(I22&gt;0,F22/I22,"")</f>
        <v/>
      </c>
      <c r="K22" s="15">
        <f>IF(J22="",Dashboard!$X$11,Dashboard!$X$11+(J22-Dashboard!$X$11)*E22/(E22+3))</f>
        <v/>
      </c>
      <c r="L22" s="57">
        <f>SUMIFS(Counties!$AQ$2:$AQ$1583,Counties!$A$2:$A$1583,$B22,Counties!$D$2:$D$1583,$C22)/SUMIFS(Counties!$AQ$2:$AQ$1583,Counties!$A$2:$A$1583,$B22)</f>
        <v/>
      </c>
      <c r="M22" s="9">
        <f>SUMIFS(Counties!$AR$2:$AR$1583,Counties!$A$2:$A$1583,$B22,Counties!$D$2:$D$1583,$C22)/SUMIFS(Counties!$AQ$2:$AQ$1583,Counties!$A$2:$A$1583,$B22,Counties!$D$2:$D$1583,$C22)</f>
        <v/>
      </c>
      <c r="N22" s="9">
        <f>M22+-0.05+Dashboard!$F$11</f>
        <v/>
      </c>
      <c r="O22" s="9">
        <f>M22+-0.01+Dashboard!$F$11</f>
        <v/>
      </c>
      <c r="P22" s="36">
        <f>M22+0.0+Dashboard!$F$11</f>
        <v/>
      </c>
      <c r="Q22" s="9">
        <f>M22+0.01+Dashboard!$F$11</f>
        <v/>
      </c>
      <c r="R22" s="9">
        <f>M22+0.05+Dashboard!$F$11</f>
        <v/>
      </c>
      <c r="S22" s="9">
        <f>IF(Dashboard!$K$11&gt;0,M22+H22,"")</f>
        <v/>
      </c>
      <c r="T22" s="10">
        <f>IF(G22="","",G22-Dashboard!$F$11)</f>
        <v/>
      </c>
      <c r="U22" s="8">
        <f>IF(F22=0,"no county of this type finished",IF(X22&gt;=0.05,"Great for El-Sayed",IF(X22&gt;=0.01,"El-Sayed on track",IF(X22&gt;-0.01,"Toss-up",IF(X22&gt;-0.05,"Rogers on track","Great for Rogers")))))</f>
        <v/>
      </c>
      <c r="V22" s="16">
        <f>IF(I22&gt;0,100*F22/(I22*Dashboard!$Y$11),"")</f>
        <v/>
      </c>
      <c r="W22" s="9">
        <f>IF(V22="","",P22/(V22/100))</f>
        <v/>
      </c>
      <c r="X22" s="10">
        <f>IF(F22&gt;0,(SUMIFS(Counties!$BA$2:$BA$1583,Counties!$A$2:$A$1583,$B22,Counties!$D$2:$D$1583,$C22,Counties!$AG$2:$AG$1583,1)+SUMIFS(Counties!$BB$2:$BB$1583,Counties!$A$2:$A$1583,$B22,Counties!$D$2:$D$1583,$C22,Counties!$AG$2:$AG$1583,1))/F22,"")</f>
        <v/>
      </c>
      <c r="Y22" s="37">
        <f>SUMIFS(Counties!$AZ$2:$AZ$1583,Counties!$A$2:$A$1583,$B22,Counties!$D$2:$D$1583,$C22)</f>
        <v/>
      </c>
      <c r="Z22" s="17">
        <f>"Mid-size/working metro: "&amp;TEXT(L22,"0.0%")&amp;" of the expected vote. Tie: "&amp;IF(P22&gt;=0,"D+","R+")&amp;TEXT(ABS(P22)*100,"0.0")&amp;". El-Sayed on track at "&amp;IF(Q22&gt;=0,"D+","R+")&amp;TEXT(ABS(Q22)*100,"0.0")&amp;", great at "&amp;IF(R22&gt;=0,"D+","R+")&amp;TEXT(ABS(R22)*100,"0.0")&amp;"; Rogers on track at "&amp;IF(O22&gt;=0,"D+","R+")&amp;TEXT(ABS(O22)*100,"0.0")&amp;", great at "&amp;IF(N22&gt;=0,"D+","R+")&amp;TEXT(ABS(N22)*100,"0.0")&amp;". Turnout: if these counties vote at 95% of the state pace, the break-even moves to "&amp;IF((P22/0.95)&gt;=0,"D+","R+")&amp;TEXT(ABS((P22/0.95))*100,"0.0")&amp;"; at 105%, "&amp;IF((P22/1.05)&gt;=0,"D+","R+")&amp;TEXT(ABS((P22/1.05))*100,"0.0")&amp;"."</f>
        <v/>
      </c>
    </row>
    <row r="23" ht="40" customHeight="1">
      <c r="A23" s="8" t="inlineStr">
        <is>
          <t>MI|Small town &amp; rural</t>
        </is>
      </c>
      <c r="B23" s="8" t="inlineStr">
        <is>
          <t>MI</t>
        </is>
      </c>
      <c r="C23" s="8" t="inlineStr">
        <is>
          <t>Small town &amp; rural</t>
        </is>
      </c>
      <c r="D23" s="8">
        <f>COUNTIFS(Counties!$A$2:$A$1583,B23,Counties!$D$2:$D$1583,C23)</f>
        <v/>
      </c>
      <c r="E23" s="8">
        <f>COUNTIFS(Counties!$A$2:$A$1583,B23,Counties!$D$2:$D$1583,C23,Counties!$AG$2:$AG$1583,1)</f>
        <v/>
      </c>
      <c r="F23" s="12">
        <f>SUMIFS(Counties!$AF$2:$AF$1583,Counties!$A$2:$A$1583,$B23,Counties!$D$2:$D$1583,$C23,Counties!$AG$2:$AG$1583,1)</f>
        <v/>
      </c>
      <c r="G23" s="10">
        <f>IF(F23&gt;0,SUMIFS(Counties!$AP$2:$AP$1583,Counties!$A$2:$A$1583,$B23,Counties!$D$2:$D$1583,$C23)/F23,"")</f>
        <v/>
      </c>
      <c r="H23" s="10">
        <f>IF(G23&lt;&gt;"",G23,IF(Dashboard!$N$11&lt;&gt;"",Dashboard!$N$11,0))</f>
        <v/>
      </c>
      <c r="I23" s="12">
        <f>SUMIFS(Counties!$AQ$2:$AQ$1583,Counties!$A$2:$A$1583,$B23,Counties!$D$2:$D$1583,$C23,Counties!$AG$2:$AG$1583,1)</f>
        <v/>
      </c>
      <c r="J23" s="15">
        <f>IF(I23&gt;0,F23/I23,"")</f>
        <v/>
      </c>
      <c r="K23" s="15">
        <f>IF(J23="",Dashboard!$X$11,Dashboard!$X$11+(J23-Dashboard!$X$11)*E23/(E23+3))</f>
        <v/>
      </c>
      <c r="L23" s="57">
        <f>SUMIFS(Counties!$AQ$2:$AQ$1583,Counties!$A$2:$A$1583,$B23,Counties!$D$2:$D$1583,$C23)/SUMIFS(Counties!$AQ$2:$AQ$1583,Counties!$A$2:$A$1583,$B23)</f>
        <v/>
      </c>
      <c r="M23" s="9">
        <f>SUMIFS(Counties!$AR$2:$AR$1583,Counties!$A$2:$A$1583,$B23,Counties!$D$2:$D$1583,$C23)/SUMIFS(Counties!$AQ$2:$AQ$1583,Counties!$A$2:$A$1583,$B23,Counties!$D$2:$D$1583,$C23)</f>
        <v/>
      </c>
      <c r="N23" s="9">
        <f>M23+-0.05+Dashboard!$F$11</f>
        <v/>
      </c>
      <c r="O23" s="9">
        <f>M23+-0.01+Dashboard!$F$11</f>
        <v/>
      </c>
      <c r="P23" s="36">
        <f>M23+0.0+Dashboard!$F$11</f>
        <v/>
      </c>
      <c r="Q23" s="9">
        <f>M23+0.01+Dashboard!$F$11</f>
        <v/>
      </c>
      <c r="R23" s="9">
        <f>M23+0.05+Dashboard!$F$11</f>
        <v/>
      </c>
      <c r="S23" s="9">
        <f>IF(Dashboard!$K$11&gt;0,M23+H23,"")</f>
        <v/>
      </c>
      <c r="T23" s="10">
        <f>IF(G23="","",G23-Dashboard!$F$11)</f>
        <v/>
      </c>
      <c r="U23" s="8">
        <f>IF(F23=0,"no county of this type finished",IF(X23&gt;=0.05,"Great for El-Sayed",IF(X23&gt;=0.01,"El-Sayed on track",IF(X23&gt;-0.01,"Toss-up",IF(X23&gt;-0.05,"Rogers on track","Great for Rogers")))))</f>
        <v/>
      </c>
      <c r="V23" s="16">
        <f>IF(I23&gt;0,100*F23/(I23*Dashboard!$Y$11),"")</f>
        <v/>
      </c>
      <c r="W23" s="9">
        <f>IF(V23="","",P23/(V23/100))</f>
        <v/>
      </c>
      <c r="X23" s="10">
        <f>IF(F23&gt;0,(SUMIFS(Counties!$BA$2:$BA$1583,Counties!$A$2:$A$1583,$B23,Counties!$D$2:$D$1583,$C23,Counties!$AG$2:$AG$1583,1)+SUMIFS(Counties!$BB$2:$BB$1583,Counties!$A$2:$A$1583,$B23,Counties!$D$2:$D$1583,$C23,Counties!$AG$2:$AG$1583,1))/F23,"")</f>
        <v/>
      </c>
      <c r="Y23" s="37">
        <f>SUMIFS(Counties!$AZ$2:$AZ$1583,Counties!$A$2:$A$1583,$B23,Counties!$D$2:$D$1583,$C23)</f>
        <v/>
      </c>
      <c r="Z23" s="17">
        <f>"Small town &amp; rural: "&amp;TEXT(L23,"0.0%")&amp;" of the expected vote. Tie: "&amp;IF(P23&gt;=0,"D+","R+")&amp;TEXT(ABS(P23)*100,"0.0")&amp;". El-Sayed on track at "&amp;IF(Q23&gt;=0,"D+","R+")&amp;TEXT(ABS(Q23)*100,"0.0")&amp;", great at "&amp;IF(R23&gt;=0,"D+","R+")&amp;TEXT(ABS(R23)*100,"0.0")&amp;"; Rogers on track at "&amp;IF(O23&gt;=0,"D+","R+")&amp;TEXT(ABS(O23)*100,"0.0")&amp;", great at "&amp;IF(N23&gt;=0,"D+","R+")&amp;TEXT(ABS(N23)*100,"0.0")&amp;". Turnout: if these counties vote at 95% of the state pace, the break-even moves to "&amp;IF((P23/0.95)&gt;=0,"D+","R+")&amp;TEXT(ABS((P23/0.95))*100,"0.0")&amp;"; at 105%, "&amp;IF((P23/1.05)&gt;=0,"D+","R+")&amp;TEXT(ABS((P23/1.05))*100,"0.0")&amp;"."</f>
        <v/>
      </c>
    </row>
    <row r="24" ht="40" customHeight="1">
      <c r="A24" s="8" t="inlineStr">
        <is>
          <t>MN|Big metro core</t>
        </is>
      </c>
      <c r="B24" s="8" t="inlineStr">
        <is>
          <t>MN</t>
        </is>
      </c>
      <c r="C24" s="8" t="inlineStr">
        <is>
          <t>Big metro core</t>
        </is>
      </c>
      <c r="D24" s="8">
        <f>COUNTIFS(Counties!$A$2:$A$1583,B24,Counties!$D$2:$D$1583,C24)</f>
        <v/>
      </c>
      <c r="E24" s="8">
        <f>COUNTIFS(Counties!$A$2:$A$1583,B24,Counties!$D$2:$D$1583,C24,Counties!$AG$2:$AG$1583,1)</f>
        <v/>
      </c>
      <c r="F24" s="12">
        <f>SUMIFS(Counties!$AF$2:$AF$1583,Counties!$A$2:$A$1583,$B24,Counties!$D$2:$D$1583,$C24,Counties!$AG$2:$AG$1583,1)</f>
        <v/>
      </c>
      <c r="G24" s="10">
        <f>IF(F24&gt;0,SUMIFS(Counties!$AP$2:$AP$1583,Counties!$A$2:$A$1583,$B24,Counties!$D$2:$D$1583,$C24)/F24,"")</f>
        <v/>
      </c>
      <c r="H24" s="10">
        <f>IF(G24&lt;&gt;"",G24,IF(Dashboard!$N$12&lt;&gt;"",Dashboard!$N$12,0))</f>
        <v/>
      </c>
      <c r="I24" s="12">
        <f>SUMIFS(Counties!$AQ$2:$AQ$1583,Counties!$A$2:$A$1583,$B24,Counties!$D$2:$D$1583,$C24,Counties!$AG$2:$AG$1583,1)</f>
        <v/>
      </c>
      <c r="J24" s="15">
        <f>IF(I24&gt;0,F24/I24,"")</f>
        <v/>
      </c>
      <c r="K24" s="15">
        <f>IF(J24="",Dashboard!$X$12,Dashboard!$X$12+(J24-Dashboard!$X$12)*E24/(E24+3))</f>
        <v/>
      </c>
      <c r="L24" s="57">
        <f>SUMIFS(Counties!$AQ$2:$AQ$1583,Counties!$A$2:$A$1583,$B24,Counties!$D$2:$D$1583,$C24)/SUMIFS(Counties!$AQ$2:$AQ$1583,Counties!$A$2:$A$1583,$B24)</f>
        <v/>
      </c>
      <c r="M24" s="9">
        <f>SUMIFS(Counties!$AR$2:$AR$1583,Counties!$A$2:$A$1583,$B24,Counties!$D$2:$D$1583,$C24)/SUMIFS(Counties!$AQ$2:$AQ$1583,Counties!$A$2:$A$1583,$B24,Counties!$D$2:$D$1583,$C24)</f>
        <v/>
      </c>
      <c r="N24" s="9">
        <f>M24+-0.05+Dashboard!$F$12</f>
        <v/>
      </c>
      <c r="O24" s="9">
        <f>M24+-0.01+Dashboard!$F$12</f>
        <v/>
      </c>
      <c r="P24" s="36">
        <f>M24+0.0+Dashboard!$F$12</f>
        <v/>
      </c>
      <c r="Q24" s="9">
        <f>M24+0.01+Dashboard!$F$12</f>
        <v/>
      </c>
      <c r="R24" s="9">
        <f>M24+0.05+Dashboard!$F$12</f>
        <v/>
      </c>
      <c r="S24" s="9">
        <f>IF(Dashboard!$K$12&gt;0,M24+H24,"")</f>
        <v/>
      </c>
      <c r="T24" s="10">
        <f>IF(G24="","",G24-Dashboard!$F$12)</f>
        <v/>
      </c>
      <c r="U24" s="8">
        <f>IF(F24=0,"no county of this type finished",IF(X24&gt;=0.05,"Great for Flanagan",IF(X24&gt;=0.01,"Flanagan on track",IF(X24&gt;-0.01,"Toss-up",IF(X24&gt;-0.05,"Tafoya on track","Great for Tafoya")))))</f>
        <v/>
      </c>
      <c r="V24" s="16">
        <f>IF(I24&gt;0,100*F24/(I24*Dashboard!$Y$12),"")</f>
        <v/>
      </c>
      <c r="W24" s="9">
        <f>IF(V24="","",P24/(V24/100))</f>
        <v/>
      </c>
      <c r="X24" s="10">
        <f>IF(F24&gt;0,(SUMIFS(Counties!$BA$2:$BA$1583,Counties!$A$2:$A$1583,$B24,Counties!$D$2:$D$1583,$C24,Counties!$AG$2:$AG$1583,1)+SUMIFS(Counties!$BB$2:$BB$1583,Counties!$A$2:$A$1583,$B24,Counties!$D$2:$D$1583,$C24,Counties!$AG$2:$AG$1583,1))/F24,"")</f>
        <v/>
      </c>
      <c r="Y24" s="37">
        <f>SUMIFS(Counties!$AZ$2:$AZ$1583,Counties!$A$2:$A$1583,$B24,Counties!$D$2:$D$1583,$C24)</f>
        <v/>
      </c>
      <c r="Z24" s="17">
        <f>"Big metro core: "&amp;TEXT(L24,"0.0%")&amp;" of the expected vote. Tie: "&amp;IF(P24&gt;=0,"D+","R+")&amp;TEXT(ABS(P24)*100,"0.0")&amp;". Flanagan on track at "&amp;IF(Q24&gt;=0,"D+","R+")&amp;TEXT(ABS(Q24)*100,"0.0")&amp;", great at "&amp;IF(R24&gt;=0,"D+","R+")&amp;TEXT(ABS(R24)*100,"0.0")&amp;"; Tafoya on track at "&amp;IF(O24&gt;=0,"D+","R+")&amp;TEXT(ABS(O24)*100,"0.0")&amp;", great at "&amp;IF(N24&gt;=0,"D+","R+")&amp;TEXT(ABS(N24)*100,"0.0")&amp;". Turnout: if these counties vote at 95% of the state pace, the break-even moves to "&amp;IF((P24/0.95)&gt;=0,"D+","R+")&amp;TEXT(ABS((P24/0.95))*100,"0.0")&amp;"; at 105%, "&amp;IF((P24/1.05)&gt;=0,"D+","R+")&amp;TEXT(ABS((P24/1.05))*100,"0.0")&amp;"."</f>
        <v/>
      </c>
    </row>
    <row r="25" ht="40" customHeight="1">
      <c r="A25" s="8" t="inlineStr">
        <is>
          <t>MN|College suburb/metro</t>
        </is>
      </c>
      <c r="B25" s="8" t="inlineStr">
        <is>
          <t>MN</t>
        </is>
      </c>
      <c r="C25" s="8" t="inlineStr">
        <is>
          <t>College suburb/metro</t>
        </is>
      </c>
      <c r="D25" s="8">
        <f>COUNTIFS(Counties!$A$2:$A$1583,B25,Counties!$D$2:$D$1583,C25)</f>
        <v/>
      </c>
      <c r="E25" s="8">
        <f>COUNTIFS(Counties!$A$2:$A$1583,B25,Counties!$D$2:$D$1583,C25,Counties!$AG$2:$AG$1583,1)</f>
        <v/>
      </c>
      <c r="F25" s="12">
        <f>SUMIFS(Counties!$AF$2:$AF$1583,Counties!$A$2:$A$1583,$B25,Counties!$D$2:$D$1583,$C25,Counties!$AG$2:$AG$1583,1)</f>
        <v/>
      </c>
      <c r="G25" s="10">
        <f>IF(F25&gt;0,SUMIFS(Counties!$AP$2:$AP$1583,Counties!$A$2:$A$1583,$B25,Counties!$D$2:$D$1583,$C25)/F25,"")</f>
        <v/>
      </c>
      <c r="H25" s="10">
        <f>IF(G25&lt;&gt;"",G25,IF(Dashboard!$N$12&lt;&gt;"",Dashboard!$N$12,0))</f>
        <v/>
      </c>
      <c r="I25" s="12">
        <f>SUMIFS(Counties!$AQ$2:$AQ$1583,Counties!$A$2:$A$1583,$B25,Counties!$D$2:$D$1583,$C25,Counties!$AG$2:$AG$1583,1)</f>
        <v/>
      </c>
      <c r="J25" s="15">
        <f>IF(I25&gt;0,F25/I25,"")</f>
        <v/>
      </c>
      <c r="K25" s="15">
        <f>IF(J25="",Dashboard!$X$12,Dashboard!$X$12+(J25-Dashboard!$X$12)*E25/(E25+3))</f>
        <v/>
      </c>
      <c r="L25" s="57">
        <f>SUMIFS(Counties!$AQ$2:$AQ$1583,Counties!$A$2:$A$1583,$B25,Counties!$D$2:$D$1583,$C25)/SUMIFS(Counties!$AQ$2:$AQ$1583,Counties!$A$2:$A$1583,$B25)</f>
        <v/>
      </c>
      <c r="M25" s="9">
        <f>SUMIFS(Counties!$AR$2:$AR$1583,Counties!$A$2:$A$1583,$B25,Counties!$D$2:$D$1583,$C25)/SUMIFS(Counties!$AQ$2:$AQ$1583,Counties!$A$2:$A$1583,$B25,Counties!$D$2:$D$1583,$C25)</f>
        <v/>
      </c>
      <c r="N25" s="9">
        <f>M25+-0.05+Dashboard!$F$12</f>
        <v/>
      </c>
      <c r="O25" s="9">
        <f>M25+-0.01+Dashboard!$F$12</f>
        <v/>
      </c>
      <c r="P25" s="36">
        <f>M25+0.0+Dashboard!$F$12</f>
        <v/>
      </c>
      <c r="Q25" s="9">
        <f>M25+0.01+Dashboard!$F$12</f>
        <v/>
      </c>
      <c r="R25" s="9">
        <f>M25+0.05+Dashboard!$F$12</f>
        <v/>
      </c>
      <c r="S25" s="9">
        <f>IF(Dashboard!$K$12&gt;0,M25+H25,"")</f>
        <v/>
      </c>
      <c r="T25" s="10">
        <f>IF(G25="","",G25-Dashboard!$F$12)</f>
        <v/>
      </c>
      <c r="U25" s="8">
        <f>IF(F25=0,"no county of this type finished",IF(X25&gt;=0.05,"Great for Flanagan",IF(X25&gt;=0.01,"Flanagan on track",IF(X25&gt;-0.01,"Toss-up",IF(X25&gt;-0.05,"Tafoya on track","Great for Tafoya")))))</f>
        <v/>
      </c>
      <c r="V25" s="16">
        <f>IF(I25&gt;0,100*F25/(I25*Dashboard!$Y$12),"")</f>
        <v/>
      </c>
      <c r="W25" s="9">
        <f>IF(V25="","",P25/(V25/100))</f>
        <v/>
      </c>
      <c r="X25" s="10">
        <f>IF(F25&gt;0,(SUMIFS(Counties!$BA$2:$BA$1583,Counties!$A$2:$A$1583,$B25,Counties!$D$2:$D$1583,$C25,Counties!$AG$2:$AG$1583,1)+SUMIFS(Counties!$BB$2:$BB$1583,Counties!$A$2:$A$1583,$B25,Counties!$D$2:$D$1583,$C25,Counties!$AG$2:$AG$1583,1))/F25,"")</f>
        <v/>
      </c>
      <c r="Y25" s="37">
        <f>SUMIFS(Counties!$AZ$2:$AZ$1583,Counties!$A$2:$A$1583,$B25,Counties!$D$2:$D$1583,$C25)</f>
        <v/>
      </c>
      <c r="Z25" s="17">
        <f>"College suburb/metro: "&amp;TEXT(L25,"0.0%")&amp;" of the expected vote. Tie: "&amp;IF(P25&gt;=0,"D+","R+")&amp;TEXT(ABS(P25)*100,"0.0")&amp;". Flanagan on track at "&amp;IF(Q25&gt;=0,"D+","R+")&amp;TEXT(ABS(Q25)*100,"0.0")&amp;", great at "&amp;IF(R25&gt;=0,"D+","R+")&amp;TEXT(ABS(R25)*100,"0.0")&amp;"; Tafoya on track at "&amp;IF(O25&gt;=0,"D+","R+")&amp;TEXT(ABS(O25)*100,"0.0")&amp;", great at "&amp;IF(N25&gt;=0,"D+","R+")&amp;TEXT(ABS(N25)*100,"0.0")&amp;". Turnout: if these counties vote at 95% of the state pace, the break-even moves to "&amp;IF((P25/0.95)&gt;=0,"D+","R+")&amp;TEXT(ABS((P25/0.95))*100,"0.0")&amp;"; at 105%, "&amp;IF((P25/1.05)&gt;=0,"D+","R+")&amp;TEXT(ABS((P25/1.05))*100,"0.0")&amp;"."</f>
        <v/>
      </c>
    </row>
    <row r="26" ht="40" customHeight="1">
      <c r="A26" s="8" t="inlineStr">
        <is>
          <t>MN|Mid-size/working metro</t>
        </is>
      </c>
      <c r="B26" s="8" t="inlineStr">
        <is>
          <t>MN</t>
        </is>
      </c>
      <c r="C26" s="8" t="inlineStr">
        <is>
          <t>Mid-size/working metro</t>
        </is>
      </c>
      <c r="D26" s="8">
        <f>COUNTIFS(Counties!$A$2:$A$1583,B26,Counties!$D$2:$D$1583,C26)</f>
        <v/>
      </c>
      <c r="E26" s="8">
        <f>COUNTIFS(Counties!$A$2:$A$1583,B26,Counties!$D$2:$D$1583,C26,Counties!$AG$2:$AG$1583,1)</f>
        <v/>
      </c>
      <c r="F26" s="12">
        <f>SUMIFS(Counties!$AF$2:$AF$1583,Counties!$A$2:$A$1583,$B26,Counties!$D$2:$D$1583,$C26,Counties!$AG$2:$AG$1583,1)</f>
        <v/>
      </c>
      <c r="G26" s="10">
        <f>IF(F26&gt;0,SUMIFS(Counties!$AP$2:$AP$1583,Counties!$A$2:$A$1583,$B26,Counties!$D$2:$D$1583,$C26)/F26,"")</f>
        <v/>
      </c>
      <c r="H26" s="10">
        <f>IF(G26&lt;&gt;"",G26,IF(Dashboard!$N$12&lt;&gt;"",Dashboard!$N$12,0))</f>
        <v/>
      </c>
      <c r="I26" s="12">
        <f>SUMIFS(Counties!$AQ$2:$AQ$1583,Counties!$A$2:$A$1583,$B26,Counties!$D$2:$D$1583,$C26,Counties!$AG$2:$AG$1583,1)</f>
        <v/>
      </c>
      <c r="J26" s="15">
        <f>IF(I26&gt;0,F26/I26,"")</f>
        <v/>
      </c>
      <c r="K26" s="15">
        <f>IF(J26="",Dashboard!$X$12,Dashboard!$X$12+(J26-Dashboard!$X$12)*E26/(E26+3))</f>
        <v/>
      </c>
      <c r="L26" s="57">
        <f>SUMIFS(Counties!$AQ$2:$AQ$1583,Counties!$A$2:$A$1583,$B26,Counties!$D$2:$D$1583,$C26)/SUMIFS(Counties!$AQ$2:$AQ$1583,Counties!$A$2:$A$1583,$B26)</f>
        <v/>
      </c>
      <c r="M26" s="9">
        <f>SUMIFS(Counties!$AR$2:$AR$1583,Counties!$A$2:$A$1583,$B26,Counties!$D$2:$D$1583,$C26)/SUMIFS(Counties!$AQ$2:$AQ$1583,Counties!$A$2:$A$1583,$B26,Counties!$D$2:$D$1583,$C26)</f>
        <v/>
      </c>
      <c r="N26" s="9">
        <f>M26+-0.05+Dashboard!$F$12</f>
        <v/>
      </c>
      <c r="O26" s="9">
        <f>M26+-0.01+Dashboard!$F$12</f>
        <v/>
      </c>
      <c r="P26" s="36">
        <f>M26+0.0+Dashboard!$F$12</f>
        <v/>
      </c>
      <c r="Q26" s="9">
        <f>M26+0.01+Dashboard!$F$12</f>
        <v/>
      </c>
      <c r="R26" s="9">
        <f>M26+0.05+Dashboard!$F$12</f>
        <v/>
      </c>
      <c r="S26" s="9">
        <f>IF(Dashboard!$K$12&gt;0,M26+H26,"")</f>
        <v/>
      </c>
      <c r="T26" s="10">
        <f>IF(G26="","",G26-Dashboard!$F$12)</f>
        <v/>
      </c>
      <c r="U26" s="8">
        <f>IF(F26=0,"no county of this type finished",IF(X26&gt;=0.05,"Great for Flanagan",IF(X26&gt;=0.01,"Flanagan on track",IF(X26&gt;-0.01,"Toss-up",IF(X26&gt;-0.05,"Tafoya on track","Great for Tafoya")))))</f>
        <v/>
      </c>
      <c r="V26" s="16">
        <f>IF(I26&gt;0,100*F26/(I26*Dashboard!$Y$12),"")</f>
        <v/>
      </c>
      <c r="W26" s="9">
        <f>IF(V26="","",P26/(V26/100))</f>
        <v/>
      </c>
      <c r="X26" s="10">
        <f>IF(F26&gt;0,(SUMIFS(Counties!$BA$2:$BA$1583,Counties!$A$2:$A$1583,$B26,Counties!$D$2:$D$1583,$C26,Counties!$AG$2:$AG$1583,1)+SUMIFS(Counties!$BB$2:$BB$1583,Counties!$A$2:$A$1583,$B26,Counties!$D$2:$D$1583,$C26,Counties!$AG$2:$AG$1583,1))/F26,"")</f>
        <v/>
      </c>
      <c r="Y26" s="37">
        <f>SUMIFS(Counties!$AZ$2:$AZ$1583,Counties!$A$2:$A$1583,$B26,Counties!$D$2:$D$1583,$C26)</f>
        <v/>
      </c>
      <c r="Z26" s="17">
        <f>"Mid-size/working metro: "&amp;TEXT(L26,"0.0%")&amp;" of the expected vote. Tie: "&amp;IF(P26&gt;=0,"D+","R+")&amp;TEXT(ABS(P26)*100,"0.0")&amp;". Flanagan on track at "&amp;IF(Q26&gt;=0,"D+","R+")&amp;TEXT(ABS(Q26)*100,"0.0")&amp;", great at "&amp;IF(R26&gt;=0,"D+","R+")&amp;TEXT(ABS(R26)*100,"0.0")&amp;"; Tafoya on track at "&amp;IF(O26&gt;=0,"D+","R+")&amp;TEXT(ABS(O26)*100,"0.0")&amp;", great at "&amp;IF(N26&gt;=0,"D+","R+")&amp;TEXT(ABS(N26)*100,"0.0")&amp;". Turnout: if these counties vote at 95% of the state pace, the break-even moves to "&amp;IF((P26/0.95)&gt;=0,"D+","R+")&amp;TEXT(ABS((P26/0.95))*100,"0.0")&amp;"; at 105%, "&amp;IF((P26/1.05)&gt;=0,"D+","R+")&amp;TEXT(ABS((P26/1.05))*100,"0.0")&amp;"."</f>
        <v/>
      </c>
    </row>
    <row r="27" ht="40" customHeight="1">
      <c r="A27" s="8" t="inlineStr">
        <is>
          <t>MN|Native American</t>
        </is>
      </c>
      <c r="B27" s="8" t="inlineStr">
        <is>
          <t>MN</t>
        </is>
      </c>
      <c r="C27" s="8" t="inlineStr">
        <is>
          <t>Native American</t>
        </is>
      </c>
      <c r="D27" s="8">
        <f>COUNTIFS(Counties!$A$2:$A$1583,B27,Counties!$D$2:$D$1583,C27)</f>
        <v/>
      </c>
      <c r="E27" s="8">
        <f>COUNTIFS(Counties!$A$2:$A$1583,B27,Counties!$D$2:$D$1583,C27,Counties!$AG$2:$AG$1583,1)</f>
        <v/>
      </c>
      <c r="F27" s="12">
        <f>SUMIFS(Counties!$AF$2:$AF$1583,Counties!$A$2:$A$1583,$B27,Counties!$D$2:$D$1583,$C27,Counties!$AG$2:$AG$1583,1)</f>
        <v/>
      </c>
      <c r="G27" s="10">
        <f>IF(F27&gt;0,SUMIFS(Counties!$AP$2:$AP$1583,Counties!$A$2:$A$1583,$B27,Counties!$D$2:$D$1583,$C27)/F27,"")</f>
        <v/>
      </c>
      <c r="H27" s="10">
        <f>IF(G27&lt;&gt;"",G27,IF(Dashboard!$N$12&lt;&gt;"",Dashboard!$N$12,0))</f>
        <v/>
      </c>
      <c r="I27" s="12">
        <f>SUMIFS(Counties!$AQ$2:$AQ$1583,Counties!$A$2:$A$1583,$B27,Counties!$D$2:$D$1583,$C27,Counties!$AG$2:$AG$1583,1)</f>
        <v/>
      </c>
      <c r="J27" s="15">
        <f>IF(I27&gt;0,F27/I27,"")</f>
        <v/>
      </c>
      <c r="K27" s="15">
        <f>IF(J27="",Dashboard!$X$12,Dashboard!$X$12+(J27-Dashboard!$X$12)*E27/(E27+3))</f>
        <v/>
      </c>
      <c r="L27" s="57">
        <f>SUMIFS(Counties!$AQ$2:$AQ$1583,Counties!$A$2:$A$1583,$B27,Counties!$D$2:$D$1583,$C27)/SUMIFS(Counties!$AQ$2:$AQ$1583,Counties!$A$2:$A$1583,$B27)</f>
        <v/>
      </c>
      <c r="M27" s="9">
        <f>SUMIFS(Counties!$AR$2:$AR$1583,Counties!$A$2:$A$1583,$B27,Counties!$D$2:$D$1583,$C27)/SUMIFS(Counties!$AQ$2:$AQ$1583,Counties!$A$2:$A$1583,$B27,Counties!$D$2:$D$1583,$C27)</f>
        <v/>
      </c>
      <c r="N27" s="9">
        <f>M27+-0.05+Dashboard!$F$12</f>
        <v/>
      </c>
      <c r="O27" s="9">
        <f>M27+-0.01+Dashboard!$F$12</f>
        <v/>
      </c>
      <c r="P27" s="36">
        <f>M27+0.0+Dashboard!$F$12</f>
        <v/>
      </c>
      <c r="Q27" s="9">
        <f>M27+0.01+Dashboard!$F$12</f>
        <v/>
      </c>
      <c r="R27" s="9">
        <f>M27+0.05+Dashboard!$F$12</f>
        <v/>
      </c>
      <c r="S27" s="9">
        <f>IF(Dashboard!$K$12&gt;0,M27+H27,"")</f>
        <v/>
      </c>
      <c r="T27" s="10">
        <f>IF(G27="","",G27-Dashboard!$F$12)</f>
        <v/>
      </c>
      <c r="U27" s="8">
        <f>IF(F27=0,"no county of this type finished",IF(X27&gt;=0.05,"Great for Flanagan",IF(X27&gt;=0.01,"Flanagan on track",IF(X27&gt;-0.01,"Toss-up",IF(X27&gt;-0.05,"Tafoya on track","Great for Tafoya")))))</f>
        <v/>
      </c>
      <c r="V27" s="16">
        <f>IF(I27&gt;0,100*F27/(I27*Dashboard!$Y$12),"")</f>
        <v/>
      </c>
      <c r="W27" s="9">
        <f>IF(V27="","",P27/(V27/100))</f>
        <v/>
      </c>
      <c r="X27" s="10">
        <f>IF(F27&gt;0,(SUMIFS(Counties!$BA$2:$BA$1583,Counties!$A$2:$A$1583,$B27,Counties!$D$2:$D$1583,$C27,Counties!$AG$2:$AG$1583,1)+SUMIFS(Counties!$BB$2:$BB$1583,Counties!$A$2:$A$1583,$B27,Counties!$D$2:$D$1583,$C27,Counties!$AG$2:$AG$1583,1))/F27,"")</f>
        <v/>
      </c>
      <c r="Y27" s="37">
        <f>SUMIFS(Counties!$AZ$2:$AZ$1583,Counties!$A$2:$A$1583,$B27,Counties!$D$2:$D$1583,$C27)</f>
        <v/>
      </c>
      <c r="Z27" s="17">
        <f>"Native American: "&amp;TEXT(L27,"0.0%")&amp;" of the expected vote. Tie: "&amp;IF(P27&gt;=0,"D+","R+")&amp;TEXT(ABS(P27)*100,"0.0")&amp;". Flanagan on track at "&amp;IF(Q27&gt;=0,"D+","R+")&amp;TEXT(ABS(Q27)*100,"0.0")&amp;", great at "&amp;IF(R27&gt;=0,"D+","R+")&amp;TEXT(ABS(R27)*100,"0.0")&amp;"; Tafoya on track at "&amp;IF(O27&gt;=0,"D+","R+")&amp;TEXT(ABS(O27)*100,"0.0")&amp;", great at "&amp;IF(N27&gt;=0,"D+","R+")&amp;TEXT(ABS(N27)*100,"0.0")&amp;". Turnout: if these counties vote at 95% of the state pace, the break-even moves to "&amp;IF((P27/0.95)&gt;=0,"D+","R+")&amp;TEXT(ABS((P27/0.95))*100,"0.0")&amp;"; at 105%, "&amp;IF((P27/1.05)&gt;=0,"D+","R+")&amp;TEXT(ABS((P27/1.05))*100,"0.0")&amp;"."</f>
        <v/>
      </c>
    </row>
    <row r="28" ht="40" customHeight="1">
      <c r="A28" s="8" t="inlineStr">
        <is>
          <t>MN|Small town &amp; rural</t>
        </is>
      </c>
      <c r="B28" s="8" t="inlineStr">
        <is>
          <t>MN</t>
        </is>
      </c>
      <c r="C28" s="8" t="inlineStr">
        <is>
          <t>Small town &amp; rural</t>
        </is>
      </c>
      <c r="D28" s="8">
        <f>COUNTIFS(Counties!$A$2:$A$1583,B28,Counties!$D$2:$D$1583,C28)</f>
        <v/>
      </c>
      <c r="E28" s="8">
        <f>COUNTIFS(Counties!$A$2:$A$1583,B28,Counties!$D$2:$D$1583,C28,Counties!$AG$2:$AG$1583,1)</f>
        <v/>
      </c>
      <c r="F28" s="12">
        <f>SUMIFS(Counties!$AF$2:$AF$1583,Counties!$A$2:$A$1583,$B28,Counties!$D$2:$D$1583,$C28,Counties!$AG$2:$AG$1583,1)</f>
        <v/>
      </c>
      <c r="G28" s="10">
        <f>IF(F28&gt;0,SUMIFS(Counties!$AP$2:$AP$1583,Counties!$A$2:$A$1583,$B28,Counties!$D$2:$D$1583,$C28)/F28,"")</f>
        <v/>
      </c>
      <c r="H28" s="10">
        <f>IF(G28&lt;&gt;"",G28,IF(Dashboard!$N$12&lt;&gt;"",Dashboard!$N$12,0))</f>
        <v/>
      </c>
      <c r="I28" s="12">
        <f>SUMIFS(Counties!$AQ$2:$AQ$1583,Counties!$A$2:$A$1583,$B28,Counties!$D$2:$D$1583,$C28,Counties!$AG$2:$AG$1583,1)</f>
        <v/>
      </c>
      <c r="J28" s="15">
        <f>IF(I28&gt;0,F28/I28,"")</f>
        <v/>
      </c>
      <c r="K28" s="15">
        <f>IF(J28="",Dashboard!$X$12,Dashboard!$X$12+(J28-Dashboard!$X$12)*E28/(E28+3))</f>
        <v/>
      </c>
      <c r="L28" s="57">
        <f>SUMIFS(Counties!$AQ$2:$AQ$1583,Counties!$A$2:$A$1583,$B28,Counties!$D$2:$D$1583,$C28)/SUMIFS(Counties!$AQ$2:$AQ$1583,Counties!$A$2:$A$1583,$B28)</f>
        <v/>
      </c>
      <c r="M28" s="9">
        <f>SUMIFS(Counties!$AR$2:$AR$1583,Counties!$A$2:$A$1583,$B28,Counties!$D$2:$D$1583,$C28)/SUMIFS(Counties!$AQ$2:$AQ$1583,Counties!$A$2:$A$1583,$B28,Counties!$D$2:$D$1583,$C28)</f>
        <v/>
      </c>
      <c r="N28" s="9">
        <f>M28+-0.05+Dashboard!$F$12</f>
        <v/>
      </c>
      <c r="O28" s="9">
        <f>M28+-0.01+Dashboard!$F$12</f>
        <v/>
      </c>
      <c r="P28" s="36">
        <f>M28+0.0+Dashboard!$F$12</f>
        <v/>
      </c>
      <c r="Q28" s="9">
        <f>M28+0.01+Dashboard!$F$12</f>
        <v/>
      </c>
      <c r="R28" s="9">
        <f>M28+0.05+Dashboard!$F$12</f>
        <v/>
      </c>
      <c r="S28" s="9">
        <f>IF(Dashboard!$K$12&gt;0,M28+H28,"")</f>
        <v/>
      </c>
      <c r="T28" s="10">
        <f>IF(G28="","",G28-Dashboard!$F$12)</f>
        <v/>
      </c>
      <c r="U28" s="8">
        <f>IF(F28=0,"no county of this type finished",IF(X28&gt;=0.05,"Great for Flanagan",IF(X28&gt;=0.01,"Flanagan on track",IF(X28&gt;-0.01,"Toss-up",IF(X28&gt;-0.05,"Tafoya on track","Great for Tafoya")))))</f>
        <v/>
      </c>
      <c r="V28" s="16">
        <f>IF(I28&gt;0,100*F28/(I28*Dashboard!$Y$12),"")</f>
        <v/>
      </c>
      <c r="W28" s="9">
        <f>IF(V28="","",P28/(V28/100))</f>
        <v/>
      </c>
      <c r="X28" s="10">
        <f>IF(F28&gt;0,(SUMIFS(Counties!$BA$2:$BA$1583,Counties!$A$2:$A$1583,$B28,Counties!$D$2:$D$1583,$C28,Counties!$AG$2:$AG$1583,1)+SUMIFS(Counties!$BB$2:$BB$1583,Counties!$A$2:$A$1583,$B28,Counties!$D$2:$D$1583,$C28,Counties!$AG$2:$AG$1583,1))/F28,"")</f>
        <v/>
      </c>
      <c r="Y28" s="37">
        <f>SUMIFS(Counties!$AZ$2:$AZ$1583,Counties!$A$2:$A$1583,$B28,Counties!$D$2:$D$1583,$C28)</f>
        <v/>
      </c>
      <c r="Z28" s="17">
        <f>"Small town &amp; rural: "&amp;TEXT(L28,"0.0%")&amp;" of the expected vote. Tie: "&amp;IF(P28&gt;=0,"D+","R+")&amp;TEXT(ABS(P28)*100,"0.0")&amp;". Flanagan on track at "&amp;IF(Q28&gt;=0,"D+","R+")&amp;TEXT(ABS(Q28)*100,"0.0")&amp;", great at "&amp;IF(R28&gt;=0,"D+","R+")&amp;TEXT(ABS(R28)*100,"0.0")&amp;"; Tafoya on track at "&amp;IF(O28&gt;=0,"D+","R+")&amp;TEXT(ABS(O28)*100,"0.0")&amp;", great at "&amp;IF(N28&gt;=0,"D+","R+")&amp;TEXT(ABS(N28)*100,"0.0")&amp;". Turnout: if these counties vote at 95% of the state pace, the break-even moves to "&amp;IF((P28/0.95)&gt;=0,"D+","R+")&amp;TEXT(ABS((P28/0.95))*100,"0.0")&amp;"; at 105%, "&amp;IF((P28/1.05)&gt;=0,"D+","R+")&amp;TEXT(ABS((P28/1.05))*100,"0.0")&amp;"."</f>
        <v/>
      </c>
    </row>
    <row r="29" ht="40" customHeight="1">
      <c r="A29" s="8" t="inlineStr">
        <is>
          <t>MS|College suburb/metro</t>
        </is>
      </c>
      <c r="B29" s="8" t="inlineStr">
        <is>
          <t>MS</t>
        </is>
      </c>
      <c r="C29" s="8" t="inlineStr">
        <is>
          <t>College suburb/metro</t>
        </is>
      </c>
      <c r="D29" s="8">
        <f>COUNTIFS(Counties!$A$2:$A$1583,B29,Counties!$D$2:$D$1583,C29)</f>
        <v/>
      </c>
      <c r="E29" s="8">
        <f>COUNTIFS(Counties!$A$2:$A$1583,B29,Counties!$D$2:$D$1583,C29,Counties!$AG$2:$AG$1583,1)</f>
        <v/>
      </c>
      <c r="F29" s="12">
        <f>SUMIFS(Counties!$AF$2:$AF$1583,Counties!$A$2:$A$1583,$B29,Counties!$D$2:$D$1583,$C29,Counties!$AG$2:$AG$1583,1)</f>
        <v/>
      </c>
      <c r="G29" s="10">
        <f>IF(F29&gt;0,SUMIFS(Counties!$AP$2:$AP$1583,Counties!$A$2:$A$1583,$B29,Counties!$D$2:$D$1583,$C29)/F29,"")</f>
        <v/>
      </c>
      <c r="H29" s="10">
        <f>IF(G29&lt;&gt;"",G29,IF(Dashboard!$N$13&lt;&gt;"",Dashboard!$N$13,0))</f>
        <v/>
      </c>
      <c r="I29" s="12">
        <f>SUMIFS(Counties!$AQ$2:$AQ$1583,Counties!$A$2:$A$1583,$B29,Counties!$D$2:$D$1583,$C29,Counties!$AG$2:$AG$1583,1)</f>
        <v/>
      </c>
      <c r="J29" s="15">
        <f>IF(I29&gt;0,F29/I29,"")</f>
        <v/>
      </c>
      <c r="K29" s="15">
        <f>IF(J29="",Dashboard!$X$13,Dashboard!$X$13+(J29-Dashboard!$X$13)*E29/(E29+3))</f>
        <v/>
      </c>
      <c r="L29" s="57">
        <f>SUMIFS(Counties!$AQ$2:$AQ$1583,Counties!$A$2:$A$1583,$B29,Counties!$D$2:$D$1583,$C29)/SUMIFS(Counties!$AQ$2:$AQ$1583,Counties!$A$2:$A$1583,$B29)</f>
        <v/>
      </c>
      <c r="M29" s="9">
        <f>SUMIFS(Counties!$AR$2:$AR$1583,Counties!$A$2:$A$1583,$B29,Counties!$D$2:$D$1583,$C29)/SUMIFS(Counties!$AQ$2:$AQ$1583,Counties!$A$2:$A$1583,$B29,Counties!$D$2:$D$1583,$C29)</f>
        <v/>
      </c>
      <c r="N29" s="9">
        <f>M29+-0.05+Dashboard!$F$13</f>
        <v/>
      </c>
      <c r="O29" s="9">
        <f>M29+-0.01+Dashboard!$F$13</f>
        <v/>
      </c>
      <c r="P29" s="36">
        <f>M29+0.0+Dashboard!$F$13</f>
        <v/>
      </c>
      <c r="Q29" s="9">
        <f>M29+0.01+Dashboard!$F$13</f>
        <v/>
      </c>
      <c r="R29" s="9">
        <f>M29+0.05+Dashboard!$F$13</f>
        <v/>
      </c>
      <c r="S29" s="9">
        <f>IF(Dashboard!$K$13&gt;0,M29+H29,"")</f>
        <v/>
      </c>
      <c r="T29" s="10">
        <f>IF(G29="","",G29-Dashboard!$F$13)</f>
        <v/>
      </c>
      <c r="U29" s="8">
        <f>IF(F29=0,"no county of this type finished",IF(X29&gt;=0.05,"Great for Colom",IF(X29&gt;=0.01,"Colom on track",IF(X29&gt;-0.01,"Toss-up",IF(X29&gt;-0.05,"Hyde-Smith on track","Great for Hyde-Smith")))))</f>
        <v/>
      </c>
      <c r="V29" s="16">
        <f>IF(I29&gt;0,100*F29/(I29*Dashboard!$Y$13),"")</f>
        <v/>
      </c>
      <c r="W29" s="9">
        <f>IF(V29="","",P29/(V29/100))</f>
        <v/>
      </c>
      <c r="X29" s="10">
        <f>IF(F29&gt;0,(SUMIFS(Counties!$BA$2:$BA$1583,Counties!$A$2:$A$1583,$B29,Counties!$D$2:$D$1583,$C29,Counties!$AG$2:$AG$1583,1)+SUMIFS(Counties!$BB$2:$BB$1583,Counties!$A$2:$A$1583,$B29,Counties!$D$2:$D$1583,$C29,Counties!$AG$2:$AG$1583,1))/F29,"")</f>
        <v/>
      </c>
      <c r="Y29" s="37">
        <f>SUMIFS(Counties!$AZ$2:$AZ$1583,Counties!$A$2:$A$1583,$B29,Counties!$D$2:$D$1583,$C29)</f>
        <v/>
      </c>
      <c r="Z29" s="17">
        <f>"College suburb/metro: "&amp;TEXT(L29,"0.0%")&amp;" of the expected vote. Tie: "&amp;IF(P29&gt;=0,"D+","R+")&amp;TEXT(ABS(P29)*100,"0.0")&amp;". Colom on track at "&amp;IF(Q29&gt;=0,"D+","R+")&amp;TEXT(ABS(Q29)*100,"0.0")&amp;", great at "&amp;IF(R29&gt;=0,"D+","R+")&amp;TEXT(ABS(R29)*100,"0.0")&amp;"; Hyde-Smith on track at "&amp;IF(O29&gt;=0,"D+","R+")&amp;TEXT(ABS(O29)*100,"0.0")&amp;", great at "&amp;IF(N29&gt;=0,"D+","R+")&amp;TEXT(ABS(N29)*100,"0.0")&amp;". Turnout: if these counties vote at 95% of the state pace, the break-even moves to "&amp;IF((P29/0.95)&gt;=0,"D+","R+")&amp;TEXT(ABS((P29/0.95))*100,"0.0")&amp;"; at 105%, "&amp;IF((P29/1.05)&gt;=0,"D+","R+")&amp;TEXT(ABS((P29/1.05))*100,"0.0")&amp;"."</f>
        <v/>
      </c>
    </row>
    <row r="30" ht="40" customHeight="1">
      <c r="A30" s="8" t="inlineStr">
        <is>
          <t>MS|Mid-size/working metro</t>
        </is>
      </c>
      <c r="B30" s="8" t="inlineStr">
        <is>
          <t>MS</t>
        </is>
      </c>
      <c r="C30" s="8" t="inlineStr">
        <is>
          <t>Mid-size/working metro</t>
        </is>
      </c>
      <c r="D30" s="8">
        <f>COUNTIFS(Counties!$A$2:$A$1583,B30,Counties!$D$2:$D$1583,C30)</f>
        <v/>
      </c>
      <c r="E30" s="8">
        <f>COUNTIFS(Counties!$A$2:$A$1583,B30,Counties!$D$2:$D$1583,C30,Counties!$AG$2:$AG$1583,1)</f>
        <v/>
      </c>
      <c r="F30" s="12">
        <f>SUMIFS(Counties!$AF$2:$AF$1583,Counties!$A$2:$A$1583,$B30,Counties!$D$2:$D$1583,$C30,Counties!$AG$2:$AG$1583,1)</f>
        <v/>
      </c>
      <c r="G30" s="10">
        <f>IF(F30&gt;0,SUMIFS(Counties!$AP$2:$AP$1583,Counties!$A$2:$A$1583,$B30,Counties!$D$2:$D$1583,$C30)/F30,"")</f>
        <v/>
      </c>
      <c r="H30" s="10">
        <f>IF(G30&lt;&gt;"",G30,IF(Dashboard!$N$13&lt;&gt;"",Dashboard!$N$13,0))</f>
        <v/>
      </c>
      <c r="I30" s="12">
        <f>SUMIFS(Counties!$AQ$2:$AQ$1583,Counties!$A$2:$A$1583,$B30,Counties!$D$2:$D$1583,$C30,Counties!$AG$2:$AG$1583,1)</f>
        <v/>
      </c>
      <c r="J30" s="15">
        <f>IF(I30&gt;0,F30/I30,"")</f>
        <v/>
      </c>
      <c r="K30" s="15">
        <f>IF(J30="",Dashboard!$X$13,Dashboard!$X$13+(J30-Dashboard!$X$13)*E30/(E30+3))</f>
        <v/>
      </c>
      <c r="L30" s="57">
        <f>SUMIFS(Counties!$AQ$2:$AQ$1583,Counties!$A$2:$A$1583,$B30,Counties!$D$2:$D$1583,$C30)/SUMIFS(Counties!$AQ$2:$AQ$1583,Counties!$A$2:$A$1583,$B30)</f>
        <v/>
      </c>
      <c r="M30" s="9">
        <f>SUMIFS(Counties!$AR$2:$AR$1583,Counties!$A$2:$A$1583,$B30,Counties!$D$2:$D$1583,$C30)/SUMIFS(Counties!$AQ$2:$AQ$1583,Counties!$A$2:$A$1583,$B30,Counties!$D$2:$D$1583,$C30)</f>
        <v/>
      </c>
      <c r="N30" s="9">
        <f>M30+-0.05+Dashboard!$F$13</f>
        <v/>
      </c>
      <c r="O30" s="9">
        <f>M30+-0.01+Dashboard!$F$13</f>
        <v/>
      </c>
      <c r="P30" s="36">
        <f>M30+0.0+Dashboard!$F$13</f>
        <v/>
      </c>
      <c r="Q30" s="9">
        <f>M30+0.01+Dashboard!$F$13</f>
        <v/>
      </c>
      <c r="R30" s="9">
        <f>M30+0.05+Dashboard!$F$13</f>
        <v/>
      </c>
      <c r="S30" s="9">
        <f>IF(Dashboard!$K$13&gt;0,M30+H30,"")</f>
        <v/>
      </c>
      <c r="T30" s="10">
        <f>IF(G30="","",G30-Dashboard!$F$13)</f>
        <v/>
      </c>
      <c r="U30" s="8">
        <f>IF(F30=0,"no county of this type finished",IF(X30&gt;=0.05,"Great for Colom",IF(X30&gt;=0.01,"Colom on track",IF(X30&gt;-0.01,"Toss-up",IF(X30&gt;-0.05,"Hyde-Smith on track","Great for Hyde-Smith")))))</f>
        <v/>
      </c>
      <c r="V30" s="16">
        <f>IF(I30&gt;0,100*F30/(I30*Dashboard!$Y$13),"")</f>
        <v/>
      </c>
      <c r="W30" s="9">
        <f>IF(V30="","",P30/(V30/100))</f>
        <v/>
      </c>
      <c r="X30" s="10">
        <f>IF(F30&gt;0,(SUMIFS(Counties!$BA$2:$BA$1583,Counties!$A$2:$A$1583,$B30,Counties!$D$2:$D$1583,$C30,Counties!$AG$2:$AG$1583,1)+SUMIFS(Counties!$BB$2:$BB$1583,Counties!$A$2:$A$1583,$B30,Counties!$D$2:$D$1583,$C30,Counties!$AG$2:$AG$1583,1))/F30,"")</f>
        <v/>
      </c>
      <c r="Y30" s="37">
        <f>SUMIFS(Counties!$AZ$2:$AZ$1583,Counties!$A$2:$A$1583,$B30,Counties!$D$2:$D$1583,$C30)</f>
        <v/>
      </c>
      <c r="Z30" s="17">
        <f>"Mid-size/working metro: "&amp;TEXT(L30,"0.0%")&amp;" of the expected vote. Tie: "&amp;IF(P30&gt;=0,"D+","R+")&amp;TEXT(ABS(P30)*100,"0.0")&amp;". Colom on track at "&amp;IF(Q30&gt;=0,"D+","R+")&amp;TEXT(ABS(Q30)*100,"0.0")&amp;", great at "&amp;IF(R30&gt;=0,"D+","R+")&amp;TEXT(ABS(R30)*100,"0.0")&amp;"; Hyde-Smith on track at "&amp;IF(O30&gt;=0,"D+","R+")&amp;TEXT(ABS(O30)*100,"0.0")&amp;", great at "&amp;IF(N30&gt;=0,"D+","R+")&amp;TEXT(ABS(N30)*100,"0.0")&amp;". Turnout: if these counties vote at 95% of the state pace, the break-even moves to "&amp;IF((P30/0.95)&gt;=0,"D+","R+")&amp;TEXT(ABS((P30/0.95))*100,"0.0")&amp;"; at 105%, "&amp;IF((P30/1.05)&gt;=0,"D+","R+")&amp;TEXT(ABS((P30/1.05))*100,"0.0")&amp;"."</f>
        <v/>
      </c>
    </row>
    <row r="31" ht="40" customHeight="1">
      <c r="A31" s="8" t="inlineStr">
        <is>
          <t>MS|Black Belt</t>
        </is>
      </c>
      <c r="B31" s="8" t="inlineStr">
        <is>
          <t>MS</t>
        </is>
      </c>
      <c r="C31" s="8" t="inlineStr">
        <is>
          <t>Black Belt</t>
        </is>
      </c>
      <c r="D31" s="8">
        <f>COUNTIFS(Counties!$A$2:$A$1583,B31,Counties!$D$2:$D$1583,C31)</f>
        <v/>
      </c>
      <c r="E31" s="8">
        <f>COUNTIFS(Counties!$A$2:$A$1583,B31,Counties!$D$2:$D$1583,C31,Counties!$AG$2:$AG$1583,1)</f>
        <v/>
      </c>
      <c r="F31" s="12">
        <f>SUMIFS(Counties!$AF$2:$AF$1583,Counties!$A$2:$A$1583,$B31,Counties!$D$2:$D$1583,$C31,Counties!$AG$2:$AG$1583,1)</f>
        <v/>
      </c>
      <c r="G31" s="10">
        <f>IF(F31&gt;0,SUMIFS(Counties!$AP$2:$AP$1583,Counties!$A$2:$A$1583,$B31,Counties!$D$2:$D$1583,$C31)/F31,"")</f>
        <v/>
      </c>
      <c r="H31" s="10">
        <f>IF(G31&lt;&gt;"",G31,IF(Dashboard!$N$13&lt;&gt;"",Dashboard!$N$13,0))</f>
        <v/>
      </c>
      <c r="I31" s="12">
        <f>SUMIFS(Counties!$AQ$2:$AQ$1583,Counties!$A$2:$A$1583,$B31,Counties!$D$2:$D$1583,$C31,Counties!$AG$2:$AG$1583,1)</f>
        <v/>
      </c>
      <c r="J31" s="15">
        <f>IF(I31&gt;0,F31/I31,"")</f>
        <v/>
      </c>
      <c r="K31" s="15">
        <f>IF(J31="",Dashboard!$X$13,Dashboard!$X$13+(J31-Dashboard!$X$13)*E31/(E31+3))</f>
        <v/>
      </c>
      <c r="L31" s="57">
        <f>SUMIFS(Counties!$AQ$2:$AQ$1583,Counties!$A$2:$A$1583,$B31,Counties!$D$2:$D$1583,$C31)/SUMIFS(Counties!$AQ$2:$AQ$1583,Counties!$A$2:$A$1583,$B31)</f>
        <v/>
      </c>
      <c r="M31" s="9">
        <f>SUMIFS(Counties!$AR$2:$AR$1583,Counties!$A$2:$A$1583,$B31,Counties!$D$2:$D$1583,$C31)/SUMIFS(Counties!$AQ$2:$AQ$1583,Counties!$A$2:$A$1583,$B31,Counties!$D$2:$D$1583,$C31)</f>
        <v/>
      </c>
      <c r="N31" s="9">
        <f>M31+-0.05+Dashboard!$F$13</f>
        <v/>
      </c>
      <c r="O31" s="9">
        <f>M31+-0.01+Dashboard!$F$13</f>
        <v/>
      </c>
      <c r="P31" s="36">
        <f>M31+0.0+Dashboard!$F$13</f>
        <v/>
      </c>
      <c r="Q31" s="9">
        <f>M31+0.01+Dashboard!$F$13</f>
        <v/>
      </c>
      <c r="R31" s="9">
        <f>M31+0.05+Dashboard!$F$13</f>
        <v/>
      </c>
      <c r="S31" s="9">
        <f>IF(Dashboard!$K$13&gt;0,M31+H31,"")</f>
        <v/>
      </c>
      <c r="T31" s="10">
        <f>IF(G31="","",G31-Dashboard!$F$13)</f>
        <v/>
      </c>
      <c r="U31" s="8">
        <f>IF(F31=0,"no county of this type finished",IF(X31&gt;=0.05,"Great for Colom",IF(X31&gt;=0.01,"Colom on track",IF(X31&gt;-0.01,"Toss-up",IF(X31&gt;-0.05,"Hyde-Smith on track","Great for Hyde-Smith")))))</f>
        <v/>
      </c>
      <c r="V31" s="16">
        <f>IF(I31&gt;0,100*F31/(I31*Dashboard!$Y$13),"")</f>
        <v/>
      </c>
      <c r="W31" s="9">
        <f>IF(V31="","",P31/(V31/100))</f>
        <v/>
      </c>
      <c r="X31" s="10">
        <f>IF(F31&gt;0,(SUMIFS(Counties!$BA$2:$BA$1583,Counties!$A$2:$A$1583,$B31,Counties!$D$2:$D$1583,$C31,Counties!$AG$2:$AG$1583,1)+SUMIFS(Counties!$BB$2:$BB$1583,Counties!$A$2:$A$1583,$B31,Counties!$D$2:$D$1583,$C31,Counties!$AG$2:$AG$1583,1))/F31,"")</f>
        <v/>
      </c>
      <c r="Y31" s="37">
        <f>SUMIFS(Counties!$AZ$2:$AZ$1583,Counties!$A$2:$A$1583,$B31,Counties!$D$2:$D$1583,$C31)</f>
        <v/>
      </c>
      <c r="Z31" s="17">
        <f>"Black Belt: "&amp;TEXT(L31,"0.0%")&amp;" of the expected vote. Tie: "&amp;IF(P31&gt;=0,"D+","R+")&amp;TEXT(ABS(P31)*100,"0.0")&amp;". Colom on track at "&amp;IF(Q31&gt;=0,"D+","R+")&amp;TEXT(ABS(Q31)*100,"0.0")&amp;", great at "&amp;IF(R31&gt;=0,"D+","R+")&amp;TEXT(ABS(R31)*100,"0.0")&amp;"; Hyde-Smith on track at "&amp;IF(O31&gt;=0,"D+","R+")&amp;TEXT(ABS(O31)*100,"0.0")&amp;", great at "&amp;IF(N31&gt;=0,"D+","R+")&amp;TEXT(ABS(N31)*100,"0.0")&amp;". Turnout: if these counties vote at 95% of the state pace, the break-even moves to "&amp;IF((P31/0.95)&gt;=0,"D+","R+")&amp;TEXT(ABS((P31/0.95))*100,"0.0")&amp;"; at 105%, "&amp;IF((P31/1.05)&gt;=0,"D+","R+")&amp;TEXT(ABS((P31/1.05))*100,"0.0")&amp;"."</f>
        <v/>
      </c>
    </row>
    <row r="32" ht="40" customHeight="1">
      <c r="A32" s="8" t="inlineStr">
        <is>
          <t>MS|Small town &amp; rural</t>
        </is>
      </c>
      <c r="B32" s="8" t="inlineStr">
        <is>
          <t>MS</t>
        </is>
      </c>
      <c r="C32" s="8" t="inlineStr">
        <is>
          <t>Small town &amp; rural</t>
        </is>
      </c>
      <c r="D32" s="8">
        <f>COUNTIFS(Counties!$A$2:$A$1583,B32,Counties!$D$2:$D$1583,C32)</f>
        <v/>
      </c>
      <c r="E32" s="8">
        <f>COUNTIFS(Counties!$A$2:$A$1583,B32,Counties!$D$2:$D$1583,C32,Counties!$AG$2:$AG$1583,1)</f>
        <v/>
      </c>
      <c r="F32" s="12">
        <f>SUMIFS(Counties!$AF$2:$AF$1583,Counties!$A$2:$A$1583,$B32,Counties!$D$2:$D$1583,$C32,Counties!$AG$2:$AG$1583,1)</f>
        <v/>
      </c>
      <c r="G32" s="10">
        <f>IF(F32&gt;0,SUMIFS(Counties!$AP$2:$AP$1583,Counties!$A$2:$A$1583,$B32,Counties!$D$2:$D$1583,$C32)/F32,"")</f>
        <v/>
      </c>
      <c r="H32" s="10">
        <f>IF(G32&lt;&gt;"",G32,IF(Dashboard!$N$13&lt;&gt;"",Dashboard!$N$13,0))</f>
        <v/>
      </c>
      <c r="I32" s="12">
        <f>SUMIFS(Counties!$AQ$2:$AQ$1583,Counties!$A$2:$A$1583,$B32,Counties!$D$2:$D$1583,$C32,Counties!$AG$2:$AG$1583,1)</f>
        <v/>
      </c>
      <c r="J32" s="15">
        <f>IF(I32&gt;0,F32/I32,"")</f>
        <v/>
      </c>
      <c r="K32" s="15">
        <f>IF(J32="",Dashboard!$X$13,Dashboard!$X$13+(J32-Dashboard!$X$13)*E32/(E32+3))</f>
        <v/>
      </c>
      <c r="L32" s="57">
        <f>SUMIFS(Counties!$AQ$2:$AQ$1583,Counties!$A$2:$A$1583,$B32,Counties!$D$2:$D$1583,$C32)/SUMIFS(Counties!$AQ$2:$AQ$1583,Counties!$A$2:$A$1583,$B32)</f>
        <v/>
      </c>
      <c r="M32" s="9">
        <f>SUMIFS(Counties!$AR$2:$AR$1583,Counties!$A$2:$A$1583,$B32,Counties!$D$2:$D$1583,$C32)/SUMIFS(Counties!$AQ$2:$AQ$1583,Counties!$A$2:$A$1583,$B32,Counties!$D$2:$D$1583,$C32)</f>
        <v/>
      </c>
      <c r="N32" s="9">
        <f>M32+-0.05+Dashboard!$F$13</f>
        <v/>
      </c>
      <c r="O32" s="9">
        <f>M32+-0.01+Dashboard!$F$13</f>
        <v/>
      </c>
      <c r="P32" s="36">
        <f>M32+0.0+Dashboard!$F$13</f>
        <v/>
      </c>
      <c r="Q32" s="9">
        <f>M32+0.01+Dashboard!$F$13</f>
        <v/>
      </c>
      <c r="R32" s="9">
        <f>M32+0.05+Dashboard!$F$13</f>
        <v/>
      </c>
      <c r="S32" s="9">
        <f>IF(Dashboard!$K$13&gt;0,M32+H32,"")</f>
        <v/>
      </c>
      <c r="T32" s="10">
        <f>IF(G32="","",G32-Dashboard!$F$13)</f>
        <v/>
      </c>
      <c r="U32" s="8">
        <f>IF(F32=0,"no county of this type finished",IF(X32&gt;=0.05,"Great for Colom",IF(X32&gt;=0.01,"Colom on track",IF(X32&gt;-0.01,"Toss-up",IF(X32&gt;-0.05,"Hyde-Smith on track","Great for Hyde-Smith")))))</f>
        <v/>
      </c>
      <c r="V32" s="16">
        <f>IF(I32&gt;0,100*F32/(I32*Dashboard!$Y$13),"")</f>
        <v/>
      </c>
      <c r="W32" s="9">
        <f>IF(V32="","",P32/(V32/100))</f>
        <v/>
      </c>
      <c r="X32" s="10">
        <f>IF(F32&gt;0,(SUMIFS(Counties!$BA$2:$BA$1583,Counties!$A$2:$A$1583,$B32,Counties!$D$2:$D$1583,$C32,Counties!$AG$2:$AG$1583,1)+SUMIFS(Counties!$BB$2:$BB$1583,Counties!$A$2:$A$1583,$B32,Counties!$D$2:$D$1583,$C32,Counties!$AG$2:$AG$1583,1))/F32,"")</f>
        <v/>
      </c>
      <c r="Y32" s="37">
        <f>SUMIFS(Counties!$AZ$2:$AZ$1583,Counties!$A$2:$A$1583,$B32,Counties!$D$2:$D$1583,$C32)</f>
        <v/>
      </c>
      <c r="Z32" s="17">
        <f>"Small town &amp; rural: "&amp;TEXT(L32,"0.0%")&amp;" of the expected vote. Tie: "&amp;IF(P32&gt;=0,"D+","R+")&amp;TEXT(ABS(P32)*100,"0.0")&amp;". Colom on track at "&amp;IF(Q32&gt;=0,"D+","R+")&amp;TEXT(ABS(Q32)*100,"0.0")&amp;", great at "&amp;IF(R32&gt;=0,"D+","R+")&amp;TEXT(ABS(R32)*100,"0.0")&amp;"; Hyde-Smith on track at "&amp;IF(O32&gt;=0,"D+","R+")&amp;TEXT(ABS(O32)*100,"0.0")&amp;", great at "&amp;IF(N32&gt;=0,"D+","R+")&amp;TEXT(ABS(N32)*100,"0.0")&amp;". Turnout: if these counties vote at 95% of the state pace, the break-even moves to "&amp;IF((P32/0.95)&gt;=0,"D+","R+")&amp;TEXT(ABS((P32/0.95))*100,"0.0")&amp;"; at 105%, "&amp;IF((P32/1.05)&gt;=0,"D+","R+")&amp;TEXT(ABS((P32/1.05))*100,"0.0")&amp;"."</f>
        <v/>
      </c>
    </row>
    <row r="33" ht="40" customHeight="1">
      <c r="A33" s="8" t="inlineStr">
        <is>
          <t>NC|Big metro core</t>
        </is>
      </c>
      <c r="B33" s="8" t="inlineStr">
        <is>
          <t>NC</t>
        </is>
      </c>
      <c r="C33" s="8" t="inlineStr">
        <is>
          <t>Big metro core</t>
        </is>
      </c>
      <c r="D33" s="8">
        <f>COUNTIFS(Counties!$A$2:$A$1583,B33,Counties!$D$2:$D$1583,C33)</f>
        <v/>
      </c>
      <c r="E33" s="8">
        <f>COUNTIFS(Counties!$A$2:$A$1583,B33,Counties!$D$2:$D$1583,C33,Counties!$AG$2:$AG$1583,1)</f>
        <v/>
      </c>
      <c r="F33" s="12">
        <f>SUMIFS(Counties!$AF$2:$AF$1583,Counties!$A$2:$A$1583,$B33,Counties!$D$2:$D$1583,$C33,Counties!$AG$2:$AG$1583,1)</f>
        <v/>
      </c>
      <c r="G33" s="10">
        <f>IF(F33&gt;0,SUMIFS(Counties!$AP$2:$AP$1583,Counties!$A$2:$A$1583,$B33,Counties!$D$2:$D$1583,$C33)/F33,"")</f>
        <v/>
      </c>
      <c r="H33" s="10">
        <f>IF(G33&lt;&gt;"",G33,IF(Dashboard!$N$14&lt;&gt;"",Dashboard!$N$14,0))</f>
        <v/>
      </c>
      <c r="I33" s="12">
        <f>SUMIFS(Counties!$AQ$2:$AQ$1583,Counties!$A$2:$A$1583,$B33,Counties!$D$2:$D$1583,$C33,Counties!$AG$2:$AG$1583,1)</f>
        <v/>
      </c>
      <c r="J33" s="15">
        <f>IF(I33&gt;0,F33/I33,"")</f>
        <v/>
      </c>
      <c r="K33" s="15">
        <f>IF(J33="",Dashboard!$X$14,Dashboard!$X$14+(J33-Dashboard!$X$14)*E33/(E33+3))</f>
        <v/>
      </c>
      <c r="L33" s="57">
        <f>SUMIFS(Counties!$AQ$2:$AQ$1583,Counties!$A$2:$A$1583,$B33,Counties!$D$2:$D$1583,$C33)/SUMIFS(Counties!$AQ$2:$AQ$1583,Counties!$A$2:$A$1583,$B33)</f>
        <v/>
      </c>
      <c r="M33" s="9">
        <f>SUMIFS(Counties!$AR$2:$AR$1583,Counties!$A$2:$A$1583,$B33,Counties!$D$2:$D$1583,$C33)/SUMIFS(Counties!$AQ$2:$AQ$1583,Counties!$A$2:$A$1583,$B33,Counties!$D$2:$D$1583,$C33)</f>
        <v/>
      </c>
      <c r="N33" s="9">
        <f>M33+-0.05+Dashboard!$F$14</f>
        <v/>
      </c>
      <c r="O33" s="9">
        <f>M33+-0.01+Dashboard!$F$14</f>
        <v/>
      </c>
      <c r="P33" s="36">
        <f>M33+0.0+Dashboard!$F$14</f>
        <v/>
      </c>
      <c r="Q33" s="9">
        <f>M33+0.01+Dashboard!$F$14</f>
        <v/>
      </c>
      <c r="R33" s="9">
        <f>M33+0.05+Dashboard!$F$14</f>
        <v/>
      </c>
      <c r="S33" s="9">
        <f>IF(Dashboard!$K$14&gt;0,M33+H33,"")</f>
        <v/>
      </c>
      <c r="T33" s="10">
        <f>IF(G33="","",G33-Dashboard!$F$14)</f>
        <v/>
      </c>
      <c r="U33" s="8">
        <f>IF(F33=0,"no county of this type finished",IF(X33&gt;=0.05,"Great for Cooper",IF(X33&gt;=0.01,"Cooper on track",IF(X33&gt;-0.01,"Toss-up",IF(X33&gt;-0.05,"Whatley on track","Great for Whatley")))))</f>
        <v/>
      </c>
      <c r="V33" s="16">
        <f>IF(I33&gt;0,100*F33/(I33*Dashboard!$Y$14),"")</f>
        <v/>
      </c>
      <c r="W33" s="9">
        <f>IF(V33="","",P33/(V33/100))</f>
        <v/>
      </c>
      <c r="X33" s="10">
        <f>IF(F33&gt;0,(SUMIFS(Counties!$BA$2:$BA$1583,Counties!$A$2:$A$1583,$B33,Counties!$D$2:$D$1583,$C33,Counties!$AG$2:$AG$1583,1)+SUMIFS(Counties!$BB$2:$BB$1583,Counties!$A$2:$A$1583,$B33,Counties!$D$2:$D$1583,$C33,Counties!$AG$2:$AG$1583,1))/F33,"")</f>
        <v/>
      </c>
      <c r="Y33" s="37">
        <f>SUMIFS(Counties!$AZ$2:$AZ$1583,Counties!$A$2:$A$1583,$B33,Counties!$D$2:$D$1583,$C33)</f>
        <v/>
      </c>
      <c r="Z33" s="17">
        <f>"Big metro core: "&amp;TEXT(L33,"0.0%")&amp;" of the expected vote. Tie: "&amp;IF(P33&gt;=0,"D+","R+")&amp;TEXT(ABS(P33)*100,"0.0")&amp;". Cooper on track at "&amp;IF(Q33&gt;=0,"D+","R+")&amp;TEXT(ABS(Q33)*100,"0.0")&amp;", great at "&amp;IF(R33&gt;=0,"D+","R+")&amp;TEXT(ABS(R33)*100,"0.0")&amp;"; Whatley on track at "&amp;IF(O33&gt;=0,"D+","R+")&amp;TEXT(ABS(O33)*100,"0.0")&amp;", great at "&amp;IF(N33&gt;=0,"D+","R+")&amp;TEXT(ABS(N33)*100,"0.0")&amp;". Turnout: if these counties vote at 95% of the state pace, the break-even moves to "&amp;IF((P33/0.95)&gt;=0,"D+","R+")&amp;TEXT(ABS((P33/0.95))*100,"0.0")&amp;"; at 105%, "&amp;IF((P33/1.05)&gt;=0,"D+","R+")&amp;TEXT(ABS((P33/1.05))*100,"0.0")&amp;"."</f>
        <v/>
      </c>
    </row>
    <row r="34" ht="40" customHeight="1">
      <c r="A34" s="8" t="inlineStr">
        <is>
          <t>NC|College suburb/metro</t>
        </is>
      </c>
      <c r="B34" s="8" t="inlineStr">
        <is>
          <t>NC</t>
        </is>
      </c>
      <c r="C34" s="8" t="inlineStr">
        <is>
          <t>College suburb/metro</t>
        </is>
      </c>
      <c r="D34" s="8">
        <f>COUNTIFS(Counties!$A$2:$A$1583,B34,Counties!$D$2:$D$1583,C34)</f>
        <v/>
      </c>
      <c r="E34" s="8">
        <f>COUNTIFS(Counties!$A$2:$A$1583,B34,Counties!$D$2:$D$1583,C34,Counties!$AG$2:$AG$1583,1)</f>
        <v/>
      </c>
      <c r="F34" s="12">
        <f>SUMIFS(Counties!$AF$2:$AF$1583,Counties!$A$2:$A$1583,$B34,Counties!$D$2:$D$1583,$C34,Counties!$AG$2:$AG$1583,1)</f>
        <v/>
      </c>
      <c r="G34" s="10">
        <f>IF(F34&gt;0,SUMIFS(Counties!$AP$2:$AP$1583,Counties!$A$2:$A$1583,$B34,Counties!$D$2:$D$1583,$C34)/F34,"")</f>
        <v/>
      </c>
      <c r="H34" s="10">
        <f>IF(G34&lt;&gt;"",G34,IF(Dashboard!$N$14&lt;&gt;"",Dashboard!$N$14,0))</f>
        <v/>
      </c>
      <c r="I34" s="12">
        <f>SUMIFS(Counties!$AQ$2:$AQ$1583,Counties!$A$2:$A$1583,$B34,Counties!$D$2:$D$1583,$C34,Counties!$AG$2:$AG$1583,1)</f>
        <v/>
      </c>
      <c r="J34" s="15">
        <f>IF(I34&gt;0,F34/I34,"")</f>
        <v/>
      </c>
      <c r="K34" s="15">
        <f>IF(J34="",Dashboard!$X$14,Dashboard!$X$14+(J34-Dashboard!$X$14)*E34/(E34+3))</f>
        <v/>
      </c>
      <c r="L34" s="57">
        <f>SUMIFS(Counties!$AQ$2:$AQ$1583,Counties!$A$2:$A$1583,$B34,Counties!$D$2:$D$1583,$C34)/SUMIFS(Counties!$AQ$2:$AQ$1583,Counties!$A$2:$A$1583,$B34)</f>
        <v/>
      </c>
      <c r="M34" s="9">
        <f>SUMIFS(Counties!$AR$2:$AR$1583,Counties!$A$2:$A$1583,$B34,Counties!$D$2:$D$1583,$C34)/SUMIFS(Counties!$AQ$2:$AQ$1583,Counties!$A$2:$A$1583,$B34,Counties!$D$2:$D$1583,$C34)</f>
        <v/>
      </c>
      <c r="N34" s="9">
        <f>M34+-0.05+Dashboard!$F$14</f>
        <v/>
      </c>
      <c r="O34" s="9">
        <f>M34+-0.01+Dashboard!$F$14</f>
        <v/>
      </c>
      <c r="P34" s="36">
        <f>M34+0.0+Dashboard!$F$14</f>
        <v/>
      </c>
      <c r="Q34" s="9">
        <f>M34+0.01+Dashboard!$F$14</f>
        <v/>
      </c>
      <c r="R34" s="9">
        <f>M34+0.05+Dashboard!$F$14</f>
        <v/>
      </c>
      <c r="S34" s="9">
        <f>IF(Dashboard!$K$14&gt;0,M34+H34,"")</f>
        <v/>
      </c>
      <c r="T34" s="10">
        <f>IF(G34="","",G34-Dashboard!$F$14)</f>
        <v/>
      </c>
      <c r="U34" s="8">
        <f>IF(F34=0,"no county of this type finished",IF(X34&gt;=0.05,"Great for Cooper",IF(X34&gt;=0.01,"Cooper on track",IF(X34&gt;-0.01,"Toss-up",IF(X34&gt;-0.05,"Whatley on track","Great for Whatley")))))</f>
        <v/>
      </c>
      <c r="V34" s="16">
        <f>IF(I34&gt;0,100*F34/(I34*Dashboard!$Y$14),"")</f>
        <v/>
      </c>
      <c r="W34" s="9">
        <f>IF(V34="","",P34/(V34/100))</f>
        <v/>
      </c>
      <c r="X34" s="10">
        <f>IF(F34&gt;0,(SUMIFS(Counties!$BA$2:$BA$1583,Counties!$A$2:$A$1583,$B34,Counties!$D$2:$D$1583,$C34,Counties!$AG$2:$AG$1583,1)+SUMIFS(Counties!$BB$2:$BB$1583,Counties!$A$2:$A$1583,$B34,Counties!$D$2:$D$1583,$C34,Counties!$AG$2:$AG$1583,1))/F34,"")</f>
        <v/>
      </c>
      <c r="Y34" s="37">
        <f>SUMIFS(Counties!$AZ$2:$AZ$1583,Counties!$A$2:$A$1583,$B34,Counties!$D$2:$D$1583,$C34)</f>
        <v/>
      </c>
      <c r="Z34" s="17">
        <f>"College suburb/metro: "&amp;TEXT(L34,"0.0%")&amp;" of the expected vote. Tie: "&amp;IF(P34&gt;=0,"D+","R+")&amp;TEXT(ABS(P34)*100,"0.0")&amp;". Cooper on track at "&amp;IF(Q34&gt;=0,"D+","R+")&amp;TEXT(ABS(Q34)*100,"0.0")&amp;", great at "&amp;IF(R34&gt;=0,"D+","R+")&amp;TEXT(ABS(R34)*100,"0.0")&amp;"; Whatley on track at "&amp;IF(O34&gt;=0,"D+","R+")&amp;TEXT(ABS(O34)*100,"0.0")&amp;", great at "&amp;IF(N34&gt;=0,"D+","R+")&amp;TEXT(ABS(N34)*100,"0.0")&amp;". Turnout: if these counties vote at 95% of the state pace, the break-even moves to "&amp;IF((P34/0.95)&gt;=0,"D+","R+")&amp;TEXT(ABS((P34/0.95))*100,"0.0")&amp;"; at 105%, "&amp;IF((P34/1.05)&gt;=0,"D+","R+")&amp;TEXT(ABS((P34/1.05))*100,"0.0")&amp;"."</f>
        <v/>
      </c>
    </row>
    <row r="35" ht="40" customHeight="1">
      <c r="A35" s="8" t="inlineStr">
        <is>
          <t>NC|Mid-size/working metro</t>
        </is>
      </c>
      <c r="B35" s="8" t="inlineStr">
        <is>
          <t>NC</t>
        </is>
      </c>
      <c r="C35" s="8" t="inlineStr">
        <is>
          <t>Mid-size/working metro</t>
        </is>
      </c>
      <c r="D35" s="8">
        <f>COUNTIFS(Counties!$A$2:$A$1583,B35,Counties!$D$2:$D$1583,C35)</f>
        <v/>
      </c>
      <c r="E35" s="8">
        <f>COUNTIFS(Counties!$A$2:$A$1583,B35,Counties!$D$2:$D$1583,C35,Counties!$AG$2:$AG$1583,1)</f>
        <v/>
      </c>
      <c r="F35" s="12">
        <f>SUMIFS(Counties!$AF$2:$AF$1583,Counties!$A$2:$A$1583,$B35,Counties!$D$2:$D$1583,$C35,Counties!$AG$2:$AG$1583,1)</f>
        <v/>
      </c>
      <c r="G35" s="10">
        <f>IF(F35&gt;0,SUMIFS(Counties!$AP$2:$AP$1583,Counties!$A$2:$A$1583,$B35,Counties!$D$2:$D$1583,$C35)/F35,"")</f>
        <v/>
      </c>
      <c r="H35" s="10">
        <f>IF(G35&lt;&gt;"",G35,IF(Dashboard!$N$14&lt;&gt;"",Dashboard!$N$14,0))</f>
        <v/>
      </c>
      <c r="I35" s="12">
        <f>SUMIFS(Counties!$AQ$2:$AQ$1583,Counties!$A$2:$A$1583,$B35,Counties!$D$2:$D$1583,$C35,Counties!$AG$2:$AG$1583,1)</f>
        <v/>
      </c>
      <c r="J35" s="15">
        <f>IF(I35&gt;0,F35/I35,"")</f>
        <v/>
      </c>
      <c r="K35" s="15">
        <f>IF(J35="",Dashboard!$X$14,Dashboard!$X$14+(J35-Dashboard!$X$14)*E35/(E35+3))</f>
        <v/>
      </c>
      <c r="L35" s="57">
        <f>SUMIFS(Counties!$AQ$2:$AQ$1583,Counties!$A$2:$A$1583,$B35,Counties!$D$2:$D$1583,$C35)/SUMIFS(Counties!$AQ$2:$AQ$1583,Counties!$A$2:$A$1583,$B35)</f>
        <v/>
      </c>
      <c r="M35" s="9">
        <f>SUMIFS(Counties!$AR$2:$AR$1583,Counties!$A$2:$A$1583,$B35,Counties!$D$2:$D$1583,$C35)/SUMIFS(Counties!$AQ$2:$AQ$1583,Counties!$A$2:$A$1583,$B35,Counties!$D$2:$D$1583,$C35)</f>
        <v/>
      </c>
      <c r="N35" s="9">
        <f>M35+-0.05+Dashboard!$F$14</f>
        <v/>
      </c>
      <c r="O35" s="9">
        <f>M35+-0.01+Dashboard!$F$14</f>
        <v/>
      </c>
      <c r="P35" s="36">
        <f>M35+0.0+Dashboard!$F$14</f>
        <v/>
      </c>
      <c r="Q35" s="9">
        <f>M35+0.01+Dashboard!$F$14</f>
        <v/>
      </c>
      <c r="R35" s="9">
        <f>M35+0.05+Dashboard!$F$14</f>
        <v/>
      </c>
      <c r="S35" s="9">
        <f>IF(Dashboard!$K$14&gt;0,M35+H35,"")</f>
        <v/>
      </c>
      <c r="T35" s="10">
        <f>IF(G35="","",G35-Dashboard!$F$14)</f>
        <v/>
      </c>
      <c r="U35" s="8">
        <f>IF(F35=0,"no county of this type finished",IF(X35&gt;=0.05,"Great for Cooper",IF(X35&gt;=0.01,"Cooper on track",IF(X35&gt;-0.01,"Toss-up",IF(X35&gt;-0.05,"Whatley on track","Great for Whatley")))))</f>
        <v/>
      </c>
      <c r="V35" s="16">
        <f>IF(I35&gt;0,100*F35/(I35*Dashboard!$Y$14),"")</f>
        <v/>
      </c>
      <c r="W35" s="9">
        <f>IF(V35="","",P35/(V35/100))</f>
        <v/>
      </c>
      <c r="X35" s="10">
        <f>IF(F35&gt;0,(SUMIFS(Counties!$BA$2:$BA$1583,Counties!$A$2:$A$1583,$B35,Counties!$D$2:$D$1583,$C35,Counties!$AG$2:$AG$1583,1)+SUMIFS(Counties!$BB$2:$BB$1583,Counties!$A$2:$A$1583,$B35,Counties!$D$2:$D$1583,$C35,Counties!$AG$2:$AG$1583,1))/F35,"")</f>
        <v/>
      </c>
      <c r="Y35" s="37">
        <f>SUMIFS(Counties!$AZ$2:$AZ$1583,Counties!$A$2:$A$1583,$B35,Counties!$D$2:$D$1583,$C35)</f>
        <v/>
      </c>
      <c r="Z35" s="17">
        <f>"Mid-size/working metro: "&amp;TEXT(L35,"0.0%")&amp;" of the expected vote. Tie: "&amp;IF(P35&gt;=0,"D+","R+")&amp;TEXT(ABS(P35)*100,"0.0")&amp;". Cooper on track at "&amp;IF(Q35&gt;=0,"D+","R+")&amp;TEXT(ABS(Q35)*100,"0.0")&amp;", great at "&amp;IF(R35&gt;=0,"D+","R+")&amp;TEXT(ABS(R35)*100,"0.0")&amp;"; Whatley on track at "&amp;IF(O35&gt;=0,"D+","R+")&amp;TEXT(ABS(O35)*100,"0.0")&amp;", great at "&amp;IF(N35&gt;=0,"D+","R+")&amp;TEXT(ABS(N35)*100,"0.0")&amp;". Turnout: if these counties vote at 95% of the state pace, the break-even moves to "&amp;IF((P35/0.95)&gt;=0,"D+","R+")&amp;TEXT(ABS((P35/0.95))*100,"0.0")&amp;"; at 105%, "&amp;IF((P35/1.05)&gt;=0,"D+","R+")&amp;TEXT(ABS((P35/1.05))*100,"0.0")&amp;"."</f>
        <v/>
      </c>
    </row>
    <row r="36" ht="40" customHeight="1">
      <c r="A36" s="8" t="inlineStr">
        <is>
          <t>NC|Black Belt</t>
        </is>
      </c>
      <c r="B36" s="8" t="inlineStr">
        <is>
          <t>NC</t>
        </is>
      </c>
      <c r="C36" s="8" t="inlineStr">
        <is>
          <t>Black Belt</t>
        </is>
      </c>
      <c r="D36" s="8">
        <f>COUNTIFS(Counties!$A$2:$A$1583,B36,Counties!$D$2:$D$1583,C36)</f>
        <v/>
      </c>
      <c r="E36" s="8">
        <f>COUNTIFS(Counties!$A$2:$A$1583,B36,Counties!$D$2:$D$1583,C36,Counties!$AG$2:$AG$1583,1)</f>
        <v/>
      </c>
      <c r="F36" s="12">
        <f>SUMIFS(Counties!$AF$2:$AF$1583,Counties!$A$2:$A$1583,$B36,Counties!$D$2:$D$1583,$C36,Counties!$AG$2:$AG$1583,1)</f>
        <v/>
      </c>
      <c r="G36" s="10">
        <f>IF(F36&gt;0,SUMIFS(Counties!$AP$2:$AP$1583,Counties!$A$2:$A$1583,$B36,Counties!$D$2:$D$1583,$C36)/F36,"")</f>
        <v/>
      </c>
      <c r="H36" s="10">
        <f>IF(G36&lt;&gt;"",G36,IF(Dashboard!$N$14&lt;&gt;"",Dashboard!$N$14,0))</f>
        <v/>
      </c>
      <c r="I36" s="12">
        <f>SUMIFS(Counties!$AQ$2:$AQ$1583,Counties!$A$2:$A$1583,$B36,Counties!$D$2:$D$1583,$C36,Counties!$AG$2:$AG$1583,1)</f>
        <v/>
      </c>
      <c r="J36" s="15">
        <f>IF(I36&gt;0,F36/I36,"")</f>
        <v/>
      </c>
      <c r="K36" s="15">
        <f>IF(J36="",Dashboard!$X$14,Dashboard!$X$14+(J36-Dashboard!$X$14)*E36/(E36+3))</f>
        <v/>
      </c>
      <c r="L36" s="57">
        <f>SUMIFS(Counties!$AQ$2:$AQ$1583,Counties!$A$2:$A$1583,$B36,Counties!$D$2:$D$1583,$C36)/SUMIFS(Counties!$AQ$2:$AQ$1583,Counties!$A$2:$A$1583,$B36)</f>
        <v/>
      </c>
      <c r="M36" s="9">
        <f>SUMIFS(Counties!$AR$2:$AR$1583,Counties!$A$2:$A$1583,$B36,Counties!$D$2:$D$1583,$C36)/SUMIFS(Counties!$AQ$2:$AQ$1583,Counties!$A$2:$A$1583,$B36,Counties!$D$2:$D$1583,$C36)</f>
        <v/>
      </c>
      <c r="N36" s="9">
        <f>M36+-0.05+Dashboard!$F$14</f>
        <v/>
      </c>
      <c r="O36" s="9">
        <f>M36+-0.01+Dashboard!$F$14</f>
        <v/>
      </c>
      <c r="P36" s="36">
        <f>M36+0.0+Dashboard!$F$14</f>
        <v/>
      </c>
      <c r="Q36" s="9">
        <f>M36+0.01+Dashboard!$F$14</f>
        <v/>
      </c>
      <c r="R36" s="9">
        <f>M36+0.05+Dashboard!$F$14</f>
        <v/>
      </c>
      <c r="S36" s="9">
        <f>IF(Dashboard!$K$14&gt;0,M36+H36,"")</f>
        <v/>
      </c>
      <c r="T36" s="10">
        <f>IF(G36="","",G36-Dashboard!$F$14)</f>
        <v/>
      </c>
      <c r="U36" s="8">
        <f>IF(F36=0,"no county of this type finished",IF(X36&gt;=0.05,"Great for Cooper",IF(X36&gt;=0.01,"Cooper on track",IF(X36&gt;-0.01,"Toss-up",IF(X36&gt;-0.05,"Whatley on track","Great for Whatley")))))</f>
        <v/>
      </c>
      <c r="V36" s="16">
        <f>IF(I36&gt;0,100*F36/(I36*Dashboard!$Y$14),"")</f>
        <v/>
      </c>
      <c r="W36" s="9">
        <f>IF(V36="","",P36/(V36/100))</f>
        <v/>
      </c>
      <c r="X36" s="10">
        <f>IF(F36&gt;0,(SUMIFS(Counties!$BA$2:$BA$1583,Counties!$A$2:$A$1583,$B36,Counties!$D$2:$D$1583,$C36,Counties!$AG$2:$AG$1583,1)+SUMIFS(Counties!$BB$2:$BB$1583,Counties!$A$2:$A$1583,$B36,Counties!$D$2:$D$1583,$C36,Counties!$AG$2:$AG$1583,1))/F36,"")</f>
        <v/>
      </c>
      <c r="Y36" s="37">
        <f>SUMIFS(Counties!$AZ$2:$AZ$1583,Counties!$A$2:$A$1583,$B36,Counties!$D$2:$D$1583,$C36)</f>
        <v/>
      </c>
      <c r="Z36" s="17">
        <f>"Black Belt: "&amp;TEXT(L36,"0.0%")&amp;" of the expected vote. Tie: "&amp;IF(P36&gt;=0,"D+","R+")&amp;TEXT(ABS(P36)*100,"0.0")&amp;". Cooper on track at "&amp;IF(Q36&gt;=0,"D+","R+")&amp;TEXT(ABS(Q36)*100,"0.0")&amp;", great at "&amp;IF(R36&gt;=0,"D+","R+")&amp;TEXT(ABS(R36)*100,"0.0")&amp;"; Whatley on track at "&amp;IF(O36&gt;=0,"D+","R+")&amp;TEXT(ABS(O36)*100,"0.0")&amp;", great at "&amp;IF(N36&gt;=0,"D+","R+")&amp;TEXT(ABS(N36)*100,"0.0")&amp;". Turnout: if these counties vote at 95% of the state pace, the break-even moves to "&amp;IF((P36/0.95)&gt;=0,"D+","R+")&amp;TEXT(ABS((P36/0.95))*100,"0.0")&amp;"; at 105%, "&amp;IF((P36/1.05)&gt;=0,"D+","R+")&amp;TEXT(ABS((P36/1.05))*100,"0.0")&amp;"."</f>
        <v/>
      </c>
    </row>
    <row r="37" ht="40" customHeight="1">
      <c r="A37" s="8" t="inlineStr">
        <is>
          <t>NC|Native American</t>
        </is>
      </c>
      <c r="B37" s="8" t="inlineStr">
        <is>
          <t>NC</t>
        </is>
      </c>
      <c r="C37" s="8" t="inlineStr">
        <is>
          <t>Native American</t>
        </is>
      </c>
      <c r="D37" s="8">
        <f>COUNTIFS(Counties!$A$2:$A$1583,B37,Counties!$D$2:$D$1583,C37)</f>
        <v/>
      </c>
      <c r="E37" s="8">
        <f>COUNTIFS(Counties!$A$2:$A$1583,B37,Counties!$D$2:$D$1583,C37,Counties!$AG$2:$AG$1583,1)</f>
        <v/>
      </c>
      <c r="F37" s="12">
        <f>SUMIFS(Counties!$AF$2:$AF$1583,Counties!$A$2:$A$1583,$B37,Counties!$D$2:$D$1583,$C37,Counties!$AG$2:$AG$1583,1)</f>
        <v/>
      </c>
      <c r="G37" s="10">
        <f>IF(F37&gt;0,SUMIFS(Counties!$AP$2:$AP$1583,Counties!$A$2:$A$1583,$B37,Counties!$D$2:$D$1583,$C37)/F37,"")</f>
        <v/>
      </c>
      <c r="H37" s="10">
        <f>IF(G37&lt;&gt;"",G37,IF(Dashboard!$N$14&lt;&gt;"",Dashboard!$N$14,0))</f>
        <v/>
      </c>
      <c r="I37" s="12">
        <f>SUMIFS(Counties!$AQ$2:$AQ$1583,Counties!$A$2:$A$1583,$B37,Counties!$D$2:$D$1583,$C37,Counties!$AG$2:$AG$1583,1)</f>
        <v/>
      </c>
      <c r="J37" s="15">
        <f>IF(I37&gt;0,F37/I37,"")</f>
        <v/>
      </c>
      <c r="K37" s="15">
        <f>IF(J37="",Dashboard!$X$14,Dashboard!$X$14+(J37-Dashboard!$X$14)*E37/(E37+3))</f>
        <v/>
      </c>
      <c r="L37" s="57">
        <f>SUMIFS(Counties!$AQ$2:$AQ$1583,Counties!$A$2:$A$1583,$B37,Counties!$D$2:$D$1583,$C37)/SUMIFS(Counties!$AQ$2:$AQ$1583,Counties!$A$2:$A$1583,$B37)</f>
        <v/>
      </c>
      <c r="M37" s="9">
        <f>SUMIFS(Counties!$AR$2:$AR$1583,Counties!$A$2:$A$1583,$B37,Counties!$D$2:$D$1583,$C37)/SUMIFS(Counties!$AQ$2:$AQ$1583,Counties!$A$2:$A$1583,$B37,Counties!$D$2:$D$1583,$C37)</f>
        <v/>
      </c>
      <c r="N37" s="9">
        <f>M37+-0.05+Dashboard!$F$14</f>
        <v/>
      </c>
      <c r="O37" s="9">
        <f>M37+-0.01+Dashboard!$F$14</f>
        <v/>
      </c>
      <c r="P37" s="36">
        <f>M37+0.0+Dashboard!$F$14</f>
        <v/>
      </c>
      <c r="Q37" s="9">
        <f>M37+0.01+Dashboard!$F$14</f>
        <v/>
      </c>
      <c r="R37" s="9">
        <f>M37+0.05+Dashboard!$F$14</f>
        <v/>
      </c>
      <c r="S37" s="9">
        <f>IF(Dashboard!$K$14&gt;0,M37+H37,"")</f>
        <v/>
      </c>
      <c r="T37" s="10">
        <f>IF(G37="","",G37-Dashboard!$F$14)</f>
        <v/>
      </c>
      <c r="U37" s="8">
        <f>IF(F37=0,"no county of this type finished",IF(X37&gt;=0.05,"Great for Cooper",IF(X37&gt;=0.01,"Cooper on track",IF(X37&gt;-0.01,"Toss-up",IF(X37&gt;-0.05,"Whatley on track","Great for Whatley")))))</f>
        <v/>
      </c>
      <c r="V37" s="16">
        <f>IF(I37&gt;0,100*F37/(I37*Dashboard!$Y$14),"")</f>
        <v/>
      </c>
      <c r="W37" s="9">
        <f>IF(V37="","",P37/(V37/100))</f>
        <v/>
      </c>
      <c r="X37" s="10">
        <f>IF(F37&gt;0,(SUMIFS(Counties!$BA$2:$BA$1583,Counties!$A$2:$A$1583,$B37,Counties!$D$2:$D$1583,$C37,Counties!$AG$2:$AG$1583,1)+SUMIFS(Counties!$BB$2:$BB$1583,Counties!$A$2:$A$1583,$B37,Counties!$D$2:$D$1583,$C37,Counties!$AG$2:$AG$1583,1))/F37,"")</f>
        <v/>
      </c>
      <c r="Y37" s="37">
        <f>SUMIFS(Counties!$AZ$2:$AZ$1583,Counties!$A$2:$A$1583,$B37,Counties!$D$2:$D$1583,$C37)</f>
        <v/>
      </c>
      <c r="Z37" s="17">
        <f>"Native American: "&amp;TEXT(L37,"0.0%")&amp;" of the expected vote. Tie: "&amp;IF(P37&gt;=0,"D+","R+")&amp;TEXT(ABS(P37)*100,"0.0")&amp;". Cooper on track at "&amp;IF(Q37&gt;=0,"D+","R+")&amp;TEXT(ABS(Q37)*100,"0.0")&amp;", great at "&amp;IF(R37&gt;=0,"D+","R+")&amp;TEXT(ABS(R37)*100,"0.0")&amp;"; Whatley on track at "&amp;IF(O37&gt;=0,"D+","R+")&amp;TEXT(ABS(O37)*100,"0.0")&amp;", great at "&amp;IF(N37&gt;=0,"D+","R+")&amp;TEXT(ABS(N37)*100,"0.0")&amp;". Turnout: if these counties vote at 95% of the state pace, the break-even moves to "&amp;IF((P37/0.95)&gt;=0,"D+","R+")&amp;TEXT(ABS((P37/0.95))*100,"0.0")&amp;"; at 105%, "&amp;IF((P37/1.05)&gt;=0,"D+","R+")&amp;TEXT(ABS((P37/1.05))*100,"0.0")&amp;"."</f>
        <v/>
      </c>
    </row>
    <row r="38" ht="40" customHeight="1">
      <c r="A38" s="8" t="inlineStr">
        <is>
          <t>NC|Small town &amp; rural</t>
        </is>
      </c>
      <c r="B38" s="8" t="inlineStr">
        <is>
          <t>NC</t>
        </is>
      </c>
      <c r="C38" s="8" t="inlineStr">
        <is>
          <t>Small town &amp; rural</t>
        </is>
      </c>
      <c r="D38" s="8">
        <f>COUNTIFS(Counties!$A$2:$A$1583,B38,Counties!$D$2:$D$1583,C38)</f>
        <v/>
      </c>
      <c r="E38" s="8">
        <f>COUNTIFS(Counties!$A$2:$A$1583,B38,Counties!$D$2:$D$1583,C38,Counties!$AG$2:$AG$1583,1)</f>
        <v/>
      </c>
      <c r="F38" s="12">
        <f>SUMIFS(Counties!$AF$2:$AF$1583,Counties!$A$2:$A$1583,$B38,Counties!$D$2:$D$1583,$C38,Counties!$AG$2:$AG$1583,1)</f>
        <v/>
      </c>
      <c r="G38" s="10">
        <f>IF(F38&gt;0,SUMIFS(Counties!$AP$2:$AP$1583,Counties!$A$2:$A$1583,$B38,Counties!$D$2:$D$1583,$C38)/F38,"")</f>
        <v/>
      </c>
      <c r="H38" s="10">
        <f>IF(G38&lt;&gt;"",G38,IF(Dashboard!$N$14&lt;&gt;"",Dashboard!$N$14,0))</f>
        <v/>
      </c>
      <c r="I38" s="12">
        <f>SUMIFS(Counties!$AQ$2:$AQ$1583,Counties!$A$2:$A$1583,$B38,Counties!$D$2:$D$1583,$C38,Counties!$AG$2:$AG$1583,1)</f>
        <v/>
      </c>
      <c r="J38" s="15">
        <f>IF(I38&gt;0,F38/I38,"")</f>
        <v/>
      </c>
      <c r="K38" s="15">
        <f>IF(J38="",Dashboard!$X$14,Dashboard!$X$14+(J38-Dashboard!$X$14)*E38/(E38+3))</f>
        <v/>
      </c>
      <c r="L38" s="57">
        <f>SUMIFS(Counties!$AQ$2:$AQ$1583,Counties!$A$2:$A$1583,$B38,Counties!$D$2:$D$1583,$C38)/SUMIFS(Counties!$AQ$2:$AQ$1583,Counties!$A$2:$A$1583,$B38)</f>
        <v/>
      </c>
      <c r="M38" s="9">
        <f>SUMIFS(Counties!$AR$2:$AR$1583,Counties!$A$2:$A$1583,$B38,Counties!$D$2:$D$1583,$C38)/SUMIFS(Counties!$AQ$2:$AQ$1583,Counties!$A$2:$A$1583,$B38,Counties!$D$2:$D$1583,$C38)</f>
        <v/>
      </c>
      <c r="N38" s="9">
        <f>M38+-0.05+Dashboard!$F$14</f>
        <v/>
      </c>
      <c r="O38" s="9">
        <f>M38+-0.01+Dashboard!$F$14</f>
        <v/>
      </c>
      <c r="P38" s="36">
        <f>M38+0.0+Dashboard!$F$14</f>
        <v/>
      </c>
      <c r="Q38" s="9">
        <f>M38+0.01+Dashboard!$F$14</f>
        <v/>
      </c>
      <c r="R38" s="9">
        <f>M38+0.05+Dashboard!$F$14</f>
        <v/>
      </c>
      <c r="S38" s="9">
        <f>IF(Dashboard!$K$14&gt;0,M38+H38,"")</f>
        <v/>
      </c>
      <c r="T38" s="10">
        <f>IF(G38="","",G38-Dashboard!$F$14)</f>
        <v/>
      </c>
      <c r="U38" s="8">
        <f>IF(F38=0,"no county of this type finished",IF(X38&gt;=0.05,"Great for Cooper",IF(X38&gt;=0.01,"Cooper on track",IF(X38&gt;-0.01,"Toss-up",IF(X38&gt;-0.05,"Whatley on track","Great for Whatley")))))</f>
        <v/>
      </c>
      <c r="V38" s="16">
        <f>IF(I38&gt;0,100*F38/(I38*Dashboard!$Y$14),"")</f>
        <v/>
      </c>
      <c r="W38" s="9">
        <f>IF(V38="","",P38/(V38/100))</f>
        <v/>
      </c>
      <c r="X38" s="10">
        <f>IF(F38&gt;0,(SUMIFS(Counties!$BA$2:$BA$1583,Counties!$A$2:$A$1583,$B38,Counties!$D$2:$D$1583,$C38,Counties!$AG$2:$AG$1583,1)+SUMIFS(Counties!$BB$2:$BB$1583,Counties!$A$2:$A$1583,$B38,Counties!$D$2:$D$1583,$C38,Counties!$AG$2:$AG$1583,1))/F38,"")</f>
        <v/>
      </c>
      <c r="Y38" s="37">
        <f>SUMIFS(Counties!$AZ$2:$AZ$1583,Counties!$A$2:$A$1583,$B38,Counties!$D$2:$D$1583,$C38)</f>
        <v/>
      </c>
      <c r="Z38" s="17">
        <f>"Small town &amp; rural: "&amp;TEXT(L38,"0.0%")&amp;" of the expected vote. Tie: "&amp;IF(P38&gt;=0,"D+","R+")&amp;TEXT(ABS(P38)*100,"0.0")&amp;". Cooper on track at "&amp;IF(Q38&gt;=0,"D+","R+")&amp;TEXT(ABS(Q38)*100,"0.0")&amp;", great at "&amp;IF(R38&gt;=0,"D+","R+")&amp;TEXT(ABS(R38)*100,"0.0")&amp;"; Whatley on track at "&amp;IF(O38&gt;=0,"D+","R+")&amp;TEXT(ABS(O38)*100,"0.0")&amp;", great at "&amp;IF(N38&gt;=0,"D+","R+")&amp;TEXT(ABS(N38)*100,"0.0")&amp;". Turnout: if these counties vote at 95% of the state pace, the break-even moves to "&amp;IF((P38/0.95)&gt;=0,"D+","R+")&amp;TEXT(ABS((P38/0.95))*100,"0.0")&amp;"; at 105%, "&amp;IF((P38/1.05)&gt;=0,"D+","R+")&amp;TEXT(ABS((P38/1.05))*100,"0.0")&amp;"."</f>
        <v/>
      </c>
    </row>
    <row r="39" ht="40" customHeight="1">
      <c r="A39" s="8" t="inlineStr">
        <is>
          <t>NE|College suburb/metro</t>
        </is>
      </c>
      <c r="B39" s="8" t="inlineStr">
        <is>
          <t>NE</t>
        </is>
      </c>
      <c r="C39" s="8" t="inlineStr">
        <is>
          <t>College suburb/metro</t>
        </is>
      </c>
      <c r="D39" s="8">
        <f>COUNTIFS(Counties!$A$2:$A$1583,B39,Counties!$D$2:$D$1583,C39)</f>
        <v/>
      </c>
      <c r="E39" s="8">
        <f>COUNTIFS(Counties!$A$2:$A$1583,B39,Counties!$D$2:$D$1583,C39,Counties!$AG$2:$AG$1583,1)</f>
        <v/>
      </c>
      <c r="F39" s="12">
        <f>SUMIFS(Counties!$AF$2:$AF$1583,Counties!$A$2:$A$1583,$B39,Counties!$D$2:$D$1583,$C39,Counties!$AG$2:$AG$1583,1)</f>
        <v/>
      </c>
      <c r="G39" s="10">
        <f>IF(F39&gt;0,SUMIFS(Counties!$AP$2:$AP$1583,Counties!$A$2:$A$1583,$B39,Counties!$D$2:$D$1583,$C39)/F39,"")</f>
        <v/>
      </c>
      <c r="H39" s="10">
        <f>IF(G39&lt;&gt;"",G39,IF(Dashboard!$N$15&lt;&gt;"",Dashboard!$N$15,0))</f>
        <v/>
      </c>
      <c r="I39" s="12">
        <f>SUMIFS(Counties!$AQ$2:$AQ$1583,Counties!$A$2:$A$1583,$B39,Counties!$D$2:$D$1583,$C39,Counties!$AG$2:$AG$1583,1)</f>
        <v/>
      </c>
      <c r="J39" s="15">
        <f>IF(I39&gt;0,F39/I39,"")</f>
        <v/>
      </c>
      <c r="K39" s="15">
        <f>IF(J39="",Dashboard!$X$15,Dashboard!$X$15+(J39-Dashboard!$X$15)*E39/(E39+3))</f>
        <v/>
      </c>
      <c r="L39" s="57">
        <f>SUMIFS(Counties!$AQ$2:$AQ$1583,Counties!$A$2:$A$1583,$B39,Counties!$D$2:$D$1583,$C39)/SUMIFS(Counties!$AQ$2:$AQ$1583,Counties!$A$2:$A$1583,$B39)</f>
        <v/>
      </c>
      <c r="M39" s="9">
        <f>SUMIFS(Counties!$AR$2:$AR$1583,Counties!$A$2:$A$1583,$B39,Counties!$D$2:$D$1583,$C39)/SUMIFS(Counties!$AQ$2:$AQ$1583,Counties!$A$2:$A$1583,$B39,Counties!$D$2:$D$1583,$C39)</f>
        <v/>
      </c>
      <c r="N39" s="9">
        <f>M39+-0.05+Dashboard!$F$15</f>
        <v/>
      </c>
      <c r="O39" s="9">
        <f>M39+-0.01+Dashboard!$F$15</f>
        <v/>
      </c>
      <c r="P39" s="36">
        <f>M39+0.0+Dashboard!$F$15</f>
        <v/>
      </c>
      <c r="Q39" s="9">
        <f>M39+0.01+Dashboard!$F$15</f>
        <v/>
      </c>
      <c r="R39" s="9">
        <f>M39+0.05+Dashboard!$F$15</f>
        <v/>
      </c>
      <c r="S39" s="9">
        <f>IF(Dashboard!$K$15&gt;0,M39+H39,"")</f>
        <v/>
      </c>
      <c r="T39" s="10">
        <f>IF(G39="","",G39-Dashboard!$F$15)</f>
        <v/>
      </c>
      <c r="U39" s="8">
        <f>IF(F39=0,"no county of this type finished",IF(X39&gt;=0.05,"Great for Osborn",IF(X39&gt;=0.01,"Osborn on track",IF(X39&gt;-0.01,"Toss-up",IF(X39&gt;-0.05,"Ricketts on track","Great for Ricketts")))))</f>
        <v/>
      </c>
      <c r="V39" s="16">
        <f>IF(I39&gt;0,100*F39/(I39*Dashboard!$Y$15),"")</f>
        <v/>
      </c>
      <c r="W39" s="9">
        <f>IF(V39="","",P39/(V39/100))</f>
        <v/>
      </c>
      <c r="X39" s="10">
        <f>IF(F39&gt;0,(SUMIFS(Counties!$BA$2:$BA$1583,Counties!$A$2:$A$1583,$B39,Counties!$D$2:$D$1583,$C39,Counties!$AG$2:$AG$1583,1)+SUMIFS(Counties!$BB$2:$BB$1583,Counties!$A$2:$A$1583,$B39,Counties!$D$2:$D$1583,$C39,Counties!$AG$2:$AG$1583,1))/F39,"")</f>
        <v/>
      </c>
      <c r="Y39" s="37">
        <f>SUMIFS(Counties!$AZ$2:$AZ$1583,Counties!$A$2:$A$1583,$B39,Counties!$D$2:$D$1583,$C39)</f>
        <v/>
      </c>
      <c r="Z39" s="17">
        <f>"College suburb/metro: "&amp;TEXT(L39,"0.0%")&amp;" of the expected vote. Tie: "&amp;IF(P39&gt;=0,"D+","R+")&amp;TEXT(ABS(P39)*100,"0.0")&amp;". Osborn on track at "&amp;IF(Q39&gt;=0,"D+","R+")&amp;TEXT(ABS(Q39)*100,"0.0")&amp;", great at "&amp;IF(R39&gt;=0,"D+","R+")&amp;TEXT(ABS(R39)*100,"0.0")&amp;"; Ricketts on track at "&amp;IF(O39&gt;=0,"D+","R+")&amp;TEXT(ABS(O39)*100,"0.0")&amp;", great at "&amp;IF(N39&gt;=0,"D+","R+")&amp;TEXT(ABS(N39)*100,"0.0")&amp;". Turnout: if these counties vote at 95% of the state pace, the break-even moves to "&amp;IF((P39/0.95)&gt;=0,"D+","R+")&amp;TEXT(ABS((P39/0.95))*100,"0.0")&amp;"; at 105%, "&amp;IF((P39/1.05)&gt;=0,"D+","R+")&amp;TEXT(ABS((P39/1.05))*100,"0.0")&amp;"."</f>
        <v/>
      </c>
    </row>
    <row r="40" ht="40" customHeight="1">
      <c r="A40" s="8" t="inlineStr">
        <is>
          <t>NE|Hispanic</t>
        </is>
      </c>
      <c r="B40" s="8" t="inlineStr">
        <is>
          <t>NE</t>
        </is>
      </c>
      <c r="C40" s="8" t="inlineStr">
        <is>
          <t>Hispanic</t>
        </is>
      </c>
      <c r="D40" s="8">
        <f>COUNTIFS(Counties!$A$2:$A$1583,B40,Counties!$D$2:$D$1583,C40)</f>
        <v/>
      </c>
      <c r="E40" s="8">
        <f>COUNTIFS(Counties!$A$2:$A$1583,B40,Counties!$D$2:$D$1583,C40,Counties!$AG$2:$AG$1583,1)</f>
        <v/>
      </c>
      <c r="F40" s="12">
        <f>SUMIFS(Counties!$AF$2:$AF$1583,Counties!$A$2:$A$1583,$B40,Counties!$D$2:$D$1583,$C40,Counties!$AG$2:$AG$1583,1)</f>
        <v/>
      </c>
      <c r="G40" s="10">
        <f>IF(F40&gt;0,SUMIFS(Counties!$AP$2:$AP$1583,Counties!$A$2:$A$1583,$B40,Counties!$D$2:$D$1583,$C40)/F40,"")</f>
        <v/>
      </c>
      <c r="H40" s="10">
        <f>IF(G40&lt;&gt;"",G40,IF(Dashboard!$N$15&lt;&gt;"",Dashboard!$N$15,0))</f>
        <v/>
      </c>
      <c r="I40" s="12">
        <f>SUMIFS(Counties!$AQ$2:$AQ$1583,Counties!$A$2:$A$1583,$B40,Counties!$D$2:$D$1583,$C40,Counties!$AG$2:$AG$1583,1)</f>
        <v/>
      </c>
      <c r="J40" s="15">
        <f>IF(I40&gt;0,F40/I40,"")</f>
        <v/>
      </c>
      <c r="K40" s="15">
        <f>IF(J40="",Dashboard!$X$15,Dashboard!$X$15+(J40-Dashboard!$X$15)*E40/(E40+3))</f>
        <v/>
      </c>
      <c r="L40" s="57">
        <f>SUMIFS(Counties!$AQ$2:$AQ$1583,Counties!$A$2:$A$1583,$B40,Counties!$D$2:$D$1583,$C40)/SUMIFS(Counties!$AQ$2:$AQ$1583,Counties!$A$2:$A$1583,$B40)</f>
        <v/>
      </c>
      <c r="M40" s="9">
        <f>SUMIFS(Counties!$AR$2:$AR$1583,Counties!$A$2:$A$1583,$B40,Counties!$D$2:$D$1583,$C40)/SUMIFS(Counties!$AQ$2:$AQ$1583,Counties!$A$2:$A$1583,$B40,Counties!$D$2:$D$1583,$C40)</f>
        <v/>
      </c>
      <c r="N40" s="9">
        <f>M40+-0.05+Dashboard!$F$15</f>
        <v/>
      </c>
      <c r="O40" s="9">
        <f>M40+-0.01+Dashboard!$F$15</f>
        <v/>
      </c>
      <c r="P40" s="36">
        <f>M40+0.0+Dashboard!$F$15</f>
        <v/>
      </c>
      <c r="Q40" s="9">
        <f>M40+0.01+Dashboard!$F$15</f>
        <v/>
      </c>
      <c r="R40" s="9">
        <f>M40+0.05+Dashboard!$F$15</f>
        <v/>
      </c>
      <c r="S40" s="9">
        <f>IF(Dashboard!$K$15&gt;0,M40+H40,"")</f>
        <v/>
      </c>
      <c r="T40" s="10">
        <f>IF(G40="","",G40-Dashboard!$F$15)</f>
        <v/>
      </c>
      <c r="U40" s="8">
        <f>IF(F40=0,"no county of this type finished",IF(X40&gt;=0.05,"Great for Osborn",IF(X40&gt;=0.01,"Osborn on track",IF(X40&gt;-0.01,"Toss-up",IF(X40&gt;-0.05,"Ricketts on track","Great for Ricketts")))))</f>
        <v/>
      </c>
      <c r="V40" s="16">
        <f>IF(I40&gt;0,100*F40/(I40*Dashboard!$Y$15),"")</f>
        <v/>
      </c>
      <c r="W40" s="9">
        <f>IF(V40="","",P40/(V40/100))</f>
        <v/>
      </c>
      <c r="X40" s="10">
        <f>IF(F40&gt;0,(SUMIFS(Counties!$BA$2:$BA$1583,Counties!$A$2:$A$1583,$B40,Counties!$D$2:$D$1583,$C40,Counties!$AG$2:$AG$1583,1)+SUMIFS(Counties!$BB$2:$BB$1583,Counties!$A$2:$A$1583,$B40,Counties!$D$2:$D$1583,$C40,Counties!$AG$2:$AG$1583,1))/F40,"")</f>
        <v/>
      </c>
      <c r="Y40" s="37">
        <f>SUMIFS(Counties!$AZ$2:$AZ$1583,Counties!$A$2:$A$1583,$B40,Counties!$D$2:$D$1583,$C40)</f>
        <v/>
      </c>
      <c r="Z40" s="17">
        <f>"Hispanic: "&amp;TEXT(L40,"0.0%")&amp;" of the expected vote. Tie: "&amp;IF(P40&gt;=0,"D+","R+")&amp;TEXT(ABS(P40)*100,"0.0")&amp;". Osborn on track at "&amp;IF(Q40&gt;=0,"D+","R+")&amp;TEXT(ABS(Q40)*100,"0.0")&amp;", great at "&amp;IF(R40&gt;=0,"D+","R+")&amp;TEXT(ABS(R40)*100,"0.0")&amp;"; Ricketts on track at "&amp;IF(O40&gt;=0,"D+","R+")&amp;TEXT(ABS(O40)*100,"0.0")&amp;", great at "&amp;IF(N40&gt;=0,"D+","R+")&amp;TEXT(ABS(N40)*100,"0.0")&amp;". Turnout: if these counties vote at 95% of the state pace, the break-even moves to "&amp;IF((P40/0.95)&gt;=0,"D+","R+")&amp;TEXT(ABS((P40/0.95))*100,"0.0")&amp;"; at 105%, "&amp;IF((P40/1.05)&gt;=0,"D+","R+")&amp;TEXT(ABS((P40/1.05))*100,"0.0")&amp;"."</f>
        <v/>
      </c>
    </row>
    <row r="41" ht="40" customHeight="1">
      <c r="A41" s="8" t="inlineStr">
        <is>
          <t>NE|Native American</t>
        </is>
      </c>
      <c r="B41" s="8" t="inlineStr">
        <is>
          <t>NE</t>
        </is>
      </c>
      <c r="C41" s="8" t="inlineStr">
        <is>
          <t>Native American</t>
        </is>
      </c>
      <c r="D41" s="8">
        <f>COUNTIFS(Counties!$A$2:$A$1583,B41,Counties!$D$2:$D$1583,C41)</f>
        <v/>
      </c>
      <c r="E41" s="8">
        <f>COUNTIFS(Counties!$A$2:$A$1583,B41,Counties!$D$2:$D$1583,C41,Counties!$AG$2:$AG$1583,1)</f>
        <v/>
      </c>
      <c r="F41" s="12">
        <f>SUMIFS(Counties!$AF$2:$AF$1583,Counties!$A$2:$A$1583,$B41,Counties!$D$2:$D$1583,$C41,Counties!$AG$2:$AG$1583,1)</f>
        <v/>
      </c>
      <c r="G41" s="10">
        <f>IF(F41&gt;0,SUMIFS(Counties!$AP$2:$AP$1583,Counties!$A$2:$A$1583,$B41,Counties!$D$2:$D$1583,$C41)/F41,"")</f>
        <v/>
      </c>
      <c r="H41" s="10">
        <f>IF(G41&lt;&gt;"",G41,IF(Dashboard!$N$15&lt;&gt;"",Dashboard!$N$15,0))</f>
        <v/>
      </c>
      <c r="I41" s="12">
        <f>SUMIFS(Counties!$AQ$2:$AQ$1583,Counties!$A$2:$A$1583,$B41,Counties!$D$2:$D$1583,$C41,Counties!$AG$2:$AG$1583,1)</f>
        <v/>
      </c>
      <c r="J41" s="15">
        <f>IF(I41&gt;0,F41/I41,"")</f>
        <v/>
      </c>
      <c r="K41" s="15">
        <f>IF(J41="",Dashboard!$X$15,Dashboard!$X$15+(J41-Dashboard!$X$15)*E41/(E41+3))</f>
        <v/>
      </c>
      <c r="L41" s="57">
        <f>SUMIFS(Counties!$AQ$2:$AQ$1583,Counties!$A$2:$A$1583,$B41,Counties!$D$2:$D$1583,$C41)/SUMIFS(Counties!$AQ$2:$AQ$1583,Counties!$A$2:$A$1583,$B41)</f>
        <v/>
      </c>
      <c r="M41" s="9">
        <f>SUMIFS(Counties!$AR$2:$AR$1583,Counties!$A$2:$A$1583,$B41,Counties!$D$2:$D$1583,$C41)/SUMIFS(Counties!$AQ$2:$AQ$1583,Counties!$A$2:$A$1583,$B41,Counties!$D$2:$D$1583,$C41)</f>
        <v/>
      </c>
      <c r="N41" s="9">
        <f>M41+-0.05+Dashboard!$F$15</f>
        <v/>
      </c>
      <c r="O41" s="9">
        <f>M41+-0.01+Dashboard!$F$15</f>
        <v/>
      </c>
      <c r="P41" s="36">
        <f>M41+0.0+Dashboard!$F$15</f>
        <v/>
      </c>
      <c r="Q41" s="9">
        <f>M41+0.01+Dashboard!$F$15</f>
        <v/>
      </c>
      <c r="R41" s="9">
        <f>M41+0.05+Dashboard!$F$15</f>
        <v/>
      </c>
      <c r="S41" s="9">
        <f>IF(Dashboard!$K$15&gt;0,M41+H41,"")</f>
        <v/>
      </c>
      <c r="T41" s="10">
        <f>IF(G41="","",G41-Dashboard!$F$15)</f>
        <v/>
      </c>
      <c r="U41" s="8">
        <f>IF(F41=0,"no county of this type finished",IF(X41&gt;=0.05,"Great for Osborn",IF(X41&gt;=0.01,"Osborn on track",IF(X41&gt;-0.01,"Toss-up",IF(X41&gt;-0.05,"Ricketts on track","Great for Ricketts")))))</f>
        <v/>
      </c>
      <c r="V41" s="16">
        <f>IF(I41&gt;0,100*F41/(I41*Dashboard!$Y$15),"")</f>
        <v/>
      </c>
      <c r="W41" s="9">
        <f>IF(V41="","",P41/(V41/100))</f>
        <v/>
      </c>
      <c r="X41" s="10">
        <f>IF(F41&gt;0,(SUMIFS(Counties!$BA$2:$BA$1583,Counties!$A$2:$A$1583,$B41,Counties!$D$2:$D$1583,$C41,Counties!$AG$2:$AG$1583,1)+SUMIFS(Counties!$BB$2:$BB$1583,Counties!$A$2:$A$1583,$B41,Counties!$D$2:$D$1583,$C41,Counties!$AG$2:$AG$1583,1))/F41,"")</f>
        <v/>
      </c>
      <c r="Y41" s="37">
        <f>SUMIFS(Counties!$AZ$2:$AZ$1583,Counties!$A$2:$A$1583,$B41,Counties!$D$2:$D$1583,$C41)</f>
        <v/>
      </c>
      <c r="Z41" s="17">
        <f>"Native American: "&amp;TEXT(L41,"0.0%")&amp;" of the expected vote. Tie: "&amp;IF(P41&gt;=0,"D+","R+")&amp;TEXT(ABS(P41)*100,"0.0")&amp;". Osborn on track at "&amp;IF(Q41&gt;=0,"D+","R+")&amp;TEXT(ABS(Q41)*100,"0.0")&amp;", great at "&amp;IF(R41&gt;=0,"D+","R+")&amp;TEXT(ABS(R41)*100,"0.0")&amp;"; Ricketts on track at "&amp;IF(O41&gt;=0,"D+","R+")&amp;TEXT(ABS(O41)*100,"0.0")&amp;", great at "&amp;IF(N41&gt;=0,"D+","R+")&amp;TEXT(ABS(N41)*100,"0.0")&amp;". Turnout: if these counties vote at 95% of the state pace, the break-even moves to "&amp;IF((P41/0.95)&gt;=0,"D+","R+")&amp;TEXT(ABS((P41/0.95))*100,"0.0")&amp;"; at 105%, "&amp;IF((P41/1.05)&gt;=0,"D+","R+")&amp;TEXT(ABS((P41/1.05))*100,"0.0")&amp;"."</f>
        <v/>
      </c>
    </row>
    <row r="42" ht="40" customHeight="1">
      <c r="A42" s="8" t="inlineStr">
        <is>
          <t>NE|Small town &amp; rural</t>
        </is>
      </c>
      <c r="B42" s="8" t="inlineStr">
        <is>
          <t>NE</t>
        </is>
      </c>
      <c r="C42" s="8" t="inlineStr">
        <is>
          <t>Small town &amp; rural</t>
        </is>
      </c>
      <c r="D42" s="8">
        <f>COUNTIFS(Counties!$A$2:$A$1583,B42,Counties!$D$2:$D$1583,C42)</f>
        <v/>
      </c>
      <c r="E42" s="8">
        <f>COUNTIFS(Counties!$A$2:$A$1583,B42,Counties!$D$2:$D$1583,C42,Counties!$AG$2:$AG$1583,1)</f>
        <v/>
      </c>
      <c r="F42" s="12">
        <f>SUMIFS(Counties!$AF$2:$AF$1583,Counties!$A$2:$A$1583,$B42,Counties!$D$2:$D$1583,$C42,Counties!$AG$2:$AG$1583,1)</f>
        <v/>
      </c>
      <c r="G42" s="10">
        <f>IF(F42&gt;0,SUMIFS(Counties!$AP$2:$AP$1583,Counties!$A$2:$A$1583,$B42,Counties!$D$2:$D$1583,$C42)/F42,"")</f>
        <v/>
      </c>
      <c r="H42" s="10">
        <f>IF(G42&lt;&gt;"",G42,IF(Dashboard!$N$15&lt;&gt;"",Dashboard!$N$15,0))</f>
        <v/>
      </c>
      <c r="I42" s="12">
        <f>SUMIFS(Counties!$AQ$2:$AQ$1583,Counties!$A$2:$A$1583,$B42,Counties!$D$2:$D$1583,$C42,Counties!$AG$2:$AG$1583,1)</f>
        <v/>
      </c>
      <c r="J42" s="15">
        <f>IF(I42&gt;0,F42/I42,"")</f>
        <v/>
      </c>
      <c r="K42" s="15">
        <f>IF(J42="",Dashboard!$X$15,Dashboard!$X$15+(J42-Dashboard!$X$15)*E42/(E42+3))</f>
        <v/>
      </c>
      <c r="L42" s="57">
        <f>SUMIFS(Counties!$AQ$2:$AQ$1583,Counties!$A$2:$A$1583,$B42,Counties!$D$2:$D$1583,$C42)/SUMIFS(Counties!$AQ$2:$AQ$1583,Counties!$A$2:$A$1583,$B42)</f>
        <v/>
      </c>
      <c r="M42" s="9">
        <f>SUMIFS(Counties!$AR$2:$AR$1583,Counties!$A$2:$A$1583,$B42,Counties!$D$2:$D$1583,$C42)/SUMIFS(Counties!$AQ$2:$AQ$1583,Counties!$A$2:$A$1583,$B42,Counties!$D$2:$D$1583,$C42)</f>
        <v/>
      </c>
      <c r="N42" s="9">
        <f>M42+-0.05+Dashboard!$F$15</f>
        <v/>
      </c>
      <c r="O42" s="9">
        <f>M42+-0.01+Dashboard!$F$15</f>
        <v/>
      </c>
      <c r="P42" s="36">
        <f>M42+0.0+Dashboard!$F$15</f>
        <v/>
      </c>
      <c r="Q42" s="9">
        <f>M42+0.01+Dashboard!$F$15</f>
        <v/>
      </c>
      <c r="R42" s="9">
        <f>M42+0.05+Dashboard!$F$15</f>
        <v/>
      </c>
      <c r="S42" s="9">
        <f>IF(Dashboard!$K$15&gt;0,M42+H42,"")</f>
        <v/>
      </c>
      <c r="T42" s="10">
        <f>IF(G42="","",G42-Dashboard!$F$15)</f>
        <v/>
      </c>
      <c r="U42" s="8">
        <f>IF(F42=0,"no county of this type finished",IF(X42&gt;=0.05,"Great for Osborn",IF(X42&gt;=0.01,"Osborn on track",IF(X42&gt;-0.01,"Toss-up",IF(X42&gt;-0.05,"Ricketts on track","Great for Ricketts")))))</f>
        <v/>
      </c>
      <c r="V42" s="16">
        <f>IF(I42&gt;0,100*F42/(I42*Dashboard!$Y$15),"")</f>
        <v/>
      </c>
      <c r="W42" s="9">
        <f>IF(V42="","",P42/(V42/100))</f>
        <v/>
      </c>
      <c r="X42" s="10">
        <f>IF(F42&gt;0,(SUMIFS(Counties!$BA$2:$BA$1583,Counties!$A$2:$A$1583,$B42,Counties!$D$2:$D$1583,$C42,Counties!$AG$2:$AG$1583,1)+SUMIFS(Counties!$BB$2:$BB$1583,Counties!$A$2:$A$1583,$B42,Counties!$D$2:$D$1583,$C42,Counties!$AG$2:$AG$1583,1))/F42,"")</f>
        <v/>
      </c>
      <c r="Y42" s="37">
        <f>SUMIFS(Counties!$AZ$2:$AZ$1583,Counties!$A$2:$A$1583,$B42,Counties!$D$2:$D$1583,$C42)</f>
        <v/>
      </c>
      <c r="Z42" s="17">
        <f>"Small town &amp; rural: "&amp;TEXT(L42,"0.0%")&amp;" of the expected vote. Tie: "&amp;IF(P42&gt;=0,"D+","R+")&amp;TEXT(ABS(P42)*100,"0.0")&amp;". Osborn on track at "&amp;IF(Q42&gt;=0,"D+","R+")&amp;TEXT(ABS(Q42)*100,"0.0")&amp;", great at "&amp;IF(R42&gt;=0,"D+","R+")&amp;TEXT(ABS(R42)*100,"0.0")&amp;"; Ricketts on track at "&amp;IF(O42&gt;=0,"D+","R+")&amp;TEXT(ABS(O42)*100,"0.0")&amp;", great at "&amp;IF(N42&gt;=0,"D+","R+")&amp;TEXT(ABS(N42)*100,"0.0")&amp;". Turnout: if these counties vote at 95% of the state pace, the break-even moves to "&amp;IF((P42/0.95)&gt;=0,"D+","R+")&amp;TEXT(ABS((P42/0.95))*100,"0.0")&amp;"; at 105%, "&amp;IF((P42/1.05)&gt;=0,"D+","R+")&amp;TEXT(ABS((P42/1.05))*100,"0.0")&amp;"."</f>
        <v/>
      </c>
    </row>
    <row r="43" ht="40" customHeight="1">
      <c r="A43" s="8" t="inlineStr">
        <is>
          <t>NH|College suburb/metro</t>
        </is>
      </c>
      <c r="B43" s="8" t="inlineStr">
        <is>
          <t>NH</t>
        </is>
      </c>
      <c r="C43" s="8" t="inlineStr">
        <is>
          <t>College suburb/metro</t>
        </is>
      </c>
      <c r="D43" s="8">
        <f>COUNTIFS(Counties!$A$2:$A$1583,B43,Counties!$D$2:$D$1583,C43)</f>
        <v/>
      </c>
      <c r="E43" s="8">
        <f>COUNTIFS(Counties!$A$2:$A$1583,B43,Counties!$D$2:$D$1583,C43,Counties!$AG$2:$AG$1583,1)</f>
        <v/>
      </c>
      <c r="F43" s="12">
        <f>SUMIFS(Counties!$AF$2:$AF$1583,Counties!$A$2:$A$1583,$B43,Counties!$D$2:$D$1583,$C43,Counties!$AG$2:$AG$1583,1)</f>
        <v/>
      </c>
      <c r="G43" s="10">
        <f>IF(F43&gt;0,SUMIFS(Counties!$AP$2:$AP$1583,Counties!$A$2:$A$1583,$B43,Counties!$D$2:$D$1583,$C43)/F43,"")</f>
        <v/>
      </c>
      <c r="H43" s="10">
        <f>IF(G43&lt;&gt;"",G43,IF(Dashboard!$N$16&lt;&gt;"",Dashboard!$N$16,0))</f>
        <v/>
      </c>
      <c r="I43" s="12">
        <f>SUMIFS(Counties!$AQ$2:$AQ$1583,Counties!$A$2:$A$1583,$B43,Counties!$D$2:$D$1583,$C43,Counties!$AG$2:$AG$1583,1)</f>
        <v/>
      </c>
      <c r="J43" s="15">
        <f>IF(I43&gt;0,F43/I43,"")</f>
        <v/>
      </c>
      <c r="K43" s="15">
        <f>IF(J43="",Dashboard!$X$16,Dashboard!$X$16+(J43-Dashboard!$X$16)*E43/(E43+3))</f>
        <v/>
      </c>
      <c r="L43" s="57">
        <f>SUMIFS(Counties!$AQ$2:$AQ$1583,Counties!$A$2:$A$1583,$B43,Counties!$D$2:$D$1583,$C43)/SUMIFS(Counties!$AQ$2:$AQ$1583,Counties!$A$2:$A$1583,$B43)</f>
        <v/>
      </c>
      <c r="M43" s="9">
        <f>SUMIFS(Counties!$AR$2:$AR$1583,Counties!$A$2:$A$1583,$B43,Counties!$D$2:$D$1583,$C43)/SUMIFS(Counties!$AQ$2:$AQ$1583,Counties!$A$2:$A$1583,$B43,Counties!$D$2:$D$1583,$C43)</f>
        <v/>
      </c>
      <c r="N43" s="9">
        <f>M43+-0.05+Dashboard!$F$16</f>
        <v/>
      </c>
      <c r="O43" s="9">
        <f>M43+-0.01+Dashboard!$F$16</f>
        <v/>
      </c>
      <c r="P43" s="36">
        <f>M43+0.0+Dashboard!$F$16</f>
        <v/>
      </c>
      <c r="Q43" s="9">
        <f>M43+0.01+Dashboard!$F$16</f>
        <v/>
      </c>
      <c r="R43" s="9">
        <f>M43+0.05+Dashboard!$F$16</f>
        <v/>
      </c>
      <c r="S43" s="9">
        <f>IF(Dashboard!$K$16&gt;0,M43+H43,"")</f>
        <v/>
      </c>
      <c r="T43" s="10">
        <f>IF(G43="","",G43-Dashboard!$F$16)</f>
        <v/>
      </c>
      <c r="U43" s="8">
        <f>IF(F43=0,"no county of this type finished",IF(X43&gt;=0.05,"Great for Pappas",IF(X43&gt;=0.01,"Pappas on track",IF(X43&gt;-0.01,"Toss-up",IF(X43&gt;-0.05,"Sununu on track","Great for Sununu")))))</f>
        <v/>
      </c>
      <c r="V43" s="16">
        <f>IF(I43&gt;0,100*F43/(I43*Dashboard!$Y$16),"")</f>
        <v/>
      </c>
      <c r="W43" s="9">
        <f>IF(V43="","",P43/(V43/100))</f>
        <v/>
      </c>
      <c r="X43" s="10">
        <f>IF(F43&gt;0,(SUMIFS(Counties!$BA$2:$BA$1583,Counties!$A$2:$A$1583,$B43,Counties!$D$2:$D$1583,$C43,Counties!$AG$2:$AG$1583,1)+SUMIFS(Counties!$BB$2:$BB$1583,Counties!$A$2:$A$1583,$B43,Counties!$D$2:$D$1583,$C43,Counties!$AG$2:$AG$1583,1))/F43,"")</f>
        <v/>
      </c>
      <c r="Y43" s="37">
        <f>SUMIFS(Counties!$AZ$2:$AZ$1583,Counties!$A$2:$A$1583,$B43,Counties!$D$2:$D$1583,$C43)</f>
        <v/>
      </c>
      <c r="Z43" s="17">
        <f>"College suburb/metro: "&amp;TEXT(L43,"0.0%")&amp;" of the expected vote. Tie: "&amp;IF(P43&gt;=0,"D+","R+")&amp;TEXT(ABS(P43)*100,"0.0")&amp;". Pappas on track at "&amp;IF(Q43&gt;=0,"D+","R+")&amp;TEXT(ABS(Q43)*100,"0.0")&amp;", great at "&amp;IF(R43&gt;=0,"D+","R+")&amp;TEXT(ABS(R43)*100,"0.0")&amp;"; Sununu on track at "&amp;IF(O43&gt;=0,"D+","R+")&amp;TEXT(ABS(O43)*100,"0.0")&amp;", great at "&amp;IF(N43&gt;=0,"D+","R+")&amp;TEXT(ABS(N43)*100,"0.0")&amp;". Turnout: if these counties vote at 95% of the state pace, the break-even moves to "&amp;IF((P43/0.95)&gt;=0,"D+","R+")&amp;TEXT(ABS((P43/0.95))*100,"0.0")&amp;"; at 105%, "&amp;IF((P43/1.05)&gt;=0,"D+","R+")&amp;TEXT(ABS((P43/1.05))*100,"0.0")&amp;"."</f>
        <v/>
      </c>
    </row>
    <row r="44" ht="40" customHeight="1">
      <c r="A44" s="8" t="inlineStr">
        <is>
          <t>NH|Mid-size/working metro</t>
        </is>
      </c>
      <c r="B44" s="8" t="inlineStr">
        <is>
          <t>NH</t>
        </is>
      </c>
      <c r="C44" s="8" t="inlineStr">
        <is>
          <t>Mid-size/working metro</t>
        </is>
      </c>
      <c r="D44" s="8">
        <f>COUNTIFS(Counties!$A$2:$A$1583,B44,Counties!$D$2:$D$1583,C44)</f>
        <v/>
      </c>
      <c r="E44" s="8">
        <f>COUNTIFS(Counties!$A$2:$A$1583,B44,Counties!$D$2:$D$1583,C44,Counties!$AG$2:$AG$1583,1)</f>
        <v/>
      </c>
      <c r="F44" s="12">
        <f>SUMIFS(Counties!$AF$2:$AF$1583,Counties!$A$2:$A$1583,$B44,Counties!$D$2:$D$1583,$C44,Counties!$AG$2:$AG$1583,1)</f>
        <v/>
      </c>
      <c r="G44" s="10">
        <f>IF(F44&gt;0,SUMIFS(Counties!$AP$2:$AP$1583,Counties!$A$2:$A$1583,$B44,Counties!$D$2:$D$1583,$C44)/F44,"")</f>
        <v/>
      </c>
      <c r="H44" s="10">
        <f>IF(G44&lt;&gt;"",G44,IF(Dashboard!$N$16&lt;&gt;"",Dashboard!$N$16,0))</f>
        <v/>
      </c>
      <c r="I44" s="12">
        <f>SUMIFS(Counties!$AQ$2:$AQ$1583,Counties!$A$2:$A$1583,$B44,Counties!$D$2:$D$1583,$C44,Counties!$AG$2:$AG$1583,1)</f>
        <v/>
      </c>
      <c r="J44" s="15">
        <f>IF(I44&gt;0,F44/I44,"")</f>
        <v/>
      </c>
      <c r="K44" s="15">
        <f>IF(J44="",Dashboard!$X$16,Dashboard!$X$16+(J44-Dashboard!$X$16)*E44/(E44+3))</f>
        <v/>
      </c>
      <c r="L44" s="57">
        <f>SUMIFS(Counties!$AQ$2:$AQ$1583,Counties!$A$2:$A$1583,$B44,Counties!$D$2:$D$1583,$C44)/SUMIFS(Counties!$AQ$2:$AQ$1583,Counties!$A$2:$A$1583,$B44)</f>
        <v/>
      </c>
      <c r="M44" s="9">
        <f>SUMIFS(Counties!$AR$2:$AR$1583,Counties!$A$2:$A$1583,$B44,Counties!$D$2:$D$1583,$C44)/SUMIFS(Counties!$AQ$2:$AQ$1583,Counties!$A$2:$A$1583,$B44,Counties!$D$2:$D$1583,$C44)</f>
        <v/>
      </c>
      <c r="N44" s="9">
        <f>M44+-0.05+Dashboard!$F$16</f>
        <v/>
      </c>
      <c r="O44" s="9">
        <f>M44+-0.01+Dashboard!$F$16</f>
        <v/>
      </c>
      <c r="P44" s="36">
        <f>M44+0.0+Dashboard!$F$16</f>
        <v/>
      </c>
      <c r="Q44" s="9">
        <f>M44+0.01+Dashboard!$F$16</f>
        <v/>
      </c>
      <c r="R44" s="9">
        <f>M44+0.05+Dashboard!$F$16</f>
        <v/>
      </c>
      <c r="S44" s="9">
        <f>IF(Dashboard!$K$16&gt;0,M44+H44,"")</f>
        <v/>
      </c>
      <c r="T44" s="10">
        <f>IF(G44="","",G44-Dashboard!$F$16)</f>
        <v/>
      </c>
      <c r="U44" s="8">
        <f>IF(F44=0,"no county of this type finished",IF(X44&gt;=0.05,"Great for Pappas",IF(X44&gt;=0.01,"Pappas on track",IF(X44&gt;-0.01,"Toss-up",IF(X44&gt;-0.05,"Sununu on track","Great for Sununu")))))</f>
        <v/>
      </c>
      <c r="V44" s="16">
        <f>IF(I44&gt;0,100*F44/(I44*Dashboard!$Y$16),"")</f>
        <v/>
      </c>
      <c r="W44" s="9">
        <f>IF(V44="","",P44/(V44/100))</f>
        <v/>
      </c>
      <c r="X44" s="10">
        <f>IF(F44&gt;0,(SUMIFS(Counties!$BA$2:$BA$1583,Counties!$A$2:$A$1583,$B44,Counties!$D$2:$D$1583,$C44,Counties!$AG$2:$AG$1583,1)+SUMIFS(Counties!$BB$2:$BB$1583,Counties!$A$2:$A$1583,$B44,Counties!$D$2:$D$1583,$C44,Counties!$AG$2:$AG$1583,1))/F44,"")</f>
        <v/>
      </c>
      <c r="Y44" s="37">
        <f>SUMIFS(Counties!$AZ$2:$AZ$1583,Counties!$A$2:$A$1583,$B44,Counties!$D$2:$D$1583,$C44)</f>
        <v/>
      </c>
      <c r="Z44" s="17">
        <f>"Mid-size/working metro: "&amp;TEXT(L44,"0.0%")&amp;" of the expected vote. Tie: "&amp;IF(P44&gt;=0,"D+","R+")&amp;TEXT(ABS(P44)*100,"0.0")&amp;". Pappas on track at "&amp;IF(Q44&gt;=0,"D+","R+")&amp;TEXT(ABS(Q44)*100,"0.0")&amp;", great at "&amp;IF(R44&gt;=0,"D+","R+")&amp;TEXT(ABS(R44)*100,"0.0")&amp;"; Sununu on track at "&amp;IF(O44&gt;=0,"D+","R+")&amp;TEXT(ABS(O44)*100,"0.0")&amp;", great at "&amp;IF(N44&gt;=0,"D+","R+")&amp;TEXT(ABS(N44)*100,"0.0")&amp;". Turnout: if these counties vote at 95% of the state pace, the break-even moves to "&amp;IF((P44/0.95)&gt;=0,"D+","R+")&amp;TEXT(ABS((P44/0.95))*100,"0.0")&amp;"; at 105%, "&amp;IF((P44/1.05)&gt;=0,"D+","R+")&amp;TEXT(ABS((P44/1.05))*100,"0.0")&amp;"."</f>
        <v/>
      </c>
    </row>
    <row r="45" ht="40" customHeight="1">
      <c r="A45" s="8" t="inlineStr">
        <is>
          <t>NH|Small town &amp; rural</t>
        </is>
      </c>
      <c r="B45" s="8" t="inlineStr">
        <is>
          <t>NH</t>
        </is>
      </c>
      <c r="C45" s="8" t="inlineStr">
        <is>
          <t>Small town &amp; rural</t>
        </is>
      </c>
      <c r="D45" s="8">
        <f>COUNTIFS(Counties!$A$2:$A$1583,B45,Counties!$D$2:$D$1583,C45)</f>
        <v/>
      </c>
      <c r="E45" s="8">
        <f>COUNTIFS(Counties!$A$2:$A$1583,B45,Counties!$D$2:$D$1583,C45,Counties!$AG$2:$AG$1583,1)</f>
        <v/>
      </c>
      <c r="F45" s="12">
        <f>SUMIFS(Counties!$AF$2:$AF$1583,Counties!$A$2:$A$1583,$B45,Counties!$D$2:$D$1583,$C45,Counties!$AG$2:$AG$1583,1)</f>
        <v/>
      </c>
      <c r="G45" s="10">
        <f>IF(F45&gt;0,SUMIFS(Counties!$AP$2:$AP$1583,Counties!$A$2:$A$1583,$B45,Counties!$D$2:$D$1583,$C45)/F45,"")</f>
        <v/>
      </c>
      <c r="H45" s="10">
        <f>IF(G45&lt;&gt;"",G45,IF(Dashboard!$N$16&lt;&gt;"",Dashboard!$N$16,0))</f>
        <v/>
      </c>
      <c r="I45" s="12">
        <f>SUMIFS(Counties!$AQ$2:$AQ$1583,Counties!$A$2:$A$1583,$B45,Counties!$D$2:$D$1583,$C45,Counties!$AG$2:$AG$1583,1)</f>
        <v/>
      </c>
      <c r="J45" s="15">
        <f>IF(I45&gt;0,F45/I45,"")</f>
        <v/>
      </c>
      <c r="K45" s="15">
        <f>IF(J45="",Dashboard!$X$16,Dashboard!$X$16+(J45-Dashboard!$X$16)*E45/(E45+3))</f>
        <v/>
      </c>
      <c r="L45" s="57">
        <f>SUMIFS(Counties!$AQ$2:$AQ$1583,Counties!$A$2:$A$1583,$B45,Counties!$D$2:$D$1583,$C45)/SUMIFS(Counties!$AQ$2:$AQ$1583,Counties!$A$2:$A$1583,$B45)</f>
        <v/>
      </c>
      <c r="M45" s="9">
        <f>SUMIFS(Counties!$AR$2:$AR$1583,Counties!$A$2:$A$1583,$B45,Counties!$D$2:$D$1583,$C45)/SUMIFS(Counties!$AQ$2:$AQ$1583,Counties!$A$2:$A$1583,$B45,Counties!$D$2:$D$1583,$C45)</f>
        <v/>
      </c>
      <c r="N45" s="9">
        <f>M45+-0.05+Dashboard!$F$16</f>
        <v/>
      </c>
      <c r="O45" s="9">
        <f>M45+-0.01+Dashboard!$F$16</f>
        <v/>
      </c>
      <c r="P45" s="36">
        <f>M45+0.0+Dashboard!$F$16</f>
        <v/>
      </c>
      <c r="Q45" s="9">
        <f>M45+0.01+Dashboard!$F$16</f>
        <v/>
      </c>
      <c r="R45" s="9">
        <f>M45+0.05+Dashboard!$F$16</f>
        <v/>
      </c>
      <c r="S45" s="9">
        <f>IF(Dashboard!$K$16&gt;0,M45+H45,"")</f>
        <v/>
      </c>
      <c r="T45" s="10">
        <f>IF(G45="","",G45-Dashboard!$F$16)</f>
        <v/>
      </c>
      <c r="U45" s="8">
        <f>IF(F45=0,"no county of this type finished",IF(X45&gt;=0.05,"Great for Pappas",IF(X45&gt;=0.01,"Pappas on track",IF(X45&gt;-0.01,"Toss-up",IF(X45&gt;-0.05,"Sununu on track","Great for Sununu")))))</f>
        <v/>
      </c>
      <c r="V45" s="16">
        <f>IF(I45&gt;0,100*F45/(I45*Dashboard!$Y$16),"")</f>
        <v/>
      </c>
      <c r="W45" s="9">
        <f>IF(V45="","",P45/(V45/100))</f>
        <v/>
      </c>
      <c r="X45" s="10">
        <f>IF(F45&gt;0,(SUMIFS(Counties!$BA$2:$BA$1583,Counties!$A$2:$A$1583,$B45,Counties!$D$2:$D$1583,$C45,Counties!$AG$2:$AG$1583,1)+SUMIFS(Counties!$BB$2:$BB$1583,Counties!$A$2:$A$1583,$B45,Counties!$D$2:$D$1583,$C45,Counties!$AG$2:$AG$1583,1))/F45,"")</f>
        <v/>
      </c>
      <c r="Y45" s="37">
        <f>SUMIFS(Counties!$AZ$2:$AZ$1583,Counties!$A$2:$A$1583,$B45,Counties!$D$2:$D$1583,$C45)</f>
        <v/>
      </c>
      <c r="Z45" s="17">
        <f>"Small town &amp; rural: "&amp;TEXT(L45,"0.0%")&amp;" of the expected vote. Tie: "&amp;IF(P45&gt;=0,"D+","R+")&amp;TEXT(ABS(P45)*100,"0.0")&amp;". Pappas on track at "&amp;IF(Q45&gt;=0,"D+","R+")&amp;TEXT(ABS(Q45)*100,"0.0")&amp;", great at "&amp;IF(R45&gt;=0,"D+","R+")&amp;TEXT(ABS(R45)*100,"0.0")&amp;"; Sununu on track at "&amp;IF(O45&gt;=0,"D+","R+")&amp;TEXT(ABS(O45)*100,"0.0")&amp;", great at "&amp;IF(N45&gt;=0,"D+","R+")&amp;TEXT(ABS(N45)*100,"0.0")&amp;". Turnout: if these counties vote at 95% of the state pace, the break-even moves to "&amp;IF((P45/0.95)&gt;=0,"D+","R+")&amp;TEXT(ABS((P45/0.95))*100,"0.0")&amp;"; at 105%, "&amp;IF((P45/1.05)&gt;=0,"D+","R+")&amp;TEXT(ABS((P45/1.05))*100,"0.0")&amp;"."</f>
        <v/>
      </c>
    </row>
    <row r="46" ht="40" customHeight="1">
      <c r="A46" s="8" t="inlineStr">
        <is>
          <t>OH|Big metro core</t>
        </is>
      </c>
      <c r="B46" s="8" t="inlineStr">
        <is>
          <t>OH</t>
        </is>
      </c>
      <c r="C46" s="8" t="inlineStr">
        <is>
          <t>Big metro core</t>
        </is>
      </c>
      <c r="D46" s="8">
        <f>COUNTIFS(Counties!$A$2:$A$1583,B46,Counties!$D$2:$D$1583,C46)</f>
        <v/>
      </c>
      <c r="E46" s="8">
        <f>COUNTIFS(Counties!$A$2:$A$1583,B46,Counties!$D$2:$D$1583,C46,Counties!$AG$2:$AG$1583,1)</f>
        <v/>
      </c>
      <c r="F46" s="12">
        <f>SUMIFS(Counties!$AF$2:$AF$1583,Counties!$A$2:$A$1583,$B46,Counties!$D$2:$D$1583,$C46,Counties!$AG$2:$AG$1583,1)</f>
        <v/>
      </c>
      <c r="G46" s="10">
        <f>IF(F46&gt;0,SUMIFS(Counties!$AP$2:$AP$1583,Counties!$A$2:$A$1583,$B46,Counties!$D$2:$D$1583,$C46)/F46,"")</f>
        <v/>
      </c>
      <c r="H46" s="10">
        <f>IF(G46&lt;&gt;"",G46,IF(Dashboard!$N$17&lt;&gt;"",Dashboard!$N$17,0))</f>
        <v/>
      </c>
      <c r="I46" s="12">
        <f>SUMIFS(Counties!$AQ$2:$AQ$1583,Counties!$A$2:$A$1583,$B46,Counties!$D$2:$D$1583,$C46,Counties!$AG$2:$AG$1583,1)</f>
        <v/>
      </c>
      <c r="J46" s="15">
        <f>IF(I46&gt;0,F46/I46,"")</f>
        <v/>
      </c>
      <c r="K46" s="15">
        <f>IF(J46="",Dashboard!$X$17,Dashboard!$X$17+(J46-Dashboard!$X$17)*E46/(E46+3))</f>
        <v/>
      </c>
      <c r="L46" s="57">
        <f>SUMIFS(Counties!$AQ$2:$AQ$1583,Counties!$A$2:$A$1583,$B46,Counties!$D$2:$D$1583,$C46)/SUMIFS(Counties!$AQ$2:$AQ$1583,Counties!$A$2:$A$1583,$B46)</f>
        <v/>
      </c>
      <c r="M46" s="9">
        <f>SUMIFS(Counties!$AR$2:$AR$1583,Counties!$A$2:$A$1583,$B46,Counties!$D$2:$D$1583,$C46)/SUMIFS(Counties!$AQ$2:$AQ$1583,Counties!$A$2:$A$1583,$B46,Counties!$D$2:$D$1583,$C46)</f>
        <v/>
      </c>
      <c r="N46" s="9">
        <f>M46+-0.05+Dashboard!$F$17</f>
        <v/>
      </c>
      <c r="O46" s="9">
        <f>M46+-0.01+Dashboard!$F$17</f>
        <v/>
      </c>
      <c r="P46" s="36">
        <f>M46+0.0+Dashboard!$F$17</f>
        <v/>
      </c>
      <c r="Q46" s="9">
        <f>M46+0.01+Dashboard!$F$17</f>
        <v/>
      </c>
      <c r="R46" s="9">
        <f>M46+0.05+Dashboard!$F$17</f>
        <v/>
      </c>
      <c r="S46" s="9">
        <f>IF(Dashboard!$K$17&gt;0,M46+H46,"")</f>
        <v/>
      </c>
      <c r="T46" s="10">
        <f>IF(G46="","",G46-Dashboard!$F$17)</f>
        <v/>
      </c>
      <c r="U46" s="8">
        <f>IF(F46=0,"no county of this type finished",IF(X46&gt;=0.05,"Great for Brown",IF(X46&gt;=0.01,"Brown on track",IF(X46&gt;-0.01,"Toss-up",IF(X46&gt;-0.05,"Husted on track","Great for Husted")))))</f>
        <v/>
      </c>
      <c r="V46" s="16">
        <f>IF(I46&gt;0,100*F46/(I46*Dashboard!$Y$17),"")</f>
        <v/>
      </c>
      <c r="W46" s="9">
        <f>IF(V46="","",P46/(V46/100))</f>
        <v/>
      </c>
      <c r="X46" s="10">
        <f>IF(F46&gt;0,(SUMIFS(Counties!$BA$2:$BA$1583,Counties!$A$2:$A$1583,$B46,Counties!$D$2:$D$1583,$C46,Counties!$AG$2:$AG$1583,1)+SUMIFS(Counties!$BB$2:$BB$1583,Counties!$A$2:$A$1583,$B46,Counties!$D$2:$D$1583,$C46,Counties!$AG$2:$AG$1583,1))/F46,"")</f>
        <v/>
      </c>
      <c r="Y46" s="37">
        <f>SUMIFS(Counties!$AZ$2:$AZ$1583,Counties!$A$2:$A$1583,$B46,Counties!$D$2:$D$1583,$C46)</f>
        <v/>
      </c>
      <c r="Z46" s="17">
        <f>"Big metro core: "&amp;TEXT(L46,"0.0%")&amp;" of the expected vote. Tie: "&amp;IF(P46&gt;=0,"D+","R+")&amp;TEXT(ABS(P46)*100,"0.0")&amp;". Brown on track at "&amp;IF(Q46&gt;=0,"D+","R+")&amp;TEXT(ABS(Q46)*100,"0.0")&amp;", great at "&amp;IF(R46&gt;=0,"D+","R+")&amp;TEXT(ABS(R46)*100,"0.0")&amp;"; Husted on track at "&amp;IF(O46&gt;=0,"D+","R+")&amp;TEXT(ABS(O46)*100,"0.0")&amp;", great at "&amp;IF(N46&gt;=0,"D+","R+")&amp;TEXT(ABS(N46)*100,"0.0")&amp;". Turnout: if these counties vote at 95% of the state pace, the break-even moves to "&amp;IF((P46/0.95)&gt;=0,"D+","R+")&amp;TEXT(ABS((P46/0.95))*100,"0.0")&amp;"; at 105%, "&amp;IF((P46/1.05)&gt;=0,"D+","R+")&amp;TEXT(ABS((P46/1.05))*100,"0.0")&amp;"."</f>
        <v/>
      </c>
    </row>
    <row r="47" ht="40" customHeight="1">
      <c r="A47" s="8" t="inlineStr">
        <is>
          <t>OH|College suburb/metro</t>
        </is>
      </c>
      <c r="B47" s="8" t="inlineStr">
        <is>
          <t>OH</t>
        </is>
      </c>
      <c r="C47" s="8" t="inlineStr">
        <is>
          <t>College suburb/metro</t>
        </is>
      </c>
      <c r="D47" s="8">
        <f>COUNTIFS(Counties!$A$2:$A$1583,B47,Counties!$D$2:$D$1583,C47)</f>
        <v/>
      </c>
      <c r="E47" s="8">
        <f>COUNTIFS(Counties!$A$2:$A$1583,B47,Counties!$D$2:$D$1583,C47,Counties!$AG$2:$AG$1583,1)</f>
        <v/>
      </c>
      <c r="F47" s="12">
        <f>SUMIFS(Counties!$AF$2:$AF$1583,Counties!$A$2:$A$1583,$B47,Counties!$D$2:$D$1583,$C47,Counties!$AG$2:$AG$1583,1)</f>
        <v/>
      </c>
      <c r="G47" s="10">
        <f>IF(F47&gt;0,SUMIFS(Counties!$AP$2:$AP$1583,Counties!$A$2:$A$1583,$B47,Counties!$D$2:$D$1583,$C47)/F47,"")</f>
        <v/>
      </c>
      <c r="H47" s="10">
        <f>IF(G47&lt;&gt;"",G47,IF(Dashboard!$N$17&lt;&gt;"",Dashboard!$N$17,0))</f>
        <v/>
      </c>
      <c r="I47" s="12">
        <f>SUMIFS(Counties!$AQ$2:$AQ$1583,Counties!$A$2:$A$1583,$B47,Counties!$D$2:$D$1583,$C47,Counties!$AG$2:$AG$1583,1)</f>
        <v/>
      </c>
      <c r="J47" s="15">
        <f>IF(I47&gt;0,F47/I47,"")</f>
        <v/>
      </c>
      <c r="K47" s="15">
        <f>IF(J47="",Dashboard!$X$17,Dashboard!$X$17+(J47-Dashboard!$X$17)*E47/(E47+3))</f>
        <v/>
      </c>
      <c r="L47" s="57">
        <f>SUMIFS(Counties!$AQ$2:$AQ$1583,Counties!$A$2:$A$1583,$B47,Counties!$D$2:$D$1583,$C47)/SUMIFS(Counties!$AQ$2:$AQ$1583,Counties!$A$2:$A$1583,$B47)</f>
        <v/>
      </c>
      <c r="M47" s="9">
        <f>SUMIFS(Counties!$AR$2:$AR$1583,Counties!$A$2:$A$1583,$B47,Counties!$D$2:$D$1583,$C47)/SUMIFS(Counties!$AQ$2:$AQ$1583,Counties!$A$2:$A$1583,$B47,Counties!$D$2:$D$1583,$C47)</f>
        <v/>
      </c>
      <c r="N47" s="9">
        <f>M47+-0.05+Dashboard!$F$17</f>
        <v/>
      </c>
      <c r="O47" s="9">
        <f>M47+-0.01+Dashboard!$F$17</f>
        <v/>
      </c>
      <c r="P47" s="36">
        <f>M47+0.0+Dashboard!$F$17</f>
        <v/>
      </c>
      <c r="Q47" s="9">
        <f>M47+0.01+Dashboard!$F$17</f>
        <v/>
      </c>
      <c r="R47" s="9">
        <f>M47+0.05+Dashboard!$F$17</f>
        <v/>
      </c>
      <c r="S47" s="9">
        <f>IF(Dashboard!$K$17&gt;0,M47+H47,"")</f>
        <v/>
      </c>
      <c r="T47" s="10">
        <f>IF(G47="","",G47-Dashboard!$F$17)</f>
        <v/>
      </c>
      <c r="U47" s="8">
        <f>IF(F47=0,"no county of this type finished",IF(X47&gt;=0.05,"Great for Brown",IF(X47&gt;=0.01,"Brown on track",IF(X47&gt;-0.01,"Toss-up",IF(X47&gt;-0.05,"Husted on track","Great for Husted")))))</f>
        <v/>
      </c>
      <c r="V47" s="16">
        <f>IF(I47&gt;0,100*F47/(I47*Dashboard!$Y$17),"")</f>
        <v/>
      </c>
      <c r="W47" s="9">
        <f>IF(V47="","",P47/(V47/100))</f>
        <v/>
      </c>
      <c r="X47" s="10">
        <f>IF(F47&gt;0,(SUMIFS(Counties!$BA$2:$BA$1583,Counties!$A$2:$A$1583,$B47,Counties!$D$2:$D$1583,$C47,Counties!$AG$2:$AG$1583,1)+SUMIFS(Counties!$BB$2:$BB$1583,Counties!$A$2:$A$1583,$B47,Counties!$D$2:$D$1583,$C47,Counties!$AG$2:$AG$1583,1))/F47,"")</f>
        <v/>
      </c>
      <c r="Y47" s="37">
        <f>SUMIFS(Counties!$AZ$2:$AZ$1583,Counties!$A$2:$A$1583,$B47,Counties!$D$2:$D$1583,$C47)</f>
        <v/>
      </c>
      <c r="Z47" s="17">
        <f>"College suburb/metro: "&amp;TEXT(L47,"0.0%")&amp;" of the expected vote. Tie: "&amp;IF(P47&gt;=0,"D+","R+")&amp;TEXT(ABS(P47)*100,"0.0")&amp;". Brown on track at "&amp;IF(Q47&gt;=0,"D+","R+")&amp;TEXT(ABS(Q47)*100,"0.0")&amp;", great at "&amp;IF(R47&gt;=0,"D+","R+")&amp;TEXT(ABS(R47)*100,"0.0")&amp;"; Husted on track at "&amp;IF(O47&gt;=0,"D+","R+")&amp;TEXT(ABS(O47)*100,"0.0")&amp;", great at "&amp;IF(N47&gt;=0,"D+","R+")&amp;TEXT(ABS(N47)*100,"0.0")&amp;". Turnout: if these counties vote at 95% of the state pace, the break-even moves to "&amp;IF((P47/0.95)&gt;=0,"D+","R+")&amp;TEXT(ABS((P47/0.95))*100,"0.0")&amp;"; at 105%, "&amp;IF((P47/1.05)&gt;=0,"D+","R+")&amp;TEXT(ABS((P47/1.05))*100,"0.0")&amp;"."</f>
        <v/>
      </c>
    </row>
    <row r="48" ht="40" customHeight="1">
      <c r="A48" s="8" t="inlineStr">
        <is>
          <t>OH|Mid-size/working metro</t>
        </is>
      </c>
      <c r="B48" s="8" t="inlineStr">
        <is>
          <t>OH</t>
        </is>
      </c>
      <c r="C48" s="8" t="inlineStr">
        <is>
          <t>Mid-size/working metro</t>
        </is>
      </c>
      <c r="D48" s="8">
        <f>COUNTIFS(Counties!$A$2:$A$1583,B48,Counties!$D$2:$D$1583,C48)</f>
        <v/>
      </c>
      <c r="E48" s="8">
        <f>COUNTIFS(Counties!$A$2:$A$1583,B48,Counties!$D$2:$D$1583,C48,Counties!$AG$2:$AG$1583,1)</f>
        <v/>
      </c>
      <c r="F48" s="12">
        <f>SUMIFS(Counties!$AF$2:$AF$1583,Counties!$A$2:$A$1583,$B48,Counties!$D$2:$D$1583,$C48,Counties!$AG$2:$AG$1583,1)</f>
        <v/>
      </c>
      <c r="G48" s="10">
        <f>IF(F48&gt;0,SUMIFS(Counties!$AP$2:$AP$1583,Counties!$A$2:$A$1583,$B48,Counties!$D$2:$D$1583,$C48)/F48,"")</f>
        <v/>
      </c>
      <c r="H48" s="10">
        <f>IF(G48&lt;&gt;"",G48,IF(Dashboard!$N$17&lt;&gt;"",Dashboard!$N$17,0))</f>
        <v/>
      </c>
      <c r="I48" s="12">
        <f>SUMIFS(Counties!$AQ$2:$AQ$1583,Counties!$A$2:$A$1583,$B48,Counties!$D$2:$D$1583,$C48,Counties!$AG$2:$AG$1583,1)</f>
        <v/>
      </c>
      <c r="J48" s="15">
        <f>IF(I48&gt;0,F48/I48,"")</f>
        <v/>
      </c>
      <c r="K48" s="15">
        <f>IF(J48="",Dashboard!$X$17,Dashboard!$X$17+(J48-Dashboard!$X$17)*E48/(E48+3))</f>
        <v/>
      </c>
      <c r="L48" s="57">
        <f>SUMIFS(Counties!$AQ$2:$AQ$1583,Counties!$A$2:$A$1583,$B48,Counties!$D$2:$D$1583,$C48)/SUMIFS(Counties!$AQ$2:$AQ$1583,Counties!$A$2:$A$1583,$B48)</f>
        <v/>
      </c>
      <c r="M48" s="9">
        <f>SUMIFS(Counties!$AR$2:$AR$1583,Counties!$A$2:$A$1583,$B48,Counties!$D$2:$D$1583,$C48)/SUMIFS(Counties!$AQ$2:$AQ$1583,Counties!$A$2:$A$1583,$B48,Counties!$D$2:$D$1583,$C48)</f>
        <v/>
      </c>
      <c r="N48" s="9">
        <f>M48+-0.05+Dashboard!$F$17</f>
        <v/>
      </c>
      <c r="O48" s="9">
        <f>M48+-0.01+Dashboard!$F$17</f>
        <v/>
      </c>
      <c r="P48" s="36">
        <f>M48+0.0+Dashboard!$F$17</f>
        <v/>
      </c>
      <c r="Q48" s="9">
        <f>M48+0.01+Dashboard!$F$17</f>
        <v/>
      </c>
      <c r="R48" s="9">
        <f>M48+0.05+Dashboard!$F$17</f>
        <v/>
      </c>
      <c r="S48" s="9">
        <f>IF(Dashboard!$K$17&gt;0,M48+H48,"")</f>
        <v/>
      </c>
      <c r="T48" s="10">
        <f>IF(G48="","",G48-Dashboard!$F$17)</f>
        <v/>
      </c>
      <c r="U48" s="8">
        <f>IF(F48=0,"no county of this type finished",IF(X48&gt;=0.05,"Great for Brown",IF(X48&gt;=0.01,"Brown on track",IF(X48&gt;-0.01,"Toss-up",IF(X48&gt;-0.05,"Husted on track","Great for Husted")))))</f>
        <v/>
      </c>
      <c r="V48" s="16">
        <f>IF(I48&gt;0,100*F48/(I48*Dashboard!$Y$17),"")</f>
        <v/>
      </c>
      <c r="W48" s="9">
        <f>IF(V48="","",P48/(V48/100))</f>
        <v/>
      </c>
      <c r="X48" s="10">
        <f>IF(F48&gt;0,(SUMIFS(Counties!$BA$2:$BA$1583,Counties!$A$2:$A$1583,$B48,Counties!$D$2:$D$1583,$C48,Counties!$AG$2:$AG$1583,1)+SUMIFS(Counties!$BB$2:$BB$1583,Counties!$A$2:$A$1583,$B48,Counties!$D$2:$D$1583,$C48,Counties!$AG$2:$AG$1583,1))/F48,"")</f>
        <v/>
      </c>
      <c r="Y48" s="37">
        <f>SUMIFS(Counties!$AZ$2:$AZ$1583,Counties!$A$2:$A$1583,$B48,Counties!$D$2:$D$1583,$C48)</f>
        <v/>
      </c>
      <c r="Z48" s="17">
        <f>"Mid-size/working metro: "&amp;TEXT(L48,"0.0%")&amp;" of the expected vote. Tie: "&amp;IF(P48&gt;=0,"D+","R+")&amp;TEXT(ABS(P48)*100,"0.0")&amp;". Brown on track at "&amp;IF(Q48&gt;=0,"D+","R+")&amp;TEXT(ABS(Q48)*100,"0.0")&amp;", great at "&amp;IF(R48&gt;=0,"D+","R+")&amp;TEXT(ABS(R48)*100,"0.0")&amp;"; Husted on track at "&amp;IF(O48&gt;=0,"D+","R+")&amp;TEXT(ABS(O48)*100,"0.0")&amp;", great at "&amp;IF(N48&gt;=0,"D+","R+")&amp;TEXT(ABS(N48)*100,"0.0")&amp;". Turnout: if these counties vote at 95% of the state pace, the break-even moves to "&amp;IF((P48/0.95)&gt;=0,"D+","R+")&amp;TEXT(ABS((P48/0.95))*100,"0.0")&amp;"; at 105%, "&amp;IF((P48/1.05)&gt;=0,"D+","R+")&amp;TEXT(ABS((P48/1.05))*100,"0.0")&amp;"."</f>
        <v/>
      </c>
    </row>
    <row r="49" ht="40" customHeight="1">
      <c r="A49" s="8" t="inlineStr">
        <is>
          <t>OH|Small town &amp; rural</t>
        </is>
      </c>
      <c r="B49" s="8" t="inlineStr">
        <is>
          <t>OH</t>
        </is>
      </c>
      <c r="C49" s="8" t="inlineStr">
        <is>
          <t>Small town &amp; rural</t>
        </is>
      </c>
      <c r="D49" s="8">
        <f>COUNTIFS(Counties!$A$2:$A$1583,B49,Counties!$D$2:$D$1583,C49)</f>
        <v/>
      </c>
      <c r="E49" s="8">
        <f>COUNTIFS(Counties!$A$2:$A$1583,B49,Counties!$D$2:$D$1583,C49,Counties!$AG$2:$AG$1583,1)</f>
        <v/>
      </c>
      <c r="F49" s="12">
        <f>SUMIFS(Counties!$AF$2:$AF$1583,Counties!$A$2:$A$1583,$B49,Counties!$D$2:$D$1583,$C49,Counties!$AG$2:$AG$1583,1)</f>
        <v/>
      </c>
      <c r="G49" s="10">
        <f>IF(F49&gt;0,SUMIFS(Counties!$AP$2:$AP$1583,Counties!$A$2:$A$1583,$B49,Counties!$D$2:$D$1583,$C49)/F49,"")</f>
        <v/>
      </c>
      <c r="H49" s="10">
        <f>IF(G49&lt;&gt;"",G49,IF(Dashboard!$N$17&lt;&gt;"",Dashboard!$N$17,0))</f>
        <v/>
      </c>
      <c r="I49" s="12">
        <f>SUMIFS(Counties!$AQ$2:$AQ$1583,Counties!$A$2:$A$1583,$B49,Counties!$D$2:$D$1583,$C49,Counties!$AG$2:$AG$1583,1)</f>
        <v/>
      </c>
      <c r="J49" s="15">
        <f>IF(I49&gt;0,F49/I49,"")</f>
        <v/>
      </c>
      <c r="K49" s="15">
        <f>IF(J49="",Dashboard!$X$17,Dashboard!$X$17+(J49-Dashboard!$X$17)*E49/(E49+3))</f>
        <v/>
      </c>
      <c r="L49" s="57">
        <f>SUMIFS(Counties!$AQ$2:$AQ$1583,Counties!$A$2:$A$1583,$B49,Counties!$D$2:$D$1583,$C49)/SUMIFS(Counties!$AQ$2:$AQ$1583,Counties!$A$2:$A$1583,$B49)</f>
        <v/>
      </c>
      <c r="M49" s="9">
        <f>SUMIFS(Counties!$AR$2:$AR$1583,Counties!$A$2:$A$1583,$B49,Counties!$D$2:$D$1583,$C49)/SUMIFS(Counties!$AQ$2:$AQ$1583,Counties!$A$2:$A$1583,$B49,Counties!$D$2:$D$1583,$C49)</f>
        <v/>
      </c>
      <c r="N49" s="9">
        <f>M49+-0.05+Dashboard!$F$17</f>
        <v/>
      </c>
      <c r="O49" s="9">
        <f>M49+-0.01+Dashboard!$F$17</f>
        <v/>
      </c>
      <c r="P49" s="36">
        <f>M49+0.0+Dashboard!$F$17</f>
        <v/>
      </c>
      <c r="Q49" s="9">
        <f>M49+0.01+Dashboard!$F$17</f>
        <v/>
      </c>
      <c r="R49" s="9">
        <f>M49+0.05+Dashboard!$F$17</f>
        <v/>
      </c>
      <c r="S49" s="9">
        <f>IF(Dashboard!$K$17&gt;0,M49+H49,"")</f>
        <v/>
      </c>
      <c r="T49" s="10">
        <f>IF(G49="","",G49-Dashboard!$F$17)</f>
        <v/>
      </c>
      <c r="U49" s="8">
        <f>IF(F49=0,"no county of this type finished",IF(X49&gt;=0.05,"Great for Brown",IF(X49&gt;=0.01,"Brown on track",IF(X49&gt;-0.01,"Toss-up",IF(X49&gt;-0.05,"Husted on track","Great for Husted")))))</f>
        <v/>
      </c>
      <c r="V49" s="16">
        <f>IF(I49&gt;0,100*F49/(I49*Dashboard!$Y$17),"")</f>
        <v/>
      </c>
      <c r="W49" s="9">
        <f>IF(V49="","",P49/(V49/100))</f>
        <v/>
      </c>
      <c r="X49" s="10">
        <f>IF(F49&gt;0,(SUMIFS(Counties!$BA$2:$BA$1583,Counties!$A$2:$A$1583,$B49,Counties!$D$2:$D$1583,$C49,Counties!$AG$2:$AG$1583,1)+SUMIFS(Counties!$BB$2:$BB$1583,Counties!$A$2:$A$1583,$B49,Counties!$D$2:$D$1583,$C49,Counties!$AG$2:$AG$1583,1))/F49,"")</f>
        <v/>
      </c>
      <c r="Y49" s="37">
        <f>SUMIFS(Counties!$AZ$2:$AZ$1583,Counties!$A$2:$A$1583,$B49,Counties!$D$2:$D$1583,$C49)</f>
        <v/>
      </c>
      <c r="Z49" s="17">
        <f>"Small town &amp; rural: "&amp;TEXT(L49,"0.0%")&amp;" of the expected vote. Tie: "&amp;IF(P49&gt;=0,"D+","R+")&amp;TEXT(ABS(P49)*100,"0.0")&amp;". Brown on track at "&amp;IF(Q49&gt;=0,"D+","R+")&amp;TEXT(ABS(Q49)*100,"0.0")&amp;", great at "&amp;IF(R49&gt;=0,"D+","R+")&amp;TEXT(ABS(R49)*100,"0.0")&amp;"; Husted on track at "&amp;IF(O49&gt;=0,"D+","R+")&amp;TEXT(ABS(O49)*100,"0.0")&amp;", great at "&amp;IF(N49&gt;=0,"D+","R+")&amp;TEXT(ABS(N49)*100,"0.0")&amp;". Turnout: if these counties vote at 95% of the state pace, the break-even moves to "&amp;IF((P49/0.95)&gt;=0,"D+","R+")&amp;TEXT(ABS((P49/0.95))*100,"0.0")&amp;"; at 105%, "&amp;IF((P49/1.05)&gt;=0,"D+","R+")&amp;TEXT(ABS((P49/1.05))*100,"0.0")&amp;"."</f>
        <v/>
      </c>
    </row>
    <row r="50" ht="40" customHeight="1">
      <c r="A50" s="8" t="inlineStr">
        <is>
          <t>SC|College suburb/metro</t>
        </is>
      </c>
      <c r="B50" s="8" t="inlineStr">
        <is>
          <t>SC</t>
        </is>
      </c>
      <c r="C50" s="8" t="inlineStr">
        <is>
          <t>College suburb/metro</t>
        </is>
      </c>
      <c r="D50" s="8">
        <f>COUNTIFS(Counties!$A$2:$A$1583,B50,Counties!$D$2:$D$1583,C50)</f>
        <v/>
      </c>
      <c r="E50" s="8">
        <f>COUNTIFS(Counties!$A$2:$A$1583,B50,Counties!$D$2:$D$1583,C50,Counties!$AG$2:$AG$1583,1)</f>
        <v/>
      </c>
      <c r="F50" s="12">
        <f>SUMIFS(Counties!$AF$2:$AF$1583,Counties!$A$2:$A$1583,$B50,Counties!$D$2:$D$1583,$C50,Counties!$AG$2:$AG$1583,1)</f>
        <v/>
      </c>
      <c r="G50" s="10">
        <f>IF(F50&gt;0,SUMIFS(Counties!$AP$2:$AP$1583,Counties!$A$2:$A$1583,$B50,Counties!$D$2:$D$1583,$C50)/F50,"")</f>
        <v/>
      </c>
      <c r="H50" s="10">
        <f>IF(G50&lt;&gt;"",G50,IF(Dashboard!$N$18&lt;&gt;"",Dashboard!$N$18,0))</f>
        <v/>
      </c>
      <c r="I50" s="12">
        <f>SUMIFS(Counties!$AQ$2:$AQ$1583,Counties!$A$2:$A$1583,$B50,Counties!$D$2:$D$1583,$C50,Counties!$AG$2:$AG$1583,1)</f>
        <v/>
      </c>
      <c r="J50" s="15">
        <f>IF(I50&gt;0,F50/I50,"")</f>
        <v/>
      </c>
      <c r="K50" s="15">
        <f>IF(J50="",Dashboard!$X$18,Dashboard!$X$18+(J50-Dashboard!$X$18)*E50/(E50+3))</f>
        <v/>
      </c>
      <c r="L50" s="57">
        <f>SUMIFS(Counties!$AQ$2:$AQ$1583,Counties!$A$2:$A$1583,$B50,Counties!$D$2:$D$1583,$C50)/SUMIFS(Counties!$AQ$2:$AQ$1583,Counties!$A$2:$A$1583,$B50)</f>
        <v/>
      </c>
      <c r="M50" s="9">
        <f>SUMIFS(Counties!$AR$2:$AR$1583,Counties!$A$2:$A$1583,$B50,Counties!$D$2:$D$1583,$C50)/SUMIFS(Counties!$AQ$2:$AQ$1583,Counties!$A$2:$A$1583,$B50,Counties!$D$2:$D$1583,$C50)</f>
        <v/>
      </c>
      <c r="N50" s="9">
        <f>M50+-0.05+Dashboard!$F$18</f>
        <v/>
      </c>
      <c r="O50" s="9">
        <f>M50+-0.01+Dashboard!$F$18</f>
        <v/>
      </c>
      <c r="P50" s="36">
        <f>M50+0.0+Dashboard!$F$18</f>
        <v/>
      </c>
      <c r="Q50" s="9">
        <f>M50+0.01+Dashboard!$F$18</f>
        <v/>
      </c>
      <c r="R50" s="9">
        <f>M50+0.05+Dashboard!$F$18</f>
        <v/>
      </c>
      <c r="S50" s="9">
        <f>IF(Dashboard!$K$18&gt;0,M50+H50,"")</f>
        <v/>
      </c>
      <c r="T50" s="10">
        <f>IF(G50="","",G50-Dashboard!$F$18)</f>
        <v/>
      </c>
      <c r="U50" s="8">
        <f>IF(F50=0,"no county of this type finished",IF(X50&gt;=0.05,"Great for Andrews",IF(X50&gt;=0.01,"Andrews on track",IF(X50&gt;-0.01,"Toss-up",IF(X50&gt;-0.05,"Graham on track","Great for Graham")))))</f>
        <v/>
      </c>
      <c r="V50" s="16">
        <f>IF(I50&gt;0,100*F50/(I50*Dashboard!$Y$18),"")</f>
        <v/>
      </c>
      <c r="W50" s="9">
        <f>IF(V50="","",P50/(V50/100))</f>
        <v/>
      </c>
      <c r="X50" s="10">
        <f>IF(F50&gt;0,(SUMIFS(Counties!$BA$2:$BA$1583,Counties!$A$2:$A$1583,$B50,Counties!$D$2:$D$1583,$C50,Counties!$AG$2:$AG$1583,1)+SUMIFS(Counties!$BB$2:$BB$1583,Counties!$A$2:$A$1583,$B50,Counties!$D$2:$D$1583,$C50,Counties!$AG$2:$AG$1583,1))/F50,"")</f>
        <v/>
      </c>
      <c r="Y50" s="37">
        <f>SUMIFS(Counties!$AZ$2:$AZ$1583,Counties!$A$2:$A$1583,$B50,Counties!$D$2:$D$1583,$C50)</f>
        <v/>
      </c>
      <c r="Z50" s="17">
        <f>"College suburb/metro: "&amp;TEXT(L50,"0.0%")&amp;" of the expected vote. Tie: "&amp;IF(P50&gt;=0,"D+","R+")&amp;TEXT(ABS(P50)*100,"0.0")&amp;". Andrews on track at "&amp;IF(Q50&gt;=0,"D+","R+")&amp;TEXT(ABS(Q50)*100,"0.0")&amp;", great at "&amp;IF(R50&gt;=0,"D+","R+")&amp;TEXT(ABS(R50)*100,"0.0")&amp;"; Graham on track at "&amp;IF(O50&gt;=0,"D+","R+")&amp;TEXT(ABS(O50)*100,"0.0")&amp;", great at "&amp;IF(N50&gt;=0,"D+","R+")&amp;TEXT(ABS(N50)*100,"0.0")&amp;". Turnout: if these counties vote at 95% of the state pace, the break-even moves to "&amp;IF((P50/0.95)&gt;=0,"D+","R+")&amp;TEXT(ABS((P50/0.95))*100,"0.0")&amp;"; at 105%, "&amp;IF((P50/1.05)&gt;=0,"D+","R+")&amp;TEXT(ABS((P50/1.05))*100,"0.0")&amp;"."</f>
        <v/>
      </c>
    </row>
    <row r="51" ht="40" customHeight="1">
      <c r="A51" s="8" t="inlineStr">
        <is>
          <t>SC|Mid-size/working metro</t>
        </is>
      </c>
      <c r="B51" s="8" t="inlineStr">
        <is>
          <t>SC</t>
        </is>
      </c>
      <c r="C51" s="8" t="inlineStr">
        <is>
          <t>Mid-size/working metro</t>
        </is>
      </c>
      <c r="D51" s="8">
        <f>COUNTIFS(Counties!$A$2:$A$1583,B51,Counties!$D$2:$D$1583,C51)</f>
        <v/>
      </c>
      <c r="E51" s="8">
        <f>COUNTIFS(Counties!$A$2:$A$1583,B51,Counties!$D$2:$D$1583,C51,Counties!$AG$2:$AG$1583,1)</f>
        <v/>
      </c>
      <c r="F51" s="12">
        <f>SUMIFS(Counties!$AF$2:$AF$1583,Counties!$A$2:$A$1583,$B51,Counties!$D$2:$D$1583,$C51,Counties!$AG$2:$AG$1583,1)</f>
        <v/>
      </c>
      <c r="G51" s="10">
        <f>IF(F51&gt;0,SUMIFS(Counties!$AP$2:$AP$1583,Counties!$A$2:$A$1583,$B51,Counties!$D$2:$D$1583,$C51)/F51,"")</f>
        <v/>
      </c>
      <c r="H51" s="10">
        <f>IF(G51&lt;&gt;"",G51,IF(Dashboard!$N$18&lt;&gt;"",Dashboard!$N$18,0))</f>
        <v/>
      </c>
      <c r="I51" s="12">
        <f>SUMIFS(Counties!$AQ$2:$AQ$1583,Counties!$A$2:$A$1583,$B51,Counties!$D$2:$D$1583,$C51,Counties!$AG$2:$AG$1583,1)</f>
        <v/>
      </c>
      <c r="J51" s="15">
        <f>IF(I51&gt;0,F51/I51,"")</f>
        <v/>
      </c>
      <c r="K51" s="15">
        <f>IF(J51="",Dashboard!$X$18,Dashboard!$X$18+(J51-Dashboard!$X$18)*E51/(E51+3))</f>
        <v/>
      </c>
      <c r="L51" s="57">
        <f>SUMIFS(Counties!$AQ$2:$AQ$1583,Counties!$A$2:$A$1583,$B51,Counties!$D$2:$D$1583,$C51)/SUMIFS(Counties!$AQ$2:$AQ$1583,Counties!$A$2:$A$1583,$B51)</f>
        <v/>
      </c>
      <c r="M51" s="9">
        <f>SUMIFS(Counties!$AR$2:$AR$1583,Counties!$A$2:$A$1583,$B51,Counties!$D$2:$D$1583,$C51)/SUMIFS(Counties!$AQ$2:$AQ$1583,Counties!$A$2:$A$1583,$B51,Counties!$D$2:$D$1583,$C51)</f>
        <v/>
      </c>
      <c r="N51" s="9">
        <f>M51+-0.05+Dashboard!$F$18</f>
        <v/>
      </c>
      <c r="O51" s="9">
        <f>M51+-0.01+Dashboard!$F$18</f>
        <v/>
      </c>
      <c r="P51" s="36">
        <f>M51+0.0+Dashboard!$F$18</f>
        <v/>
      </c>
      <c r="Q51" s="9">
        <f>M51+0.01+Dashboard!$F$18</f>
        <v/>
      </c>
      <c r="R51" s="9">
        <f>M51+0.05+Dashboard!$F$18</f>
        <v/>
      </c>
      <c r="S51" s="9">
        <f>IF(Dashboard!$K$18&gt;0,M51+H51,"")</f>
        <v/>
      </c>
      <c r="T51" s="10">
        <f>IF(G51="","",G51-Dashboard!$F$18)</f>
        <v/>
      </c>
      <c r="U51" s="8">
        <f>IF(F51=0,"no county of this type finished",IF(X51&gt;=0.05,"Great for Andrews",IF(X51&gt;=0.01,"Andrews on track",IF(X51&gt;-0.01,"Toss-up",IF(X51&gt;-0.05,"Graham on track","Great for Graham")))))</f>
        <v/>
      </c>
      <c r="V51" s="16">
        <f>IF(I51&gt;0,100*F51/(I51*Dashboard!$Y$18),"")</f>
        <v/>
      </c>
      <c r="W51" s="9">
        <f>IF(V51="","",P51/(V51/100))</f>
        <v/>
      </c>
      <c r="X51" s="10">
        <f>IF(F51&gt;0,(SUMIFS(Counties!$BA$2:$BA$1583,Counties!$A$2:$A$1583,$B51,Counties!$D$2:$D$1583,$C51,Counties!$AG$2:$AG$1583,1)+SUMIFS(Counties!$BB$2:$BB$1583,Counties!$A$2:$A$1583,$B51,Counties!$D$2:$D$1583,$C51,Counties!$AG$2:$AG$1583,1))/F51,"")</f>
        <v/>
      </c>
      <c r="Y51" s="37">
        <f>SUMIFS(Counties!$AZ$2:$AZ$1583,Counties!$A$2:$A$1583,$B51,Counties!$D$2:$D$1583,$C51)</f>
        <v/>
      </c>
      <c r="Z51" s="17">
        <f>"Mid-size/working metro: "&amp;TEXT(L51,"0.0%")&amp;" of the expected vote. Tie: "&amp;IF(P51&gt;=0,"D+","R+")&amp;TEXT(ABS(P51)*100,"0.0")&amp;". Andrews on track at "&amp;IF(Q51&gt;=0,"D+","R+")&amp;TEXT(ABS(Q51)*100,"0.0")&amp;", great at "&amp;IF(R51&gt;=0,"D+","R+")&amp;TEXT(ABS(R51)*100,"0.0")&amp;"; Graham on track at "&amp;IF(O51&gt;=0,"D+","R+")&amp;TEXT(ABS(O51)*100,"0.0")&amp;", great at "&amp;IF(N51&gt;=0,"D+","R+")&amp;TEXT(ABS(N51)*100,"0.0")&amp;". Turnout: if these counties vote at 95% of the state pace, the break-even moves to "&amp;IF((P51/0.95)&gt;=0,"D+","R+")&amp;TEXT(ABS((P51/0.95))*100,"0.0")&amp;"; at 105%, "&amp;IF((P51/1.05)&gt;=0,"D+","R+")&amp;TEXT(ABS((P51/1.05))*100,"0.0")&amp;"."</f>
        <v/>
      </c>
    </row>
    <row r="52" ht="40" customHeight="1">
      <c r="A52" s="8" t="inlineStr">
        <is>
          <t>SC|Black Belt</t>
        </is>
      </c>
      <c r="B52" s="8" t="inlineStr">
        <is>
          <t>SC</t>
        </is>
      </c>
      <c r="C52" s="8" t="inlineStr">
        <is>
          <t>Black Belt</t>
        </is>
      </c>
      <c r="D52" s="8">
        <f>COUNTIFS(Counties!$A$2:$A$1583,B52,Counties!$D$2:$D$1583,C52)</f>
        <v/>
      </c>
      <c r="E52" s="8">
        <f>COUNTIFS(Counties!$A$2:$A$1583,B52,Counties!$D$2:$D$1583,C52,Counties!$AG$2:$AG$1583,1)</f>
        <v/>
      </c>
      <c r="F52" s="12">
        <f>SUMIFS(Counties!$AF$2:$AF$1583,Counties!$A$2:$A$1583,$B52,Counties!$D$2:$D$1583,$C52,Counties!$AG$2:$AG$1583,1)</f>
        <v/>
      </c>
      <c r="G52" s="10">
        <f>IF(F52&gt;0,SUMIFS(Counties!$AP$2:$AP$1583,Counties!$A$2:$A$1583,$B52,Counties!$D$2:$D$1583,$C52)/F52,"")</f>
        <v/>
      </c>
      <c r="H52" s="10">
        <f>IF(G52&lt;&gt;"",G52,IF(Dashboard!$N$18&lt;&gt;"",Dashboard!$N$18,0))</f>
        <v/>
      </c>
      <c r="I52" s="12">
        <f>SUMIFS(Counties!$AQ$2:$AQ$1583,Counties!$A$2:$A$1583,$B52,Counties!$D$2:$D$1583,$C52,Counties!$AG$2:$AG$1583,1)</f>
        <v/>
      </c>
      <c r="J52" s="15">
        <f>IF(I52&gt;0,F52/I52,"")</f>
        <v/>
      </c>
      <c r="K52" s="15">
        <f>IF(J52="",Dashboard!$X$18,Dashboard!$X$18+(J52-Dashboard!$X$18)*E52/(E52+3))</f>
        <v/>
      </c>
      <c r="L52" s="57">
        <f>SUMIFS(Counties!$AQ$2:$AQ$1583,Counties!$A$2:$A$1583,$B52,Counties!$D$2:$D$1583,$C52)/SUMIFS(Counties!$AQ$2:$AQ$1583,Counties!$A$2:$A$1583,$B52)</f>
        <v/>
      </c>
      <c r="M52" s="9">
        <f>SUMIFS(Counties!$AR$2:$AR$1583,Counties!$A$2:$A$1583,$B52,Counties!$D$2:$D$1583,$C52)/SUMIFS(Counties!$AQ$2:$AQ$1583,Counties!$A$2:$A$1583,$B52,Counties!$D$2:$D$1583,$C52)</f>
        <v/>
      </c>
      <c r="N52" s="9">
        <f>M52+-0.05+Dashboard!$F$18</f>
        <v/>
      </c>
      <c r="O52" s="9">
        <f>M52+-0.01+Dashboard!$F$18</f>
        <v/>
      </c>
      <c r="P52" s="36">
        <f>M52+0.0+Dashboard!$F$18</f>
        <v/>
      </c>
      <c r="Q52" s="9">
        <f>M52+0.01+Dashboard!$F$18</f>
        <v/>
      </c>
      <c r="R52" s="9">
        <f>M52+0.05+Dashboard!$F$18</f>
        <v/>
      </c>
      <c r="S52" s="9">
        <f>IF(Dashboard!$K$18&gt;0,M52+H52,"")</f>
        <v/>
      </c>
      <c r="T52" s="10">
        <f>IF(G52="","",G52-Dashboard!$F$18)</f>
        <v/>
      </c>
      <c r="U52" s="8">
        <f>IF(F52=0,"no county of this type finished",IF(X52&gt;=0.05,"Great for Andrews",IF(X52&gt;=0.01,"Andrews on track",IF(X52&gt;-0.01,"Toss-up",IF(X52&gt;-0.05,"Graham on track","Great for Graham")))))</f>
        <v/>
      </c>
      <c r="V52" s="16">
        <f>IF(I52&gt;0,100*F52/(I52*Dashboard!$Y$18),"")</f>
        <v/>
      </c>
      <c r="W52" s="9">
        <f>IF(V52="","",P52/(V52/100))</f>
        <v/>
      </c>
      <c r="X52" s="10">
        <f>IF(F52&gt;0,(SUMIFS(Counties!$BA$2:$BA$1583,Counties!$A$2:$A$1583,$B52,Counties!$D$2:$D$1583,$C52,Counties!$AG$2:$AG$1583,1)+SUMIFS(Counties!$BB$2:$BB$1583,Counties!$A$2:$A$1583,$B52,Counties!$D$2:$D$1583,$C52,Counties!$AG$2:$AG$1583,1))/F52,"")</f>
        <v/>
      </c>
      <c r="Y52" s="37">
        <f>SUMIFS(Counties!$AZ$2:$AZ$1583,Counties!$A$2:$A$1583,$B52,Counties!$D$2:$D$1583,$C52)</f>
        <v/>
      </c>
      <c r="Z52" s="17">
        <f>"Black Belt: "&amp;TEXT(L52,"0.0%")&amp;" of the expected vote. Tie: "&amp;IF(P52&gt;=0,"D+","R+")&amp;TEXT(ABS(P52)*100,"0.0")&amp;". Andrews on track at "&amp;IF(Q52&gt;=0,"D+","R+")&amp;TEXT(ABS(Q52)*100,"0.0")&amp;", great at "&amp;IF(R52&gt;=0,"D+","R+")&amp;TEXT(ABS(R52)*100,"0.0")&amp;"; Graham on track at "&amp;IF(O52&gt;=0,"D+","R+")&amp;TEXT(ABS(O52)*100,"0.0")&amp;", great at "&amp;IF(N52&gt;=0,"D+","R+")&amp;TEXT(ABS(N52)*100,"0.0")&amp;". Turnout: if these counties vote at 95% of the state pace, the break-even moves to "&amp;IF((P52/0.95)&gt;=0,"D+","R+")&amp;TEXT(ABS((P52/0.95))*100,"0.0")&amp;"; at 105%, "&amp;IF((P52/1.05)&gt;=0,"D+","R+")&amp;TEXT(ABS((P52/1.05))*100,"0.0")&amp;"."</f>
        <v/>
      </c>
    </row>
    <row r="53" ht="40" customHeight="1">
      <c r="A53" s="8" t="inlineStr">
        <is>
          <t>SC|Small town &amp; rural</t>
        </is>
      </c>
      <c r="B53" s="8" t="inlineStr">
        <is>
          <t>SC</t>
        </is>
      </c>
      <c r="C53" s="8" t="inlineStr">
        <is>
          <t>Small town &amp; rural</t>
        </is>
      </c>
      <c r="D53" s="8">
        <f>COUNTIFS(Counties!$A$2:$A$1583,B53,Counties!$D$2:$D$1583,C53)</f>
        <v/>
      </c>
      <c r="E53" s="8">
        <f>COUNTIFS(Counties!$A$2:$A$1583,B53,Counties!$D$2:$D$1583,C53,Counties!$AG$2:$AG$1583,1)</f>
        <v/>
      </c>
      <c r="F53" s="12">
        <f>SUMIFS(Counties!$AF$2:$AF$1583,Counties!$A$2:$A$1583,$B53,Counties!$D$2:$D$1583,$C53,Counties!$AG$2:$AG$1583,1)</f>
        <v/>
      </c>
      <c r="G53" s="10">
        <f>IF(F53&gt;0,SUMIFS(Counties!$AP$2:$AP$1583,Counties!$A$2:$A$1583,$B53,Counties!$D$2:$D$1583,$C53)/F53,"")</f>
        <v/>
      </c>
      <c r="H53" s="10">
        <f>IF(G53&lt;&gt;"",G53,IF(Dashboard!$N$18&lt;&gt;"",Dashboard!$N$18,0))</f>
        <v/>
      </c>
      <c r="I53" s="12">
        <f>SUMIFS(Counties!$AQ$2:$AQ$1583,Counties!$A$2:$A$1583,$B53,Counties!$D$2:$D$1583,$C53,Counties!$AG$2:$AG$1583,1)</f>
        <v/>
      </c>
      <c r="J53" s="15">
        <f>IF(I53&gt;0,F53/I53,"")</f>
        <v/>
      </c>
      <c r="K53" s="15">
        <f>IF(J53="",Dashboard!$X$18,Dashboard!$X$18+(J53-Dashboard!$X$18)*E53/(E53+3))</f>
        <v/>
      </c>
      <c r="L53" s="57">
        <f>SUMIFS(Counties!$AQ$2:$AQ$1583,Counties!$A$2:$A$1583,$B53,Counties!$D$2:$D$1583,$C53)/SUMIFS(Counties!$AQ$2:$AQ$1583,Counties!$A$2:$A$1583,$B53)</f>
        <v/>
      </c>
      <c r="M53" s="9">
        <f>SUMIFS(Counties!$AR$2:$AR$1583,Counties!$A$2:$A$1583,$B53,Counties!$D$2:$D$1583,$C53)/SUMIFS(Counties!$AQ$2:$AQ$1583,Counties!$A$2:$A$1583,$B53,Counties!$D$2:$D$1583,$C53)</f>
        <v/>
      </c>
      <c r="N53" s="9">
        <f>M53+-0.05+Dashboard!$F$18</f>
        <v/>
      </c>
      <c r="O53" s="9">
        <f>M53+-0.01+Dashboard!$F$18</f>
        <v/>
      </c>
      <c r="P53" s="36">
        <f>M53+0.0+Dashboard!$F$18</f>
        <v/>
      </c>
      <c r="Q53" s="9">
        <f>M53+0.01+Dashboard!$F$18</f>
        <v/>
      </c>
      <c r="R53" s="9">
        <f>M53+0.05+Dashboard!$F$18</f>
        <v/>
      </c>
      <c r="S53" s="9">
        <f>IF(Dashboard!$K$18&gt;0,M53+H53,"")</f>
        <v/>
      </c>
      <c r="T53" s="10">
        <f>IF(G53="","",G53-Dashboard!$F$18)</f>
        <v/>
      </c>
      <c r="U53" s="8">
        <f>IF(F53=0,"no county of this type finished",IF(X53&gt;=0.05,"Great for Andrews",IF(X53&gt;=0.01,"Andrews on track",IF(X53&gt;-0.01,"Toss-up",IF(X53&gt;-0.05,"Graham on track","Great for Graham")))))</f>
        <v/>
      </c>
      <c r="V53" s="16">
        <f>IF(I53&gt;0,100*F53/(I53*Dashboard!$Y$18),"")</f>
        <v/>
      </c>
      <c r="W53" s="9">
        <f>IF(V53="","",P53/(V53/100))</f>
        <v/>
      </c>
      <c r="X53" s="10">
        <f>IF(F53&gt;0,(SUMIFS(Counties!$BA$2:$BA$1583,Counties!$A$2:$A$1583,$B53,Counties!$D$2:$D$1583,$C53,Counties!$AG$2:$AG$1583,1)+SUMIFS(Counties!$BB$2:$BB$1583,Counties!$A$2:$A$1583,$B53,Counties!$D$2:$D$1583,$C53,Counties!$AG$2:$AG$1583,1))/F53,"")</f>
        <v/>
      </c>
      <c r="Y53" s="37">
        <f>SUMIFS(Counties!$AZ$2:$AZ$1583,Counties!$A$2:$A$1583,$B53,Counties!$D$2:$D$1583,$C53)</f>
        <v/>
      </c>
      <c r="Z53" s="17">
        <f>"Small town &amp; rural: "&amp;TEXT(L53,"0.0%")&amp;" of the expected vote. Tie: "&amp;IF(P53&gt;=0,"D+","R+")&amp;TEXT(ABS(P53)*100,"0.0")&amp;". Andrews on track at "&amp;IF(Q53&gt;=0,"D+","R+")&amp;TEXT(ABS(Q53)*100,"0.0")&amp;", great at "&amp;IF(R53&gt;=0,"D+","R+")&amp;TEXT(ABS(R53)*100,"0.0")&amp;"; Graham on track at "&amp;IF(O53&gt;=0,"D+","R+")&amp;TEXT(ABS(O53)*100,"0.0")&amp;", great at "&amp;IF(N53&gt;=0,"D+","R+")&amp;TEXT(ABS(N53)*100,"0.0")&amp;". Turnout: if these counties vote at 95% of the state pace, the break-even moves to "&amp;IF((P53/0.95)&gt;=0,"D+","R+")&amp;TEXT(ABS((P53/0.95))*100,"0.0")&amp;"; at 105%, "&amp;IF((P53/1.05)&gt;=0,"D+","R+")&amp;TEXT(ABS((P53/1.05))*100,"0.0")&amp;"."</f>
        <v/>
      </c>
    </row>
    <row r="54" ht="40" customHeight="1">
      <c r="A54" s="8" t="inlineStr">
        <is>
          <t>TX|Big metro core</t>
        </is>
      </c>
      <c r="B54" s="8" t="inlineStr">
        <is>
          <t>TX</t>
        </is>
      </c>
      <c r="C54" s="8" t="inlineStr">
        <is>
          <t>Big metro core</t>
        </is>
      </c>
      <c r="D54" s="8">
        <f>COUNTIFS(Counties!$A$2:$A$1583,B54,Counties!$D$2:$D$1583,C54)</f>
        <v/>
      </c>
      <c r="E54" s="8">
        <f>COUNTIFS(Counties!$A$2:$A$1583,B54,Counties!$D$2:$D$1583,C54,Counties!$AG$2:$AG$1583,1)</f>
        <v/>
      </c>
      <c r="F54" s="12">
        <f>SUMIFS(Counties!$AF$2:$AF$1583,Counties!$A$2:$A$1583,$B54,Counties!$D$2:$D$1583,$C54,Counties!$AG$2:$AG$1583,1)</f>
        <v/>
      </c>
      <c r="G54" s="10">
        <f>IF(F54&gt;0,SUMIFS(Counties!$AP$2:$AP$1583,Counties!$A$2:$A$1583,$B54,Counties!$D$2:$D$1583,$C54)/F54,"")</f>
        <v/>
      </c>
      <c r="H54" s="10">
        <f>IF(G54&lt;&gt;"",G54,IF(Dashboard!$N$19&lt;&gt;"",Dashboard!$N$19,0))</f>
        <v/>
      </c>
      <c r="I54" s="12">
        <f>SUMIFS(Counties!$AQ$2:$AQ$1583,Counties!$A$2:$A$1583,$B54,Counties!$D$2:$D$1583,$C54,Counties!$AG$2:$AG$1583,1)</f>
        <v/>
      </c>
      <c r="J54" s="15">
        <f>IF(I54&gt;0,F54/I54,"")</f>
        <v/>
      </c>
      <c r="K54" s="15">
        <f>IF(J54="",Dashboard!$X$19,Dashboard!$X$19+(J54-Dashboard!$X$19)*E54/(E54+3))</f>
        <v/>
      </c>
      <c r="L54" s="57">
        <f>SUMIFS(Counties!$AQ$2:$AQ$1583,Counties!$A$2:$A$1583,$B54,Counties!$D$2:$D$1583,$C54)/SUMIFS(Counties!$AQ$2:$AQ$1583,Counties!$A$2:$A$1583,$B54)</f>
        <v/>
      </c>
      <c r="M54" s="9">
        <f>SUMIFS(Counties!$AR$2:$AR$1583,Counties!$A$2:$A$1583,$B54,Counties!$D$2:$D$1583,$C54)/SUMIFS(Counties!$AQ$2:$AQ$1583,Counties!$A$2:$A$1583,$B54,Counties!$D$2:$D$1583,$C54)</f>
        <v/>
      </c>
      <c r="N54" s="9">
        <f>M54+-0.05+Dashboard!$F$19</f>
        <v/>
      </c>
      <c r="O54" s="9">
        <f>M54+-0.01+Dashboard!$F$19</f>
        <v/>
      </c>
      <c r="P54" s="36">
        <f>M54+0.0+Dashboard!$F$19</f>
        <v/>
      </c>
      <c r="Q54" s="9">
        <f>M54+0.01+Dashboard!$F$19</f>
        <v/>
      </c>
      <c r="R54" s="9">
        <f>M54+0.05+Dashboard!$F$19</f>
        <v/>
      </c>
      <c r="S54" s="9">
        <f>IF(Dashboard!$K$19&gt;0,M54+H54,"")</f>
        <v/>
      </c>
      <c r="T54" s="10">
        <f>IF(G54="","",G54-Dashboard!$F$19)</f>
        <v/>
      </c>
      <c r="U54" s="8">
        <f>IF(F54=0,"no county of this type finished",IF(X54&gt;=0.05,"Great for Talarico",IF(X54&gt;=0.01,"Talarico on track",IF(X54&gt;-0.01,"Toss-up",IF(X54&gt;-0.05,"Paxton on track","Great for Paxton")))))</f>
        <v/>
      </c>
      <c r="V54" s="16">
        <f>IF(I54&gt;0,100*F54/(I54*Dashboard!$Y$19),"")</f>
        <v/>
      </c>
      <c r="W54" s="9">
        <f>IF(V54="","",P54/(V54/100))</f>
        <v/>
      </c>
      <c r="X54" s="10">
        <f>IF(F54&gt;0,(SUMIFS(Counties!$BA$2:$BA$1583,Counties!$A$2:$A$1583,$B54,Counties!$D$2:$D$1583,$C54,Counties!$AG$2:$AG$1583,1)+SUMIFS(Counties!$BB$2:$BB$1583,Counties!$A$2:$A$1583,$B54,Counties!$D$2:$D$1583,$C54,Counties!$AG$2:$AG$1583,1))/F54,"")</f>
        <v/>
      </c>
      <c r="Y54" s="37">
        <f>SUMIFS(Counties!$AZ$2:$AZ$1583,Counties!$A$2:$A$1583,$B54,Counties!$D$2:$D$1583,$C54)</f>
        <v/>
      </c>
      <c r="Z54" s="17">
        <f>"Big metro core: "&amp;TEXT(L54,"0.0%")&amp;" of the expected vote. Tie: "&amp;IF(P54&gt;=0,"D+","R+")&amp;TEXT(ABS(P54)*100,"0.0")&amp;". Talarico on track at "&amp;IF(Q54&gt;=0,"D+","R+")&amp;TEXT(ABS(Q54)*100,"0.0")&amp;", great at "&amp;IF(R54&gt;=0,"D+","R+")&amp;TEXT(ABS(R54)*100,"0.0")&amp;"; Paxton on track at "&amp;IF(O54&gt;=0,"D+","R+")&amp;TEXT(ABS(O54)*100,"0.0")&amp;", great at "&amp;IF(N54&gt;=0,"D+","R+")&amp;TEXT(ABS(N54)*100,"0.0")&amp;". Turnout: if these counties vote at 95% of the state pace, the break-even moves to "&amp;IF((P54/0.95)&gt;=0,"D+","R+")&amp;TEXT(ABS((P54/0.95))*100,"0.0")&amp;"; at 105%, "&amp;IF((P54/1.05)&gt;=0,"D+","R+")&amp;TEXT(ABS((P54/1.05))*100,"0.0")&amp;"."</f>
        <v/>
      </c>
    </row>
    <row r="55" ht="40" customHeight="1">
      <c r="A55" s="8" t="inlineStr">
        <is>
          <t>TX|College suburb/metro</t>
        </is>
      </c>
      <c r="B55" s="8" t="inlineStr">
        <is>
          <t>TX</t>
        </is>
      </c>
      <c r="C55" s="8" t="inlineStr">
        <is>
          <t>College suburb/metro</t>
        </is>
      </c>
      <c r="D55" s="8">
        <f>COUNTIFS(Counties!$A$2:$A$1583,B55,Counties!$D$2:$D$1583,C55)</f>
        <v/>
      </c>
      <c r="E55" s="8">
        <f>COUNTIFS(Counties!$A$2:$A$1583,B55,Counties!$D$2:$D$1583,C55,Counties!$AG$2:$AG$1583,1)</f>
        <v/>
      </c>
      <c r="F55" s="12">
        <f>SUMIFS(Counties!$AF$2:$AF$1583,Counties!$A$2:$A$1583,$B55,Counties!$D$2:$D$1583,$C55,Counties!$AG$2:$AG$1583,1)</f>
        <v/>
      </c>
      <c r="G55" s="10">
        <f>IF(F55&gt;0,SUMIFS(Counties!$AP$2:$AP$1583,Counties!$A$2:$A$1583,$B55,Counties!$D$2:$D$1583,$C55)/F55,"")</f>
        <v/>
      </c>
      <c r="H55" s="10">
        <f>IF(G55&lt;&gt;"",G55,IF(Dashboard!$N$19&lt;&gt;"",Dashboard!$N$19,0))</f>
        <v/>
      </c>
      <c r="I55" s="12">
        <f>SUMIFS(Counties!$AQ$2:$AQ$1583,Counties!$A$2:$A$1583,$B55,Counties!$D$2:$D$1583,$C55,Counties!$AG$2:$AG$1583,1)</f>
        <v/>
      </c>
      <c r="J55" s="15">
        <f>IF(I55&gt;0,F55/I55,"")</f>
        <v/>
      </c>
      <c r="K55" s="15">
        <f>IF(J55="",Dashboard!$X$19,Dashboard!$X$19+(J55-Dashboard!$X$19)*E55/(E55+3))</f>
        <v/>
      </c>
      <c r="L55" s="57">
        <f>SUMIFS(Counties!$AQ$2:$AQ$1583,Counties!$A$2:$A$1583,$B55,Counties!$D$2:$D$1583,$C55)/SUMIFS(Counties!$AQ$2:$AQ$1583,Counties!$A$2:$A$1583,$B55)</f>
        <v/>
      </c>
      <c r="M55" s="9">
        <f>SUMIFS(Counties!$AR$2:$AR$1583,Counties!$A$2:$A$1583,$B55,Counties!$D$2:$D$1583,$C55)/SUMIFS(Counties!$AQ$2:$AQ$1583,Counties!$A$2:$A$1583,$B55,Counties!$D$2:$D$1583,$C55)</f>
        <v/>
      </c>
      <c r="N55" s="9">
        <f>M55+-0.05+Dashboard!$F$19</f>
        <v/>
      </c>
      <c r="O55" s="9">
        <f>M55+-0.01+Dashboard!$F$19</f>
        <v/>
      </c>
      <c r="P55" s="36">
        <f>M55+0.0+Dashboard!$F$19</f>
        <v/>
      </c>
      <c r="Q55" s="9">
        <f>M55+0.01+Dashboard!$F$19</f>
        <v/>
      </c>
      <c r="R55" s="9">
        <f>M55+0.05+Dashboard!$F$19</f>
        <v/>
      </c>
      <c r="S55" s="9">
        <f>IF(Dashboard!$K$19&gt;0,M55+H55,"")</f>
        <v/>
      </c>
      <c r="T55" s="10">
        <f>IF(G55="","",G55-Dashboard!$F$19)</f>
        <v/>
      </c>
      <c r="U55" s="8">
        <f>IF(F55=0,"no county of this type finished",IF(X55&gt;=0.05,"Great for Talarico",IF(X55&gt;=0.01,"Talarico on track",IF(X55&gt;-0.01,"Toss-up",IF(X55&gt;-0.05,"Paxton on track","Great for Paxton")))))</f>
        <v/>
      </c>
      <c r="V55" s="16">
        <f>IF(I55&gt;0,100*F55/(I55*Dashboard!$Y$19),"")</f>
        <v/>
      </c>
      <c r="W55" s="9">
        <f>IF(V55="","",P55/(V55/100))</f>
        <v/>
      </c>
      <c r="X55" s="10">
        <f>IF(F55&gt;0,(SUMIFS(Counties!$BA$2:$BA$1583,Counties!$A$2:$A$1583,$B55,Counties!$D$2:$D$1583,$C55,Counties!$AG$2:$AG$1583,1)+SUMIFS(Counties!$BB$2:$BB$1583,Counties!$A$2:$A$1583,$B55,Counties!$D$2:$D$1583,$C55,Counties!$AG$2:$AG$1583,1))/F55,"")</f>
        <v/>
      </c>
      <c r="Y55" s="37">
        <f>SUMIFS(Counties!$AZ$2:$AZ$1583,Counties!$A$2:$A$1583,$B55,Counties!$D$2:$D$1583,$C55)</f>
        <v/>
      </c>
      <c r="Z55" s="17">
        <f>"College suburb/metro: "&amp;TEXT(L55,"0.0%")&amp;" of the expected vote. Tie: "&amp;IF(P55&gt;=0,"D+","R+")&amp;TEXT(ABS(P55)*100,"0.0")&amp;". Talarico on track at "&amp;IF(Q55&gt;=0,"D+","R+")&amp;TEXT(ABS(Q55)*100,"0.0")&amp;", great at "&amp;IF(R55&gt;=0,"D+","R+")&amp;TEXT(ABS(R55)*100,"0.0")&amp;"; Paxton on track at "&amp;IF(O55&gt;=0,"D+","R+")&amp;TEXT(ABS(O55)*100,"0.0")&amp;", great at "&amp;IF(N55&gt;=0,"D+","R+")&amp;TEXT(ABS(N55)*100,"0.0")&amp;". Turnout: if these counties vote at 95% of the state pace, the break-even moves to "&amp;IF((P55/0.95)&gt;=0,"D+","R+")&amp;TEXT(ABS((P55/0.95))*100,"0.0")&amp;"; at 105%, "&amp;IF((P55/1.05)&gt;=0,"D+","R+")&amp;TEXT(ABS((P55/1.05))*100,"0.0")&amp;"."</f>
        <v/>
      </c>
    </row>
    <row r="56" ht="40" customHeight="1">
      <c r="A56" s="8" t="inlineStr">
        <is>
          <t>TX|Mid-size/working metro</t>
        </is>
      </c>
      <c r="B56" s="8" t="inlineStr">
        <is>
          <t>TX</t>
        </is>
      </c>
      <c r="C56" s="8" t="inlineStr">
        <is>
          <t>Mid-size/working metro</t>
        </is>
      </c>
      <c r="D56" s="8">
        <f>COUNTIFS(Counties!$A$2:$A$1583,B56,Counties!$D$2:$D$1583,C56)</f>
        <v/>
      </c>
      <c r="E56" s="8">
        <f>COUNTIFS(Counties!$A$2:$A$1583,B56,Counties!$D$2:$D$1583,C56,Counties!$AG$2:$AG$1583,1)</f>
        <v/>
      </c>
      <c r="F56" s="12">
        <f>SUMIFS(Counties!$AF$2:$AF$1583,Counties!$A$2:$A$1583,$B56,Counties!$D$2:$D$1583,$C56,Counties!$AG$2:$AG$1583,1)</f>
        <v/>
      </c>
      <c r="G56" s="10">
        <f>IF(F56&gt;0,SUMIFS(Counties!$AP$2:$AP$1583,Counties!$A$2:$A$1583,$B56,Counties!$D$2:$D$1583,$C56)/F56,"")</f>
        <v/>
      </c>
      <c r="H56" s="10">
        <f>IF(G56&lt;&gt;"",G56,IF(Dashboard!$N$19&lt;&gt;"",Dashboard!$N$19,0))</f>
        <v/>
      </c>
      <c r="I56" s="12">
        <f>SUMIFS(Counties!$AQ$2:$AQ$1583,Counties!$A$2:$A$1583,$B56,Counties!$D$2:$D$1583,$C56,Counties!$AG$2:$AG$1583,1)</f>
        <v/>
      </c>
      <c r="J56" s="15">
        <f>IF(I56&gt;0,F56/I56,"")</f>
        <v/>
      </c>
      <c r="K56" s="15">
        <f>IF(J56="",Dashboard!$X$19,Dashboard!$X$19+(J56-Dashboard!$X$19)*E56/(E56+3))</f>
        <v/>
      </c>
      <c r="L56" s="57">
        <f>SUMIFS(Counties!$AQ$2:$AQ$1583,Counties!$A$2:$A$1583,$B56,Counties!$D$2:$D$1583,$C56)/SUMIFS(Counties!$AQ$2:$AQ$1583,Counties!$A$2:$A$1583,$B56)</f>
        <v/>
      </c>
      <c r="M56" s="9">
        <f>SUMIFS(Counties!$AR$2:$AR$1583,Counties!$A$2:$A$1583,$B56,Counties!$D$2:$D$1583,$C56)/SUMIFS(Counties!$AQ$2:$AQ$1583,Counties!$A$2:$A$1583,$B56,Counties!$D$2:$D$1583,$C56)</f>
        <v/>
      </c>
      <c r="N56" s="9">
        <f>M56+-0.05+Dashboard!$F$19</f>
        <v/>
      </c>
      <c r="O56" s="9">
        <f>M56+-0.01+Dashboard!$F$19</f>
        <v/>
      </c>
      <c r="P56" s="36">
        <f>M56+0.0+Dashboard!$F$19</f>
        <v/>
      </c>
      <c r="Q56" s="9">
        <f>M56+0.01+Dashboard!$F$19</f>
        <v/>
      </c>
      <c r="R56" s="9">
        <f>M56+0.05+Dashboard!$F$19</f>
        <v/>
      </c>
      <c r="S56" s="9">
        <f>IF(Dashboard!$K$19&gt;0,M56+H56,"")</f>
        <v/>
      </c>
      <c r="T56" s="10">
        <f>IF(G56="","",G56-Dashboard!$F$19)</f>
        <v/>
      </c>
      <c r="U56" s="8">
        <f>IF(F56=0,"no county of this type finished",IF(X56&gt;=0.05,"Great for Talarico",IF(X56&gt;=0.01,"Talarico on track",IF(X56&gt;-0.01,"Toss-up",IF(X56&gt;-0.05,"Paxton on track","Great for Paxton")))))</f>
        <v/>
      </c>
      <c r="V56" s="16">
        <f>IF(I56&gt;0,100*F56/(I56*Dashboard!$Y$19),"")</f>
        <v/>
      </c>
      <c r="W56" s="9">
        <f>IF(V56="","",P56/(V56/100))</f>
        <v/>
      </c>
      <c r="X56" s="10">
        <f>IF(F56&gt;0,(SUMIFS(Counties!$BA$2:$BA$1583,Counties!$A$2:$A$1583,$B56,Counties!$D$2:$D$1583,$C56,Counties!$AG$2:$AG$1583,1)+SUMIFS(Counties!$BB$2:$BB$1583,Counties!$A$2:$A$1583,$B56,Counties!$D$2:$D$1583,$C56,Counties!$AG$2:$AG$1583,1))/F56,"")</f>
        <v/>
      </c>
      <c r="Y56" s="37">
        <f>SUMIFS(Counties!$AZ$2:$AZ$1583,Counties!$A$2:$A$1583,$B56,Counties!$D$2:$D$1583,$C56)</f>
        <v/>
      </c>
      <c r="Z56" s="17">
        <f>"Mid-size/working metro: "&amp;TEXT(L56,"0.0%")&amp;" of the expected vote. Tie: "&amp;IF(P56&gt;=0,"D+","R+")&amp;TEXT(ABS(P56)*100,"0.0")&amp;". Talarico on track at "&amp;IF(Q56&gt;=0,"D+","R+")&amp;TEXT(ABS(Q56)*100,"0.0")&amp;", great at "&amp;IF(R56&gt;=0,"D+","R+")&amp;TEXT(ABS(R56)*100,"0.0")&amp;"; Paxton on track at "&amp;IF(O56&gt;=0,"D+","R+")&amp;TEXT(ABS(O56)*100,"0.0")&amp;", great at "&amp;IF(N56&gt;=0,"D+","R+")&amp;TEXT(ABS(N56)*100,"0.0")&amp;". Turnout: if these counties vote at 95% of the state pace, the break-even moves to "&amp;IF((P56/0.95)&gt;=0,"D+","R+")&amp;TEXT(ABS((P56/0.95))*100,"0.0")&amp;"; at 105%, "&amp;IF((P56/1.05)&gt;=0,"D+","R+")&amp;TEXT(ABS((P56/1.05))*100,"0.0")&amp;"."</f>
        <v/>
      </c>
    </row>
    <row r="57" ht="40" customHeight="1">
      <c r="A57" s="8" t="inlineStr">
        <is>
          <t>TX|Hispanic</t>
        </is>
      </c>
      <c r="B57" s="8" t="inlineStr">
        <is>
          <t>TX</t>
        </is>
      </c>
      <c r="C57" s="8" t="inlineStr">
        <is>
          <t>Hispanic</t>
        </is>
      </c>
      <c r="D57" s="8">
        <f>COUNTIFS(Counties!$A$2:$A$1583,B57,Counties!$D$2:$D$1583,C57)</f>
        <v/>
      </c>
      <c r="E57" s="8">
        <f>COUNTIFS(Counties!$A$2:$A$1583,B57,Counties!$D$2:$D$1583,C57,Counties!$AG$2:$AG$1583,1)</f>
        <v/>
      </c>
      <c r="F57" s="12">
        <f>SUMIFS(Counties!$AF$2:$AF$1583,Counties!$A$2:$A$1583,$B57,Counties!$D$2:$D$1583,$C57,Counties!$AG$2:$AG$1583,1)</f>
        <v/>
      </c>
      <c r="G57" s="10">
        <f>IF(F57&gt;0,SUMIFS(Counties!$AP$2:$AP$1583,Counties!$A$2:$A$1583,$B57,Counties!$D$2:$D$1583,$C57)/F57,"")</f>
        <v/>
      </c>
      <c r="H57" s="10">
        <f>IF(G57&lt;&gt;"",G57,IF(Dashboard!$N$19&lt;&gt;"",Dashboard!$N$19,0))</f>
        <v/>
      </c>
      <c r="I57" s="12">
        <f>SUMIFS(Counties!$AQ$2:$AQ$1583,Counties!$A$2:$A$1583,$B57,Counties!$D$2:$D$1583,$C57,Counties!$AG$2:$AG$1583,1)</f>
        <v/>
      </c>
      <c r="J57" s="15">
        <f>IF(I57&gt;0,F57/I57,"")</f>
        <v/>
      </c>
      <c r="K57" s="15">
        <f>IF(J57="",Dashboard!$X$19,Dashboard!$X$19+(J57-Dashboard!$X$19)*E57/(E57+3))</f>
        <v/>
      </c>
      <c r="L57" s="57">
        <f>SUMIFS(Counties!$AQ$2:$AQ$1583,Counties!$A$2:$A$1583,$B57,Counties!$D$2:$D$1583,$C57)/SUMIFS(Counties!$AQ$2:$AQ$1583,Counties!$A$2:$A$1583,$B57)</f>
        <v/>
      </c>
      <c r="M57" s="9">
        <f>SUMIFS(Counties!$AR$2:$AR$1583,Counties!$A$2:$A$1583,$B57,Counties!$D$2:$D$1583,$C57)/SUMIFS(Counties!$AQ$2:$AQ$1583,Counties!$A$2:$A$1583,$B57,Counties!$D$2:$D$1583,$C57)</f>
        <v/>
      </c>
      <c r="N57" s="9">
        <f>M57+-0.05+Dashboard!$F$19</f>
        <v/>
      </c>
      <c r="O57" s="9">
        <f>M57+-0.01+Dashboard!$F$19</f>
        <v/>
      </c>
      <c r="P57" s="36">
        <f>M57+0.0+Dashboard!$F$19</f>
        <v/>
      </c>
      <c r="Q57" s="9">
        <f>M57+0.01+Dashboard!$F$19</f>
        <v/>
      </c>
      <c r="R57" s="9">
        <f>M57+0.05+Dashboard!$F$19</f>
        <v/>
      </c>
      <c r="S57" s="9">
        <f>IF(Dashboard!$K$19&gt;0,M57+H57,"")</f>
        <v/>
      </c>
      <c r="T57" s="10">
        <f>IF(G57="","",G57-Dashboard!$F$19)</f>
        <v/>
      </c>
      <c r="U57" s="8">
        <f>IF(F57=0,"no county of this type finished",IF(X57&gt;=0.05,"Great for Talarico",IF(X57&gt;=0.01,"Talarico on track",IF(X57&gt;-0.01,"Toss-up",IF(X57&gt;-0.05,"Paxton on track","Great for Paxton")))))</f>
        <v/>
      </c>
      <c r="V57" s="16">
        <f>IF(I57&gt;0,100*F57/(I57*Dashboard!$Y$19),"")</f>
        <v/>
      </c>
      <c r="W57" s="9">
        <f>IF(V57="","",P57/(V57/100))</f>
        <v/>
      </c>
      <c r="X57" s="10">
        <f>IF(F57&gt;0,(SUMIFS(Counties!$BA$2:$BA$1583,Counties!$A$2:$A$1583,$B57,Counties!$D$2:$D$1583,$C57,Counties!$AG$2:$AG$1583,1)+SUMIFS(Counties!$BB$2:$BB$1583,Counties!$A$2:$A$1583,$B57,Counties!$D$2:$D$1583,$C57,Counties!$AG$2:$AG$1583,1))/F57,"")</f>
        <v/>
      </c>
      <c r="Y57" s="37">
        <f>SUMIFS(Counties!$AZ$2:$AZ$1583,Counties!$A$2:$A$1583,$B57,Counties!$D$2:$D$1583,$C57)</f>
        <v/>
      </c>
      <c r="Z57" s="17">
        <f>"Hispanic: "&amp;TEXT(L57,"0.0%")&amp;" of the expected vote. Tie: "&amp;IF(P57&gt;=0,"D+","R+")&amp;TEXT(ABS(P57)*100,"0.0")&amp;". Talarico on track at "&amp;IF(Q57&gt;=0,"D+","R+")&amp;TEXT(ABS(Q57)*100,"0.0")&amp;", great at "&amp;IF(R57&gt;=0,"D+","R+")&amp;TEXT(ABS(R57)*100,"0.0")&amp;"; Paxton on track at "&amp;IF(O57&gt;=0,"D+","R+")&amp;TEXT(ABS(O57)*100,"0.0")&amp;", great at "&amp;IF(N57&gt;=0,"D+","R+")&amp;TEXT(ABS(N57)*100,"0.0")&amp;". Turnout: if these counties vote at 95% of the state pace, the break-even moves to "&amp;IF((P57/0.95)&gt;=0,"D+","R+")&amp;TEXT(ABS((P57/0.95))*100,"0.0")&amp;"; at 105%, "&amp;IF((P57/1.05)&gt;=0,"D+","R+")&amp;TEXT(ABS((P57/1.05))*100,"0.0")&amp;"."</f>
        <v/>
      </c>
    </row>
    <row r="58" ht="40" customHeight="1">
      <c r="A58" s="8" t="inlineStr">
        <is>
          <t>TX|Small town &amp; rural</t>
        </is>
      </c>
      <c r="B58" s="8" t="inlineStr">
        <is>
          <t>TX</t>
        </is>
      </c>
      <c r="C58" s="8" t="inlineStr">
        <is>
          <t>Small town &amp; rural</t>
        </is>
      </c>
      <c r="D58" s="8">
        <f>COUNTIFS(Counties!$A$2:$A$1583,B58,Counties!$D$2:$D$1583,C58)</f>
        <v/>
      </c>
      <c r="E58" s="8">
        <f>COUNTIFS(Counties!$A$2:$A$1583,B58,Counties!$D$2:$D$1583,C58,Counties!$AG$2:$AG$1583,1)</f>
        <v/>
      </c>
      <c r="F58" s="12">
        <f>SUMIFS(Counties!$AF$2:$AF$1583,Counties!$A$2:$A$1583,$B58,Counties!$D$2:$D$1583,$C58,Counties!$AG$2:$AG$1583,1)</f>
        <v/>
      </c>
      <c r="G58" s="10">
        <f>IF(F58&gt;0,SUMIFS(Counties!$AP$2:$AP$1583,Counties!$A$2:$A$1583,$B58,Counties!$D$2:$D$1583,$C58)/F58,"")</f>
        <v/>
      </c>
      <c r="H58" s="10">
        <f>IF(G58&lt;&gt;"",G58,IF(Dashboard!$N$19&lt;&gt;"",Dashboard!$N$19,0))</f>
        <v/>
      </c>
      <c r="I58" s="12">
        <f>SUMIFS(Counties!$AQ$2:$AQ$1583,Counties!$A$2:$A$1583,$B58,Counties!$D$2:$D$1583,$C58,Counties!$AG$2:$AG$1583,1)</f>
        <v/>
      </c>
      <c r="J58" s="15">
        <f>IF(I58&gt;0,F58/I58,"")</f>
        <v/>
      </c>
      <c r="K58" s="15">
        <f>IF(J58="",Dashboard!$X$19,Dashboard!$X$19+(J58-Dashboard!$X$19)*E58/(E58+3))</f>
        <v/>
      </c>
      <c r="L58" s="57">
        <f>SUMIFS(Counties!$AQ$2:$AQ$1583,Counties!$A$2:$A$1583,$B58,Counties!$D$2:$D$1583,$C58)/SUMIFS(Counties!$AQ$2:$AQ$1583,Counties!$A$2:$A$1583,$B58)</f>
        <v/>
      </c>
      <c r="M58" s="9">
        <f>SUMIFS(Counties!$AR$2:$AR$1583,Counties!$A$2:$A$1583,$B58,Counties!$D$2:$D$1583,$C58)/SUMIFS(Counties!$AQ$2:$AQ$1583,Counties!$A$2:$A$1583,$B58,Counties!$D$2:$D$1583,$C58)</f>
        <v/>
      </c>
      <c r="N58" s="9">
        <f>M58+-0.05+Dashboard!$F$19</f>
        <v/>
      </c>
      <c r="O58" s="9">
        <f>M58+-0.01+Dashboard!$F$19</f>
        <v/>
      </c>
      <c r="P58" s="36">
        <f>M58+0.0+Dashboard!$F$19</f>
        <v/>
      </c>
      <c r="Q58" s="9">
        <f>M58+0.01+Dashboard!$F$19</f>
        <v/>
      </c>
      <c r="R58" s="9">
        <f>M58+0.05+Dashboard!$F$19</f>
        <v/>
      </c>
      <c r="S58" s="9">
        <f>IF(Dashboard!$K$19&gt;0,M58+H58,"")</f>
        <v/>
      </c>
      <c r="T58" s="10">
        <f>IF(G58="","",G58-Dashboard!$F$19)</f>
        <v/>
      </c>
      <c r="U58" s="8">
        <f>IF(F58=0,"no county of this type finished",IF(X58&gt;=0.05,"Great for Talarico",IF(X58&gt;=0.01,"Talarico on track",IF(X58&gt;-0.01,"Toss-up",IF(X58&gt;-0.05,"Paxton on track","Great for Paxton")))))</f>
        <v/>
      </c>
      <c r="V58" s="16">
        <f>IF(I58&gt;0,100*F58/(I58*Dashboard!$Y$19),"")</f>
        <v/>
      </c>
      <c r="W58" s="9">
        <f>IF(V58="","",P58/(V58/100))</f>
        <v/>
      </c>
      <c r="X58" s="10">
        <f>IF(F58&gt;0,(SUMIFS(Counties!$BA$2:$BA$1583,Counties!$A$2:$A$1583,$B58,Counties!$D$2:$D$1583,$C58,Counties!$AG$2:$AG$1583,1)+SUMIFS(Counties!$BB$2:$BB$1583,Counties!$A$2:$A$1583,$B58,Counties!$D$2:$D$1583,$C58,Counties!$AG$2:$AG$1583,1))/F58,"")</f>
        <v/>
      </c>
      <c r="Y58" s="37">
        <f>SUMIFS(Counties!$AZ$2:$AZ$1583,Counties!$A$2:$A$1583,$B58,Counties!$D$2:$D$1583,$C58)</f>
        <v/>
      </c>
      <c r="Z58" s="17">
        <f>"Small town &amp; rural: "&amp;TEXT(L58,"0.0%")&amp;" of the expected vote. Tie: "&amp;IF(P58&gt;=0,"D+","R+")&amp;TEXT(ABS(P58)*100,"0.0")&amp;". Talarico on track at "&amp;IF(Q58&gt;=0,"D+","R+")&amp;TEXT(ABS(Q58)*100,"0.0")&amp;", great at "&amp;IF(R58&gt;=0,"D+","R+")&amp;TEXT(ABS(R58)*100,"0.0")&amp;"; Paxton on track at "&amp;IF(O58&gt;=0,"D+","R+")&amp;TEXT(ABS(O58)*100,"0.0")&amp;", great at "&amp;IF(N58&gt;=0,"D+","R+")&amp;TEXT(ABS(N58)*100,"0.0")&amp;". Turnout: if these counties vote at 95% of the state pace, the break-even moves to "&amp;IF((P58/0.95)&gt;=0,"D+","R+")&amp;TEXT(ABS((P58/0.95))*100,"0.0")&amp;"; at 105%, "&amp;IF((P58/1.05)&gt;=0,"D+","R+")&amp;TEXT(ABS((P58/1.05))*100,"0.0")&amp;"."</f>
        <v/>
      </c>
    </row>
    <row r="59" ht="40" customHeight="1">
      <c r="A59" s="8" t="inlineStr">
        <is>
          <t>FL|Big metro core</t>
        </is>
      </c>
      <c r="B59" s="8" t="inlineStr">
        <is>
          <t>FL</t>
        </is>
      </c>
      <c r="C59" s="8" t="inlineStr">
        <is>
          <t>Big metro core</t>
        </is>
      </c>
      <c r="D59" s="8">
        <f>COUNTIFS(Counties!$A$2:$A$1583,B59,Counties!$D$2:$D$1583,C59)</f>
        <v/>
      </c>
      <c r="E59" s="8">
        <f>COUNTIFS(Counties!$A$2:$A$1583,B59,Counties!$D$2:$D$1583,C59,Counties!$AG$2:$AG$1583,1)</f>
        <v/>
      </c>
      <c r="F59" s="12">
        <f>SUMIFS(Counties!$AF$2:$AF$1583,Counties!$A$2:$A$1583,$B59,Counties!$D$2:$D$1583,$C59,Counties!$AG$2:$AG$1583,1)</f>
        <v/>
      </c>
      <c r="G59" s="10">
        <f>IF(F59&gt;0,SUMIFS(Counties!$AP$2:$AP$1583,Counties!$A$2:$A$1583,$B59,Counties!$D$2:$D$1583,$C59)/F59,"")</f>
        <v/>
      </c>
      <c r="H59" s="10">
        <f>IF(G59&lt;&gt;"",G59,IF(Dashboard!$N$20&lt;&gt;"",Dashboard!$N$20,0))</f>
        <v/>
      </c>
      <c r="I59" s="12">
        <f>SUMIFS(Counties!$AQ$2:$AQ$1583,Counties!$A$2:$A$1583,$B59,Counties!$D$2:$D$1583,$C59,Counties!$AG$2:$AG$1583,1)</f>
        <v/>
      </c>
      <c r="J59" s="15">
        <f>IF(I59&gt;0,F59/I59,"")</f>
        <v/>
      </c>
      <c r="K59" s="15">
        <f>IF(J59="",Dashboard!$X$20,Dashboard!$X$20+(J59-Dashboard!$X$20)*E59/(E59+3))</f>
        <v/>
      </c>
      <c r="L59" s="57">
        <f>SUMIFS(Counties!$AQ$2:$AQ$1583,Counties!$A$2:$A$1583,$B59,Counties!$D$2:$D$1583,$C59)/SUMIFS(Counties!$AQ$2:$AQ$1583,Counties!$A$2:$A$1583,$B59)</f>
        <v/>
      </c>
      <c r="M59" s="9">
        <f>SUMIFS(Counties!$AR$2:$AR$1583,Counties!$A$2:$A$1583,$B59,Counties!$D$2:$D$1583,$C59)/SUMIFS(Counties!$AQ$2:$AQ$1583,Counties!$A$2:$A$1583,$B59,Counties!$D$2:$D$1583,$C59)</f>
        <v/>
      </c>
      <c r="N59" s="9">
        <f>M59+-0.05+Dashboard!$F$20</f>
        <v/>
      </c>
      <c r="O59" s="9">
        <f>M59+-0.01+Dashboard!$F$20</f>
        <v/>
      </c>
      <c r="P59" s="36">
        <f>M59+0.0+Dashboard!$F$20</f>
        <v/>
      </c>
      <c r="Q59" s="9">
        <f>M59+0.01+Dashboard!$F$20</f>
        <v/>
      </c>
      <c r="R59" s="9">
        <f>M59+0.05+Dashboard!$F$20</f>
        <v/>
      </c>
      <c r="S59" s="9">
        <f>IF(Dashboard!$K$20&gt;0,M59+H59,"")</f>
        <v/>
      </c>
      <c r="T59" s="10">
        <f>IF(G59="","",G59-Dashboard!$F$20)</f>
        <v/>
      </c>
      <c r="U59" s="8">
        <f>IF(F59=0,"no county of this type finished",IF(X59&gt;=0.05,"Great for Nixon",IF(X59&gt;=0.01,"Nixon on track",IF(X59&gt;-0.01,"Toss-up",IF(X59&gt;-0.05,"Moody on track","Great for Moody")))))</f>
        <v/>
      </c>
      <c r="V59" s="16">
        <f>IF(I59&gt;0,100*F59/(I59*Dashboard!$Y$20),"")</f>
        <v/>
      </c>
      <c r="W59" s="9">
        <f>IF(V59="","",P59/(V59/100))</f>
        <v/>
      </c>
      <c r="X59" s="10">
        <f>IF(F59&gt;0,(SUMIFS(Counties!$BA$2:$BA$1583,Counties!$A$2:$A$1583,$B59,Counties!$D$2:$D$1583,$C59,Counties!$AG$2:$AG$1583,1)+SUMIFS(Counties!$BB$2:$BB$1583,Counties!$A$2:$A$1583,$B59,Counties!$D$2:$D$1583,$C59,Counties!$AG$2:$AG$1583,1))/F59,"")</f>
        <v/>
      </c>
      <c r="Y59" s="37">
        <f>SUMIFS(Counties!$AZ$2:$AZ$1583,Counties!$A$2:$A$1583,$B59,Counties!$D$2:$D$1583,$C59)</f>
        <v/>
      </c>
      <c r="Z59" s="17">
        <f>"Big metro core: "&amp;TEXT(L59,"0.0%")&amp;" of the expected vote. Tie: "&amp;IF(P59&gt;=0,"D+","R+")&amp;TEXT(ABS(P59)*100,"0.0")&amp;". Nixon on track at "&amp;IF(Q59&gt;=0,"D+","R+")&amp;TEXT(ABS(Q59)*100,"0.0")&amp;", great at "&amp;IF(R59&gt;=0,"D+","R+")&amp;TEXT(ABS(R59)*100,"0.0")&amp;"; Moody on track at "&amp;IF(O59&gt;=0,"D+","R+")&amp;TEXT(ABS(O59)*100,"0.0")&amp;", great at "&amp;IF(N59&gt;=0,"D+","R+")&amp;TEXT(ABS(N59)*100,"0.0")&amp;". Turnout: if these counties vote at 95% of the state pace, the break-even moves to "&amp;IF((P59/0.95)&gt;=0,"D+","R+")&amp;TEXT(ABS((P59/0.95))*100,"0.0")&amp;"; at 105%, "&amp;IF((P59/1.05)&gt;=0,"D+","R+")&amp;TEXT(ABS((P59/1.05))*100,"0.0")&amp;"."</f>
        <v/>
      </c>
    </row>
    <row r="60" ht="40" customHeight="1">
      <c r="A60" s="8" t="inlineStr">
        <is>
          <t>FL|College suburb/metro</t>
        </is>
      </c>
      <c r="B60" s="8" t="inlineStr">
        <is>
          <t>FL</t>
        </is>
      </c>
      <c r="C60" s="8" t="inlineStr">
        <is>
          <t>College suburb/metro</t>
        </is>
      </c>
      <c r="D60" s="8">
        <f>COUNTIFS(Counties!$A$2:$A$1583,B60,Counties!$D$2:$D$1583,C60)</f>
        <v/>
      </c>
      <c r="E60" s="8">
        <f>COUNTIFS(Counties!$A$2:$A$1583,B60,Counties!$D$2:$D$1583,C60,Counties!$AG$2:$AG$1583,1)</f>
        <v/>
      </c>
      <c r="F60" s="12">
        <f>SUMIFS(Counties!$AF$2:$AF$1583,Counties!$A$2:$A$1583,$B60,Counties!$D$2:$D$1583,$C60,Counties!$AG$2:$AG$1583,1)</f>
        <v/>
      </c>
      <c r="G60" s="10">
        <f>IF(F60&gt;0,SUMIFS(Counties!$AP$2:$AP$1583,Counties!$A$2:$A$1583,$B60,Counties!$D$2:$D$1583,$C60)/F60,"")</f>
        <v/>
      </c>
      <c r="H60" s="10">
        <f>IF(G60&lt;&gt;"",G60,IF(Dashboard!$N$20&lt;&gt;"",Dashboard!$N$20,0))</f>
        <v/>
      </c>
      <c r="I60" s="12">
        <f>SUMIFS(Counties!$AQ$2:$AQ$1583,Counties!$A$2:$A$1583,$B60,Counties!$D$2:$D$1583,$C60,Counties!$AG$2:$AG$1583,1)</f>
        <v/>
      </c>
      <c r="J60" s="15">
        <f>IF(I60&gt;0,F60/I60,"")</f>
        <v/>
      </c>
      <c r="K60" s="15">
        <f>IF(J60="",Dashboard!$X$20,Dashboard!$X$20+(J60-Dashboard!$X$20)*E60/(E60+3))</f>
        <v/>
      </c>
      <c r="L60" s="57">
        <f>SUMIFS(Counties!$AQ$2:$AQ$1583,Counties!$A$2:$A$1583,$B60,Counties!$D$2:$D$1583,$C60)/SUMIFS(Counties!$AQ$2:$AQ$1583,Counties!$A$2:$A$1583,$B60)</f>
        <v/>
      </c>
      <c r="M60" s="9">
        <f>SUMIFS(Counties!$AR$2:$AR$1583,Counties!$A$2:$A$1583,$B60,Counties!$D$2:$D$1583,$C60)/SUMIFS(Counties!$AQ$2:$AQ$1583,Counties!$A$2:$A$1583,$B60,Counties!$D$2:$D$1583,$C60)</f>
        <v/>
      </c>
      <c r="N60" s="9">
        <f>M60+-0.05+Dashboard!$F$20</f>
        <v/>
      </c>
      <c r="O60" s="9">
        <f>M60+-0.01+Dashboard!$F$20</f>
        <v/>
      </c>
      <c r="P60" s="36">
        <f>M60+0.0+Dashboard!$F$20</f>
        <v/>
      </c>
      <c r="Q60" s="9">
        <f>M60+0.01+Dashboard!$F$20</f>
        <v/>
      </c>
      <c r="R60" s="9">
        <f>M60+0.05+Dashboard!$F$20</f>
        <v/>
      </c>
      <c r="S60" s="9">
        <f>IF(Dashboard!$K$20&gt;0,M60+H60,"")</f>
        <v/>
      </c>
      <c r="T60" s="10">
        <f>IF(G60="","",G60-Dashboard!$F$20)</f>
        <v/>
      </c>
      <c r="U60" s="8">
        <f>IF(F60=0,"no county of this type finished",IF(X60&gt;=0.05,"Great for Nixon",IF(X60&gt;=0.01,"Nixon on track",IF(X60&gt;-0.01,"Toss-up",IF(X60&gt;-0.05,"Moody on track","Great for Moody")))))</f>
        <v/>
      </c>
      <c r="V60" s="16">
        <f>IF(I60&gt;0,100*F60/(I60*Dashboard!$Y$20),"")</f>
        <v/>
      </c>
      <c r="W60" s="9">
        <f>IF(V60="","",P60/(V60/100))</f>
        <v/>
      </c>
      <c r="X60" s="10">
        <f>IF(F60&gt;0,(SUMIFS(Counties!$BA$2:$BA$1583,Counties!$A$2:$A$1583,$B60,Counties!$D$2:$D$1583,$C60,Counties!$AG$2:$AG$1583,1)+SUMIFS(Counties!$BB$2:$BB$1583,Counties!$A$2:$A$1583,$B60,Counties!$D$2:$D$1583,$C60,Counties!$AG$2:$AG$1583,1))/F60,"")</f>
        <v/>
      </c>
      <c r="Y60" s="37">
        <f>SUMIFS(Counties!$AZ$2:$AZ$1583,Counties!$A$2:$A$1583,$B60,Counties!$D$2:$D$1583,$C60)</f>
        <v/>
      </c>
      <c r="Z60" s="17">
        <f>"College suburb/metro: "&amp;TEXT(L60,"0.0%")&amp;" of the expected vote. Tie: "&amp;IF(P60&gt;=0,"D+","R+")&amp;TEXT(ABS(P60)*100,"0.0")&amp;". Nixon on track at "&amp;IF(Q60&gt;=0,"D+","R+")&amp;TEXT(ABS(Q60)*100,"0.0")&amp;", great at "&amp;IF(R60&gt;=0,"D+","R+")&amp;TEXT(ABS(R60)*100,"0.0")&amp;"; Moody on track at "&amp;IF(O60&gt;=0,"D+","R+")&amp;TEXT(ABS(O60)*100,"0.0")&amp;", great at "&amp;IF(N60&gt;=0,"D+","R+")&amp;TEXT(ABS(N60)*100,"0.0")&amp;". Turnout: if these counties vote at 95% of the state pace, the break-even moves to "&amp;IF((P60/0.95)&gt;=0,"D+","R+")&amp;TEXT(ABS((P60/0.95))*100,"0.0")&amp;"; at 105%, "&amp;IF((P60/1.05)&gt;=0,"D+","R+")&amp;TEXT(ABS((P60/1.05))*100,"0.0")&amp;"."</f>
        <v/>
      </c>
    </row>
    <row r="61" ht="40" customHeight="1">
      <c r="A61" s="8" t="inlineStr">
        <is>
          <t>FL|Mid-size/working metro</t>
        </is>
      </c>
      <c r="B61" s="8" t="inlineStr">
        <is>
          <t>FL</t>
        </is>
      </c>
      <c r="C61" s="8" t="inlineStr">
        <is>
          <t>Mid-size/working metro</t>
        </is>
      </c>
      <c r="D61" s="8">
        <f>COUNTIFS(Counties!$A$2:$A$1583,B61,Counties!$D$2:$D$1583,C61)</f>
        <v/>
      </c>
      <c r="E61" s="8">
        <f>COUNTIFS(Counties!$A$2:$A$1583,B61,Counties!$D$2:$D$1583,C61,Counties!$AG$2:$AG$1583,1)</f>
        <v/>
      </c>
      <c r="F61" s="12">
        <f>SUMIFS(Counties!$AF$2:$AF$1583,Counties!$A$2:$A$1583,$B61,Counties!$D$2:$D$1583,$C61,Counties!$AG$2:$AG$1583,1)</f>
        <v/>
      </c>
      <c r="G61" s="10">
        <f>IF(F61&gt;0,SUMIFS(Counties!$AP$2:$AP$1583,Counties!$A$2:$A$1583,$B61,Counties!$D$2:$D$1583,$C61)/F61,"")</f>
        <v/>
      </c>
      <c r="H61" s="10">
        <f>IF(G61&lt;&gt;"",G61,IF(Dashboard!$N$20&lt;&gt;"",Dashboard!$N$20,0))</f>
        <v/>
      </c>
      <c r="I61" s="12">
        <f>SUMIFS(Counties!$AQ$2:$AQ$1583,Counties!$A$2:$A$1583,$B61,Counties!$D$2:$D$1583,$C61,Counties!$AG$2:$AG$1583,1)</f>
        <v/>
      </c>
      <c r="J61" s="15">
        <f>IF(I61&gt;0,F61/I61,"")</f>
        <v/>
      </c>
      <c r="K61" s="15">
        <f>IF(J61="",Dashboard!$X$20,Dashboard!$X$20+(J61-Dashboard!$X$20)*E61/(E61+3))</f>
        <v/>
      </c>
      <c r="L61" s="57">
        <f>SUMIFS(Counties!$AQ$2:$AQ$1583,Counties!$A$2:$A$1583,$B61,Counties!$D$2:$D$1583,$C61)/SUMIFS(Counties!$AQ$2:$AQ$1583,Counties!$A$2:$A$1583,$B61)</f>
        <v/>
      </c>
      <c r="M61" s="9">
        <f>SUMIFS(Counties!$AR$2:$AR$1583,Counties!$A$2:$A$1583,$B61,Counties!$D$2:$D$1583,$C61)/SUMIFS(Counties!$AQ$2:$AQ$1583,Counties!$A$2:$A$1583,$B61,Counties!$D$2:$D$1583,$C61)</f>
        <v/>
      </c>
      <c r="N61" s="9">
        <f>M61+-0.05+Dashboard!$F$20</f>
        <v/>
      </c>
      <c r="O61" s="9">
        <f>M61+-0.01+Dashboard!$F$20</f>
        <v/>
      </c>
      <c r="P61" s="36">
        <f>M61+0.0+Dashboard!$F$20</f>
        <v/>
      </c>
      <c r="Q61" s="9">
        <f>M61+0.01+Dashboard!$F$20</f>
        <v/>
      </c>
      <c r="R61" s="9">
        <f>M61+0.05+Dashboard!$F$20</f>
        <v/>
      </c>
      <c r="S61" s="9">
        <f>IF(Dashboard!$K$20&gt;0,M61+H61,"")</f>
        <v/>
      </c>
      <c r="T61" s="10">
        <f>IF(G61="","",G61-Dashboard!$F$20)</f>
        <v/>
      </c>
      <c r="U61" s="8">
        <f>IF(F61=0,"no county of this type finished",IF(X61&gt;=0.05,"Great for Nixon",IF(X61&gt;=0.01,"Nixon on track",IF(X61&gt;-0.01,"Toss-up",IF(X61&gt;-0.05,"Moody on track","Great for Moody")))))</f>
        <v/>
      </c>
      <c r="V61" s="16">
        <f>IF(I61&gt;0,100*F61/(I61*Dashboard!$Y$20),"")</f>
        <v/>
      </c>
      <c r="W61" s="9">
        <f>IF(V61="","",P61/(V61/100))</f>
        <v/>
      </c>
      <c r="X61" s="10">
        <f>IF(F61&gt;0,(SUMIFS(Counties!$BA$2:$BA$1583,Counties!$A$2:$A$1583,$B61,Counties!$D$2:$D$1583,$C61,Counties!$AG$2:$AG$1583,1)+SUMIFS(Counties!$BB$2:$BB$1583,Counties!$A$2:$A$1583,$B61,Counties!$D$2:$D$1583,$C61,Counties!$AG$2:$AG$1583,1))/F61,"")</f>
        <v/>
      </c>
      <c r="Y61" s="37">
        <f>SUMIFS(Counties!$AZ$2:$AZ$1583,Counties!$A$2:$A$1583,$B61,Counties!$D$2:$D$1583,$C61)</f>
        <v/>
      </c>
      <c r="Z61" s="17">
        <f>"Mid-size/working metro: "&amp;TEXT(L61,"0.0%")&amp;" of the expected vote. Tie: "&amp;IF(P61&gt;=0,"D+","R+")&amp;TEXT(ABS(P61)*100,"0.0")&amp;". Nixon on track at "&amp;IF(Q61&gt;=0,"D+","R+")&amp;TEXT(ABS(Q61)*100,"0.0")&amp;", great at "&amp;IF(R61&gt;=0,"D+","R+")&amp;TEXT(ABS(R61)*100,"0.0")&amp;"; Moody on track at "&amp;IF(O61&gt;=0,"D+","R+")&amp;TEXT(ABS(O61)*100,"0.0")&amp;", great at "&amp;IF(N61&gt;=0,"D+","R+")&amp;TEXT(ABS(N61)*100,"0.0")&amp;". Turnout: if these counties vote at 95% of the state pace, the break-even moves to "&amp;IF((P61/0.95)&gt;=0,"D+","R+")&amp;TEXT(ABS((P61/0.95))*100,"0.0")&amp;"; at 105%, "&amp;IF((P61/1.05)&gt;=0,"D+","R+")&amp;TEXT(ABS((P61/1.05))*100,"0.0")&amp;"."</f>
        <v/>
      </c>
    </row>
    <row r="62" ht="40" customHeight="1">
      <c r="A62" s="8" t="inlineStr">
        <is>
          <t>FL|Black Belt</t>
        </is>
      </c>
      <c r="B62" s="8" t="inlineStr">
        <is>
          <t>FL</t>
        </is>
      </c>
      <c r="C62" s="8" t="inlineStr">
        <is>
          <t>Black Belt</t>
        </is>
      </c>
      <c r="D62" s="8">
        <f>COUNTIFS(Counties!$A$2:$A$1583,B62,Counties!$D$2:$D$1583,C62)</f>
        <v/>
      </c>
      <c r="E62" s="8">
        <f>COUNTIFS(Counties!$A$2:$A$1583,B62,Counties!$D$2:$D$1583,C62,Counties!$AG$2:$AG$1583,1)</f>
        <v/>
      </c>
      <c r="F62" s="12">
        <f>SUMIFS(Counties!$AF$2:$AF$1583,Counties!$A$2:$A$1583,$B62,Counties!$D$2:$D$1583,$C62,Counties!$AG$2:$AG$1583,1)</f>
        <v/>
      </c>
      <c r="G62" s="10">
        <f>IF(F62&gt;0,SUMIFS(Counties!$AP$2:$AP$1583,Counties!$A$2:$A$1583,$B62,Counties!$D$2:$D$1583,$C62)/F62,"")</f>
        <v/>
      </c>
      <c r="H62" s="10">
        <f>IF(G62&lt;&gt;"",G62,IF(Dashboard!$N$20&lt;&gt;"",Dashboard!$N$20,0))</f>
        <v/>
      </c>
      <c r="I62" s="12">
        <f>SUMIFS(Counties!$AQ$2:$AQ$1583,Counties!$A$2:$A$1583,$B62,Counties!$D$2:$D$1583,$C62,Counties!$AG$2:$AG$1583,1)</f>
        <v/>
      </c>
      <c r="J62" s="15">
        <f>IF(I62&gt;0,F62/I62,"")</f>
        <v/>
      </c>
      <c r="K62" s="15">
        <f>IF(J62="",Dashboard!$X$20,Dashboard!$X$20+(J62-Dashboard!$X$20)*E62/(E62+3))</f>
        <v/>
      </c>
      <c r="L62" s="57">
        <f>SUMIFS(Counties!$AQ$2:$AQ$1583,Counties!$A$2:$A$1583,$B62,Counties!$D$2:$D$1583,$C62)/SUMIFS(Counties!$AQ$2:$AQ$1583,Counties!$A$2:$A$1583,$B62)</f>
        <v/>
      </c>
      <c r="M62" s="9">
        <f>SUMIFS(Counties!$AR$2:$AR$1583,Counties!$A$2:$A$1583,$B62,Counties!$D$2:$D$1583,$C62)/SUMIFS(Counties!$AQ$2:$AQ$1583,Counties!$A$2:$A$1583,$B62,Counties!$D$2:$D$1583,$C62)</f>
        <v/>
      </c>
      <c r="N62" s="9">
        <f>M62+-0.05+Dashboard!$F$20</f>
        <v/>
      </c>
      <c r="O62" s="9">
        <f>M62+-0.01+Dashboard!$F$20</f>
        <v/>
      </c>
      <c r="P62" s="36">
        <f>M62+0.0+Dashboard!$F$20</f>
        <v/>
      </c>
      <c r="Q62" s="9">
        <f>M62+0.01+Dashboard!$F$20</f>
        <v/>
      </c>
      <c r="R62" s="9">
        <f>M62+0.05+Dashboard!$F$20</f>
        <v/>
      </c>
      <c r="S62" s="9">
        <f>IF(Dashboard!$K$20&gt;0,M62+H62,"")</f>
        <v/>
      </c>
      <c r="T62" s="10">
        <f>IF(G62="","",G62-Dashboard!$F$20)</f>
        <v/>
      </c>
      <c r="U62" s="8">
        <f>IF(F62=0,"no county of this type finished",IF(X62&gt;=0.05,"Great for Nixon",IF(X62&gt;=0.01,"Nixon on track",IF(X62&gt;-0.01,"Toss-up",IF(X62&gt;-0.05,"Moody on track","Great for Moody")))))</f>
        <v/>
      </c>
      <c r="V62" s="16">
        <f>IF(I62&gt;0,100*F62/(I62*Dashboard!$Y$20),"")</f>
        <v/>
      </c>
      <c r="W62" s="9">
        <f>IF(V62="","",P62/(V62/100))</f>
        <v/>
      </c>
      <c r="X62" s="10">
        <f>IF(F62&gt;0,(SUMIFS(Counties!$BA$2:$BA$1583,Counties!$A$2:$A$1583,$B62,Counties!$D$2:$D$1583,$C62,Counties!$AG$2:$AG$1583,1)+SUMIFS(Counties!$BB$2:$BB$1583,Counties!$A$2:$A$1583,$B62,Counties!$D$2:$D$1583,$C62,Counties!$AG$2:$AG$1583,1))/F62,"")</f>
        <v/>
      </c>
      <c r="Y62" s="37">
        <f>SUMIFS(Counties!$AZ$2:$AZ$1583,Counties!$A$2:$A$1583,$B62,Counties!$D$2:$D$1583,$C62)</f>
        <v/>
      </c>
      <c r="Z62" s="17">
        <f>"Black Belt: "&amp;TEXT(L62,"0.0%")&amp;" of the expected vote. Tie: "&amp;IF(P62&gt;=0,"D+","R+")&amp;TEXT(ABS(P62)*100,"0.0")&amp;". Nixon on track at "&amp;IF(Q62&gt;=0,"D+","R+")&amp;TEXT(ABS(Q62)*100,"0.0")&amp;", great at "&amp;IF(R62&gt;=0,"D+","R+")&amp;TEXT(ABS(R62)*100,"0.0")&amp;"; Moody on track at "&amp;IF(O62&gt;=0,"D+","R+")&amp;TEXT(ABS(O62)*100,"0.0")&amp;", great at "&amp;IF(N62&gt;=0,"D+","R+")&amp;TEXT(ABS(N62)*100,"0.0")&amp;". Turnout: if these counties vote at 95% of the state pace, the break-even moves to "&amp;IF((P62/0.95)&gt;=0,"D+","R+")&amp;TEXT(ABS((P62/0.95))*100,"0.0")&amp;"; at 105%, "&amp;IF((P62/1.05)&gt;=0,"D+","R+")&amp;TEXT(ABS((P62/1.05))*100,"0.0")&amp;"."</f>
        <v/>
      </c>
    </row>
    <row r="63" ht="40" customHeight="1">
      <c r="A63" s="8" t="inlineStr">
        <is>
          <t>FL|Hispanic</t>
        </is>
      </c>
      <c r="B63" s="8" t="inlineStr">
        <is>
          <t>FL</t>
        </is>
      </c>
      <c r="C63" s="8" t="inlineStr">
        <is>
          <t>Hispanic</t>
        </is>
      </c>
      <c r="D63" s="8">
        <f>COUNTIFS(Counties!$A$2:$A$1583,B63,Counties!$D$2:$D$1583,C63)</f>
        <v/>
      </c>
      <c r="E63" s="8">
        <f>COUNTIFS(Counties!$A$2:$A$1583,B63,Counties!$D$2:$D$1583,C63,Counties!$AG$2:$AG$1583,1)</f>
        <v/>
      </c>
      <c r="F63" s="12">
        <f>SUMIFS(Counties!$AF$2:$AF$1583,Counties!$A$2:$A$1583,$B63,Counties!$D$2:$D$1583,$C63,Counties!$AG$2:$AG$1583,1)</f>
        <v/>
      </c>
      <c r="G63" s="10">
        <f>IF(F63&gt;0,SUMIFS(Counties!$AP$2:$AP$1583,Counties!$A$2:$A$1583,$B63,Counties!$D$2:$D$1583,$C63)/F63,"")</f>
        <v/>
      </c>
      <c r="H63" s="10">
        <f>IF(G63&lt;&gt;"",G63,IF(Dashboard!$N$20&lt;&gt;"",Dashboard!$N$20,0))</f>
        <v/>
      </c>
      <c r="I63" s="12">
        <f>SUMIFS(Counties!$AQ$2:$AQ$1583,Counties!$A$2:$A$1583,$B63,Counties!$D$2:$D$1583,$C63,Counties!$AG$2:$AG$1583,1)</f>
        <v/>
      </c>
      <c r="J63" s="15">
        <f>IF(I63&gt;0,F63/I63,"")</f>
        <v/>
      </c>
      <c r="K63" s="15">
        <f>IF(J63="",Dashboard!$X$20,Dashboard!$X$20+(J63-Dashboard!$X$20)*E63/(E63+3))</f>
        <v/>
      </c>
      <c r="L63" s="57">
        <f>SUMIFS(Counties!$AQ$2:$AQ$1583,Counties!$A$2:$A$1583,$B63,Counties!$D$2:$D$1583,$C63)/SUMIFS(Counties!$AQ$2:$AQ$1583,Counties!$A$2:$A$1583,$B63)</f>
        <v/>
      </c>
      <c r="M63" s="9">
        <f>SUMIFS(Counties!$AR$2:$AR$1583,Counties!$A$2:$A$1583,$B63,Counties!$D$2:$D$1583,$C63)/SUMIFS(Counties!$AQ$2:$AQ$1583,Counties!$A$2:$A$1583,$B63,Counties!$D$2:$D$1583,$C63)</f>
        <v/>
      </c>
      <c r="N63" s="9">
        <f>M63+-0.05+Dashboard!$F$20</f>
        <v/>
      </c>
      <c r="O63" s="9">
        <f>M63+-0.01+Dashboard!$F$20</f>
        <v/>
      </c>
      <c r="P63" s="36">
        <f>M63+0.0+Dashboard!$F$20</f>
        <v/>
      </c>
      <c r="Q63" s="9">
        <f>M63+0.01+Dashboard!$F$20</f>
        <v/>
      </c>
      <c r="R63" s="9">
        <f>M63+0.05+Dashboard!$F$20</f>
        <v/>
      </c>
      <c r="S63" s="9">
        <f>IF(Dashboard!$K$20&gt;0,M63+H63,"")</f>
        <v/>
      </c>
      <c r="T63" s="10">
        <f>IF(G63="","",G63-Dashboard!$F$20)</f>
        <v/>
      </c>
      <c r="U63" s="8">
        <f>IF(F63=0,"no county of this type finished",IF(X63&gt;=0.05,"Great for Nixon",IF(X63&gt;=0.01,"Nixon on track",IF(X63&gt;-0.01,"Toss-up",IF(X63&gt;-0.05,"Moody on track","Great for Moody")))))</f>
        <v/>
      </c>
      <c r="V63" s="16">
        <f>IF(I63&gt;0,100*F63/(I63*Dashboard!$Y$20),"")</f>
        <v/>
      </c>
      <c r="W63" s="9">
        <f>IF(V63="","",P63/(V63/100))</f>
        <v/>
      </c>
      <c r="X63" s="10">
        <f>IF(F63&gt;0,(SUMIFS(Counties!$BA$2:$BA$1583,Counties!$A$2:$A$1583,$B63,Counties!$D$2:$D$1583,$C63,Counties!$AG$2:$AG$1583,1)+SUMIFS(Counties!$BB$2:$BB$1583,Counties!$A$2:$A$1583,$B63,Counties!$D$2:$D$1583,$C63,Counties!$AG$2:$AG$1583,1))/F63,"")</f>
        <v/>
      </c>
      <c r="Y63" s="37">
        <f>SUMIFS(Counties!$AZ$2:$AZ$1583,Counties!$A$2:$A$1583,$B63,Counties!$D$2:$D$1583,$C63)</f>
        <v/>
      </c>
      <c r="Z63" s="17">
        <f>"Hispanic: "&amp;TEXT(L63,"0.0%")&amp;" of the expected vote. Tie: "&amp;IF(P63&gt;=0,"D+","R+")&amp;TEXT(ABS(P63)*100,"0.0")&amp;". Nixon on track at "&amp;IF(Q63&gt;=0,"D+","R+")&amp;TEXT(ABS(Q63)*100,"0.0")&amp;", great at "&amp;IF(R63&gt;=0,"D+","R+")&amp;TEXT(ABS(R63)*100,"0.0")&amp;"; Moody on track at "&amp;IF(O63&gt;=0,"D+","R+")&amp;TEXT(ABS(O63)*100,"0.0")&amp;", great at "&amp;IF(N63&gt;=0,"D+","R+")&amp;TEXT(ABS(N63)*100,"0.0")&amp;". Turnout: if these counties vote at 95% of the state pace, the break-even moves to "&amp;IF((P63/0.95)&gt;=0,"D+","R+")&amp;TEXT(ABS((P63/0.95))*100,"0.0")&amp;"; at 105%, "&amp;IF((P63/1.05)&gt;=0,"D+","R+")&amp;TEXT(ABS((P63/1.05))*100,"0.0")&amp;"."</f>
        <v/>
      </c>
    </row>
    <row r="64" ht="40" customHeight="1">
      <c r="A64" s="8" t="inlineStr">
        <is>
          <t>FL|Small town &amp; rural</t>
        </is>
      </c>
      <c r="B64" s="8" t="inlineStr">
        <is>
          <t>FL</t>
        </is>
      </c>
      <c r="C64" s="8" t="inlineStr">
        <is>
          <t>Small town &amp; rural</t>
        </is>
      </c>
      <c r="D64" s="8">
        <f>COUNTIFS(Counties!$A$2:$A$1583,B64,Counties!$D$2:$D$1583,C64)</f>
        <v/>
      </c>
      <c r="E64" s="8">
        <f>COUNTIFS(Counties!$A$2:$A$1583,B64,Counties!$D$2:$D$1583,C64,Counties!$AG$2:$AG$1583,1)</f>
        <v/>
      </c>
      <c r="F64" s="12">
        <f>SUMIFS(Counties!$AF$2:$AF$1583,Counties!$A$2:$A$1583,$B64,Counties!$D$2:$D$1583,$C64,Counties!$AG$2:$AG$1583,1)</f>
        <v/>
      </c>
      <c r="G64" s="10">
        <f>IF(F64&gt;0,SUMIFS(Counties!$AP$2:$AP$1583,Counties!$A$2:$A$1583,$B64,Counties!$D$2:$D$1583,$C64)/F64,"")</f>
        <v/>
      </c>
      <c r="H64" s="10">
        <f>IF(G64&lt;&gt;"",G64,IF(Dashboard!$N$20&lt;&gt;"",Dashboard!$N$20,0))</f>
        <v/>
      </c>
      <c r="I64" s="12">
        <f>SUMIFS(Counties!$AQ$2:$AQ$1583,Counties!$A$2:$A$1583,$B64,Counties!$D$2:$D$1583,$C64,Counties!$AG$2:$AG$1583,1)</f>
        <v/>
      </c>
      <c r="J64" s="15">
        <f>IF(I64&gt;0,F64/I64,"")</f>
        <v/>
      </c>
      <c r="K64" s="15">
        <f>IF(J64="",Dashboard!$X$20,Dashboard!$X$20+(J64-Dashboard!$X$20)*E64/(E64+3))</f>
        <v/>
      </c>
      <c r="L64" s="57">
        <f>SUMIFS(Counties!$AQ$2:$AQ$1583,Counties!$A$2:$A$1583,$B64,Counties!$D$2:$D$1583,$C64)/SUMIFS(Counties!$AQ$2:$AQ$1583,Counties!$A$2:$A$1583,$B64)</f>
        <v/>
      </c>
      <c r="M64" s="9">
        <f>SUMIFS(Counties!$AR$2:$AR$1583,Counties!$A$2:$A$1583,$B64,Counties!$D$2:$D$1583,$C64)/SUMIFS(Counties!$AQ$2:$AQ$1583,Counties!$A$2:$A$1583,$B64,Counties!$D$2:$D$1583,$C64)</f>
        <v/>
      </c>
      <c r="N64" s="9">
        <f>M64+-0.05+Dashboard!$F$20</f>
        <v/>
      </c>
      <c r="O64" s="9">
        <f>M64+-0.01+Dashboard!$F$20</f>
        <v/>
      </c>
      <c r="P64" s="36">
        <f>M64+0.0+Dashboard!$F$20</f>
        <v/>
      </c>
      <c r="Q64" s="9">
        <f>M64+0.01+Dashboard!$F$20</f>
        <v/>
      </c>
      <c r="R64" s="9">
        <f>M64+0.05+Dashboard!$F$20</f>
        <v/>
      </c>
      <c r="S64" s="9">
        <f>IF(Dashboard!$K$20&gt;0,M64+H64,"")</f>
        <v/>
      </c>
      <c r="T64" s="10">
        <f>IF(G64="","",G64-Dashboard!$F$20)</f>
        <v/>
      </c>
      <c r="U64" s="8">
        <f>IF(F64=0,"no county of this type finished",IF(X64&gt;=0.05,"Great for Nixon",IF(X64&gt;=0.01,"Nixon on track",IF(X64&gt;-0.01,"Toss-up",IF(X64&gt;-0.05,"Moody on track","Great for Moody")))))</f>
        <v/>
      </c>
      <c r="V64" s="16">
        <f>IF(I64&gt;0,100*F64/(I64*Dashboard!$Y$20),"")</f>
        <v/>
      </c>
      <c r="W64" s="9">
        <f>IF(V64="","",P64/(V64/100))</f>
        <v/>
      </c>
      <c r="X64" s="10">
        <f>IF(F64&gt;0,(SUMIFS(Counties!$BA$2:$BA$1583,Counties!$A$2:$A$1583,$B64,Counties!$D$2:$D$1583,$C64,Counties!$AG$2:$AG$1583,1)+SUMIFS(Counties!$BB$2:$BB$1583,Counties!$A$2:$A$1583,$B64,Counties!$D$2:$D$1583,$C64,Counties!$AG$2:$AG$1583,1))/F64,"")</f>
        <v/>
      </c>
      <c r="Y64" s="37">
        <f>SUMIFS(Counties!$AZ$2:$AZ$1583,Counties!$A$2:$A$1583,$B64,Counties!$D$2:$D$1583,$C64)</f>
        <v/>
      </c>
      <c r="Z64" s="17">
        <f>"Small town &amp; rural: "&amp;TEXT(L64,"0.0%")&amp;" of the expected vote. Tie: "&amp;IF(P64&gt;=0,"D+","R+")&amp;TEXT(ABS(P64)*100,"0.0")&amp;". Nixon on track at "&amp;IF(Q64&gt;=0,"D+","R+")&amp;TEXT(ABS(Q64)*100,"0.0")&amp;", great at "&amp;IF(R64&gt;=0,"D+","R+")&amp;TEXT(ABS(R64)*100,"0.0")&amp;"; Moody on track at "&amp;IF(O64&gt;=0,"D+","R+")&amp;TEXT(ABS(O64)*100,"0.0")&amp;", great at "&amp;IF(N64&gt;=0,"D+","R+")&amp;TEXT(ABS(N64)*100,"0.0")&amp;". Turnout: if these counties vote at 95% of the state pace, the break-even moves to "&amp;IF((P64/0.95)&gt;=0,"D+","R+")&amp;TEXT(ABS((P64/0.95))*100,"0.0")&amp;"; at 105%, "&amp;IF((P64/1.05)&gt;=0,"D+","R+")&amp;TEXT(ABS((P64/1.05))*100,"0.0")&amp;"."</f>
        <v/>
      </c>
    </row>
    <row r="65" ht="40" customHeight="1">
      <c r="A65" s="8" t="inlineStr">
        <is>
          <t>VA|Big metro core</t>
        </is>
      </c>
      <c r="B65" s="8" t="inlineStr">
        <is>
          <t>VA</t>
        </is>
      </c>
      <c r="C65" s="8" t="inlineStr">
        <is>
          <t>Big metro core</t>
        </is>
      </c>
      <c r="D65" s="8">
        <f>COUNTIFS(Counties!$A$2:$A$1583,B65,Counties!$D$2:$D$1583,C65)</f>
        <v/>
      </c>
      <c r="E65" s="8">
        <f>COUNTIFS(Counties!$A$2:$A$1583,B65,Counties!$D$2:$D$1583,C65,Counties!$AG$2:$AG$1583,1)</f>
        <v/>
      </c>
      <c r="F65" s="12">
        <f>SUMIFS(Counties!$AF$2:$AF$1583,Counties!$A$2:$A$1583,$B65,Counties!$D$2:$D$1583,$C65,Counties!$AG$2:$AG$1583,1)</f>
        <v/>
      </c>
      <c r="G65" s="10">
        <f>IF(F65&gt;0,SUMIFS(Counties!$AP$2:$AP$1583,Counties!$A$2:$A$1583,$B65,Counties!$D$2:$D$1583,$C65)/F65,"")</f>
        <v/>
      </c>
      <c r="H65" s="10">
        <f>IF(G65&lt;&gt;"",G65,IF(Dashboard!$N$21&lt;&gt;"",Dashboard!$N$21,0))</f>
        <v/>
      </c>
      <c r="I65" s="12">
        <f>SUMIFS(Counties!$AQ$2:$AQ$1583,Counties!$A$2:$A$1583,$B65,Counties!$D$2:$D$1583,$C65,Counties!$AG$2:$AG$1583,1)</f>
        <v/>
      </c>
      <c r="J65" s="15">
        <f>IF(I65&gt;0,F65/I65,"")</f>
        <v/>
      </c>
      <c r="K65" s="15">
        <f>IF(J65="",Dashboard!$X$21,Dashboard!$X$21+(J65-Dashboard!$X$21)*E65/(E65+3))</f>
        <v/>
      </c>
      <c r="L65" s="57">
        <f>SUMIFS(Counties!$AQ$2:$AQ$1583,Counties!$A$2:$A$1583,$B65,Counties!$D$2:$D$1583,$C65)/SUMIFS(Counties!$AQ$2:$AQ$1583,Counties!$A$2:$A$1583,$B65)</f>
        <v/>
      </c>
      <c r="M65" s="9">
        <f>SUMIFS(Counties!$AR$2:$AR$1583,Counties!$A$2:$A$1583,$B65,Counties!$D$2:$D$1583,$C65)/SUMIFS(Counties!$AQ$2:$AQ$1583,Counties!$A$2:$A$1583,$B65,Counties!$D$2:$D$1583,$C65)</f>
        <v/>
      </c>
      <c r="N65" s="9">
        <f>M65+-0.05+Dashboard!$F$21</f>
        <v/>
      </c>
      <c r="O65" s="9">
        <f>M65+-0.01+Dashboard!$F$21</f>
        <v/>
      </c>
      <c r="P65" s="36">
        <f>M65+0.0+Dashboard!$F$21</f>
        <v/>
      </c>
      <c r="Q65" s="9">
        <f>M65+0.01+Dashboard!$F$21</f>
        <v/>
      </c>
      <c r="R65" s="9">
        <f>M65+0.05+Dashboard!$F$21</f>
        <v/>
      </c>
      <c r="S65" s="9">
        <f>IF(Dashboard!$K$21&gt;0,M65+H65,"")</f>
        <v/>
      </c>
      <c r="T65" s="10">
        <f>IF(G65="","",G65-Dashboard!$F$21)</f>
        <v/>
      </c>
      <c r="U65" s="8">
        <f>IF(F65=0,"no county of this type finished",IF(X65&gt;=0.05,"Great for Warner",IF(X65&gt;=0.01,"Warner on track",IF(X65&gt;-0.01,"Toss-up",IF(X65&gt;-0.05,"Mizusawa on track","Great for Mizusawa")))))</f>
        <v/>
      </c>
      <c r="V65" s="16">
        <f>IF(I65&gt;0,100*F65/(I65*Dashboard!$Y$21),"")</f>
        <v/>
      </c>
      <c r="W65" s="9">
        <f>IF(V65="","",P65/(V65/100))</f>
        <v/>
      </c>
      <c r="X65" s="10">
        <f>IF(F65&gt;0,(SUMIFS(Counties!$BA$2:$BA$1583,Counties!$A$2:$A$1583,$B65,Counties!$D$2:$D$1583,$C65,Counties!$AG$2:$AG$1583,1)+SUMIFS(Counties!$BB$2:$BB$1583,Counties!$A$2:$A$1583,$B65,Counties!$D$2:$D$1583,$C65,Counties!$AG$2:$AG$1583,1))/F65,"")</f>
        <v/>
      </c>
      <c r="Y65" s="37">
        <f>SUMIFS(Counties!$AZ$2:$AZ$1583,Counties!$A$2:$A$1583,$B65,Counties!$D$2:$D$1583,$C65)</f>
        <v/>
      </c>
      <c r="Z65" s="17">
        <f>"Big metro core: "&amp;TEXT(L65,"0.0%")&amp;" of the expected vote. Tie: "&amp;IF(P65&gt;=0,"D+","R+")&amp;TEXT(ABS(P65)*100,"0.0")&amp;". Warner on track at "&amp;IF(Q65&gt;=0,"D+","R+")&amp;TEXT(ABS(Q65)*100,"0.0")&amp;", great at "&amp;IF(R65&gt;=0,"D+","R+")&amp;TEXT(ABS(R65)*100,"0.0")&amp;"; Mizusawa on track at "&amp;IF(O65&gt;=0,"D+","R+")&amp;TEXT(ABS(O65)*100,"0.0")&amp;", great at "&amp;IF(N65&gt;=0,"D+","R+")&amp;TEXT(ABS(N65)*100,"0.0")&amp;". Turnout: if these counties vote at 95% of the state pace, the break-even moves to "&amp;IF((P65/0.95)&gt;=0,"D+","R+")&amp;TEXT(ABS((P65/0.95))*100,"0.0")&amp;"; at 105%, "&amp;IF((P65/1.05)&gt;=0,"D+","R+")&amp;TEXT(ABS((P65/1.05))*100,"0.0")&amp;"."</f>
        <v/>
      </c>
    </row>
    <row r="66" ht="40" customHeight="1">
      <c r="A66" s="8" t="inlineStr">
        <is>
          <t>VA|College suburb/metro</t>
        </is>
      </c>
      <c r="B66" s="8" t="inlineStr">
        <is>
          <t>VA</t>
        </is>
      </c>
      <c r="C66" s="8" t="inlineStr">
        <is>
          <t>College suburb/metro</t>
        </is>
      </c>
      <c r="D66" s="8">
        <f>COUNTIFS(Counties!$A$2:$A$1583,B66,Counties!$D$2:$D$1583,C66)</f>
        <v/>
      </c>
      <c r="E66" s="8">
        <f>COUNTIFS(Counties!$A$2:$A$1583,B66,Counties!$D$2:$D$1583,C66,Counties!$AG$2:$AG$1583,1)</f>
        <v/>
      </c>
      <c r="F66" s="12">
        <f>SUMIFS(Counties!$AF$2:$AF$1583,Counties!$A$2:$A$1583,$B66,Counties!$D$2:$D$1583,$C66,Counties!$AG$2:$AG$1583,1)</f>
        <v/>
      </c>
      <c r="G66" s="10">
        <f>IF(F66&gt;0,SUMIFS(Counties!$AP$2:$AP$1583,Counties!$A$2:$A$1583,$B66,Counties!$D$2:$D$1583,$C66)/F66,"")</f>
        <v/>
      </c>
      <c r="H66" s="10">
        <f>IF(G66&lt;&gt;"",G66,IF(Dashboard!$N$21&lt;&gt;"",Dashboard!$N$21,0))</f>
        <v/>
      </c>
      <c r="I66" s="12">
        <f>SUMIFS(Counties!$AQ$2:$AQ$1583,Counties!$A$2:$A$1583,$B66,Counties!$D$2:$D$1583,$C66,Counties!$AG$2:$AG$1583,1)</f>
        <v/>
      </c>
      <c r="J66" s="15">
        <f>IF(I66&gt;0,F66/I66,"")</f>
        <v/>
      </c>
      <c r="K66" s="15">
        <f>IF(J66="",Dashboard!$X$21,Dashboard!$X$21+(J66-Dashboard!$X$21)*E66/(E66+3))</f>
        <v/>
      </c>
      <c r="L66" s="57">
        <f>SUMIFS(Counties!$AQ$2:$AQ$1583,Counties!$A$2:$A$1583,$B66,Counties!$D$2:$D$1583,$C66)/SUMIFS(Counties!$AQ$2:$AQ$1583,Counties!$A$2:$A$1583,$B66)</f>
        <v/>
      </c>
      <c r="M66" s="9">
        <f>SUMIFS(Counties!$AR$2:$AR$1583,Counties!$A$2:$A$1583,$B66,Counties!$D$2:$D$1583,$C66)/SUMIFS(Counties!$AQ$2:$AQ$1583,Counties!$A$2:$A$1583,$B66,Counties!$D$2:$D$1583,$C66)</f>
        <v/>
      </c>
      <c r="N66" s="9">
        <f>M66+-0.05+Dashboard!$F$21</f>
        <v/>
      </c>
      <c r="O66" s="9">
        <f>M66+-0.01+Dashboard!$F$21</f>
        <v/>
      </c>
      <c r="P66" s="36">
        <f>M66+0.0+Dashboard!$F$21</f>
        <v/>
      </c>
      <c r="Q66" s="9">
        <f>M66+0.01+Dashboard!$F$21</f>
        <v/>
      </c>
      <c r="R66" s="9">
        <f>M66+0.05+Dashboard!$F$21</f>
        <v/>
      </c>
      <c r="S66" s="9">
        <f>IF(Dashboard!$K$21&gt;0,M66+H66,"")</f>
        <v/>
      </c>
      <c r="T66" s="10">
        <f>IF(G66="","",G66-Dashboard!$F$21)</f>
        <v/>
      </c>
      <c r="U66" s="8">
        <f>IF(F66=0,"no county of this type finished",IF(X66&gt;=0.05,"Great for Warner",IF(X66&gt;=0.01,"Warner on track",IF(X66&gt;-0.01,"Toss-up",IF(X66&gt;-0.05,"Mizusawa on track","Great for Mizusawa")))))</f>
        <v/>
      </c>
      <c r="V66" s="16">
        <f>IF(I66&gt;0,100*F66/(I66*Dashboard!$Y$21),"")</f>
        <v/>
      </c>
      <c r="W66" s="9">
        <f>IF(V66="","",P66/(V66/100))</f>
        <v/>
      </c>
      <c r="X66" s="10">
        <f>IF(F66&gt;0,(SUMIFS(Counties!$BA$2:$BA$1583,Counties!$A$2:$A$1583,$B66,Counties!$D$2:$D$1583,$C66,Counties!$AG$2:$AG$1583,1)+SUMIFS(Counties!$BB$2:$BB$1583,Counties!$A$2:$A$1583,$B66,Counties!$D$2:$D$1583,$C66,Counties!$AG$2:$AG$1583,1))/F66,"")</f>
        <v/>
      </c>
      <c r="Y66" s="37">
        <f>SUMIFS(Counties!$AZ$2:$AZ$1583,Counties!$A$2:$A$1583,$B66,Counties!$D$2:$D$1583,$C66)</f>
        <v/>
      </c>
      <c r="Z66" s="17">
        <f>"College suburb/metro: "&amp;TEXT(L66,"0.0%")&amp;" of the expected vote. Tie: "&amp;IF(P66&gt;=0,"D+","R+")&amp;TEXT(ABS(P66)*100,"0.0")&amp;". Warner on track at "&amp;IF(Q66&gt;=0,"D+","R+")&amp;TEXT(ABS(Q66)*100,"0.0")&amp;", great at "&amp;IF(R66&gt;=0,"D+","R+")&amp;TEXT(ABS(R66)*100,"0.0")&amp;"; Mizusawa on track at "&amp;IF(O66&gt;=0,"D+","R+")&amp;TEXT(ABS(O66)*100,"0.0")&amp;", great at "&amp;IF(N66&gt;=0,"D+","R+")&amp;TEXT(ABS(N66)*100,"0.0")&amp;". Turnout: if these counties vote at 95% of the state pace, the break-even moves to "&amp;IF((P66/0.95)&gt;=0,"D+","R+")&amp;TEXT(ABS((P66/0.95))*100,"0.0")&amp;"; at 105%, "&amp;IF((P66/1.05)&gt;=0,"D+","R+")&amp;TEXT(ABS((P66/1.05))*100,"0.0")&amp;"."</f>
        <v/>
      </c>
    </row>
    <row r="67" ht="40" customHeight="1">
      <c r="A67" s="8" t="inlineStr">
        <is>
          <t>VA|Mid-size/working metro</t>
        </is>
      </c>
      <c r="B67" s="8" t="inlineStr">
        <is>
          <t>VA</t>
        </is>
      </c>
      <c r="C67" s="8" t="inlineStr">
        <is>
          <t>Mid-size/working metro</t>
        </is>
      </c>
      <c r="D67" s="8">
        <f>COUNTIFS(Counties!$A$2:$A$1583,B67,Counties!$D$2:$D$1583,C67)</f>
        <v/>
      </c>
      <c r="E67" s="8">
        <f>COUNTIFS(Counties!$A$2:$A$1583,B67,Counties!$D$2:$D$1583,C67,Counties!$AG$2:$AG$1583,1)</f>
        <v/>
      </c>
      <c r="F67" s="12">
        <f>SUMIFS(Counties!$AF$2:$AF$1583,Counties!$A$2:$A$1583,$B67,Counties!$D$2:$D$1583,$C67,Counties!$AG$2:$AG$1583,1)</f>
        <v/>
      </c>
      <c r="G67" s="10">
        <f>IF(F67&gt;0,SUMIFS(Counties!$AP$2:$AP$1583,Counties!$A$2:$A$1583,$B67,Counties!$D$2:$D$1583,$C67)/F67,"")</f>
        <v/>
      </c>
      <c r="H67" s="10">
        <f>IF(G67&lt;&gt;"",G67,IF(Dashboard!$N$21&lt;&gt;"",Dashboard!$N$21,0))</f>
        <v/>
      </c>
      <c r="I67" s="12">
        <f>SUMIFS(Counties!$AQ$2:$AQ$1583,Counties!$A$2:$A$1583,$B67,Counties!$D$2:$D$1583,$C67,Counties!$AG$2:$AG$1583,1)</f>
        <v/>
      </c>
      <c r="J67" s="15">
        <f>IF(I67&gt;0,F67/I67,"")</f>
        <v/>
      </c>
      <c r="K67" s="15">
        <f>IF(J67="",Dashboard!$X$21,Dashboard!$X$21+(J67-Dashboard!$X$21)*E67/(E67+3))</f>
        <v/>
      </c>
      <c r="L67" s="57">
        <f>SUMIFS(Counties!$AQ$2:$AQ$1583,Counties!$A$2:$A$1583,$B67,Counties!$D$2:$D$1583,$C67)/SUMIFS(Counties!$AQ$2:$AQ$1583,Counties!$A$2:$A$1583,$B67)</f>
        <v/>
      </c>
      <c r="M67" s="9">
        <f>SUMIFS(Counties!$AR$2:$AR$1583,Counties!$A$2:$A$1583,$B67,Counties!$D$2:$D$1583,$C67)/SUMIFS(Counties!$AQ$2:$AQ$1583,Counties!$A$2:$A$1583,$B67,Counties!$D$2:$D$1583,$C67)</f>
        <v/>
      </c>
      <c r="N67" s="9">
        <f>M67+-0.05+Dashboard!$F$21</f>
        <v/>
      </c>
      <c r="O67" s="9">
        <f>M67+-0.01+Dashboard!$F$21</f>
        <v/>
      </c>
      <c r="P67" s="36">
        <f>M67+0.0+Dashboard!$F$21</f>
        <v/>
      </c>
      <c r="Q67" s="9">
        <f>M67+0.01+Dashboard!$F$21</f>
        <v/>
      </c>
      <c r="R67" s="9">
        <f>M67+0.05+Dashboard!$F$21</f>
        <v/>
      </c>
      <c r="S67" s="9">
        <f>IF(Dashboard!$K$21&gt;0,M67+H67,"")</f>
        <v/>
      </c>
      <c r="T67" s="10">
        <f>IF(G67="","",G67-Dashboard!$F$21)</f>
        <v/>
      </c>
      <c r="U67" s="8">
        <f>IF(F67=0,"no county of this type finished",IF(X67&gt;=0.05,"Great for Warner",IF(X67&gt;=0.01,"Warner on track",IF(X67&gt;-0.01,"Toss-up",IF(X67&gt;-0.05,"Mizusawa on track","Great for Mizusawa")))))</f>
        <v/>
      </c>
      <c r="V67" s="16">
        <f>IF(I67&gt;0,100*F67/(I67*Dashboard!$Y$21),"")</f>
        <v/>
      </c>
      <c r="W67" s="9">
        <f>IF(V67="","",P67/(V67/100))</f>
        <v/>
      </c>
      <c r="X67" s="10">
        <f>IF(F67&gt;0,(SUMIFS(Counties!$BA$2:$BA$1583,Counties!$A$2:$A$1583,$B67,Counties!$D$2:$D$1583,$C67,Counties!$AG$2:$AG$1583,1)+SUMIFS(Counties!$BB$2:$BB$1583,Counties!$A$2:$A$1583,$B67,Counties!$D$2:$D$1583,$C67,Counties!$AG$2:$AG$1583,1))/F67,"")</f>
        <v/>
      </c>
      <c r="Y67" s="37">
        <f>SUMIFS(Counties!$AZ$2:$AZ$1583,Counties!$A$2:$A$1583,$B67,Counties!$D$2:$D$1583,$C67)</f>
        <v/>
      </c>
      <c r="Z67" s="17">
        <f>"Mid-size/working metro: "&amp;TEXT(L67,"0.0%")&amp;" of the expected vote. Tie: "&amp;IF(P67&gt;=0,"D+","R+")&amp;TEXT(ABS(P67)*100,"0.0")&amp;". Warner on track at "&amp;IF(Q67&gt;=0,"D+","R+")&amp;TEXT(ABS(Q67)*100,"0.0")&amp;", great at "&amp;IF(R67&gt;=0,"D+","R+")&amp;TEXT(ABS(R67)*100,"0.0")&amp;"; Mizusawa on track at "&amp;IF(O67&gt;=0,"D+","R+")&amp;TEXT(ABS(O67)*100,"0.0")&amp;", great at "&amp;IF(N67&gt;=0,"D+","R+")&amp;TEXT(ABS(N67)*100,"0.0")&amp;". Turnout: if these counties vote at 95% of the state pace, the break-even moves to "&amp;IF((P67/0.95)&gt;=0,"D+","R+")&amp;TEXT(ABS((P67/0.95))*100,"0.0")&amp;"; at 105%, "&amp;IF((P67/1.05)&gt;=0,"D+","R+")&amp;TEXT(ABS((P67/1.05))*100,"0.0")&amp;"."</f>
        <v/>
      </c>
    </row>
    <row r="68" ht="40" customHeight="1">
      <c r="A68" s="8" t="inlineStr">
        <is>
          <t>VA|Black Belt</t>
        </is>
      </c>
      <c r="B68" s="8" t="inlineStr">
        <is>
          <t>VA</t>
        </is>
      </c>
      <c r="C68" s="8" t="inlineStr">
        <is>
          <t>Black Belt</t>
        </is>
      </c>
      <c r="D68" s="8">
        <f>COUNTIFS(Counties!$A$2:$A$1583,B68,Counties!$D$2:$D$1583,C68)</f>
        <v/>
      </c>
      <c r="E68" s="8">
        <f>COUNTIFS(Counties!$A$2:$A$1583,B68,Counties!$D$2:$D$1583,C68,Counties!$AG$2:$AG$1583,1)</f>
        <v/>
      </c>
      <c r="F68" s="12">
        <f>SUMIFS(Counties!$AF$2:$AF$1583,Counties!$A$2:$A$1583,$B68,Counties!$D$2:$D$1583,$C68,Counties!$AG$2:$AG$1583,1)</f>
        <v/>
      </c>
      <c r="G68" s="10">
        <f>IF(F68&gt;0,SUMIFS(Counties!$AP$2:$AP$1583,Counties!$A$2:$A$1583,$B68,Counties!$D$2:$D$1583,$C68)/F68,"")</f>
        <v/>
      </c>
      <c r="H68" s="10">
        <f>IF(G68&lt;&gt;"",G68,IF(Dashboard!$N$21&lt;&gt;"",Dashboard!$N$21,0))</f>
        <v/>
      </c>
      <c r="I68" s="12">
        <f>SUMIFS(Counties!$AQ$2:$AQ$1583,Counties!$A$2:$A$1583,$B68,Counties!$D$2:$D$1583,$C68,Counties!$AG$2:$AG$1583,1)</f>
        <v/>
      </c>
      <c r="J68" s="15">
        <f>IF(I68&gt;0,F68/I68,"")</f>
        <v/>
      </c>
      <c r="K68" s="15">
        <f>IF(J68="",Dashboard!$X$21,Dashboard!$X$21+(J68-Dashboard!$X$21)*E68/(E68+3))</f>
        <v/>
      </c>
      <c r="L68" s="57">
        <f>SUMIFS(Counties!$AQ$2:$AQ$1583,Counties!$A$2:$A$1583,$B68,Counties!$D$2:$D$1583,$C68)/SUMIFS(Counties!$AQ$2:$AQ$1583,Counties!$A$2:$A$1583,$B68)</f>
        <v/>
      </c>
      <c r="M68" s="9">
        <f>SUMIFS(Counties!$AR$2:$AR$1583,Counties!$A$2:$A$1583,$B68,Counties!$D$2:$D$1583,$C68)/SUMIFS(Counties!$AQ$2:$AQ$1583,Counties!$A$2:$A$1583,$B68,Counties!$D$2:$D$1583,$C68)</f>
        <v/>
      </c>
      <c r="N68" s="9">
        <f>M68+-0.05+Dashboard!$F$21</f>
        <v/>
      </c>
      <c r="O68" s="9">
        <f>M68+-0.01+Dashboard!$F$21</f>
        <v/>
      </c>
      <c r="P68" s="36">
        <f>M68+0.0+Dashboard!$F$21</f>
        <v/>
      </c>
      <c r="Q68" s="9">
        <f>M68+0.01+Dashboard!$F$21</f>
        <v/>
      </c>
      <c r="R68" s="9">
        <f>M68+0.05+Dashboard!$F$21</f>
        <v/>
      </c>
      <c r="S68" s="9">
        <f>IF(Dashboard!$K$21&gt;0,M68+H68,"")</f>
        <v/>
      </c>
      <c r="T68" s="10">
        <f>IF(G68="","",G68-Dashboard!$F$21)</f>
        <v/>
      </c>
      <c r="U68" s="8">
        <f>IF(F68=0,"no county of this type finished",IF(X68&gt;=0.05,"Great for Warner",IF(X68&gt;=0.01,"Warner on track",IF(X68&gt;-0.01,"Toss-up",IF(X68&gt;-0.05,"Mizusawa on track","Great for Mizusawa")))))</f>
        <v/>
      </c>
      <c r="V68" s="16">
        <f>IF(I68&gt;0,100*F68/(I68*Dashboard!$Y$21),"")</f>
        <v/>
      </c>
      <c r="W68" s="9">
        <f>IF(V68="","",P68/(V68/100))</f>
        <v/>
      </c>
      <c r="X68" s="10">
        <f>IF(F68&gt;0,(SUMIFS(Counties!$BA$2:$BA$1583,Counties!$A$2:$A$1583,$B68,Counties!$D$2:$D$1583,$C68,Counties!$AG$2:$AG$1583,1)+SUMIFS(Counties!$BB$2:$BB$1583,Counties!$A$2:$A$1583,$B68,Counties!$D$2:$D$1583,$C68,Counties!$AG$2:$AG$1583,1))/F68,"")</f>
        <v/>
      </c>
      <c r="Y68" s="37">
        <f>SUMIFS(Counties!$AZ$2:$AZ$1583,Counties!$A$2:$A$1583,$B68,Counties!$D$2:$D$1583,$C68)</f>
        <v/>
      </c>
      <c r="Z68" s="17">
        <f>"Black Belt: "&amp;TEXT(L68,"0.0%")&amp;" of the expected vote. Tie: "&amp;IF(P68&gt;=0,"D+","R+")&amp;TEXT(ABS(P68)*100,"0.0")&amp;". Warner on track at "&amp;IF(Q68&gt;=0,"D+","R+")&amp;TEXT(ABS(Q68)*100,"0.0")&amp;", great at "&amp;IF(R68&gt;=0,"D+","R+")&amp;TEXT(ABS(R68)*100,"0.0")&amp;"; Mizusawa on track at "&amp;IF(O68&gt;=0,"D+","R+")&amp;TEXT(ABS(O68)*100,"0.0")&amp;", great at "&amp;IF(N68&gt;=0,"D+","R+")&amp;TEXT(ABS(N68)*100,"0.0")&amp;". Turnout: if these counties vote at 95% of the state pace, the break-even moves to "&amp;IF((P68/0.95)&gt;=0,"D+","R+")&amp;TEXT(ABS((P68/0.95))*100,"0.0")&amp;"; at 105%, "&amp;IF((P68/1.05)&gt;=0,"D+","R+")&amp;TEXT(ABS((P68/1.05))*100,"0.0")&amp;"."</f>
        <v/>
      </c>
    </row>
    <row r="69" ht="40" customHeight="1">
      <c r="A69" s="8" t="inlineStr">
        <is>
          <t>VA|Hispanic</t>
        </is>
      </c>
      <c r="B69" s="8" t="inlineStr">
        <is>
          <t>VA</t>
        </is>
      </c>
      <c r="C69" s="8" t="inlineStr">
        <is>
          <t>Hispanic</t>
        </is>
      </c>
      <c r="D69" s="8">
        <f>COUNTIFS(Counties!$A$2:$A$1583,B69,Counties!$D$2:$D$1583,C69)</f>
        <v/>
      </c>
      <c r="E69" s="8">
        <f>COUNTIFS(Counties!$A$2:$A$1583,B69,Counties!$D$2:$D$1583,C69,Counties!$AG$2:$AG$1583,1)</f>
        <v/>
      </c>
      <c r="F69" s="12">
        <f>SUMIFS(Counties!$AF$2:$AF$1583,Counties!$A$2:$A$1583,$B69,Counties!$D$2:$D$1583,$C69,Counties!$AG$2:$AG$1583,1)</f>
        <v/>
      </c>
      <c r="G69" s="10">
        <f>IF(F69&gt;0,SUMIFS(Counties!$AP$2:$AP$1583,Counties!$A$2:$A$1583,$B69,Counties!$D$2:$D$1583,$C69)/F69,"")</f>
        <v/>
      </c>
      <c r="H69" s="10">
        <f>IF(G69&lt;&gt;"",G69,IF(Dashboard!$N$21&lt;&gt;"",Dashboard!$N$21,0))</f>
        <v/>
      </c>
      <c r="I69" s="12">
        <f>SUMIFS(Counties!$AQ$2:$AQ$1583,Counties!$A$2:$A$1583,$B69,Counties!$D$2:$D$1583,$C69,Counties!$AG$2:$AG$1583,1)</f>
        <v/>
      </c>
      <c r="J69" s="15">
        <f>IF(I69&gt;0,F69/I69,"")</f>
        <v/>
      </c>
      <c r="K69" s="15">
        <f>IF(J69="",Dashboard!$X$21,Dashboard!$X$21+(J69-Dashboard!$X$21)*E69/(E69+3))</f>
        <v/>
      </c>
      <c r="L69" s="57">
        <f>SUMIFS(Counties!$AQ$2:$AQ$1583,Counties!$A$2:$A$1583,$B69,Counties!$D$2:$D$1583,$C69)/SUMIFS(Counties!$AQ$2:$AQ$1583,Counties!$A$2:$A$1583,$B69)</f>
        <v/>
      </c>
      <c r="M69" s="9">
        <f>SUMIFS(Counties!$AR$2:$AR$1583,Counties!$A$2:$A$1583,$B69,Counties!$D$2:$D$1583,$C69)/SUMIFS(Counties!$AQ$2:$AQ$1583,Counties!$A$2:$A$1583,$B69,Counties!$D$2:$D$1583,$C69)</f>
        <v/>
      </c>
      <c r="N69" s="9">
        <f>M69+-0.05+Dashboard!$F$21</f>
        <v/>
      </c>
      <c r="O69" s="9">
        <f>M69+-0.01+Dashboard!$F$21</f>
        <v/>
      </c>
      <c r="P69" s="36">
        <f>M69+0.0+Dashboard!$F$21</f>
        <v/>
      </c>
      <c r="Q69" s="9">
        <f>M69+0.01+Dashboard!$F$21</f>
        <v/>
      </c>
      <c r="R69" s="9">
        <f>M69+0.05+Dashboard!$F$21</f>
        <v/>
      </c>
      <c r="S69" s="9">
        <f>IF(Dashboard!$K$21&gt;0,M69+H69,"")</f>
        <v/>
      </c>
      <c r="T69" s="10">
        <f>IF(G69="","",G69-Dashboard!$F$21)</f>
        <v/>
      </c>
      <c r="U69" s="8">
        <f>IF(F69=0,"no county of this type finished",IF(X69&gt;=0.05,"Great for Warner",IF(X69&gt;=0.01,"Warner on track",IF(X69&gt;-0.01,"Toss-up",IF(X69&gt;-0.05,"Mizusawa on track","Great for Mizusawa")))))</f>
        <v/>
      </c>
      <c r="V69" s="16">
        <f>IF(I69&gt;0,100*F69/(I69*Dashboard!$Y$21),"")</f>
        <v/>
      </c>
      <c r="W69" s="9">
        <f>IF(V69="","",P69/(V69/100))</f>
        <v/>
      </c>
      <c r="X69" s="10">
        <f>IF(F69&gt;0,(SUMIFS(Counties!$BA$2:$BA$1583,Counties!$A$2:$A$1583,$B69,Counties!$D$2:$D$1583,$C69,Counties!$AG$2:$AG$1583,1)+SUMIFS(Counties!$BB$2:$BB$1583,Counties!$A$2:$A$1583,$B69,Counties!$D$2:$D$1583,$C69,Counties!$AG$2:$AG$1583,1))/F69,"")</f>
        <v/>
      </c>
      <c r="Y69" s="37">
        <f>SUMIFS(Counties!$AZ$2:$AZ$1583,Counties!$A$2:$A$1583,$B69,Counties!$D$2:$D$1583,$C69)</f>
        <v/>
      </c>
      <c r="Z69" s="17">
        <f>"Hispanic: "&amp;TEXT(L69,"0.0%")&amp;" of the expected vote. Tie: "&amp;IF(P69&gt;=0,"D+","R+")&amp;TEXT(ABS(P69)*100,"0.0")&amp;". Warner on track at "&amp;IF(Q69&gt;=0,"D+","R+")&amp;TEXT(ABS(Q69)*100,"0.0")&amp;", great at "&amp;IF(R69&gt;=0,"D+","R+")&amp;TEXT(ABS(R69)*100,"0.0")&amp;"; Mizusawa on track at "&amp;IF(O69&gt;=0,"D+","R+")&amp;TEXT(ABS(O69)*100,"0.0")&amp;", great at "&amp;IF(N69&gt;=0,"D+","R+")&amp;TEXT(ABS(N69)*100,"0.0")&amp;". Turnout: if these counties vote at 95% of the state pace, the break-even moves to "&amp;IF((P69/0.95)&gt;=0,"D+","R+")&amp;TEXT(ABS((P69/0.95))*100,"0.0")&amp;"; at 105%, "&amp;IF((P69/1.05)&gt;=0,"D+","R+")&amp;TEXT(ABS((P69/1.05))*100,"0.0")&amp;"."</f>
        <v/>
      </c>
    </row>
    <row r="70" ht="40" customHeight="1">
      <c r="A70" s="8" t="inlineStr">
        <is>
          <t>VA|Small town &amp; rural</t>
        </is>
      </c>
      <c r="B70" s="8" t="inlineStr">
        <is>
          <t>VA</t>
        </is>
      </c>
      <c r="C70" s="8" t="inlineStr">
        <is>
          <t>Small town &amp; rural</t>
        </is>
      </c>
      <c r="D70" s="8">
        <f>COUNTIFS(Counties!$A$2:$A$1583,B70,Counties!$D$2:$D$1583,C70)</f>
        <v/>
      </c>
      <c r="E70" s="8">
        <f>COUNTIFS(Counties!$A$2:$A$1583,B70,Counties!$D$2:$D$1583,C70,Counties!$AG$2:$AG$1583,1)</f>
        <v/>
      </c>
      <c r="F70" s="12">
        <f>SUMIFS(Counties!$AF$2:$AF$1583,Counties!$A$2:$A$1583,$B70,Counties!$D$2:$D$1583,$C70,Counties!$AG$2:$AG$1583,1)</f>
        <v/>
      </c>
      <c r="G70" s="10">
        <f>IF(F70&gt;0,SUMIFS(Counties!$AP$2:$AP$1583,Counties!$A$2:$A$1583,$B70,Counties!$D$2:$D$1583,$C70)/F70,"")</f>
        <v/>
      </c>
      <c r="H70" s="10">
        <f>IF(G70&lt;&gt;"",G70,IF(Dashboard!$N$21&lt;&gt;"",Dashboard!$N$21,0))</f>
        <v/>
      </c>
      <c r="I70" s="12">
        <f>SUMIFS(Counties!$AQ$2:$AQ$1583,Counties!$A$2:$A$1583,$B70,Counties!$D$2:$D$1583,$C70,Counties!$AG$2:$AG$1583,1)</f>
        <v/>
      </c>
      <c r="J70" s="15">
        <f>IF(I70&gt;0,F70/I70,"")</f>
        <v/>
      </c>
      <c r="K70" s="15">
        <f>IF(J70="",Dashboard!$X$21,Dashboard!$X$21+(J70-Dashboard!$X$21)*E70/(E70+3))</f>
        <v/>
      </c>
      <c r="L70" s="57">
        <f>SUMIFS(Counties!$AQ$2:$AQ$1583,Counties!$A$2:$A$1583,$B70,Counties!$D$2:$D$1583,$C70)/SUMIFS(Counties!$AQ$2:$AQ$1583,Counties!$A$2:$A$1583,$B70)</f>
        <v/>
      </c>
      <c r="M70" s="9">
        <f>SUMIFS(Counties!$AR$2:$AR$1583,Counties!$A$2:$A$1583,$B70,Counties!$D$2:$D$1583,$C70)/SUMIFS(Counties!$AQ$2:$AQ$1583,Counties!$A$2:$A$1583,$B70,Counties!$D$2:$D$1583,$C70)</f>
        <v/>
      </c>
      <c r="N70" s="9">
        <f>M70+-0.05+Dashboard!$F$21</f>
        <v/>
      </c>
      <c r="O70" s="9">
        <f>M70+-0.01+Dashboard!$F$21</f>
        <v/>
      </c>
      <c r="P70" s="36">
        <f>M70+0.0+Dashboard!$F$21</f>
        <v/>
      </c>
      <c r="Q70" s="9">
        <f>M70+0.01+Dashboard!$F$21</f>
        <v/>
      </c>
      <c r="R70" s="9">
        <f>M70+0.05+Dashboard!$F$21</f>
        <v/>
      </c>
      <c r="S70" s="9">
        <f>IF(Dashboard!$K$21&gt;0,M70+H70,"")</f>
        <v/>
      </c>
      <c r="T70" s="10">
        <f>IF(G70="","",G70-Dashboard!$F$21)</f>
        <v/>
      </c>
      <c r="U70" s="8">
        <f>IF(F70=0,"no county of this type finished",IF(X70&gt;=0.05,"Great for Warner",IF(X70&gt;=0.01,"Warner on track",IF(X70&gt;-0.01,"Toss-up",IF(X70&gt;-0.05,"Mizusawa on track","Great for Mizusawa")))))</f>
        <v/>
      </c>
      <c r="V70" s="16">
        <f>IF(I70&gt;0,100*F70/(I70*Dashboard!$Y$21),"")</f>
        <v/>
      </c>
      <c r="W70" s="9">
        <f>IF(V70="","",P70/(V70/100))</f>
        <v/>
      </c>
      <c r="X70" s="10">
        <f>IF(F70&gt;0,(SUMIFS(Counties!$BA$2:$BA$1583,Counties!$A$2:$A$1583,$B70,Counties!$D$2:$D$1583,$C70,Counties!$AG$2:$AG$1583,1)+SUMIFS(Counties!$BB$2:$BB$1583,Counties!$A$2:$A$1583,$B70,Counties!$D$2:$D$1583,$C70,Counties!$AG$2:$AG$1583,1))/F70,"")</f>
        <v/>
      </c>
      <c r="Y70" s="37">
        <f>SUMIFS(Counties!$AZ$2:$AZ$1583,Counties!$A$2:$A$1583,$B70,Counties!$D$2:$D$1583,$C70)</f>
        <v/>
      </c>
      <c r="Z70" s="17">
        <f>"Small town &amp; rural: "&amp;TEXT(L70,"0.0%")&amp;" of the expected vote. Tie: "&amp;IF(P70&gt;=0,"D+","R+")&amp;TEXT(ABS(P70)*100,"0.0")&amp;". Warner on track at "&amp;IF(Q70&gt;=0,"D+","R+")&amp;TEXT(ABS(Q70)*100,"0.0")&amp;", great at "&amp;IF(R70&gt;=0,"D+","R+")&amp;TEXT(ABS(R70)*100,"0.0")&amp;"; Mizusawa on track at "&amp;IF(O70&gt;=0,"D+","R+")&amp;TEXT(ABS(O70)*100,"0.0")&amp;", great at "&amp;IF(N70&gt;=0,"D+","R+")&amp;TEXT(ABS(N70)*100,"0.0")&amp;". Turnout: if these counties vote at 95% of the state pace, the break-even moves to "&amp;IF((P70/0.95)&gt;=0,"D+","R+")&amp;TEXT(ABS((P70/0.95))*100,"0.0")&amp;"; at 105%, "&amp;IF((P70/1.05)&gt;=0,"D+","R+")&amp;TEXT(ABS((P70/1.05))*100,"0.0")&amp;"."</f>
        <v/>
      </c>
    </row>
    <row r="71" ht="40" customHeight="1">
      <c r="A71" s="8" t="inlineStr">
        <is>
          <t>KY|Big metro core</t>
        </is>
      </c>
      <c r="B71" s="8" t="inlineStr">
        <is>
          <t>KY</t>
        </is>
      </c>
      <c r="C71" s="8" t="inlineStr">
        <is>
          <t>Big metro core</t>
        </is>
      </c>
      <c r="D71" s="8">
        <f>COUNTIFS(Counties!$A$2:$A$1583,B71,Counties!$D$2:$D$1583,C71)</f>
        <v/>
      </c>
      <c r="E71" s="8">
        <f>COUNTIFS(Counties!$A$2:$A$1583,B71,Counties!$D$2:$D$1583,C71,Counties!$AG$2:$AG$1583,1)</f>
        <v/>
      </c>
      <c r="F71" s="12">
        <f>SUMIFS(Counties!$AF$2:$AF$1583,Counties!$A$2:$A$1583,$B71,Counties!$D$2:$D$1583,$C71,Counties!$AG$2:$AG$1583,1)</f>
        <v/>
      </c>
      <c r="G71" s="10">
        <f>IF(F71&gt;0,SUMIFS(Counties!$AP$2:$AP$1583,Counties!$A$2:$A$1583,$B71,Counties!$D$2:$D$1583,$C71)/F71,"")</f>
        <v/>
      </c>
      <c r="H71" s="10">
        <f>IF(G71&lt;&gt;"",G71,IF(Dashboard!$N$22&lt;&gt;"",Dashboard!$N$22,0))</f>
        <v/>
      </c>
      <c r="I71" s="12">
        <f>SUMIFS(Counties!$AQ$2:$AQ$1583,Counties!$A$2:$A$1583,$B71,Counties!$D$2:$D$1583,$C71,Counties!$AG$2:$AG$1583,1)</f>
        <v/>
      </c>
      <c r="J71" s="15">
        <f>IF(I71&gt;0,F71/I71,"")</f>
        <v/>
      </c>
      <c r="K71" s="15">
        <f>IF(J71="",Dashboard!$X$22,Dashboard!$X$22+(J71-Dashboard!$X$22)*E71/(E71+3))</f>
        <v/>
      </c>
      <c r="L71" s="57">
        <f>SUMIFS(Counties!$AQ$2:$AQ$1583,Counties!$A$2:$A$1583,$B71,Counties!$D$2:$D$1583,$C71)/SUMIFS(Counties!$AQ$2:$AQ$1583,Counties!$A$2:$A$1583,$B71)</f>
        <v/>
      </c>
      <c r="M71" s="9">
        <f>SUMIFS(Counties!$AR$2:$AR$1583,Counties!$A$2:$A$1583,$B71,Counties!$D$2:$D$1583,$C71)/SUMIFS(Counties!$AQ$2:$AQ$1583,Counties!$A$2:$A$1583,$B71,Counties!$D$2:$D$1583,$C71)</f>
        <v/>
      </c>
      <c r="N71" s="9">
        <f>M71+-0.05+Dashboard!$F$22</f>
        <v/>
      </c>
      <c r="O71" s="9">
        <f>M71+-0.01+Dashboard!$F$22</f>
        <v/>
      </c>
      <c r="P71" s="36">
        <f>M71+0.0+Dashboard!$F$22</f>
        <v/>
      </c>
      <c r="Q71" s="9">
        <f>M71+0.01+Dashboard!$F$22</f>
        <v/>
      </c>
      <c r="R71" s="9">
        <f>M71+0.05+Dashboard!$F$22</f>
        <v/>
      </c>
      <c r="S71" s="9">
        <f>IF(Dashboard!$K$22&gt;0,M71+H71,"")</f>
        <v/>
      </c>
      <c r="T71" s="10">
        <f>IF(G71="","",G71-Dashboard!$F$22)</f>
        <v/>
      </c>
      <c r="U71" s="8">
        <f>IF(F71=0,"no county of this type finished",IF(X71&gt;=0.05,"Great for Booker",IF(X71&gt;=0.01,"Booker on track",IF(X71&gt;-0.01,"Toss-up",IF(X71&gt;-0.05,"Barr on track","Great for Barr")))))</f>
        <v/>
      </c>
      <c r="V71" s="16">
        <f>IF(I71&gt;0,100*F71/(I71*Dashboard!$Y$22),"")</f>
        <v/>
      </c>
      <c r="W71" s="9">
        <f>IF(V71="","",P71/(V71/100))</f>
        <v/>
      </c>
      <c r="X71" s="10">
        <f>IF(F71&gt;0,(SUMIFS(Counties!$BA$2:$BA$1583,Counties!$A$2:$A$1583,$B71,Counties!$D$2:$D$1583,$C71,Counties!$AG$2:$AG$1583,1)+SUMIFS(Counties!$BB$2:$BB$1583,Counties!$A$2:$A$1583,$B71,Counties!$D$2:$D$1583,$C71,Counties!$AG$2:$AG$1583,1))/F71,"")</f>
        <v/>
      </c>
      <c r="Y71" s="37">
        <f>SUMIFS(Counties!$AZ$2:$AZ$1583,Counties!$A$2:$A$1583,$B71,Counties!$D$2:$D$1583,$C71)</f>
        <v/>
      </c>
      <c r="Z71" s="17">
        <f>"Big metro core: "&amp;TEXT(L71,"0.0%")&amp;" of the expected vote. Tie: "&amp;IF(P71&gt;=0,"D+","R+")&amp;TEXT(ABS(P71)*100,"0.0")&amp;". Booker on track at "&amp;IF(Q71&gt;=0,"D+","R+")&amp;TEXT(ABS(Q71)*100,"0.0")&amp;", great at "&amp;IF(R71&gt;=0,"D+","R+")&amp;TEXT(ABS(R71)*100,"0.0")&amp;"; Barr on track at "&amp;IF(O71&gt;=0,"D+","R+")&amp;TEXT(ABS(O71)*100,"0.0")&amp;", great at "&amp;IF(N71&gt;=0,"D+","R+")&amp;TEXT(ABS(N71)*100,"0.0")&amp;". Turnout: if these counties vote at 95% of the state pace, the break-even moves to "&amp;IF((P71/0.95)&gt;=0,"D+","R+")&amp;TEXT(ABS((P71/0.95))*100,"0.0")&amp;"; at 105%, "&amp;IF((P71/1.05)&gt;=0,"D+","R+")&amp;TEXT(ABS((P71/1.05))*100,"0.0")&amp;"."</f>
        <v/>
      </c>
    </row>
    <row r="72" ht="40" customHeight="1">
      <c r="A72" s="8" t="inlineStr">
        <is>
          <t>KY|College suburb/metro</t>
        </is>
      </c>
      <c r="B72" s="8" t="inlineStr">
        <is>
          <t>KY</t>
        </is>
      </c>
      <c r="C72" s="8" t="inlineStr">
        <is>
          <t>College suburb/metro</t>
        </is>
      </c>
      <c r="D72" s="8">
        <f>COUNTIFS(Counties!$A$2:$A$1583,B72,Counties!$D$2:$D$1583,C72)</f>
        <v/>
      </c>
      <c r="E72" s="8">
        <f>COUNTIFS(Counties!$A$2:$A$1583,B72,Counties!$D$2:$D$1583,C72,Counties!$AG$2:$AG$1583,1)</f>
        <v/>
      </c>
      <c r="F72" s="12">
        <f>SUMIFS(Counties!$AF$2:$AF$1583,Counties!$A$2:$A$1583,$B72,Counties!$D$2:$D$1583,$C72,Counties!$AG$2:$AG$1583,1)</f>
        <v/>
      </c>
      <c r="G72" s="10">
        <f>IF(F72&gt;0,SUMIFS(Counties!$AP$2:$AP$1583,Counties!$A$2:$A$1583,$B72,Counties!$D$2:$D$1583,$C72)/F72,"")</f>
        <v/>
      </c>
      <c r="H72" s="10">
        <f>IF(G72&lt;&gt;"",G72,IF(Dashboard!$N$22&lt;&gt;"",Dashboard!$N$22,0))</f>
        <v/>
      </c>
      <c r="I72" s="12">
        <f>SUMIFS(Counties!$AQ$2:$AQ$1583,Counties!$A$2:$A$1583,$B72,Counties!$D$2:$D$1583,$C72,Counties!$AG$2:$AG$1583,1)</f>
        <v/>
      </c>
      <c r="J72" s="15">
        <f>IF(I72&gt;0,F72/I72,"")</f>
        <v/>
      </c>
      <c r="K72" s="15">
        <f>IF(J72="",Dashboard!$X$22,Dashboard!$X$22+(J72-Dashboard!$X$22)*E72/(E72+3))</f>
        <v/>
      </c>
      <c r="L72" s="57">
        <f>SUMIFS(Counties!$AQ$2:$AQ$1583,Counties!$A$2:$A$1583,$B72,Counties!$D$2:$D$1583,$C72)/SUMIFS(Counties!$AQ$2:$AQ$1583,Counties!$A$2:$A$1583,$B72)</f>
        <v/>
      </c>
      <c r="M72" s="9">
        <f>SUMIFS(Counties!$AR$2:$AR$1583,Counties!$A$2:$A$1583,$B72,Counties!$D$2:$D$1583,$C72)/SUMIFS(Counties!$AQ$2:$AQ$1583,Counties!$A$2:$A$1583,$B72,Counties!$D$2:$D$1583,$C72)</f>
        <v/>
      </c>
      <c r="N72" s="9">
        <f>M72+-0.05+Dashboard!$F$22</f>
        <v/>
      </c>
      <c r="O72" s="9">
        <f>M72+-0.01+Dashboard!$F$22</f>
        <v/>
      </c>
      <c r="P72" s="36">
        <f>M72+0.0+Dashboard!$F$22</f>
        <v/>
      </c>
      <c r="Q72" s="9">
        <f>M72+0.01+Dashboard!$F$22</f>
        <v/>
      </c>
      <c r="R72" s="9">
        <f>M72+0.05+Dashboard!$F$22</f>
        <v/>
      </c>
      <c r="S72" s="9">
        <f>IF(Dashboard!$K$22&gt;0,M72+H72,"")</f>
        <v/>
      </c>
      <c r="T72" s="10">
        <f>IF(G72="","",G72-Dashboard!$F$22)</f>
        <v/>
      </c>
      <c r="U72" s="8">
        <f>IF(F72=0,"no county of this type finished",IF(X72&gt;=0.05,"Great for Booker",IF(X72&gt;=0.01,"Booker on track",IF(X72&gt;-0.01,"Toss-up",IF(X72&gt;-0.05,"Barr on track","Great for Barr")))))</f>
        <v/>
      </c>
      <c r="V72" s="16">
        <f>IF(I72&gt;0,100*F72/(I72*Dashboard!$Y$22),"")</f>
        <v/>
      </c>
      <c r="W72" s="9">
        <f>IF(V72="","",P72/(V72/100))</f>
        <v/>
      </c>
      <c r="X72" s="10">
        <f>IF(F72&gt;0,(SUMIFS(Counties!$BA$2:$BA$1583,Counties!$A$2:$A$1583,$B72,Counties!$D$2:$D$1583,$C72,Counties!$AG$2:$AG$1583,1)+SUMIFS(Counties!$BB$2:$BB$1583,Counties!$A$2:$A$1583,$B72,Counties!$D$2:$D$1583,$C72,Counties!$AG$2:$AG$1583,1))/F72,"")</f>
        <v/>
      </c>
      <c r="Y72" s="37">
        <f>SUMIFS(Counties!$AZ$2:$AZ$1583,Counties!$A$2:$A$1583,$B72,Counties!$D$2:$D$1583,$C72)</f>
        <v/>
      </c>
      <c r="Z72" s="17">
        <f>"College suburb/metro: "&amp;TEXT(L72,"0.0%")&amp;" of the expected vote. Tie: "&amp;IF(P72&gt;=0,"D+","R+")&amp;TEXT(ABS(P72)*100,"0.0")&amp;". Booker on track at "&amp;IF(Q72&gt;=0,"D+","R+")&amp;TEXT(ABS(Q72)*100,"0.0")&amp;", great at "&amp;IF(R72&gt;=0,"D+","R+")&amp;TEXT(ABS(R72)*100,"0.0")&amp;"; Barr on track at "&amp;IF(O72&gt;=0,"D+","R+")&amp;TEXT(ABS(O72)*100,"0.0")&amp;", great at "&amp;IF(N72&gt;=0,"D+","R+")&amp;TEXT(ABS(N72)*100,"0.0")&amp;". Turnout: if these counties vote at 95% of the state pace, the break-even moves to "&amp;IF((P72/0.95)&gt;=0,"D+","R+")&amp;TEXT(ABS((P72/0.95))*100,"0.0")&amp;"; at 105%, "&amp;IF((P72/1.05)&gt;=0,"D+","R+")&amp;TEXT(ABS((P72/1.05))*100,"0.0")&amp;"."</f>
        <v/>
      </c>
    </row>
    <row r="73" ht="40" customHeight="1">
      <c r="A73" s="8" t="inlineStr">
        <is>
          <t>KY|Mid-size/working metro</t>
        </is>
      </c>
      <c r="B73" s="8" t="inlineStr">
        <is>
          <t>KY</t>
        </is>
      </c>
      <c r="C73" s="8" t="inlineStr">
        <is>
          <t>Mid-size/working metro</t>
        </is>
      </c>
      <c r="D73" s="8">
        <f>COUNTIFS(Counties!$A$2:$A$1583,B73,Counties!$D$2:$D$1583,C73)</f>
        <v/>
      </c>
      <c r="E73" s="8">
        <f>COUNTIFS(Counties!$A$2:$A$1583,B73,Counties!$D$2:$D$1583,C73,Counties!$AG$2:$AG$1583,1)</f>
        <v/>
      </c>
      <c r="F73" s="12">
        <f>SUMIFS(Counties!$AF$2:$AF$1583,Counties!$A$2:$A$1583,$B73,Counties!$D$2:$D$1583,$C73,Counties!$AG$2:$AG$1583,1)</f>
        <v/>
      </c>
      <c r="G73" s="10">
        <f>IF(F73&gt;0,SUMIFS(Counties!$AP$2:$AP$1583,Counties!$A$2:$A$1583,$B73,Counties!$D$2:$D$1583,$C73)/F73,"")</f>
        <v/>
      </c>
      <c r="H73" s="10">
        <f>IF(G73&lt;&gt;"",G73,IF(Dashboard!$N$22&lt;&gt;"",Dashboard!$N$22,0))</f>
        <v/>
      </c>
      <c r="I73" s="12">
        <f>SUMIFS(Counties!$AQ$2:$AQ$1583,Counties!$A$2:$A$1583,$B73,Counties!$D$2:$D$1583,$C73,Counties!$AG$2:$AG$1583,1)</f>
        <v/>
      </c>
      <c r="J73" s="15">
        <f>IF(I73&gt;0,F73/I73,"")</f>
        <v/>
      </c>
      <c r="K73" s="15">
        <f>IF(J73="",Dashboard!$X$22,Dashboard!$X$22+(J73-Dashboard!$X$22)*E73/(E73+3))</f>
        <v/>
      </c>
      <c r="L73" s="57">
        <f>SUMIFS(Counties!$AQ$2:$AQ$1583,Counties!$A$2:$A$1583,$B73,Counties!$D$2:$D$1583,$C73)/SUMIFS(Counties!$AQ$2:$AQ$1583,Counties!$A$2:$A$1583,$B73)</f>
        <v/>
      </c>
      <c r="M73" s="9">
        <f>SUMIFS(Counties!$AR$2:$AR$1583,Counties!$A$2:$A$1583,$B73,Counties!$D$2:$D$1583,$C73)/SUMIFS(Counties!$AQ$2:$AQ$1583,Counties!$A$2:$A$1583,$B73,Counties!$D$2:$D$1583,$C73)</f>
        <v/>
      </c>
      <c r="N73" s="9">
        <f>M73+-0.05+Dashboard!$F$22</f>
        <v/>
      </c>
      <c r="O73" s="9">
        <f>M73+-0.01+Dashboard!$F$22</f>
        <v/>
      </c>
      <c r="P73" s="36">
        <f>M73+0.0+Dashboard!$F$22</f>
        <v/>
      </c>
      <c r="Q73" s="9">
        <f>M73+0.01+Dashboard!$F$22</f>
        <v/>
      </c>
      <c r="R73" s="9">
        <f>M73+0.05+Dashboard!$F$22</f>
        <v/>
      </c>
      <c r="S73" s="9">
        <f>IF(Dashboard!$K$22&gt;0,M73+H73,"")</f>
        <v/>
      </c>
      <c r="T73" s="10">
        <f>IF(G73="","",G73-Dashboard!$F$22)</f>
        <v/>
      </c>
      <c r="U73" s="8">
        <f>IF(F73=0,"no county of this type finished",IF(X73&gt;=0.05,"Great for Booker",IF(X73&gt;=0.01,"Booker on track",IF(X73&gt;-0.01,"Toss-up",IF(X73&gt;-0.05,"Barr on track","Great for Barr")))))</f>
        <v/>
      </c>
      <c r="V73" s="16">
        <f>IF(I73&gt;0,100*F73/(I73*Dashboard!$Y$22),"")</f>
        <v/>
      </c>
      <c r="W73" s="9">
        <f>IF(V73="","",P73/(V73/100))</f>
        <v/>
      </c>
      <c r="X73" s="10">
        <f>IF(F73&gt;0,(SUMIFS(Counties!$BA$2:$BA$1583,Counties!$A$2:$A$1583,$B73,Counties!$D$2:$D$1583,$C73,Counties!$AG$2:$AG$1583,1)+SUMIFS(Counties!$BB$2:$BB$1583,Counties!$A$2:$A$1583,$B73,Counties!$D$2:$D$1583,$C73,Counties!$AG$2:$AG$1583,1))/F73,"")</f>
        <v/>
      </c>
      <c r="Y73" s="37">
        <f>SUMIFS(Counties!$AZ$2:$AZ$1583,Counties!$A$2:$A$1583,$B73,Counties!$D$2:$D$1583,$C73)</f>
        <v/>
      </c>
      <c r="Z73" s="17">
        <f>"Mid-size/working metro: "&amp;TEXT(L73,"0.0%")&amp;" of the expected vote. Tie: "&amp;IF(P73&gt;=0,"D+","R+")&amp;TEXT(ABS(P73)*100,"0.0")&amp;". Booker on track at "&amp;IF(Q73&gt;=0,"D+","R+")&amp;TEXT(ABS(Q73)*100,"0.0")&amp;", great at "&amp;IF(R73&gt;=0,"D+","R+")&amp;TEXT(ABS(R73)*100,"0.0")&amp;"; Barr on track at "&amp;IF(O73&gt;=0,"D+","R+")&amp;TEXT(ABS(O73)*100,"0.0")&amp;", great at "&amp;IF(N73&gt;=0,"D+","R+")&amp;TEXT(ABS(N73)*100,"0.0")&amp;". Turnout: if these counties vote at 95% of the state pace, the break-even moves to "&amp;IF((P73/0.95)&gt;=0,"D+","R+")&amp;TEXT(ABS((P73/0.95))*100,"0.0")&amp;"; at 105%, "&amp;IF((P73/1.05)&gt;=0,"D+","R+")&amp;TEXT(ABS((P73/1.05))*100,"0.0")&amp;"."</f>
        <v/>
      </c>
    </row>
    <row r="74" ht="40" customHeight="1">
      <c r="A74" s="8" t="inlineStr">
        <is>
          <t>KY|Small town &amp; rural</t>
        </is>
      </c>
      <c r="B74" s="8" t="inlineStr">
        <is>
          <t>KY</t>
        </is>
      </c>
      <c r="C74" s="8" t="inlineStr">
        <is>
          <t>Small town &amp; rural</t>
        </is>
      </c>
      <c r="D74" s="8">
        <f>COUNTIFS(Counties!$A$2:$A$1583,B74,Counties!$D$2:$D$1583,C74)</f>
        <v/>
      </c>
      <c r="E74" s="8">
        <f>COUNTIFS(Counties!$A$2:$A$1583,B74,Counties!$D$2:$D$1583,C74,Counties!$AG$2:$AG$1583,1)</f>
        <v/>
      </c>
      <c r="F74" s="12">
        <f>SUMIFS(Counties!$AF$2:$AF$1583,Counties!$A$2:$A$1583,$B74,Counties!$D$2:$D$1583,$C74,Counties!$AG$2:$AG$1583,1)</f>
        <v/>
      </c>
      <c r="G74" s="10">
        <f>IF(F74&gt;0,SUMIFS(Counties!$AP$2:$AP$1583,Counties!$A$2:$A$1583,$B74,Counties!$D$2:$D$1583,$C74)/F74,"")</f>
        <v/>
      </c>
      <c r="H74" s="10">
        <f>IF(G74&lt;&gt;"",G74,IF(Dashboard!$N$22&lt;&gt;"",Dashboard!$N$22,0))</f>
        <v/>
      </c>
      <c r="I74" s="12">
        <f>SUMIFS(Counties!$AQ$2:$AQ$1583,Counties!$A$2:$A$1583,$B74,Counties!$D$2:$D$1583,$C74,Counties!$AG$2:$AG$1583,1)</f>
        <v/>
      </c>
      <c r="J74" s="15">
        <f>IF(I74&gt;0,F74/I74,"")</f>
        <v/>
      </c>
      <c r="K74" s="15">
        <f>IF(J74="",Dashboard!$X$22,Dashboard!$X$22+(J74-Dashboard!$X$22)*E74/(E74+3))</f>
        <v/>
      </c>
      <c r="L74" s="57">
        <f>SUMIFS(Counties!$AQ$2:$AQ$1583,Counties!$A$2:$A$1583,$B74,Counties!$D$2:$D$1583,$C74)/SUMIFS(Counties!$AQ$2:$AQ$1583,Counties!$A$2:$A$1583,$B74)</f>
        <v/>
      </c>
      <c r="M74" s="9">
        <f>SUMIFS(Counties!$AR$2:$AR$1583,Counties!$A$2:$A$1583,$B74,Counties!$D$2:$D$1583,$C74)/SUMIFS(Counties!$AQ$2:$AQ$1583,Counties!$A$2:$A$1583,$B74,Counties!$D$2:$D$1583,$C74)</f>
        <v/>
      </c>
      <c r="N74" s="9">
        <f>M74+-0.05+Dashboard!$F$22</f>
        <v/>
      </c>
      <c r="O74" s="9">
        <f>M74+-0.01+Dashboard!$F$22</f>
        <v/>
      </c>
      <c r="P74" s="36">
        <f>M74+0.0+Dashboard!$F$22</f>
        <v/>
      </c>
      <c r="Q74" s="9">
        <f>M74+0.01+Dashboard!$F$22</f>
        <v/>
      </c>
      <c r="R74" s="9">
        <f>M74+0.05+Dashboard!$F$22</f>
        <v/>
      </c>
      <c r="S74" s="9">
        <f>IF(Dashboard!$K$22&gt;0,M74+H74,"")</f>
        <v/>
      </c>
      <c r="T74" s="10">
        <f>IF(G74="","",G74-Dashboard!$F$22)</f>
        <v/>
      </c>
      <c r="U74" s="8">
        <f>IF(F74=0,"no county of this type finished",IF(X74&gt;=0.05,"Great for Booker",IF(X74&gt;=0.01,"Booker on track",IF(X74&gt;-0.01,"Toss-up",IF(X74&gt;-0.05,"Barr on track","Great for Barr")))))</f>
        <v/>
      </c>
      <c r="V74" s="16">
        <f>IF(I74&gt;0,100*F74/(I74*Dashboard!$Y$22),"")</f>
        <v/>
      </c>
      <c r="W74" s="9">
        <f>IF(V74="","",P74/(V74/100))</f>
        <v/>
      </c>
      <c r="X74" s="10">
        <f>IF(F74&gt;0,(SUMIFS(Counties!$BA$2:$BA$1583,Counties!$A$2:$A$1583,$B74,Counties!$D$2:$D$1583,$C74,Counties!$AG$2:$AG$1583,1)+SUMIFS(Counties!$BB$2:$BB$1583,Counties!$A$2:$A$1583,$B74,Counties!$D$2:$D$1583,$C74,Counties!$AG$2:$AG$1583,1))/F74,"")</f>
        <v/>
      </c>
      <c r="Y74" s="37">
        <f>SUMIFS(Counties!$AZ$2:$AZ$1583,Counties!$A$2:$A$1583,$B74,Counties!$D$2:$D$1583,$C74)</f>
        <v/>
      </c>
      <c r="Z74" s="17">
        <f>"Small town &amp; rural: "&amp;TEXT(L74,"0.0%")&amp;" of the expected vote. Tie: "&amp;IF(P74&gt;=0,"D+","R+")&amp;TEXT(ABS(P74)*100,"0.0")&amp;". Booker on track at "&amp;IF(Q74&gt;=0,"D+","R+")&amp;TEXT(ABS(Q74)*100,"0.0")&amp;", great at "&amp;IF(R74&gt;=0,"D+","R+")&amp;TEXT(ABS(R74)*100,"0.0")&amp;"; Barr on track at "&amp;IF(O74&gt;=0,"D+","R+")&amp;TEXT(ABS(O74)*100,"0.0")&amp;", great at "&amp;IF(N74&gt;=0,"D+","R+")&amp;TEXT(ABS(N74)*100,"0.0")&amp;". Turnout: if these counties vote at 95% of the state pace, the break-even moves to "&amp;IF((P74/0.95)&gt;=0,"D+","R+")&amp;TEXT(ABS((P74/0.95))*100,"0.0")&amp;"; at 105%, "&amp;IF((P74/1.05)&gt;=0,"D+","R+")&amp;TEXT(ABS((P74/1.05))*100,"0.0")&amp;"."</f>
        <v/>
      </c>
    </row>
  </sheetData>
  <mergeCells count="1">
    <mergeCell ref="A1:Z1"/>
  </mergeCells>
  <conditionalFormatting sqref="U4:U74">
    <cfRule type="expression" priority="1" dxfId="0" stopIfTrue="1">
      <formula>AND($X4&lt;&gt;"",$X4&gt;=0.05)</formula>
    </cfRule>
    <cfRule type="expression" priority="2" dxfId="1" stopIfTrue="1">
      <formula>AND($X4&lt;&gt;"",$X4&gt;=0.01)</formula>
    </cfRule>
    <cfRule type="expression" priority="3" dxfId="2" stopIfTrue="1">
      <formula>AND($X4&lt;&gt;"",$X4&gt;-0.01)</formula>
    </cfRule>
    <cfRule type="expression" priority="4" dxfId="3" stopIfTrue="1">
      <formula>AND($X4&lt;&gt;"",$X4&gt;-0.05)</formula>
    </cfRule>
    <cfRule type="expression" priority="5" dxfId="4" stopIfTrue="1">
      <formula>AND($X4&lt;&gt;"",TRUE)</formula>
    </cfRule>
  </conditionalFormatting>
  <conditionalFormatting sqref="S4:S74">
    <cfRule type="expression" priority="6" dxfId="0" stopIfTrue="1">
      <formula>AND($X4&lt;&gt;"",$X4&gt;=0.05)</formula>
    </cfRule>
    <cfRule type="expression" priority="7" dxfId="1" stopIfTrue="1">
      <formula>AND($X4&lt;&gt;"",$X4&gt;=0.01)</formula>
    </cfRule>
    <cfRule type="expression" priority="8" dxfId="2" stopIfTrue="1">
      <formula>AND($X4&lt;&gt;"",$X4&gt;-0.01)</formula>
    </cfRule>
    <cfRule type="expression" priority="9" dxfId="3" stopIfTrue="1">
      <formula>AND($X4&lt;&gt;"",$X4&gt;-0.05)</formula>
    </cfRule>
    <cfRule type="expression" priority="10" dxfId="4" stopIfTrue="1">
      <formula>AND($X4&lt;&gt;"",TRUE)</formula>
    </cfRule>
  </conditionalFormatting>
  <conditionalFormatting sqref="AE4:AE13">
    <cfRule type="expression" priority="11" dxfId="0" stopIfTrue="1">
      <formula>AND($AE4&lt;&gt;"",$AE4&gt;=0.05)</formula>
    </cfRule>
    <cfRule type="expression" priority="12" dxfId="1" stopIfTrue="1">
      <formula>AND($AE4&lt;&gt;"",$AE4&gt;=0.01)</formula>
    </cfRule>
    <cfRule type="expression" priority="13" dxfId="2" stopIfTrue="1">
      <formula>AND($AE4&lt;&gt;"",$AE4&gt;-0.01)</formula>
    </cfRule>
    <cfRule type="expression" priority="14" dxfId="3" stopIfTrue="1">
      <formula>AND($AE4&lt;&gt;"",$AE4&gt;-0.05)</formula>
    </cfRule>
    <cfRule type="expression" priority="15" dxfId="4" stopIfTrue="1">
      <formula>AND($AE4&lt;&gt;"",TRUE)</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133"/>
  <sheetViews>
    <sheetView workbookViewId="0">
      <pane ySplit="5" topLeftCell="A6" activePane="bottomLeft" state="frozen"/>
      <selection pane="bottomLeft" activeCell="A1" sqref="A1"/>
    </sheetView>
  </sheetViews>
  <sheetFormatPr baseColWidth="8" defaultRowHeight="15"/>
  <cols>
    <col width="14" customWidth="1" min="1" max="1"/>
    <col width="11" customWidth="1" min="2" max="2"/>
    <col width="13" customWidth="1" min="3" max="3"/>
    <col width="13" customWidth="1" min="4" max="4"/>
    <col width="10" customWidth="1" min="5" max="5"/>
    <col width="12" customWidth="1" min="6" max="6"/>
    <col width="12" customWidth="1" min="7" max="7"/>
    <col width="11" customWidth="1" min="8" max="8"/>
    <col width="11" customWidth="1" min="9" max="9"/>
    <col width="11" customWidth="1" min="10" max="10"/>
    <col width="11" customWidth="1" min="11" max="11"/>
    <col width="10" customWidth="1" min="12" max="12"/>
    <col width="10" customWidth="1" min="13" max="13"/>
    <col width="10" customWidth="1" min="14" max="14"/>
    <col width="50" customWidth="1" min="15" max="15"/>
    <col width="13" customWidth="1" min="16" max="16"/>
    <col width="13" customWidth="1" min="17" max="17"/>
    <col width="13" customWidth="1" min="18" max="18"/>
    <col width="13" customWidth="1" min="19" max="19"/>
  </cols>
  <sheetData>
    <row r="1">
      <c r="A1" s="20" t="inlineStr">
        <is>
          <t>Early vote</t>
        </is>
      </c>
    </row>
    <row r="2">
      <c r="A2" s="5" t="inlineStr">
        <is>
          <t>Statewide: UF Election Lab early vote tracker (Michael McDonald), CC BY-NC-ND 4.0, personal non-commercial use. Party registration is not vote choice. New Hampshire doesn't report early vote.</t>
        </is>
      </c>
    </row>
    <row r="3">
      <c r="A3" t="inlineStr">
        <is>
          <t>Updated:</t>
        </is>
      </c>
      <c r="B3" t="inlineStr">
        <is>
          <t>Oct 29 06:09 PM</t>
        </is>
      </c>
    </row>
    <row r="5" ht="42" customHeight="1">
      <c r="A5" s="7" t="inlineStr">
        <is>
          <t>State</t>
        </is>
      </c>
      <c r="B5" s="7" t="inlineStr">
        <is>
          <t>As of</t>
        </is>
      </c>
      <c r="C5" s="7" t="inlineStr">
        <is>
          <t>Early votes so far</t>
        </is>
      </c>
      <c r="D5" s="7" t="inlineStr">
        <is>
          <t>2022 total turnout</t>
        </is>
      </c>
      <c r="E5" s="7" t="inlineStr">
        <is>
          <t>% of 2022 turnout</t>
        </is>
      </c>
      <c r="F5" s="7" t="inlineStr">
        <is>
          <t>In person</t>
        </is>
      </c>
      <c r="G5" s="7" t="inlineStr">
        <is>
          <t>Mail</t>
        </is>
      </c>
      <c r="H5" s="7" t="inlineStr">
        <is>
          <t>Reg. Dem</t>
        </is>
      </c>
      <c r="I5" s="7" t="inlineStr">
        <is>
          <t>Reg. Rep</t>
        </is>
      </c>
      <c r="J5" s="7" t="inlineStr">
        <is>
          <t>Reg. other</t>
        </is>
      </c>
      <c r="K5" s="7" t="inlineStr">
        <is>
          <t>Dem − Rep share</t>
        </is>
      </c>
      <c r="L5" s="7" t="inlineStr">
        <is>
          <t>Black share</t>
        </is>
      </c>
      <c r="M5" s="7" t="inlineStr">
        <is>
          <t>Ages 18-25 share</t>
        </is>
      </c>
      <c r="N5" s="7" t="inlineStr">
        <is>
          <t>Over 65 share</t>
        </is>
      </c>
      <c r="O5" s="7" t="inlineStr">
        <is>
          <t>Source</t>
        </is>
      </c>
    </row>
    <row r="6">
      <c r="A6" s="8" t="inlineStr">
        <is>
          <t>AK</t>
        </is>
      </c>
      <c r="B6" s="8" t="inlineStr">
        <is>
          <t>10/28/2026</t>
        </is>
      </c>
      <c r="C6" s="12" t="n">
        <v>61649</v>
      </c>
      <c r="D6" s="12" t="n">
        <v>267047</v>
      </c>
      <c r="E6" s="13">
        <f>IFERROR(C6/D6,"")</f>
        <v/>
      </c>
      <c r="F6" s="12" t="n">
        <v>41030</v>
      </c>
      <c r="G6" s="12" t="n">
        <v>20619</v>
      </c>
      <c r="H6" s="12" t="n"/>
      <c r="I6" s="12" t="n"/>
      <c r="J6" s="12" t="n"/>
      <c r="K6" s="61">
        <f>IFERROR(IF(H6+I6+J6&gt;0,(H6-I6)/(H6+I6+J6),""),"")</f>
        <v/>
      </c>
      <c r="L6" s="13" t="n"/>
      <c r="M6" s="13" t="n"/>
      <c r="N6" s="13" t="n"/>
      <c r="O6" s="8" t="inlineStr">
        <is>
          <t>https://www.elections.alaska.gov/research/statistics/#aeqstats</t>
        </is>
      </c>
    </row>
    <row r="7">
      <c r="A7" s="8" t="inlineStr">
        <is>
          <t>GA</t>
        </is>
      </c>
      <c r="B7" s="8" t="inlineStr">
        <is>
          <t>10/29/2026</t>
        </is>
      </c>
      <c r="C7" s="12" t="n">
        <v>2402526</v>
      </c>
      <c r="D7" s="12" t="n">
        <v>3964926</v>
      </c>
      <c r="E7" s="13">
        <f>IFERROR(C7/D7,"")</f>
        <v/>
      </c>
      <c r="F7" s="12" t="n">
        <v>2294275</v>
      </c>
      <c r="G7" s="12" t="n">
        <v>108251</v>
      </c>
      <c r="H7" s="12" t="n"/>
      <c r="I7" s="12" t="n"/>
      <c r="J7" s="12" t="n"/>
      <c r="K7" s="61">
        <f>IFERROR(IF(H7+I7+J7&gt;0,(H7-I7)/(H7+I7+J7),""),"")</f>
        <v/>
      </c>
      <c r="L7" s="13" t="n">
        <v>0.3108295185983419</v>
      </c>
      <c r="M7" s="13" t="n">
        <v>0.06263183232772861</v>
      </c>
      <c r="N7" s="13" t="n">
        <v>0.3758170402793207</v>
      </c>
      <c r="O7" s="8" t="inlineStr">
        <is>
          <t>https://mvp.sos.ga.gov/s/voter-absentee-files</t>
        </is>
      </c>
    </row>
    <row r="8">
      <c r="A8" s="8" t="inlineStr">
        <is>
          <t>IA</t>
        </is>
      </c>
      <c r="B8" s="8" t="inlineStr">
        <is>
          <t>10/29/2026</t>
        </is>
      </c>
      <c r="C8" s="12" t="n">
        <v>373386</v>
      </c>
      <c r="D8" s="12" t="n">
        <v>1230417</v>
      </c>
      <c r="E8" s="13">
        <f>IFERROR(C8/D8,"")</f>
        <v/>
      </c>
      <c r="F8" s="12" t="n">
        <v>239682</v>
      </c>
      <c r="G8" s="12" t="n">
        <v>133704</v>
      </c>
      <c r="H8" s="12" t="n">
        <v>178663</v>
      </c>
      <c r="I8" s="12" t="n">
        <v>124738</v>
      </c>
      <c r="J8" s="12" t="n">
        <v>69985</v>
      </c>
      <c r="K8" s="61">
        <f>IFERROR(IF(H8+I8+J8&gt;0,(H8-I8)/(H8+I8+J8),""),"")</f>
        <v/>
      </c>
      <c r="L8" s="13" t="n"/>
      <c r="M8" s="13" t="n">
        <v>0.0456165818096113</v>
      </c>
      <c r="N8" s="13" t="n">
        <v>0.5532135424896819</v>
      </c>
      <c r="O8" s="8" t="inlineStr">
        <is>
          <t>Iowa Secretary of State</t>
        </is>
      </c>
    </row>
    <row r="9">
      <c r="A9" s="8" t="inlineStr">
        <is>
          <t>KS</t>
        </is>
      </c>
      <c r="B9" s="8" t="inlineStr">
        <is>
          <t>10/29/2026</t>
        </is>
      </c>
      <c r="C9" s="12" t="n">
        <v>328522</v>
      </c>
      <c r="D9" s="12" t="n">
        <v>1008998</v>
      </c>
      <c r="E9" s="13">
        <f>IFERROR(C9/D9,"")</f>
        <v/>
      </c>
      <c r="F9" s="12" t="n">
        <v>262515</v>
      </c>
      <c r="G9" s="12" t="n">
        <v>66007</v>
      </c>
      <c r="H9" s="12" t="n">
        <v>142173</v>
      </c>
      <c r="I9" s="12" t="n">
        <v>138829</v>
      </c>
      <c r="J9" s="12" t="n">
        <v>47520</v>
      </c>
      <c r="K9" s="61">
        <f>IFERROR(IF(H9+I9+J9&gt;0,(H9-I9)/(H9+I9+J9),""),"")</f>
        <v/>
      </c>
      <c r="L9" s="13" t="n"/>
      <c r="M9" s="13" t="n">
        <v>0.04694967155928675</v>
      </c>
      <c r="N9" s="13" t="n">
        <v>0.5020272614923811</v>
      </c>
      <c r="O9" s="8" t="inlineStr">
        <is>
          <t>Kansas Secretary of State</t>
        </is>
      </c>
    </row>
    <row r="10">
      <c r="A10" s="8" t="inlineStr">
        <is>
          <t>ME</t>
        </is>
      </c>
      <c r="B10" s="8" t="inlineStr">
        <is>
          <t>10/29/2026</t>
        </is>
      </c>
      <c r="C10" s="12" t="n">
        <v>273984</v>
      </c>
      <c r="D10" s="12" t="n">
        <v>680909</v>
      </c>
      <c r="E10" s="13">
        <f>IFERROR(C10/D10,"")</f>
        <v/>
      </c>
      <c r="F10" s="12" t="n"/>
      <c r="G10" s="12" t="n">
        <v>273984</v>
      </c>
      <c r="H10" s="12" t="n">
        <v>129966</v>
      </c>
      <c r="I10" s="12" t="n">
        <v>61975</v>
      </c>
      <c r="J10" s="12" t="n">
        <v>82043</v>
      </c>
      <c r="K10" s="61">
        <f>IFERROR(IF(H10+I10+J10&gt;0,(H10-I10)/(H10+I10+J10),""),"")</f>
        <v/>
      </c>
      <c r="L10" s="13" t="n"/>
      <c r="M10" s="13" t="n"/>
      <c r="N10" s="13" t="n"/>
      <c r="O10" s="8" t="inlineStr">
        <is>
          <t>https://www.maine.gov/sos/cec/elec/data/index.html</t>
        </is>
      </c>
    </row>
    <row r="11">
      <c r="A11" s="8" t="inlineStr">
        <is>
          <t>MI</t>
        </is>
      </c>
      <c r="B11" s="8" t="inlineStr">
        <is>
          <t>10/29/2026</t>
        </is>
      </c>
      <c r="C11" s="12" t="n">
        <v>1704753</v>
      </c>
      <c r="D11" s="12" t="n">
        <v>4500400</v>
      </c>
      <c r="E11" s="13">
        <f>IFERROR(C11/D11,"")</f>
        <v/>
      </c>
      <c r="F11" s="12" t="n">
        <v>328746</v>
      </c>
      <c r="G11" s="12" t="n">
        <v>1376007</v>
      </c>
      <c r="H11" s="12" t="n"/>
      <c r="I11" s="12" t="n"/>
      <c r="J11" s="12" t="n"/>
      <c r="K11" s="61">
        <f>IFERROR(IF(H11+I11+J11&gt;0,(H11-I11)/(H11+I11+J11),""),"")</f>
        <v/>
      </c>
      <c r="L11" s="13" t="n"/>
      <c r="M11" s="13" t="n">
        <v>0.0465868075903078</v>
      </c>
      <c r="N11" s="13" t="n">
        <v>0.5420175239462843</v>
      </c>
      <c r="O11" s="8" t="inlineStr">
        <is>
          <t>Data provided by Michigan Secretary of State</t>
        </is>
      </c>
    </row>
    <row r="12">
      <c r="A12" s="8" t="inlineStr">
        <is>
          <t>MN</t>
        </is>
      </c>
      <c r="B12" s="8" t="inlineStr">
        <is>
          <t>10/23/2026</t>
        </is>
      </c>
      <c r="C12" s="12" t="n">
        <v>419189</v>
      </c>
      <c r="D12" s="12" t="n">
        <v>2526646</v>
      </c>
      <c r="E12" s="13">
        <f>IFERROR(C12/D12,"")</f>
        <v/>
      </c>
      <c r="F12" s="12" t="n">
        <v>241348</v>
      </c>
      <c r="G12" s="12" t="n">
        <v>177841</v>
      </c>
      <c r="H12" s="12" t="n"/>
      <c r="I12" s="12" t="n"/>
      <c r="J12" s="12" t="n"/>
      <c r="K12" s="61">
        <f>IFERROR(IF(H12+I12+J12&gt;0,(H12-I12)/(H12+I12+J12),""),"")</f>
        <v/>
      </c>
      <c r="L12" s="13" t="n"/>
      <c r="M12" s="13" t="n"/>
      <c r="N12" s="13" t="n"/>
      <c r="O12" s="8" t="inlineStr">
        <is>
          <t>https://www.sos.mn.gov/election-administration-campaigns/data-maps/absentee-data/</t>
        </is>
      </c>
    </row>
    <row r="13">
      <c r="A13" s="8" t="inlineStr">
        <is>
          <t>MS</t>
        </is>
      </c>
      <c r="B13" s="8" t="inlineStr">
        <is>
          <t>10/26/2026</t>
        </is>
      </c>
      <c r="C13" s="12" t="n">
        <v>56049</v>
      </c>
      <c r="D13" s="12" t="n">
        <v>709100</v>
      </c>
      <c r="E13" s="13">
        <f>IFERROR(C13/D13,"")</f>
        <v/>
      </c>
      <c r="F13" s="12" t="n"/>
      <c r="G13" s="12" t="n">
        <v>56049</v>
      </c>
      <c r="H13" s="12" t="n"/>
      <c r="I13" s="12" t="n"/>
      <c r="J13" s="12" t="n"/>
      <c r="K13" s="61">
        <f>IFERROR(IF(H13+I13+J13&gt;0,(H13-I13)/(H13+I13+J13),""),"")</f>
        <v/>
      </c>
      <c r="L13" s="13" t="n"/>
      <c r="M13" s="13" t="n"/>
      <c r="N13" s="13" t="n"/>
      <c r="O13" s="8" t="inlineStr">
        <is>
          <t>Mississippi Secretary of State - Statewide Election Management System</t>
        </is>
      </c>
    </row>
    <row r="14">
      <c r="A14" s="8" t="inlineStr">
        <is>
          <t>NC</t>
        </is>
      </c>
      <c r="B14" s="8" t="inlineStr">
        <is>
          <t>10/29/2026</t>
        </is>
      </c>
      <c r="C14" s="12" t="n">
        <v>2150025</v>
      </c>
      <c r="D14" s="12" t="n">
        <v>3790202</v>
      </c>
      <c r="E14" s="13">
        <f>IFERROR(C14/D14,"")</f>
        <v/>
      </c>
      <c r="F14" s="12" t="n">
        <v>2073468</v>
      </c>
      <c r="G14" s="12" t="n">
        <v>76557</v>
      </c>
      <c r="H14" s="12" t="n">
        <v>856353</v>
      </c>
      <c r="I14" s="12" t="n">
        <v>543174</v>
      </c>
      <c r="J14" s="12" t="n">
        <v>750498</v>
      </c>
      <c r="K14" s="61">
        <f>IFERROR(IF(H14+I14+J14&gt;0,(H14-I14)/(H14+I14+J14),""),"")</f>
        <v/>
      </c>
      <c r="L14" s="13" t="n">
        <v>0.2131235683306008</v>
      </c>
      <c r="M14" s="13" t="n">
        <v>0.06185183893210544</v>
      </c>
      <c r="N14" s="13" t="n">
        <v>0.4271434053092406</v>
      </c>
      <c r="O14" s="8" t="inlineStr">
        <is>
          <t>https://dl.ncsbe.gov/?prefix=ENRS/2026_11_03/</t>
        </is>
      </c>
    </row>
    <row r="15">
      <c r="A15" s="8" t="inlineStr">
        <is>
          <t>NE</t>
        </is>
      </c>
      <c r="B15" s="8" t="inlineStr">
        <is>
          <t>10/29/2026</t>
        </is>
      </c>
      <c r="C15" s="12" t="n">
        <v>200455</v>
      </c>
      <c r="D15" s="12" t="n">
        <v>682716</v>
      </c>
      <c r="E15" s="13">
        <f>IFERROR(C15/D15,"")</f>
        <v/>
      </c>
      <c r="F15" s="12" t="n">
        <v>36228</v>
      </c>
      <c r="G15" s="12" t="n">
        <v>164227</v>
      </c>
      <c r="H15" s="12" t="n">
        <v>78591</v>
      </c>
      <c r="I15" s="12" t="n">
        <v>87797</v>
      </c>
      <c r="J15" s="12" t="n">
        <v>34067</v>
      </c>
      <c r="K15" s="61">
        <f>IFERROR(IF(H15+I15+J15&gt;0,(H15-I15)/(H15+I15+J15),""),"")</f>
        <v/>
      </c>
      <c r="L15" s="13" t="n"/>
      <c r="M15" s="13" t="n"/>
      <c r="N15" s="13" t="n"/>
      <c r="O15" s="8" t="inlineStr">
        <is>
          <t>Data file provided by Nebraska Secretary of State</t>
        </is>
      </c>
    </row>
    <row r="16">
      <c r="A16" s="8" t="inlineStr">
        <is>
          <t>NH</t>
        </is>
      </c>
      <c r="B16" s="8" t="n"/>
      <c r="C16" s="12" t="n"/>
      <c r="D16" s="12" t="n"/>
      <c r="E16" s="13">
        <f>IFERROR(C16/D16,"")</f>
        <v/>
      </c>
      <c r="F16" s="12" t="n"/>
      <c r="G16" s="12" t="n"/>
      <c r="H16" s="12" t="n"/>
      <c r="I16" s="12" t="n"/>
      <c r="J16" s="12" t="n"/>
      <c r="K16" s="61">
        <f>IFERROR(IF(H16+I16+J16&gt;0,(H16-I16)/(H16+I16+J16),""),"")</f>
        <v/>
      </c>
      <c r="L16" s="13" t="n"/>
      <c r="M16" s="13" t="n"/>
      <c r="N16" s="13" t="n"/>
      <c r="O16" s="8" t="n"/>
    </row>
    <row r="17">
      <c r="A17" s="8" t="inlineStr">
        <is>
          <t>OH</t>
        </is>
      </c>
      <c r="B17" s="8" t="inlineStr">
        <is>
          <t>10/29/2026</t>
        </is>
      </c>
      <c r="C17" s="12" t="n">
        <v>1388980</v>
      </c>
      <c r="D17" s="12" t="n">
        <v>4201368</v>
      </c>
      <c r="E17" s="13">
        <f>IFERROR(C17/D17,"")</f>
        <v/>
      </c>
      <c r="F17" s="12" t="n">
        <v>844282</v>
      </c>
      <c r="G17" s="12" t="n">
        <v>544698</v>
      </c>
      <c r="H17" s="12" t="n"/>
      <c r="I17" s="12" t="n"/>
      <c r="J17" s="12" t="n"/>
      <c r="K17" s="61">
        <f>IFERROR(IF(H17+I17+J17&gt;0,(H17-I17)/(H17+I17+J17),""),"")</f>
        <v/>
      </c>
      <c r="L17" s="13" t="n"/>
      <c r="M17" s="13" t="n"/>
      <c r="N17" s="13" t="n"/>
      <c r="O17" s="8" t="inlineStr">
        <is>
          <t>https://data.ohiosos.gov/portal/election-dashboards</t>
        </is>
      </c>
    </row>
    <row r="18">
      <c r="A18" s="8" t="inlineStr">
        <is>
          <t>SC</t>
        </is>
      </c>
      <c r="B18" s="8" t="inlineStr">
        <is>
          <t>10/29/2026</t>
        </is>
      </c>
      <c r="C18" s="12" t="n">
        <v>789240</v>
      </c>
      <c r="D18" s="12" t="n">
        <v>1718626</v>
      </c>
      <c r="E18" s="13">
        <f>IFERROR(C18/D18,"")</f>
        <v/>
      </c>
      <c r="F18" s="12" t="n">
        <v>753108</v>
      </c>
      <c r="G18" s="12" t="n">
        <v>36132</v>
      </c>
      <c r="H18" s="12" t="n"/>
      <c r="I18" s="12" t="n"/>
      <c r="J18" s="12" t="n"/>
      <c r="K18" s="61">
        <f>IFERROR(IF(H18+I18+J18&gt;0,(H18-I18)/(H18+I18+J18),""),"")</f>
        <v/>
      </c>
      <c r="L18" s="13" t="n">
        <v>0.01230550909735948</v>
      </c>
      <c r="M18" s="13" t="n"/>
      <c r="N18" s="13" t="n"/>
      <c r="O18" s="8" t="inlineStr">
        <is>
          <t>https://scvotes.gov/elections-statistics/voter-participation/</t>
        </is>
      </c>
    </row>
    <row r="19">
      <c r="A19" s="8" t="inlineStr">
        <is>
          <t>TX</t>
        </is>
      </c>
      <c r="B19" s="8" t="inlineStr">
        <is>
          <t>10/29/2026</t>
        </is>
      </c>
      <c r="C19" s="12" t="n">
        <v>6258909</v>
      </c>
      <c r="D19" s="12" t="n">
        <v>8151590</v>
      </c>
      <c r="E19" s="13">
        <f>IFERROR(C19/D19,"")</f>
        <v/>
      </c>
      <c r="F19" s="12" t="n">
        <v>6011271</v>
      </c>
      <c r="G19" s="12" t="n">
        <v>247638</v>
      </c>
      <c r="H19" s="12" t="n"/>
      <c r="I19" s="12" t="n"/>
      <c r="J19" s="12" t="n"/>
      <c r="K19" s="61">
        <f>IFERROR(IF(H19+I19+J19&gt;0,(H19-I19)/(H19+I19+J19),""),"")</f>
        <v/>
      </c>
      <c r="L19" s="13" t="n"/>
      <c r="M19" s="13" t="n"/>
      <c r="N19" s="13" t="n"/>
      <c r="O19" s="8" t="inlineStr">
        <is>
          <t>https://goelect.txelections.civixapps.com/ivis-evr-ui/evr</t>
        </is>
      </c>
    </row>
    <row r="20">
      <c r="A20" s="8" t="inlineStr">
        <is>
          <t>FL</t>
        </is>
      </c>
      <c r="B20" s="8" t="inlineStr">
        <is>
          <t>10/29/2026</t>
        </is>
      </c>
      <c r="C20" s="12" t="n">
        <v>4258780</v>
      </c>
      <c r="D20" s="12" t="n">
        <v>7796916</v>
      </c>
      <c r="E20" s="13">
        <f>IFERROR(C20/D20,"")</f>
        <v/>
      </c>
      <c r="F20" s="12" t="n">
        <v>2492034</v>
      </c>
      <c r="G20" s="12" t="n">
        <v>1766746</v>
      </c>
      <c r="H20" s="12" t="n">
        <v>1642177</v>
      </c>
      <c r="I20" s="12" t="n">
        <v>1719323</v>
      </c>
      <c r="J20" s="12" t="n">
        <v>897280</v>
      </c>
      <c r="K20" s="61">
        <f>IFERROR(IF(H20+I20+J20&gt;0,(H20-I20)/(H20+I20+J20),""),"")</f>
        <v/>
      </c>
      <c r="L20" s="13" t="n"/>
      <c r="M20" s="13" t="n"/>
      <c r="N20" s="13" t="n"/>
      <c r="O20" s="8" t="inlineStr">
        <is>
          <t>https://countyfilesvbm-ev.floridados.gov/VoteByMailEarlyVotingReports/PublicStats</t>
        </is>
      </c>
    </row>
    <row r="21">
      <c r="A21" s="8" t="inlineStr">
        <is>
          <t>VA</t>
        </is>
      </c>
      <c r="B21" s="8" t="inlineStr">
        <is>
          <t>10/29/2026</t>
        </is>
      </c>
      <c r="C21" s="12" t="n">
        <v>1329665</v>
      </c>
      <c r="D21" s="12" t="n">
        <v>3021956</v>
      </c>
      <c r="E21" s="13">
        <f>IFERROR(C21/D21,"")</f>
        <v/>
      </c>
      <c r="F21" s="12" t="n">
        <v>1037444</v>
      </c>
      <c r="G21" s="12" t="n">
        <v>292221</v>
      </c>
      <c r="H21" s="12" t="n"/>
      <c r="I21" s="12" t="n"/>
      <c r="J21" s="12" t="n"/>
      <c r="K21" s="61">
        <f>IFERROR(IF(H21+I21+J21&gt;0,(H21-I21)/(H21+I21+J21),""),"")</f>
        <v/>
      </c>
      <c r="L21" s="13" t="n"/>
      <c r="M21" s="13" t="n"/>
      <c r="N21" s="13" t="n"/>
      <c r="O21" s="8" t="inlineStr">
        <is>
          <t>https://www.vpap.org/elections/early-voting/</t>
        </is>
      </c>
    </row>
    <row r="22">
      <c r="A22" s="8" t="inlineStr">
        <is>
          <t>KY</t>
        </is>
      </c>
      <c r="B22" s="8" t="inlineStr">
        <is>
          <t>10/29/2026</t>
        </is>
      </c>
      <c r="C22" s="12" t="n">
        <v>54219</v>
      </c>
      <c r="D22" s="12" t="n">
        <v>1502550</v>
      </c>
      <c r="E22" s="13">
        <f>IFERROR(C22/D22,"")</f>
        <v/>
      </c>
      <c r="F22" s="12" t="n">
        <v>13459</v>
      </c>
      <c r="G22" s="12" t="n">
        <v>40760</v>
      </c>
      <c r="H22" s="12" t="n">
        <v>27955</v>
      </c>
      <c r="I22" s="12" t="n">
        <v>22074</v>
      </c>
      <c r="J22" s="12" t="n">
        <v>4190</v>
      </c>
      <c r="K22" s="61">
        <f>IFERROR(IF(H22+I22+J22&gt;0,(H22-I22)/(H22+I22+J22),""),"")</f>
        <v/>
      </c>
      <c r="L22" s="13" t="n"/>
      <c r="M22" s="13" t="n"/>
      <c r="N22" s="13" t="n"/>
      <c r="O22" s="8" t="inlineStr">
        <is>
          <t>https://elect.ky.gov/Pages/default.aspx</t>
        </is>
      </c>
    </row>
    <row r="26">
      <c r="A26" s="62" t="inlineStr">
        <is>
          <t>North Carolina by county: 2026 so far vs 2022 at the same number of days out</t>
        </is>
      </c>
    </row>
    <row r="27">
      <c r="A27" s="5" t="inlineStr">
        <is>
          <t>Modeled lean = share of each group's early votes assumed to go to the Democrat (yellow cells, fitted to 2022 county results: R² 0.811, typical county miss 6.18 pts). It measures who has voted, not how they voted. If unaffiliated voters are more Republican than in 2022, it overstates Democrats.</t>
        </is>
      </c>
    </row>
    <row r="28">
      <c r="A28" s="56" t="inlineStr">
        <is>
          <t>Group</t>
        </is>
      </c>
      <c r="B28" s="56" t="inlineStr">
        <is>
          <t>Dem Black</t>
        </is>
      </c>
      <c r="C28" s="56" t="inlineStr">
        <is>
          <t>Dem Nonblack</t>
        </is>
      </c>
      <c r="D28" s="56" t="inlineStr">
        <is>
          <t>Rep</t>
        </is>
      </c>
      <c r="E28" s="56" t="inlineStr">
        <is>
          <t>Una Black</t>
        </is>
      </c>
      <c r="F28" s="56" t="inlineStr">
        <is>
          <t>Una Nonblack</t>
        </is>
      </c>
    </row>
    <row r="29">
      <c r="A29" s="56" t="inlineStr">
        <is>
          <t>D share</t>
        </is>
      </c>
      <c r="B29" s="63" t="n">
        <v>0.95</v>
      </c>
      <c r="C29" s="63" t="n">
        <v>0.95</v>
      </c>
      <c r="D29" s="63" t="n">
        <v>0.03</v>
      </c>
      <c r="E29" s="63" t="n">
        <v>0.95</v>
      </c>
      <c r="F29" s="63" t="n">
        <v>0.5483</v>
      </c>
    </row>
    <row r="30">
      <c r="A30" s="6" t="inlineStr">
        <is>
          <t>2026 data through 2026-10-29 (5 days before the election)</t>
        </is>
      </c>
    </row>
    <row r="32" ht="54" customHeight="1">
      <c r="A32" s="7" t="inlineStr">
        <is>
          <t>County</t>
        </is>
      </c>
      <c r="B32" s="7" t="inlineStr">
        <is>
          <t>2026 so far</t>
        </is>
      </c>
      <c r="C32" s="7" t="inlineStr">
        <is>
          <t>2022 same point</t>
        </is>
      </c>
      <c r="D32" s="7" t="inlineStr">
        <is>
          <t>Change</t>
        </is>
      </c>
      <c r="E32" s="7" t="inlineStr">
        <is>
          <t>2026 Dem Black</t>
        </is>
      </c>
      <c r="F32" s="7" t="inlineStr">
        <is>
          <t>2026 Dem Nonblack</t>
        </is>
      </c>
      <c r="G32" s="7" t="inlineStr">
        <is>
          <t>2026 Rep</t>
        </is>
      </c>
      <c r="H32" s="7" t="inlineStr">
        <is>
          <t>2026 Una Black</t>
        </is>
      </c>
      <c r="I32" s="7" t="inlineStr">
        <is>
          <t>2026 Una Nonblack</t>
        </is>
      </c>
      <c r="J32" s="7" t="inlineStr">
        <is>
          <t>2022 Dem Black</t>
        </is>
      </c>
      <c r="K32" s="7" t="inlineStr">
        <is>
          <t>2022 Dem Nonblack</t>
        </is>
      </c>
      <c r="L32" s="7" t="inlineStr">
        <is>
          <t>2022 Rep</t>
        </is>
      </c>
      <c r="M32" s="7" t="inlineStr">
        <is>
          <t>2022 Una Black</t>
        </is>
      </c>
      <c r="N32" s="7" t="inlineStr">
        <is>
          <t>2022 Una Nonblack</t>
        </is>
      </c>
      <c r="O32" s="7" t="inlineStr">
        <is>
          <t>Modeled lean 2026</t>
        </is>
      </c>
      <c r="P32" s="7" t="inlineStr">
        <is>
          <t>Modeled lean 2022 same point</t>
        </is>
      </c>
      <c r="Q32" s="7" t="inlineStr">
        <is>
          <t>Shift</t>
        </is>
      </c>
      <c r="R32" s="7" t="inlineStr">
        <is>
          <t>2022 actual early-vote margin</t>
        </is>
      </c>
      <c r="S32" s="7" t="inlineStr">
        <is>
          <t>Black share 2026</t>
        </is>
      </c>
    </row>
    <row r="33">
      <c r="A33" s="42" t="inlineStr">
        <is>
          <t>Alamance</t>
        </is>
      </c>
      <c r="B33" s="43">
        <f>SUM(E33:I33)</f>
        <v/>
      </c>
      <c r="C33" s="43">
        <f>SUM(J33:N33)</f>
        <v/>
      </c>
      <c r="D33" s="64">
        <f>IFERROR(B33/C33-1,"")</f>
        <v/>
      </c>
      <c r="E33" s="43" t="n">
        <v>6970</v>
      </c>
      <c r="F33" s="43" t="n">
        <v>6904</v>
      </c>
      <c r="G33" s="43" t="n">
        <v>10067</v>
      </c>
      <c r="H33" s="43" t="n">
        <v>1526</v>
      </c>
      <c r="I33" s="43" t="n">
        <v>9648</v>
      </c>
      <c r="J33" s="43" t="n">
        <v>5078</v>
      </c>
      <c r="K33" s="43" t="n">
        <v>5582</v>
      </c>
      <c r="L33" s="43" t="n">
        <v>10177</v>
      </c>
      <c r="M33" s="43" t="n">
        <v>653</v>
      </c>
      <c r="N33" s="43" t="n">
        <v>6884</v>
      </c>
      <c r="O33" s="44">
        <f>IFERROR(2*(E33*$B$29+F33*$C$29+G33*$D$29+H33*$E$29+I33*$F$29)/B33-1,"")</f>
        <v/>
      </c>
      <c r="P33" s="44">
        <f>IFERROR(2*(J33*$B$29+K33*$C$29+L33*$D$29+M33*$E$29+N33*$F$29)/C33-1,"")</f>
        <v/>
      </c>
      <c r="Q33" s="45">
        <f>IFERROR(O33-P33,"")</f>
        <v/>
      </c>
      <c r="R33" s="44" t="n">
        <v>-0.01534570952353584</v>
      </c>
      <c r="S33" s="51" t="n">
        <v>0.2442545920546775</v>
      </c>
    </row>
    <row r="34">
      <c r="A34" s="42" t="inlineStr">
        <is>
          <t>Alexander</t>
        </is>
      </c>
      <c r="B34" s="43">
        <f>SUM(E34:I34)</f>
        <v/>
      </c>
      <c r="C34" s="43">
        <f>SUM(J34:N34)</f>
        <v/>
      </c>
      <c r="D34" s="64">
        <f>IFERROR(B34/C34-1,"")</f>
        <v/>
      </c>
      <c r="E34" s="43" t="n">
        <v>188</v>
      </c>
      <c r="F34" s="43" t="n">
        <v>964</v>
      </c>
      <c r="G34" s="43" t="n">
        <v>2942</v>
      </c>
      <c r="H34" s="43" t="n">
        <v>41</v>
      </c>
      <c r="I34" s="43" t="n">
        <v>2033</v>
      </c>
      <c r="J34" s="43" t="n">
        <v>183</v>
      </c>
      <c r="K34" s="43" t="n">
        <v>1372</v>
      </c>
      <c r="L34" s="43" t="n">
        <v>4324</v>
      </c>
      <c r="M34" s="43" t="n">
        <v>29</v>
      </c>
      <c r="N34" s="43" t="n">
        <v>2338</v>
      </c>
      <c r="O34" s="44">
        <f>IFERROR(2*(E34*$B$29+F34*$C$29+G34*$D$29+H34*$E$29+I34*$F$29)/B34-1,"")</f>
        <v/>
      </c>
      <c r="P34" s="44">
        <f>IFERROR(2*(J34*$B$29+K34*$C$29+L34*$D$29+M34*$E$29+N34*$F$29)/C34-1,"")</f>
        <v/>
      </c>
      <c r="Q34" s="45">
        <f>IFERROR(O34-P34,"")</f>
        <v/>
      </c>
      <c r="R34" s="44" t="n">
        <v>-0.5603563018327019</v>
      </c>
      <c r="S34" s="51" t="n">
        <v>0.03777561608300908</v>
      </c>
    </row>
    <row r="35">
      <c r="A35" s="42" t="inlineStr">
        <is>
          <t>Alleghany</t>
        </is>
      </c>
      <c r="B35" s="43">
        <f>SUM(E35:I35)</f>
        <v/>
      </c>
      <c r="C35" s="43">
        <f>SUM(J35:N35)</f>
        <v/>
      </c>
      <c r="D35" s="64">
        <f>IFERROR(B35/C35-1,"")</f>
        <v/>
      </c>
      <c r="E35" s="43" t="n">
        <v>22</v>
      </c>
      <c r="F35" s="43" t="n">
        <v>564</v>
      </c>
      <c r="G35" s="43" t="n">
        <v>1021</v>
      </c>
      <c r="H35" s="43" t="n">
        <v>4</v>
      </c>
      <c r="I35" s="43" t="n">
        <v>771</v>
      </c>
      <c r="J35" s="43" t="n">
        <v>22</v>
      </c>
      <c r="K35" s="43" t="n">
        <v>774</v>
      </c>
      <c r="L35" s="43" t="n">
        <v>1173</v>
      </c>
      <c r="M35" s="43" t="n">
        <v>6</v>
      </c>
      <c r="N35" s="43" t="n">
        <v>807</v>
      </c>
      <c r="O35" s="44">
        <f>IFERROR(2*(E35*$B$29+F35*$C$29+G35*$D$29+H35*$E$29+I35*$F$29)/B35-1,"")</f>
        <v/>
      </c>
      <c r="P35" s="44">
        <f>IFERROR(2*(J35*$B$29+K35*$C$29+L35*$D$29+M35*$E$29+N35*$F$29)/C35-1,"")</f>
        <v/>
      </c>
      <c r="Q35" s="45">
        <f>IFERROR(O35-P35,"")</f>
        <v/>
      </c>
      <c r="R35" s="44" t="n">
        <v>-0.392156862745098</v>
      </c>
      <c r="S35" s="51" t="n">
        <v>0.01133501259445844</v>
      </c>
    </row>
    <row r="36">
      <c r="A36" s="42" t="inlineStr">
        <is>
          <t>Anson</t>
        </is>
      </c>
      <c r="B36" s="43">
        <f>SUM(E36:I36)</f>
        <v/>
      </c>
      <c r="C36" s="43">
        <f>SUM(J36:N36)</f>
        <v/>
      </c>
      <c r="D36" s="64">
        <f>IFERROR(B36/C36-1,"")</f>
        <v/>
      </c>
      <c r="E36" s="43" t="n">
        <v>1417</v>
      </c>
      <c r="F36" s="43" t="n">
        <v>545</v>
      </c>
      <c r="G36" s="43" t="n">
        <v>498</v>
      </c>
      <c r="H36" s="43" t="n">
        <v>141</v>
      </c>
      <c r="I36" s="43" t="n">
        <v>603</v>
      </c>
      <c r="J36" s="43" t="n">
        <v>1220</v>
      </c>
      <c r="K36" s="43" t="n">
        <v>603</v>
      </c>
      <c r="L36" s="43" t="n">
        <v>428</v>
      </c>
      <c r="M36" s="43" t="n">
        <v>56</v>
      </c>
      <c r="N36" s="43" t="n">
        <v>449</v>
      </c>
      <c r="O36" s="44">
        <f>IFERROR(2*(E36*$B$29+F36*$C$29+G36*$D$29+H36*$E$29+I36*$F$29)/B36-1,"")</f>
        <v/>
      </c>
      <c r="P36" s="44">
        <f>IFERROR(2*(J36*$B$29+K36*$C$29+L36*$D$29+M36*$E$29+N36*$F$29)/C36-1,"")</f>
        <v/>
      </c>
      <c r="Q36" s="45">
        <f>IFERROR(O36-P36,"")</f>
        <v/>
      </c>
      <c r="R36" s="44" t="n">
        <v>0.2277227722772277</v>
      </c>
      <c r="S36" s="51" t="n">
        <v>0.4903245942571785</v>
      </c>
    </row>
    <row r="37">
      <c r="A37" s="42" t="inlineStr">
        <is>
          <t>Ashe</t>
        </is>
      </c>
      <c r="B37" s="43">
        <f>SUM(E37:I37)</f>
        <v/>
      </c>
      <c r="C37" s="43">
        <f>SUM(J37:N37)</f>
        <v/>
      </c>
      <c r="D37" s="64">
        <f>IFERROR(B37/C37-1,"")</f>
        <v/>
      </c>
      <c r="E37" s="43" t="n">
        <v>9</v>
      </c>
      <c r="F37" s="43" t="n">
        <v>1256</v>
      </c>
      <c r="G37" s="43" t="n">
        <v>2131</v>
      </c>
      <c r="H37" s="43" t="n">
        <v>10</v>
      </c>
      <c r="I37" s="43" t="n">
        <v>1924</v>
      </c>
      <c r="J37" s="43" t="n">
        <v>8</v>
      </c>
      <c r="K37" s="43" t="n">
        <v>1170</v>
      </c>
      <c r="L37" s="43" t="n">
        <v>2042</v>
      </c>
      <c r="M37" s="43" t="n">
        <v>4</v>
      </c>
      <c r="N37" s="43" t="n">
        <v>1483</v>
      </c>
      <c r="O37" s="44">
        <f>IFERROR(2*(E37*$B$29+F37*$C$29+G37*$D$29+H37*$E$29+I37*$F$29)/B37-1,"")</f>
        <v/>
      </c>
      <c r="P37" s="44">
        <f>IFERROR(2*(J37*$B$29+K37*$C$29+L37*$D$29+M37*$E$29+N37*$F$29)/C37-1,"")</f>
        <v/>
      </c>
      <c r="Q37" s="45">
        <f>IFERROR(O37-P37,"")</f>
        <v/>
      </c>
      <c r="R37" s="44" t="n">
        <v>-0.3110285006195787</v>
      </c>
      <c r="S37" s="51" t="n">
        <v>0.00375234521575985</v>
      </c>
    </row>
    <row r="38">
      <c r="A38" s="42" t="inlineStr">
        <is>
          <t>Avery</t>
        </is>
      </c>
      <c r="B38" s="43">
        <f>SUM(E38:I38)</f>
        <v/>
      </c>
      <c r="C38" s="43">
        <f>SUM(J38:N38)</f>
        <v/>
      </c>
      <c r="D38" s="64">
        <f>IFERROR(B38/C38-1,"")</f>
        <v/>
      </c>
      <c r="E38" s="43" t="n">
        <v>4</v>
      </c>
      <c r="F38" s="43" t="n">
        <v>376</v>
      </c>
      <c r="G38" s="43" t="n">
        <v>1140</v>
      </c>
      <c r="H38" s="43" t="n">
        <v>2</v>
      </c>
      <c r="I38" s="43" t="n">
        <v>842</v>
      </c>
      <c r="J38" s="43" t="n">
        <v>1</v>
      </c>
      <c r="K38" s="43" t="n">
        <v>288</v>
      </c>
      <c r="L38" s="43" t="n">
        <v>978</v>
      </c>
      <c r="M38" s="43" t="n">
        <v>0</v>
      </c>
      <c r="N38" s="43" t="n">
        <v>579</v>
      </c>
      <c r="O38" s="44">
        <f>IFERROR(2*(E38*$B$29+F38*$C$29+G38*$D$29+H38*$E$29+I38*$F$29)/B38-1,"")</f>
        <v/>
      </c>
      <c r="P38" s="44">
        <f>IFERROR(2*(J38*$B$29+K38*$C$29+L38*$D$29+M38*$E$29+N38*$F$29)/C38-1,"")</f>
        <v/>
      </c>
      <c r="Q38" s="45">
        <f>IFERROR(O38-P38,"")</f>
        <v/>
      </c>
      <c r="R38" s="44" t="n">
        <v>-0.3096539162112932</v>
      </c>
      <c r="S38" s="51" t="n">
        <v>0.002961082910321489</v>
      </c>
    </row>
    <row r="39">
      <c r="A39" s="42" t="inlineStr">
        <is>
          <t>Beaufort</t>
        </is>
      </c>
      <c r="B39" s="43">
        <f>SUM(E39:I39)</f>
        <v/>
      </c>
      <c r="C39" s="43">
        <f>SUM(J39:N39)</f>
        <v/>
      </c>
      <c r="D39" s="64">
        <f>IFERROR(B39/C39-1,"")</f>
        <v/>
      </c>
      <c r="E39" s="43" t="n">
        <v>1623</v>
      </c>
      <c r="F39" s="43" t="n">
        <v>1288</v>
      </c>
      <c r="G39" s="43" t="n">
        <v>3335</v>
      </c>
      <c r="H39" s="43" t="n">
        <v>210</v>
      </c>
      <c r="I39" s="43" t="n">
        <v>2797</v>
      </c>
      <c r="J39" s="43" t="n">
        <v>1291</v>
      </c>
      <c r="K39" s="43" t="n">
        <v>1321</v>
      </c>
      <c r="L39" s="43" t="n">
        <v>3176</v>
      </c>
      <c r="M39" s="43" t="n">
        <v>102</v>
      </c>
      <c r="N39" s="43" t="n">
        <v>2413</v>
      </c>
      <c r="O39" s="44">
        <f>IFERROR(2*(E39*$B$29+F39*$C$29+G39*$D$29+H39*$E$29+I39*$F$29)/B39-1,"")</f>
        <v/>
      </c>
      <c r="P39" s="44">
        <f>IFERROR(2*(J39*$B$29+K39*$C$29+L39*$D$29+M39*$E$29+N39*$F$29)/C39-1,"")</f>
        <v/>
      </c>
      <c r="Q39" s="45">
        <f>IFERROR(O39-P39,"")</f>
        <v/>
      </c>
      <c r="R39" s="44" t="n">
        <v>-0.2148910411622276</v>
      </c>
      <c r="S39" s="51" t="n">
        <v>0.2011239597968227</v>
      </c>
    </row>
    <row r="40">
      <c r="A40" s="42" t="inlineStr">
        <is>
          <t>Bertie</t>
        </is>
      </c>
      <c r="B40" s="43">
        <f>SUM(E40:I40)</f>
        <v/>
      </c>
      <c r="C40" s="43">
        <f>SUM(J40:N40)</f>
        <v/>
      </c>
      <c r="D40" s="64">
        <f>IFERROR(B40/C40-1,"")</f>
        <v/>
      </c>
      <c r="E40" s="43" t="n">
        <v>1899</v>
      </c>
      <c r="F40" s="43" t="n">
        <v>324</v>
      </c>
      <c r="G40" s="43" t="n">
        <v>309</v>
      </c>
      <c r="H40" s="43" t="n">
        <v>130</v>
      </c>
      <c r="I40" s="43" t="n">
        <v>521</v>
      </c>
      <c r="J40" s="43" t="n">
        <v>1508</v>
      </c>
      <c r="K40" s="43" t="n">
        <v>424</v>
      </c>
      <c r="L40" s="43" t="n">
        <v>273</v>
      </c>
      <c r="M40" s="43" t="n">
        <v>55</v>
      </c>
      <c r="N40" s="43" t="n">
        <v>529</v>
      </c>
      <c r="O40" s="44">
        <f>IFERROR(2*(E40*$B$29+F40*$C$29+G40*$D$29+H40*$E$29+I40*$F$29)/B40-1,"")</f>
        <v/>
      </c>
      <c r="P40" s="44">
        <f>IFERROR(2*(J40*$B$29+K40*$C$29+L40*$D$29+M40*$E$29+N40*$F$29)/C40-1,"")</f>
        <v/>
      </c>
      <c r="Q40" s="45">
        <f>IFERROR(O40-P40,"")</f>
        <v/>
      </c>
      <c r="R40" s="44" t="n">
        <v>0.2590183323477233</v>
      </c>
      <c r="S40" s="51" t="n">
        <v>0.6396481306943136</v>
      </c>
    </row>
    <row r="41">
      <c r="A41" s="42" t="inlineStr">
        <is>
          <t>Bladen</t>
        </is>
      </c>
      <c r="B41" s="43">
        <f>SUM(E41:I41)</f>
        <v/>
      </c>
      <c r="C41" s="43">
        <f>SUM(J41:N41)</f>
        <v/>
      </c>
      <c r="D41" s="64">
        <f>IFERROR(B41/C41-1,"")</f>
        <v/>
      </c>
      <c r="E41" s="43" t="n">
        <v>2058</v>
      </c>
      <c r="F41" s="43" t="n">
        <v>514</v>
      </c>
      <c r="G41" s="43" t="n">
        <v>1154</v>
      </c>
      <c r="H41" s="43" t="n">
        <v>219</v>
      </c>
      <c r="I41" s="43" t="n">
        <v>1489</v>
      </c>
      <c r="J41" s="43" t="n">
        <v>1981</v>
      </c>
      <c r="K41" s="43" t="n">
        <v>736</v>
      </c>
      <c r="L41" s="43" t="n">
        <v>1191</v>
      </c>
      <c r="M41" s="43" t="n">
        <v>159</v>
      </c>
      <c r="N41" s="43" t="n">
        <v>1548</v>
      </c>
      <c r="O41" s="44">
        <f>IFERROR(2*(E41*$B$29+F41*$C$29+G41*$D$29+H41*$E$29+I41*$F$29)/B41-1,"")</f>
        <v/>
      </c>
      <c r="P41" s="44">
        <f>IFERROR(2*(J41*$B$29+K41*$C$29+L41*$D$29+M41*$E$29+N41*$F$29)/C41-1,"")</f>
        <v/>
      </c>
      <c r="Q41" s="45">
        <f>IFERROR(O41-P41,"")</f>
        <v/>
      </c>
      <c r="R41" s="44" t="n">
        <v>-0.03445190156599553</v>
      </c>
      <c r="S41" s="51" t="n">
        <v>0.4230769230769231</v>
      </c>
    </row>
    <row r="42">
      <c r="A42" s="42" t="inlineStr">
        <is>
          <t>Brunswick</t>
        </is>
      </c>
      <c r="B42" s="43">
        <f>SUM(E42:I42)</f>
        <v/>
      </c>
      <c r="C42" s="43">
        <f>SUM(J42:N42)</f>
        <v/>
      </c>
      <c r="D42" s="64">
        <f>IFERROR(B42/C42-1,"")</f>
        <v/>
      </c>
      <c r="E42" s="43" t="n">
        <v>2152</v>
      </c>
      <c r="F42" s="43" t="n">
        <v>10287</v>
      </c>
      <c r="G42" s="43" t="n">
        <v>18435</v>
      </c>
      <c r="H42" s="43" t="n">
        <v>694</v>
      </c>
      <c r="I42" s="43" t="n">
        <v>18195</v>
      </c>
      <c r="J42" s="43" t="n">
        <v>1899</v>
      </c>
      <c r="K42" s="43" t="n">
        <v>8447</v>
      </c>
      <c r="L42" s="43" t="n">
        <v>17610</v>
      </c>
      <c r="M42" s="43" t="n">
        <v>334</v>
      </c>
      <c r="N42" s="43" t="n">
        <v>14189</v>
      </c>
      <c r="O42" s="44">
        <f>IFERROR(2*(E42*$B$29+F42*$C$29+G42*$D$29+H42*$E$29+I42*$F$29)/B42-1,"")</f>
        <v/>
      </c>
      <c r="P42" s="44">
        <f>IFERROR(2*(J42*$B$29+K42*$C$29+L42*$D$29+M42*$E$29+N42*$F$29)/C42-1,"")</f>
        <v/>
      </c>
      <c r="Q42" s="45">
        <f>IFERROR(O42-P42,"")</f>
        <v/>
      </c>
      <c r="R42" s="44" t="n">
        <v>-0.1650413376492176</v>
      </c>
      <c r="S42" s="51" t="n">
        <v>0.0582963245785021</v>
      </c>
    </row>
    <row r="43">
      <c r="A43" s="42" t="inlineStr">
        <is>
          <t>Buncombe</t>
        </is>
      </c>
      <c r="B43" s="43">
        <f>SUM(E43:I43)</f>
        <v/>
      </c>
      <c r="C43" s="43">
        <f>SUM(J43:N43)</f>
        <v/>
      </c>
      <c r="D43" s="64">
        <f>IFERROR(B43/C43-1,"")</f>
        <v/>
      </c>
      <c r="E43" s="43" t="n">
        <v>2173</v>
      </c>
      <c r="F43" s="43" t="n">
        <v>32434</v>
      </c>
      <c r="G43" s="43" t="n">
        <v>11242</v>
      </c>
      <c r="H43" s="43" t="n">
        <v>715</v>
      </c>
      <c r="I43" s="43" t="n">
        <v>32525</v>
      </c>
      <c r="J43" s="43" t="n">
        <v>1735</v>
      </c>
      <c r="K43" s="43" t="n">
        <v>25974</v>
      </c>
      <c r="L43" s="43" t="n">
        <v>12206</v>
      </c>
      <c r="M43" s="43" t="n">
        <v>347</v>
      </c>
      <c r="N43" s="43" t="n">
        <v>21950</v>
      </c>
      <c r="O43" s="44">
        <f>IFERROR(2*(E43*$B$29+F43*$C$29+G43*$D$29+H43*$E$29+I43*$F$29)/B43-1,"")</f>
        <v/>
      </c>
      <c r="P43" s="44">
        <f>IFERROR(2*(J43*$B$29+K43*$C$29+L43*$D$29+M43*$E$29+N43*$F$29)/C43-1,"")</f>
        <v/>
      </c>
      <c r="Q43" s="45">
        <f>IFERROR(O43-P43,"")</f>
        <v/>
      </c>
      <c r="R43" s="44" t="n">
        <v>0.3772582638651484</v>
      </c>
      <c r="S43" s="51" t="n">
        <v>0.03702158327959641</v>
      </c>
    </row>
    <row r="44">
      <c r="A44" s="42" t="inlineStr">
        <is>
          <t>Burke</t>
        </is>
      </c>
      <c r="B44" s="43">
        <f>SUM(E44:I44)</f>
        <v/>
      </c>
      <c r="C44" s="43">
        <f>SUM(J44:N44)</f>
        <v/>
      </c>
      <c r="D44" s="64">
        <f>IFERROR(B44/C44-1,"")</f>
        <v/>
      </c>
      <c r="E44" s="43" t="n">
        <v>793</v>
      </c>
      <c r="F44" s="43" t="n">
        <v>3404</v>
      </c>
      <c r="G44" s="43" t="n">
        <v>6036</v>
      </c>
      <c r="H44" s="43" t="n">
        <v>165</v>
      </c>
      <c r="I44" s="43" t="n">
        <v>5400</v>
      </c>
      <c r="J44" s="43" t="n">
        <v>664</v>
      </c>
      <c r="K44" s="43" t="n">
        <v>3182</v>
      </c>
      <c r="L44" s="43" t="n">
        <v>6403</v>
      </c>
      <c r="M44" s="43" t="n">
        <v>98</v>
      </c>
      <c r="N44" s="43" t="n">
        <v>4466</v>
      </c>
      <c r="O44" s="44">
        <f>IFERROR(2*(E44*$B$29+F44*$C$29+G44*$D$29+H44*$E$29+I44*$F$29)/B44-1,"")</f>
        <v/>
      </c>
      <c r="P44" s="44">
        <f>IFERROR(2*(J44*$B$29+K44*$C$29+L44*$D$29+M44*$E$29+N44*$F$29)/C44-1,"")</f>
        <v/>
      </c>
      <c r="Q44" s="45">
        <f>IFERROR(O44-P44,"")</f>
        <v/>
      </c>
      <c r="R44" s="44" t="n">
        <v>-0.3094436967249888</v>
      </c>
      <c r="S44" s="51" t="n">
        <v>0.06159007469299911</v>
      </c>
    </row>
    <row r="45">
      <c r="A45" s="42" t="inlineStr">
        <is>
          <t>Cabarrus</t>
        </is>
      </c>
      <c r="B45" s="43">
        <f>SUM(E45:I45)</f>
        <v/>
      </c>
      <c r="C45" s="43">
        <f>SUM(J45:N45)</f>
        <v/>
      </c>
      <c r="D45" s="64">
        <f>IFERROR(B45/C45-1,"")</f>
        <v/>
      </c>
      <c r="E45" s="43" t="n">
        <v>7306</v>
      </c>
      <c r="F45" s="43" t="n">
        <v>7029</v>
      </c>
      <c r="G45" s="43" t="n">
        <v>10381</v>
      </c>
      <c r="H45" s="43" t="n">
        <v>2395</v>
      </c>
      <c r="I45" s="43" t="n">
        <v>11703</v>
      </c>
      <c r="J45" s="43" t="n">
        <v>4449</v>
      </c>
      <c r="K45" s="43" t="n">
        <v>4644</v>
      </c>
      <c r="L45" s="43" t="n">
        <v>10435</v>
      </c>
      <c r="M45" s="43" t="n">
        <v>1026</v>
      </c>
      <c r="N45" s="43" t="n">
        <v>7513</v>
      </c>
      <c r="O45" s="44">
        <f>IFERROR(2*(E45*$B$29+F45*$C$29+G45*$D$29+H45*$E$29+I45*$F$29)/B45-1,"")</f>
        <v/>
      </c>
      <c r="P45" s="44">
        <f>IFERROR(2*(J45*$B$29+K45*$C$29+L45*$D$29+M45*$E$29+N45*$F$29)/C45-1,"")</f>
        <v/>
      </c>
      <c r="Q45" s="45">
        <f>IFERROR(O45-P45,"")</f>
        <v/>
      </c>
      <c r="R45" s="44" t="n">
        <v>0.02507652129959844</v>
      </c>
      <c r="S45" s="51" t="n">
        <v>0.2535683000979028</v>
      </c>
    </row>
    <row r="46">
      <c r="A46" s="42" t="inlineStr">
        <is>
          <t>Caldwell</t>
        </is>
      </c>
      <c r="B46" s="43">
        <f>SUM(E46:I46)</f>
        <v/>
      </c>
      <c r="C46" s="43">
        <f>SUM(J46:N46)</f>
        <v/>
      </c>
      <c r="D46" s="64">
        <f>IFERROR(B46/C46-1,"")</f>
        <v/>
      </c>
      <c r="E46" s="43" t="n">
        <v>598</v>
      </c>
      <c r="F46" s="43" t="n">
        <v>2343</v>
      </c>
      <c r="G46" s="43" t="n">
        <v>6598</v>
      </c>
      <c r="H46" s="43" t="n">
        <v>137</v>
      </c>
      <c r="I46" s="43" t="n">
        <v>4272</v>
      </c>
      <c r="J46" s="43" t="n">
        <v>458</v>
      </c>
      <c r="K46" s="43" t="n">
        <v>2147</v>
      </c>
      <c r="L46" s="43" t="n">
        <v>7446</v>
      </c>
      <c r="M46" s="43" t="n">
        <v>71</v>
      </c>
      <c r="N46" s="43" t="n">
        <v>3706</v>
      </c>
      <c r="O46" s="44">
        <f>IFERROR(2*(E46*$B$29+F46*$C$29+G46*$D$29+H46*$E$29+I46*$F$29)/B46-1,"")</f>
        <v/>
      </c>
      <c r="P46" s="44">
        <f>IFERROR(2*(J46*$B$29+K46*$C$29+L46*$D$29+M46*$E$29+N46*$F$29)/C46-1,"")</f>
        <v/>
      </c>
      <c r="Q46" s="45">
        <f>IFERROR(O46-P46,"")</f>
        <v/>
      </c>
      <c r="R46" s="44" t="n">
        <v>-0.4749234753943961</v>
      </c>
      <c r="S46" s="51" t="n">
        <v>0.05412962431889877</v>
      </c>
    </row>
    <row r="47">
      <c r="A47" s="42" t="inlineStr">
        <is>
          <t>Camden</t>
        </is>
      </c>
      <c r="B47" s="43">
        <f>SUM(E47:I47)</f>
        <v/>
      </c>
      <c r="C47" s="43">
        <f>SUM(J47:N47)</f>
        <v/>
      </c>
      <c r="D47" s="64">
        <f>IFERROR(B47/C47-1,"")</f>
        <v/>
      </c>
      <c r="E47" s="43" t="n">
        <v>248</v>
      </c>
      <c r="F47" s="43" t="n">
        <v>144</v>
      </c>
      <c r="G47" s="43" t="n">
        <v>578</v>
      </c>
      <c r="H47" s="43" t="n">
        <v>72</v>
      </c>
      <c r="I47" s="43" t="n">
        <v>835</v>
      </c>
      <c r="J47" s="43" t="n">
        <v>228</v>
      </c>
      <c r="K47" s="43" t="n">
        <v>139</v>
      </c>
      <c r="L47" s="43" t="n">
        <v>574</v>
      </c>
      <c r="M47" s="43" t="n">
        <v>38</v>
      </c>
      <c r="N47" s="43" t="n">
        <v>844</v>
      </c>
      <c r="O47" s="44">
        <f>IFERROR(2*(E47*$B$29+F47*$C$29+G47*$D$29+H47*$E$29+I47*$F$29)/B47-1,"")</f>
        <v/>
      </c>
      <c r="P47" s="44">
        <f>IFERROR(2*(J47*$B$29+K47*$C$29+L47*$D$29+M47*$E$29+N47*$F$29)/C47-1,"")</f>
        <v/>
      </c>
      <c r="Q47" s="45">
        <f>IFERROR(O47-P47,"")</f>
        <v/>
      </c>
      <c r="R47" s="44" t="n">
        <v>-0.421875</v>
      </c>
      <c r="S47" s="51" t="n">
        <v>0.1720831113478956</v>
      </c>
    </row>
    <row r="48">
      <c r="A48" s="42" t="inlineStr">
        <is>
          <t>Carteret</t>
        </is>
      </c>
      <c r="B48" s="43">
        <f>SUM(E48:I48)</f>
        <v/>
      </c>
      <c r="C48" s="43">
        <f>SUM(J48:N48)</f>
        <v/>
      </c>
      <c r="D48" s="64">
        <f>IFERROR(B48/C48-1,"")</f>
        <v/>
      </c>
      <c r="E48" s="43" t="n">
        <v>453</v>
      </c>
      <c r="F48" s="43" t="n">
        <v>3018</v>
      </c>
      <c r="G48" s="43" t="n">
        <v>8764</v>
      </c>
      <c r="H48" s="43" t="n">
        <v>117</v>
      </c>
      <c r="I48" s="43" t="n">
        <v>6352</v>
      </c>
      <c r="J48" s="43" t="n">
        <v>339</v>
      </c>
      <c r="K48" s="43" t="n">
        <v>2716</v>
      </c>
      <c r="L48" s="43" t="n">
        <v>7032</v>
      </c>
      <c r="M48" s="43" t="n">
        <v>74</v>
      </c>
      <c r="N48" s="43" t="n">
        <v>4487</v>
      </c>
      <c r="O48" s="44">
        <f>IFERROR(2*(E48*$B$29+F48*$C$29+G48*$D$29+H48*$E$29+I48*$F$29)/B48-1,"")</f>
        <v/>
      </c>
      <c r="P48" s="44">
        <f>IFERROR(2*(J48*$B$29+K48*$C$29+L48*$D$29+M48*$E$29+N48*$F$29)/C48-1,"")</f>
        <v/>
      </c>
      <c r="Q48" s="45">
        <f>IFERROR(O48-P48,"")</f>
        <v/>
      </c>
      <c r="R48" s="44" t="n">
        <v>-0.3326494557474212</v>
      </c>
      <c r="S48" s="51" t="n">
        <v>0.03181137724550898</v>
      </c>
    </row>
    <row r="49">
      <c r="A49" s="42" t="inlineStr">
        <is>
          <t>Caswell</t>
        </is>
      </c>
      <c r="B49" s="43">
        <f>SUM(E49:I49)</f>
        <v/>
      </c>
      <c r="C49" s="43">
        <f>SUM(J49:N49)</f>
        <v/>
      </c>
      <c r="D49" s="64">
        <f>IFERROR(B49/C49-1,"")</f>
        <v/>
      </c>
      <c r="E49" s="43" t="n">
        <v>1359</v>
      </c>
      <c r="F49" s="43" t="n">
        <v>453</v>
      </c>
      <c r="G49" s="43" t="n">
        <v>849</v>
      </c>
      <c r="H49" s="43" t="n">
        <v>111</v>
      </c>
      <c r="I49" s="43" t="n">
        <v>1003</v>
      </c>
      <c r="J49" s="43" t="n">
        <v>1196</v>
      </c>
      <c r="K49" s="43" t="n">
        <v>473</v>
      </c>
      <c r="L49" s="43" t="n">
        <v>697</v>
      </c>
      <c r="M49" s="43" t="n">
        <v>58</v>
      </c>
      <c r="N49" s="43" t="n">
        <v>811</v>
      </c>
      <c r="O49" s="44">
        <f>IFERROR(2*(E49*$B$29+F49*$C$29+G49*$D$29+H49*$E$29+I49*$F$29)/B49-1,"")</f>
        <v/>
      </c>
      <c r="P49" s="44">
        <f>IFERROR(2*(J49*$B$29+K49*$C$29+L49*$D$29+M49*$E$29+N49*$F$29)/C49-1,"")</f>
        <v/>
      </c>
      <c r="Q49" s="45">
        <f>IFERROR(O49-P49,"")</f>
        <v/>
      </c>
      <c r="R49" s="44" t="n">
        <v>0.00805234021137393</v>
      </c>
      <c r="S49" s="51" t="n">
        <v>0.3947019867549669</v>
      </c>
    </row>
    <row r="50">
      <c r="A50" s="42" t="inlineStr">
        <is>
          <t>Catawba</t>
        </is>
      </c>
      <c r="B50" s="43">
        <f>SUM(E50:I50)</f>
        <v/>
      </c>
      <c r="C50" s="43">
        <f>SUM(J50:N50)</f>
        <v/>
      </c>
      <c r="D50" s="64">
        <f>IFERROR(B50/C50-1,"")</f>
        <v/>
      </c>
      <c r="E50" s="43" t="n">
        <v>1883</v>
      </c>
      <c r="F50" s="43" t="n">
        <v>5044</v>
      </c>
      <c r="G50" s="43" t="n">
        <v>12984</v>
      </c>
      <c r="H50" s="43" t="n">
        <v>587</v>
      </c>
      <c r="I50" s="43" t="n">
        <v>10314</v>
      </c>
      <c r="J50" s="43" t="n">
        <v>1294</v>
      </c>
      <c r="K50" s="43" t="n">
        <v>4116</v>
      </c>
      <c r="L50" s="43" t="n">
        <v>13118</v>
      </c>
      <c r="M50" s="43" t="n">
        <v>320</v>
      </c>
      <c r="N50" s="43" t="n">
        <v>7831</v>
      </c>
      <c r="O50" s="44">
        <f>IFERROR(2*(E50*$B$29+F50*$C$29+G50*$D$29+H50*$E$29+I50*$F$29)/B50-1,"")</f>
        <v/>
      </c>
      <c r="P50" s="44">
        <f>IFERROR(2*(J50*$B$29+K50*$C$29+L50*$D$29+M50*$E$29+N50*$F$29)/C50-1,"")</f>
        <v/>
      </c>
      <c r="Q50" s="45">
        <f>IFERROR(O50-P50,"")</f>
        <v/>
      </c>
      <c r="R50" s="44" t="n">
        <v>-0.3122191577055378</v>
      </c>
      <c r="S50" s="51" t="n">
        <v>0.08191613657016747</v>
      </c>
    </row>
    <row r="51">
      <c r="A51" s="42" t="inlineStr">
        <is>
          <t>Chatham</t>
        </is>
      </c>
      <c r="B51" s="43">
        <f>SUM(E51:I51)</f>
        <v/>
      </c>
      <c r="C51" s="43">
        <f>SUM(J51:N51)</f>
        <v/>
      </c>
      <c r="D51" s="64">
        <f>IFERROR(B51/C51-1,"")</f>
        <v/>
      </c>
      <c r="E51" s="43" t="n">
        <v>2033</v>
      </c>
      <c r="F51" s="43" t="n">
        <v>9548</v>
      </c>
      <c r="G51" s="43" t="n">
        <v>4419</v>
      </c>
      <c r="H51" s="43" t="n">
        <v>393</v>
      </c>
      <c r="I51" s="43" t="n">
        <v>10755</v>
      </c>
      <c r="J51" s="43" t="n">
        <v>1900</v>
      </c>
      <c r="K51" s="43" t="n">
        <v>8423</v>
      </c>
      <c r="L51" s="43" t="n">
        <v>4778</v>
      </c>
      <c r="M51" s="43" t="n">
        <v>256</v>
      </c>
      <c r="N51" s="43" t="n">
        <v>8692</v>
      </c>
      <c r="O51" s="44">
        <f>IFERROR(2*(E51*$B$29+F51*$C$29+G51*$D$29+H51*$E$29+I51*$F$29)/B51-1,"")</f>
        <v/>
      </c>
      <c r="P51" s="44">
        <f>IFERROR(2*(J51*$B$29+K51*$C$29+L51*$D$29+M51*$E$29+N51*$F$29)/C51-1,"")</f>
        <v/>
      </c>
      <c r="Q51" s="45">
        <f>IFERROR(O51-P51,"")</f>
        <v/>
      </c>
      <c r="R51" s="44" t="n">
        <v>0.2931622429249429</v>
      </c>
      <c r="S51" s="51" t="n">
        <v>0.09046706939737734</v>
      </c>
    </row>
    <row r="52">
      <c r="A52" s="42" t="inlineStr">
        <is>
          <t>Cherokee</t>
        </is>
      </c>
      <c r="B52" s="43">
        <f>SUM(E52:I52)</f>
        <v/>
      </c>
      <c r="C52" s="43">
        <f>SUM(J52:N52)</f>
        <v/>
      </c>
      <c r="D52" s="64">
        <f>IFERROR(B52/C52-1,"")</f>
        <v/>
      </c>
      <c r="E52" s="43" t="n">
        <v>21</v>
      </c>
      <c r="F52" s="43" t="n">
        <v>845</v>
      </c>
      <c r="G52" s="43" t="n">
        <v>2765</v>
      </c>
      <c r="H52" s="43" t="n">
        <v>10</v>
      </c>
      <c r="I52" s="43" t="n">
        <v>1782</v>
      </c>
      <c r="J52" s="43" t="n">
        <v>17</v>
      </c>
      <c r="K52" s="43" t="n">
        <v>749</v>
      </c>
      <c r="L52" s="43" t="n">
        <v>2578</v>
      </c>
      <c r="M52" s="43" t="n">
        <v>12</v>
      </c>
      <c r="N52" s="43" t="n">
        <v>1456</v>
      </c>
      <c r="O52" s="44">
        <f>IFERROR(2*(E52*$B$29+F52*$C$29+G52*$D$29+H52*$E$29+I52*$F$29)/B52-1,"")</f>
        <v/>
      </c>
      <c r="P52" s="44">
        <f>IFERROR(2*(J52*$B$29+K52*$C$29+L52*$D$29+M52*$E$29+N52*$F$29)/C52-1,"")</f>
        <v/>
      </c>
      <c r="Q52" s="45">
        <f>IFERROR(O52-P52,"")</f>
        <v/>
      </c>
      <c r="R52" s="44" t="n">
        <v>-0.4989369241672573</v>
      </c>
      <c r="S52" s="51" t="n">
        <v>0.006453992255209293</v>
      </c>
    </row>
    <row r="53">
      <c r="A53" s="42" t="inlineStr">
        <is>
          <t>Chowan</t>
        </is>
      </c>
      <c r="B53" s="43">
        <f>SUM(E53:I53)</f>
        <v/>
      </c>
      <c r="C53" s="43">
        <f>SUM(J53:N53)</f>
        <v/>
      </c>
      <c r="D53" s="64">
        <f>IFERROR(B53/C53-1,"")</f>
        <v/>
      </c>
      <c r="E53" s="43" t="n">
        <v>740</v>
      </c>
      <c r="F53" s="43" t="n">
        <v>449</v>
      </c>
      <c r="G53" s="43" t="n">
        <v>975</v>
      </c>
      <c r="H53" s="43" t="n">
        <v>71</v>
      </c>
      <c r="I53" s="43" t="n">
        <v>1002</v>
      </c>
      <c r="J53" s="43" t="n">
        <v>636</v>
      </c>
      <c r="K53" s="43" t="n">
        <v>479</v>
      </c>
      <c r="L53" s="43" t="n">
        <v>863</v>
      </c>
      <c r="M53" s="43" t="n">
        <v>60</v>
      </c>
      <c r="N53" s="43" t="n">
        <v>813</v>
      </c>
      <c r="O53" s="44">
        <f>IFERROR(2*(E53*$B$29+F53*$C$29+G53*$D$29+H53*$E$29+I53*$F$29)/B53-1,"")</f>
        <v/>
      </c>
      <c r="P53" s="44">
        <f>IFERROR(2*(J53*$B$29+K53*$C$29+L53*$D$29+M53*$E$29+N53*$F$29)/C53-1,"")</f>
        <v/>
      </c>
      <c r="Q53" s="45">
        <f>IFERROR(O53-P53,"")</f>
        <v/>
      </c>
      <c r="R53" s="44" t="n">
        <v>-0.1478260869565217</v>
      </c>
      <c r="S53" s="51" t="n">
        <v>0.2536299042323139</v>
      </c>
    </row>
    <row r="54">
      <c r="A54" s="42" t="inlineStr">
        <is>
          <t>Clay</t>
        </is>
      </c>
      <c r="B54" s="43">
        <f>SUM(E54:I54)</f>
        <v/>
      </c>
      <c r="C54" s="43">
        <f>SUM(J54:N54)</f>
        <v/>
      </c>
      <c r="D54" s="64">
        <f>IFERROR(B54/C54-1,"")</f>
        <v/>
      </c>
      <c r="E54" s="43" t="n">
        <v>2</v>
      </c>
      <c r="F54" s="43" t="n">
        <v>509</v>
      </c>
      <c r="G54" s="43" t="n">
        <v>1329</v>
      </c>
      <c r="H54" s="43" t="n">
        <v>5</v>
      </c>
      <c r="I54" s="43" t="n">
        <v>1007</v>
      </c>
      <c r="J54" s="43" t="n">
        <v>0</v>
      </c>
      <c r="K54" s="43" t="n">
        <v>430</v>
      </c>
      <c r="L54" s="43" t="n">
        <v>1297</v>
      </c>
      <c r="M54" s="43" t="n">
        <v>0</v>
      </c>
      <c r="N54" s="43" t="n">
        <v>885</v>
      </c>
      <c r="O54" s="44">
        <f>IFERROR(2*(E54*$B$29+F54*$C$29+G54*$D$29+H54*$E$29+I54*$F$29)/B54-1,"")</f>
        <v/>
      </c>
      <c r="P54" s="44">
        <f>IFERROR(2*(J54*$B$29+K54*$C$29+L54*$D$29+M54*$E$29+N54*$F$29)/C54-1,"")</f>
        <v/>
      </c>
      <c r="Q54" s="45">
        <f>IFERROR(O54-P54,"")</f>
        <v/>
      </c>
      <c r="R54" s="44" t="n">
        <v>-0.4176414796079671</v>
      </c>
      <c r="S54" s="51" t="n">
        <v>0.002805049088359046</v>
      </c>
    </row>
    <row r="55">
      <c r="A55" s="42" t="inlineStr">
        <is>
          <t>Cleveland</t>
        </is>
      </c>
      <c r="B55" s="43">
        <f>SUM(E55:I55)</f>
        <v/>
      </c>
      <c r="C55" s="43">
        <f>SUM(J55:N55)</f>
        <v/>
      </c>
      <c r="D55" s="64">
        <f>IFERROR(B55/C55-1,"")</f>
        <v/>
      </c>
      <c r="E55" s="43" t="n">
        <v>3703</v>
      </c>
      <c r="F55" s="43" t="n">
        <v>2295</v>
      </c>
      <c r="G55" s="43" t="n">
        <v>5570</v>
      </c>
      <c r="H55" s="43" t="n">
        <v>437</v>
      </c>
      <c r="I55" s="43" t="n">
        <v>3945</v>
      </c>
      <c r="J55" s="43" t="n">
        <v>2654</v>
      </c>
      <c r="K55" s="43" t="n">
        <v>2405</v>
      </c>
      <c r="L55" s="43" t="n">
        <v>5319</v>
      </c>
      <c r="M55" s="43" t="n">
        <v>187</v>
      </c>
      <c r="N55" s="43" t="n">
        <v>3208</v>
      </c>
      <c r="O55" s="44">
        <f>IFERROR(2*(E55*$B$29+F55*$C$29+G55*$D$29+H55*$E$29+I55*$F$29)/B55-1,"")</f>
        <v/>
      </c>
      <c r="P55" s="44">
        <f>IFERROR(2*(J55*$B$29+K55*$C$29+L55*$D$29+M55*$E$29+N55*$F$29)/C55-1,"")</f>
        <v/>
      </c>
      <c r="Q55" s="45">
        <f>IFERROR(O55-P55,"")</f>
        <v/>
      </c>
      <c r="R55" s="44" t="n">
        <v>-0.202941525323212</v>
      </c>
      <c r="S55" s="51" t="n">
        <v>0.2635736677115987</v>
      </c>
    </row>
    <row r="56">
      <c r="A56" s="42" t="inlineStr">
        <is>
          <t>Columbus</t>
        </is>
      </c>
      <c r="B56" s="43">
        <f>SUM(E56:I56)</f>
        <v/>
      </c>
      <c r="C56" s="43">
        <f>SUM(J56:N56)</f>
        <v/>
      </c>
      <c r="D56" s="64">
        <f>IFERROR(B56/C56-1,"")</f>
        <v/>
      </c>
      <c r="E56" s="43" t="n">
        <v>2154</v>
      </c>
      <c r="F56" s="43" t="n">
        <v>881</v>
      </c>
      <c r="G56" s="43" t="n">
        <v>1943</v>
      </c>
      <c r="H56" s="43" t="n">
        <v>380</v>
      </c>
      <c r="I56" s="43" t="n">
        <v>1728</v>
      </c>
      <c r="J56" s="43" t="n">
        <v>2832</v>
      </c>
      <c r="K56" s="43" t="n">
        <v>1401</v>
      </c>
      <c r="L56" s="43" t="n">
        <v>2096</v>
      </c>
      <c r="M56" s="43" t="n">
        <v>270</v>
      </c>
      <c r="N56" s="43" t="n">
        <v>1777</v>
      </c>
      <c r="O56" s="44">
        <f>IFERROR(2*(E56*$B$29+F56*$C$29+G56*$D$29+H56*$E$29+I56*$F$29)/B56-1,"")</f>
        <v/>
      </c>
      <c r="P56" s="44">
        <f>IFERROR(2*(J56*$B$29+K56*$C$29+L56*$D$29+M56*$E$29+N56*$F$29)/C56-1,"")</f>
        <v/>
      </c>
      <c r="Q56" s="45">
        <f>IFERROR(O56-P56,"")</f>
        <v/>
      </c>
      <c r="R56" s="44" t="n">
        <v>-0.05393945370279065</v>
      </c>
      <c r="S56" s="51" t="n">
        <v>0.360005644933672</v>
      </c>
    </row>
    <row r="57">
      <c r="A57" s="42" t="inlineStr">
        <is>
          <t>Craven</t>
        </is>
      </c>
      <c r="B57" s="43">
        <f>SUM(E57:I57)</f>
        <v/>
      </c>
      <c r="C57" s="43">
        <f>SUM(J57:N57)</f>
        <v/>
      </c>
      <c r="D57" s="64">
        <f>IFERROR(B57/C57-1,"")</f>
        <v/>
      </c>
      <c r="E57" s="43" t="n">
        <v>3711</v>
      </c>
      <c r="F57" s="43" t="n">
        <v>3490</v>
      </c>
      <c r="G57" s="43" t="n">
        <v>8065</v>
      </c>
      <c r="H57" s="43" t="n">
        <v>644</v>
      </c>
      <c r="I57" s="43" t="n">
        <v>6327</v>
      </c>
      <c r="J57" s="43" t="n">
        <v>2989</v>
      </c>
      <c r="K57" s="43" t="n">
        <v>2977</v>
      </c>
      <c r="L57" s="43" t="n">
        <v>6900</v>
      </c>
      <c r="M57" s="43" t="n">
        <v>362</v>
      </c>
      <c r="N57" s="43" t="n">
        <v>4567</v>
      </c>
      <c r="O57" s="44">
        <f>IFERROR(2*(E57*$B$29+F57*$C$29+G57*$D$29+H57*$E$29+I57*$F$29)/B57-1,"")</f>
        <v/>
      </c>
      <c r="P57" s="44">
        <f>IFERROR(2*(J57*$B$29+K57*$C$29+L57*$D$29+M57*$E$29+N57*$F$29)/C57-1,"")</f>
        <v/>
      </c>
      <c r="Q57" s="45">
        <f>IFERROR(O57-P57,"")</f>
        <v/>
      </c>
      <c r="R57" s="44" t="n">
        <v>-0.09989064802928731</v>
      </c>
      <c r="S57" s="51" t="n">
        <v>0.1989926698745334</v>
      </c>
    </row>
    <row r="58">
      <c r="A58" s="42" t="inlineStr">
        <is>
          <t>Cumberland</t>
        </is>
      </c>
      <c r="B58" s="43">
        <f>SUM(E58:I58)</f>
        <v/>
      </c>
      <c r="C58" s="43">
        <f>SUM(J58:N58)</f>
        <v/>
      </c>
      <c r="D58" s="64">
        <f>IFERROR(B58/C58-1,"")</f>
        <v/>
      </c>
      <c r="E58" s="43" t="n">
        <v>18963</v>
      </c>
      <c r="F58" s="43" t="n">
        <v>6028</v>
      </c>
      <c r="G58" s="43" t="n">
        <v>8675</v>
      </c>
      <c r="H58" s="43" t="n">
        <v>4646</v>
      </c>
      <c r="I58" s="43" t="n">
        <v>8437</v>
      </c>
      <c r="J58" s="43" t="n">
        <v>14955</v>
      </c>
      <c r="K58" s="43" t="n">
        <v>5050</v>
      </c>
      <c r="L58" s="43" t="n">
        <v>9179</v>
      </c>
      <c r="M58" s="43" t="n">
        <v>2495</v>
      </c>
      <c r="N58" s="43" t="n">
        <v>6381</v>
      </c>
      <c r="O58" s="44">
        <f>IFERROR(2*(E58*$B$29+F58*$C$29+G58*$D$29+H58*$E$29+I58*$F$29)/B58-1,"")</f>
        <v/>
      </c>
      <c r="P58" s="44">
        <f>IFERROR(2*(J58*$B$29+K58*$C$29+L58*$D$29+M58*$E$29+N58*$F$29)/C58-1,"")</f>
        <v/>
      </c>
      <c r="Q58" s="45">
        <f>IFERROR(O58-P58,"")</f>
        <v/>
      </c>
      <c r="R58" s="44" t="n">
        <v>0.2725326841961681</v>
      </c>
      <c r="S58" s="51" t="n">
        <v>0.5134655286744102</v>
      </c>
    </row>
    <row r="59">
      <c r="A59" s="42" t="inlineStr">
        <is>
          <t>Currituck</t>
        </is>
      </c>
      <c r="B59" s="43">
        <f>SUM(E59:I59)</f>
        <v/>
      </c>
      <c r="C59" s="43">
        <f>SUM(J59:N59)</f>
        <v/>
      </c>
      <c r="D59" s="64">
        <f>IFERROR(B59/C59-1,"")</f>
        <v/>
      </c>
      <c r="E59" s="43" t="n">
        <v>238</v>
      </c>
      <c r="F59" s="43" t="n">
        <v>542</v>
      </c>
      <c r="G59" s="43" t="n">
        <v>1580</v>
      </c>
      <c r="H59" s="43" t="n">
        <v>66</v>
      </c>
      <c r="I59" s="43" t="n">
        <v>1658</v>
      </c>
      <c r="J59" s="43" t="n">
        <v>155</v>
      </c>
      <c r="K59" s="43" t="n">
        <v>433</v>
      </c>
      <c r="L59" s="43" t="n">
        <v>1251</v>
      </c>
      <c r="M59" s="43" t="n">
        <v>38</v>
      </c>
      <c r="N59" s="43" t="n">
        <v>1315</v>
      </c>
      <c r="O59" s="44">
        <f>IFERROR(2*(E59*$B$29+F59*$C$29+G59*$D$29+H59*$E$29+I59*$F$29)/B59-1,"")</f>
        <v/>
      </c>
      <c r="P59" s="44">
        <f>IFERROR(2*(J59*$B$29+K59*$C$29+L59*$D$29+M59*$E$29+N59*$F$29)/C59-1,"")</f>
        <v/>
      </c>
      <c r="Q59" s="45">
        <f>IFERROR(O59-P59,"")</f>
        <v/>
      </c>
      <c r="R59" s="44" t="n">
        <v>-0.3723951949007109</v>
      </c>
      <c r="S59" s="51" t="n">
        <v>0.07590597453476983</v>
      </c>
    </row>
    <row r="60">
      <c r="A60" s="42" t="inlineStr">
        <is>
          <t>Dare</t>
        </is>
      </c>
      <c r="B60" s="43">
        <f>SUM(E60:I60)</f>
        <v/>
      </c>
      <c r="C60" s="43">
        <f>SUM(J60:N60)</f>
        <v/>
      </c>
      <c r="D60" s="64">
        <f>IFERROR(B60/C60-1,"")</f>
        <v/>
      </c>
      <c r="E60" s="43" t="n">
        <v>106</v>
      </c>
      <c r="F60" s="43" t="n">
        <v>2320</v>
      </c>
      <c r="G60" s="43" t="n">
        <v>2946</v>
      </c>
      <c r="H60" s="43" t="n">
        <v>53</v>
      </c>
      <c r="I60" s="43" t="n">
        <v>4217</v>
      </c>
      <c r="J60" s="43" t="n">
        <v>94</v>
      </c>
      <c r="K60" s="43" t="n">
        <v>2269</v>
      </c>
      <c r="L60" s="43" t="n">
        <v>2514</v>
      </c>
      <c r="M60" s="43" t="n">
        <v>12</v>
      </c>
      <c r="N60" s="43" t="n">
        <v>2927</v>
      </c>
      <c r="O60" s="44">
        <f>IFERROR(2*(E60*$B$29+F60*$C$29+G60*$D$29+H60*$E$29+I60*$F$29)/B60-1,"")</f>
        <v/>
      </c>
      <c r="P60" s="44">
        <f>IFERROR(2*(J60*$B$29+K60*$C$29+L60*$D$29+M60*$E$29+N60*$F$29)/C60-1,"")</f>
        <v/>
      </c>
      <c r="Q60" s="45">
        <f>IFERROR(O60-P60,"")</f>
        <v/>
      </c>
      <c r="R60" s="44" t="n">
        <v>-0.05790930381094316</v>
      </c>
      <c r="S60" s="51" t="n">
        <v>0.01700891931134619</v>
      </c>
    </row>
    <row r="61">
      <c r="A61" s="42" t="inlineStr">
        <is>
          <t>Davidson</t>
        </is>
      </c>
      <c r="B61" s="43">
        <f>SUM(E61:I61)</f>
        <v/>
      </c>
      <c r="C61" s="43">
        <f>SUM(J61:N61)</f>
        <v/>
      </c>
      <c r="D61" s="64">
        <f>IFERROR(B61/C61-1,"")</f>
        <v/>
      </c>
      <c r="E61" s="43" t="n">
        <v>2573</v>
      </c>
      <c r="F61" s="43" t="n">
        <v>4094</v>
      </c>
      <c r="G61" s="43" t="n">
        <v>13529</v>
      </c>
      <c r="H61" s="43" t="n">
        <v>541</v>
      </c>
      <c r="I61" s="43" t="n">
        <v>7844</v>
      </c>
      <c r="J61" s="43" t="n">
        <v>1769</v>
      </c>
      <c r="K61" s="43" t="n">
        <v>3551</v>
      </c>
      <c r="L61" s="43" t="n">
        <v>14692</v>
      </c>
      <c r="M61" s="43" t="n">
        <v>274</v>
      </c>
      <c r="N61" s="43" t="n">
        <v>6479</v>
      </c>
      <c r="O61" s="44">
        <f>IFERROR(2*(E61*$B$29+F61*$C$29+G61*$D$29+H61*$E$29+I61*$F$29)/B61-1,"")</f>
        <v/>
      </c>
      <c r="P61" s="44">
        <f>IFERROR(2*(J61*$B$29+K61*$C$29+L61*$D$29+M61*$E$29+N61*$F$29)/C61-1,"")</f>
        <v/>
      </c>
      <c r="Q61" s="45">
        <f>IFERROR(O61-P61,"")</f>
        <v/>
      </c>
      <c r="R61" s="44" t="n">
        <v>-0.4296109021397299</v>
      </c>
      <c r="S61" s="51" t="n">
        <v>0.1108078793604143</v>
      </c>
    </row>
    <row r="62">
      <c r="A62" s="42" t="inlineStr">
        <is>
          <t>Davie</t>
        </is>
      </c>
      <c r="B62" s="43">
        <f>SUM(E62:I62)</f>
        <v/>
      </c>
      <c r="C62" s="43">
        <f>SUM(J62:N62)</f>
        <v/>
      </c>
      <c r="D62" s="64">
        <f>IFERROR(B62/C62-1,"")</f>
        <v/>
      </c>
      <c r="E62" s="43" t="n">
        <v>432</v>
      </c>
      <c r="F62" s="43" t="n">
        <v>1166</v>
      </c>
      <c r="G62" s="43" t="n">
        <v>4018</v>
      </c>
      <c r="H62" s="43" t="n">
        <v>134</v>
      </c>
      <c r="I62" s="43" t="n">
        <v>2824</v>
      </c>
      <c r="J62" s="43" t="n">
        <v>335</v>
      </c>
      <c r="K62" s="43" t="n">
        <v>943</v>
      </c>
      <c r="L62" s="43" t="n">
        <v>4214</v>
      </c>
      <c r="M62" s="43" t="n">
        <v>59</v>
      </c>
      <c r="N62" s="43" t="n">
        <v>2149</v>
      </c>
      <c r="O62" s="44">
        <f>IFERROR(2*(E62*$B$29+F62*$C$29+G62*$D$29+H62*$E$29+I62*$F$29)/B62-1,"")</f>
        <v/>
      </c>
      <c r="P62" s="44">
        <f>IFERROR(2*(J62*$B$29+K62*$C$29+L62*$D$29+M62*$E$29+N62*$F$29)/C62-1,"")</f>
        <v/>
      </c>
      <c r="Q62" s="45">
        <f>IFERROR(O62-P62,"")</f>
        <v/>
      </c>
      <c r="R62" s="44" t="n">
        <v>-0.37490688517612</v>
      </c>
      <c r="S62" s="51" t="n">
        <v>0.06741310940051318</v>
      </c>
    </row>
    <row r="63">
      <c r="A63" s="42" t="inlineStr">
        <is>
          <t>Duplin</t>
        </is>
      </c>
      <c r="B63" s="43">
        <f>SUM(E63:I63)</f>
        <v/>
      </c>
      <c r="C63" s="43">
        <f>SUM(J63:N63)</f>
        <v/>
      </c>
      <c r="D63" s="64">
        <f>IFERROR(B63/C63-1,"")</f>
        <v/>
      </c>
      <c r="E63" s="43" t="n">
        <v>1909</v>
      </c>
      <c r="F63" s="43" t="n">
        <v>817</v>
      </c>
      <c r="G63" s="43" t="n">
        <v>2059</v>
      </c>
      <c r="H63" s="43" t="n">
        <v>263</v>
      </c>
      <c r="I63" s="43" t="n">
        <v>1796</v>
      </c>
      <c r="J63" s="43" t="n">
        <v>1570</v>
      </c>
      <c r="K63" s="43" t="n">
        <v>717</v>
      </c>
      <c r="L63" s="43" t="n">
        <v>1465</v>
      </c>
      <c r="M63" s="43" t="n">
        <v>180</v>
      </c>
      <c r="N63" s="43" t="n">
        <v>1162</v>
      </c>
      <c r="O63" s="44">
        <f>IFERROR(2*(E63*$B$29+F63*$C$29+G63*$D$29+H63*$E$29+I63*$F$29)/B63-1,"")</f>
        <v/>
      </c>
      <c r="P63" s="44">
        <f>IFERROR(2*(J63*$B$29+K63*$C$29+L63*$D$29+M63*$E$29+N63*$F$29)/C63-1,"")</f>
        <v/>
      </c>
      <c r="Q63" s="45">
        <f>IFERROR(O63-P63,"")</f>
        <v/>
      </c>
      <c r="R63" s="44" t="n">
        <v>-0.07488702388637831</v>
      </c>
      <c r="S63" s="51" t="n">
        <v>0.320864991233197</v>
      </c>
    </row>
    <row r="64">
      <c r="A64" s="42" t="inlineStr">
        <is>
          <t>Durham</t>
        </is>
      </c>
      <c r="B64" s="43">
        <f>SUM(E64:I64)</f>
        <v/>
      </c>
      <c r="C64" s="43">
        <f>SUM(J64:N64)</f>
        <v/>
      </c>
      <c r="D64" s="64">
        <f>IFERROR(B64/C64-1,"")</f>
        <v/>
      </c>
      <c r="E64" s="43" t="n">
        <v>21127</v>
      </c>
      <c r="F64" s="43" t="n">
        <v>32322</v>
      </c>
      <c r="G64" s="43" t="n">
        <v>5932</v>
      </c>
      <c r="H64" s="43" t="n">
        <v>4717</v>
      </c>
      <c r="I64" s="43" t="n">
        <v>26597</v>
      </c>
      <c r="J64" s="43" t="n">
        <v>16409</v>
      </c>
      <c r="K64" s="43" t="n">
        <v>25728</v>
      </c>
      <c r="L64" s="43" t="n">
        <v>6533</v>
      </c>
      <c r="M64" s="43" t="n">
        <v>2505</v>
      </c>
      <c r="N64" s="43" t="n">
        <v>18481</v>
      </c>
      <c r="O64" s="44">
        <f>IFERROR(2*(E64*$B$29+F64*$C$29+G64*$D$29+H64*$E$29+I64*$F$29)/B64-1,"")</f>
        <v/>
      </c>
      <c r="P64" s="44">
        <f>IFERROR(2*(J64*$B$29+K64*$C$29+L64*$D$29+M64*$E$29+N64*$F$29)/C64-1,"")</f>
        <v/>
      </c>
      <c r="Q64" s="45">
        <f>IFERROR(O64-P64,"")</f>
        <v/>
      </c>
      <c r="R64" s="44" t="n">
        <v>0.6939212966677747</v>
      </c>
      <c r="S64" s="51" t="n">
        <v>0.2871712883841447</v>
      </c>
    </row>
    <row r="65">
      <c r="A65" s="42" t="inlineStr">
        <is>
          <t>Edgecombe</t>
        </is>
      </c>
      <c r="B65" s="43">
        <f>SUM(E65:I65)</f>
        <v/>
      </c>
      <c r="C65" s="43">
        <f>SUM(J65:N65)</f>
        <v/>
      </c>
      <c r="D65" s="64">
        <f>IFERROR(B65/C65-1,"")</f>
        <v/>
      </c>
      <c r="E65" s="43" t="n">
        <v>5797</v>
      </c>
      <c r="F65" s="43" t="n">
        <v>1015</v>
      </c>
      <c r="G65" s="43" t="n">
        <v>1391</v>
      </c>
      <c r="H65" s="43" t="n">
        <v>367</v>
      </c>
      <c r="I65" s="43" t="n">
        <v>1054</v>
      </c>
      <c r="J65" s="43" t="n">
        <v>4426</v>
      </c>
      <c r="K65" s="43" t="n">
        <v>968</v>
      </c>
      <c r="L65" s="43" t="n">
        <v>1226</v>
      </c>
      <c r="M65" s="43" t="n">
        <v>187</v>
      </c>
      <c r="N65" s="43" t="n">
        <v>644</v>
      </c>
      <c r="O65" s="44">
        <f>IFERROR(2*(E65*$B$29+F65*$C$29+G65*$D$29+H65*$E$29+I65*$F$29)/B65-1,"")</f>
        <v/>
      </c>
      <c r="P65" s="44">
        <f>IFERROR(2*(J65*$B$29+K65*$C$29+L65*$D$29+M65*$E$29+N65*$F$29)/C65-1,"")</f>
        <v/>
      </c>
      <c r="Q65" s="45">
        <f>IFERROR(O65-P65,"")</f>
        <v/>
      </c>
      <c r="R65" s="44" t="n">
        <v>0.4013528748590756</v>
      </c>
      <c r="S65" s="51" t="n">
        <v>0.6471321695760599</v>
      </c>
    </row>
    <row r="66">
      <c r="A66" s="42" t="inlineStr">
        <is>
          <t>Forsyth</t>
        </is>
      </c>
      <c r="B66" s="43">
        <f>SUM(E66:I66)</f>
        <v/>
      </c>
      <c r="C66" s="43">
        <f>SUM(J66:N66)</f>
        <v/>
      </c>
      <c r="D66" s="64">
        <f>IFERROR(B66/C66-1,"")</f>
        <v/>
      </c>
      <c r="E66" s="43" t="n">
        <v>17115</v>
      </c>
      <c r="F66" s="43" t="n">
        <v>19807</v>
      </c>
      <c r="G66" s="43" t="n">
        <v>18993</v>
      </c>
      <c r="H66" s="43" t="n">
        <v>3632</v>
      </c>
      <c r="I66" s="43" t="n">
        <v>23532</v>
      </c>
      <c r="J66" s="43" t="n">
        <v>13533</v>
      </c>
      <c r="K66" s="43" t="n">
        <v>15180</v>
      </c>
      <c r="L66" s="43" t="n">
        <v>19858</v>
      </c>
      <c r="M66" s="43" t="n">
        <v>1934</v>
      </c>
      <c r="N66" s="43" t="n">
        <v>16073</v>
      </c>
      <c r="O66" s="44">
        <f>IFERROR(2*(E66*$B$29+F66*$C$29+G66*$D$29+H66*$E$29+I66*$F$29)/B66-1,"")</f>
        <v/>
      </c>
      <c r="P66" s="44">
        <f>IFERROR(2*(J66*$B$29+K66*$C$29+L66*$D$29+M66*$E$29+N66*$F$29)/C66-1,"")</f>
        <v/>
      </c>
      <c r="Q66" s="45">
        <f>IFERROR(O66-P66,"")</f>
        <v/>
      </c>
      <c r="R66" s="44" t="n">
        <v>0.2379317532523266</v>
      </c>
      <c r="S66" s="51" t="n">
        <v>0.2525788707134173</v>
      </c>
    </row>
    <row r="67">
      <c r="A67" s="42" t="inlineStr">
        <is>
          <t>Franklin</t>
        </is>
      </c>
      <c r="B67" s="43">
        <f>SUM(E67:I67)</f>
        <v/>
      </c>
      <c r="C67" s="43">
        <f>SUM(J67:N67)</f>
        <v/>
      </c>
      <c r="D67" s="64">
        <f>IFERROR(B67/C67-1,"")</f>
        <v/>
      </c>
      <c r="E67" s="43" t="n">
        <v>4042</v>
      </c>
      <c r="F67" s="43" t="n">
        <v>2903</v>
      </c>
      <c r="G67" s="43" t="n">
        <v>4731</v>
      </c>
      <c r="H67" s="43" t="n">
        <v>781</v>
      </c>
      <c r="I67" s="43" t="n">
        <v>4924</v>
      </c>
      <c r="J67" s="43" t="n">
        <v>3163</v>
      </c>
      <c r="K67" s="43" t="n">
        <v>2337</v>
      </c>
      <c r="L67" s="43" t="n">
        <v>3923</v>
      </c>
      <c r="M67" s="43" t="n">
        <v>326</v>
      </c>
      <c r="N67" s="43" t="n">
        <v>3339</v>
      </c>
      <c r="O67" s="44">
        <f>IFERROR(2*(E67*$B$29+F67*$C$29+G67*$D$29+H67*$E$29+I67*$F$29)/B67-1,"")</f>
        <v/>
      </c>
      <c r="P67" s="44">
        <f>IFERROR(2*(J67*$B$29+K67*$C$29+L67*$D$29+M67*$E$29+N67*$F$29)/C67-1,"")</f>
        <v/>
      </c>
      <c r="Q67" s="45">
        <f>IFERROR(O67-P67,"")</f>
        <v/>
      </c>
      <c r="R67" s="44" t="n">
        <v>0.02419605647819867</v>
      </c>
      <c r="S67" s="51" t="n">
        <v>0.2815142972211035</v>
      </c>
    </row>
    <row r="68">
      <c r="A68" s="42" t="inlineStr">
        <is>
          <t>Gaston</t>
        </is>
      </c>
      <c r="B68" s="43">
        <f>SUM(E68:I68)</f>
        <v/>
      </c>
      <c r="C68" s="43">
        <f>SUM(J68:N68)</f>
        <v/>
      </c>
      <c r="D68" s="64">
        <f>IFERROR(B68/C68-1,"")</f>
        <v/>
      </c>
      <c r="E68" s="43" t="n">
        <v>6837</v>
      </c>
      <c r="F68" s="43" t="n">
        <v>6704</v>
      </c>
      <c r="G68" s="43" t="n">
        <v>14931</v>
      </c>
      <c r="H68" s="43" t="n">
        <v>2004</v>
      </c>
      <c r="I68" s="43" t="n">
        <v>11091</v>
      </c>
      <c r="J68" s="43" t="n">
        <v>4257</v>
      </c>
      <c r="K68" s="43" t="n">
        <v>5269</v>
      </c>
      <c r="L68" s="43" t="n">
        <v>15193</v>
      </c>
      <c r="M68" s="43" t="n">
        <v>876</v>
      </c>
      <c r="N68" s="43" t="n">
        <v>8113</v>
      </c>
      <c r="O68" s="44">
        <f>IFERROR(2*(E68*$B$29+F68*$C$29+G68*$D$29+H68*$E$29+I68*$F$29)/B68-1,"")</f>
        <v/>
      </c>
      <c r="P68" s="44">
        <f>IFERROR(2*(J68*$B$29+K68*$C$29+L68*$D$29+M68*$E$29+N68*$F$29)/C68-1,"")</f>
        <v/>
      </c>
      <c r="Q68" s="45">
        <f>IFERROR(O68-P68,"")</f>
        <v/>
      </c>
      <c r="R68" s="44" t="n">
        <v>-0.2109962634056389</v>
      </c>
      <c r="S68" s="51" t="n">
        <v>0.2163013929318931</v>
      </c>
    </row>
    <row r="69">
      <c r="A69" s="42" t="inlineStr">
        <is>
          <t>Gates</t>
        </is>
      </c>
      <c r="B69" s="43">
        <f>SUM(E69:I69)</f>
        <v/>
      </c>
      <c r="C69" s="43">
        <f>SUM(J69:N69)</f>
        <v/>
      </c>
      <c r="D69" s="64">
        <f>IFERROR(B69/C69-1,"")</f>
        <v/>
      </c>
      <c r="E69" s="43" t="n">
        <v>685</v>
      </c>
      <c r="F69" s="43" t="n">
        <v>228</v>
      </c>
      <c r="G69" s="43" t="n">
        <v>337</v>
      </c>
      <c r="H69" s="43" t="n">
        <v>63</v>
      </c>
      <c r="I69" s="43" t="n">
        <v>339</v>
      </c>
      <c r="J69" s="43" t="n">
        <v>788</v>
      </c>
      <c r="K69" s="43" t="n">
        <v>354</v>
      </c>
      <c r="L69" s="43" t="n">
        <v>292</v>
      </c>
      <c r="M69" s="43" t="n">
        <v>53</v>
      </c>
      <c r="N69" s="43" t="n">
        <v>363</v>
      </c>
      <c r="O69" s="44">
        <f>IFERROR(2*(E69*$B$29+F69*$C$29+G69*$D$29+H69*$E$29+I69*$F$29)/B69-1,"")</f>
        <v/>
      </c>
      <c r="P69" s="44">
        <f>IFERROR(2*(J69*$B$29+K69*$C$29+L69*$D$29+M69*$E$29+N69*$F$29)/C69-1,"")</f>
        <v/>
      </c>
      <c r="Q69" s="45">
        <f>IFERROR(O69-P69,"")</f>
        <v/>
      </c>
      <c r="R69" s="44" t="n">
        <v>0.1312849162011173</v>
      </c>
      <c r="S69" s="51" t="n">
        <v>0.4582324455205811</v>
      </c>
    </row>
    <row r="70">
      <c r="A70" s="42" t="inlineStr">
        <is>
          <t>Graham</t>
        </is>
      </c>
      <c r="B70" s="43">
        <f>SUM(E70:I70)</f>
        <v/>
      </c>
      <c r="C70" s="43">
        <f>SUM(J70:N70)</f>
        <v/>
      </c>
      <c r="D70" s="64">
        <f>IFERROR(B70/C70-1,"")</f>
        <v/>
      </c>
      <c r="E70" s="43" t="n">
        <v>1</v>
      </c>
      <c r="F70" s="43" t="n">
        <v>310</v>
      </c>
      <c r="G70" s="43" t="n">
        <v>780</v>
      </c>
      <c r="H70" s="43" t="n">
        <v>0</v>
      </c>
      <c r="I70" s="43" t="n">
        <v>494</v>
      </c>
      <c r="J70" s="43" t="n">
        <v>0</v>
      </c>
      <c r="K70" s="43" t="n">
        <v>341</v>
      </c>
      <c r="L70" s="43" t="n">
        <v>781</v>
      </c>
      <c r="M70" s="43" t="n">
        <v>0</v>
      </c>
      <c r="N70" s="43" t="n">
        <v>408</v>
      </c>
      <c r="O70" s="44">
        <f>IFERROR(2*(E70*$B$29+F70*$C$29+G70*$D$29+H70*$E$29+I70*$F$29)/B70-1,"")</f>
        <v/>
      </c>
      <c r="P70" s="44">
        <f>IFERROR(2*(J70*$B$29+K70*$C$29+L70*$D$29+M70*$E$29+N70*$F$29)/C70-1,"")</f>
        <v/>
      </c>
      <c r="Q70" s="45">
        <f>IFERROR(O70-P70,"")</f>
        <v/>
      </c>
      <c r="R70" s="44" t="n">
        <v>-0.5777899945024739</v>
      </c>
      <c r="S70" s="51" t="n">
        <v>0.0006309148264984228</v>
      </c>
    </row>
    <row r="71">
      <c r="A71" s="42" t="inlineStr">
        <is>
          <t>Granville</t>
        </is>
      </c>
      <c r="B71" s="43">
        <f>SUM(E71:I71)</f>
        <v/>
      </c>
      <c r="C71" s="43">
        <f>SUM(J71:N71)</f>
        <v/>
      </c>
      <c r="D71" s="64">
        <f>IFERROR(B71/C71-1,"")</f>
        <v/>
      </c>
      <c r="E71" s="43" t="n">
        <v>3868</v>
      </c>
      <c r="F71" s="43" t="n">
        <v>2200</v>
      </c>
      <c r="G71" s="43" t="n">
        <v>3421</v>
      </c>
      <c r="H71" s="43" t="n">
        <v>437</v>
      </c>
      <c r="I71" s="43" t="n">
        <v>3871</v>
      </c>
      <c r="J71" s="43" t="n">
        <v>3117</v>
      </c>
      <c r="K71" s="43" t="n">
        <v>2214</v>
      </c>
      <c r="L71" s="43" t="n">
        <v>3110</v>
      </c>
      <c r="M71" s="43" t="n">
        <v>278</v>
      </c>
      <c r="N71" s="43" t="n">
        <v>3036</v>
      </c>
      <c r="O71" s="44">
        <f>IFERROR(2*(E71*$B$29+F71*$C$29+G71*$D$29+H71*$E$29+I71*$F$29)/B71-1,"")</f>
        <v/>
      </c>
      <c r="P71" s="44">
        <f>IFERROR(2*(J71*$B$29+K71*$C$29+L71*$D$29+M71*$E$29+N71*$F$29)/C71-1,"")</f>
        <v/>
      </c>
      <c r="Q71" s="45">
        <f>IFERROR(O71-P71,"")</f>
        <v/>
      </c>
      <c r="R71" s="44" t="n">
        <v>-0.004108349000765964</v>
      </c>
      <c r="S71" s="51" t="n">
        <v>0.3155758498224251</v>
      </c>
    </row>
    <row r="72">
      <c r="A72" s="42" t="inlineStr">
        <is>
          <t>Greene</t>
        </is>
      </c>
      <c r="B72" s="43">
        <f>SUM(E72:I72)</f>
        <v/>
      </c>
      <c r="C72" s="43">
        <f>SUM(J72:N72)</f>
        <v/>
      </c>
      <c r="D72" s="64">
        <f>IFERROR(B72/C72-1,"")</f>
        <v/>
      </c>
      <c r="E72" s="43" t="n">
        <v>1216</v>
      </c>
      <c r="F72" s="43" t="n">
        <v>340</v>
      </c>
      <c r="G72" s="43" t="n">
        <v>563</v>
      </c>
      <c r="H72" s="43" t="n">
        <v>93</v>
      </c>
      <c r="I72" s="43" t="n">
        <v>760</v>
      </c>
      <c r="J72" s="43" t="n">
        <v>1088</v>
      </c>
      <c r="K72" s="43" t="n">
        <v>409</v>
      </c>
      <c r="L72" s="43" t="n">
        <v>529</v>
      </c>
      <c r="M72" s="43" t="n">
        <v>79</v>
      </c>
      <c r="N72" s="43" t="n">
        <v>671</v>
      </c>
      <c r="O72" s="44">
        <f>IFERROR(2*(E72*$B$29+F72*$C$29+G72*$D$29+H72*$E$29+I72*$F$29)/B72-1,"")</f>
        <v/>
      </c>
      <c r="P72" s="44">
        <f>IFERROR(2*(J72*$B$29+K72*$C$29+L72*$D$29+M72*$E$29+N72*$F$29)/C72-1,"")</f>
        <v/>
      </c>
      <c r="Q72" s="45">
        <f>IFERROR(O72-P72,"")</f>
        <v/>
      </c>
      <c r="R72" s="44" t="n">
        <v>0.01366459627329192</v>
      </c>
      <c r="S72" s="51" t="n">
        <v>0.4448183041722746</v>
      </c>
    </row>
    <row r="73">
      <c r="A73" s="42" t="inlineStr">
        <is>
          <t>Guilford</t>
        </is>
      </c>
      <c r="B73" s="43">
        <f>SUM(E73:I73)</f>
        <v/>
      </c>
      <c r="C73" s="43">
        <f>SUM(J73:N73)</f>
        <v/>
      </c>
      <c r="D73" s="64">
        <f>IFERROR(B73/C73-1,"")</f>
        <v/>
      </c>
      <c r="E73" s="43" t="n">
        <v>31082</v>
      </c>
      <c r="F73" s="43" t="n">
        <v>23345</v>
      </c>
      <c r="G73" s="43" t="n">
        <v>22773</v>
      </c>
      <c r="H73" s="43" t="n">
        <v>7032</v>
      </c>
      <c r="I73" s="43" t="n">
        <v>27800</v>
      </c>
      <c r="J73" s="43" t="n">
        <v>21383</v>
      </c>
      <c r="K73" s="43" t="n">
        <v>18482</v>
      </c>
      <c r="L73" s="43" t="n">
        <v>24583</v>
      </c>
      <c r="M73" s="43" t="n">
        <v>3216</v>
      </c>
      <c r="N73" s="43" t="n">
        <v>19068</v>
      </c>
      <c r="O73" s="44">
        <f>IFERROR(2*(E73*$B$29+F73*$C$29+G73*$D$29+H73*$E$29+I73*$F$29)/B73-1,"")</f>
        <v/>
      </c>
      <c r="P73" s="44">
        <f>IFERROR(2*(J73*$B$29+K73*$C$29+L73*$D$29+M73*$E$29+N73*$F$29)/C73-1,"")</f>
        <v/>
      </c>
      <c r="Q73" s="45">
        <f>IFERROR(O73-P73,"")</f>
        <v/>
      </c>
      <c r="R73" s="44" t="n">
        <v>0.2679619922576821</v>
      </c>
      <c r="S73" s="51" t="n">
        <v>0.3439285204227364</v>
      </c>
    </row>
    <row r="74">
      <c r="A74" s="42" t="inlineStr">
        <is>
          <t>Halifax</t>
        </is>
      </c>
      <c r="B74" s="43">
        <f>SUM(E74:I74)</f>
        <v/>
      </c>
      <c r="C74" s="43">
        <f>SUM(J74:N74)</f>
        <v/>
      </c>
      <c r="D74" s="64">
        <f>IFERROR(B74/C74-1,"")</f>
        <v/>
      </c>
      <c r="E74" s="43" t="n">
        <v>4467</v>
      </c>
      <c r="F74" s="43" t="n">
        <v>1153</v>
      </c>
      <c r="G74" s="43" t="n">
        <v>754</v>
      </c>
      <c r="H74" s="43" t="n">
        <v>389</v>
      </c>
      <c r="I74" s="43" t="n">
        <v>1704</v>
      </c>
      <c r="J74" s="43" t="n">
        <v>3322</v>
      </c>
      <c r="K74" s="43" t="n">
        <v>1059</v>
      </c>
      <c r="L74" s="43" t="n">
        <v>639</v>
      </c>
      <c r="M74" s="43" t="n">
        <v>219</v>
      </c>
      <c r="N74" s="43" t="n">
        <v>1260</v>
      </c>
      <c r="O74" s="44">
        <f>IFERROR(2*(E74*$B$29+F74*$C$29+G74*$D$29+H74*$E$29+I74*$F$29)/B74-1,"")</f>
        <v/>
      </c>
      <c r="P74" s="44">
        <f>IFERROR(2*(J74*$B$29+K74*$C$29+L74*$D$29+M74*$E$29+N74*$F$29)/C74-1,"")</f>
        <v/>
      </c>
      <c r="Q74" s="45">
        <f>IFERROR(O74-P74,"")</f>
        <v/>
      </c>
      <c r="R74" s="44" t="n">
        <v>0.3210104744300677</v>
      </c>
      <c r="S74" s="51" t="n">
        <v>0.5781268453997874</v>
      </c>
    </row>
    <row r="75">
      <c r="A75" s="42" t="inlineStr">
        <is>
          <t>Harnett</t>
        </is>
      </c>
      <c r="B75" s="43">
        <f>SUM(E75:I75)</f>
        <v/>
      </c>
      <c r="C75" s="43">
        <f>SUM(J75:N75)</f>
        <v/>
      </c>
      <c r="D75" s="64">
        <f>IFERROR(B75/C75-1,"")</f>
        <v/>
      </c>
      <c r="E75" s="43" t="n">
        <v>4285</v>
      </c>
      <c r="F75" s="43" t="n">
        <v>3801</v>
      </c>
      <c r="G75" s="43" t="n">
        <v>7172</v>
      </c>
      <c r="H75" s="43" t="n">
        <v>1158</v>
      </c>
      <c r="I75" s="43" t="n">
        <v>5720</v>
      </c>
      <c r="J75" s="43" t="n">
        <v>2959</v>
      </c>
      <c r="K75" s="43" t="n">
        <v>2899</v>
      </c>
      <c r="L75" s="43" t="n">
        <v>6689</v>
      </c>
      <c r="M75" s="43" t="n">
        <v>489</v>
      </c>
      <c r="N75" s="43" t="n">
        <v>3769</v>
      </c>
      <c r="O75" s="44">
        <f>IFERROR(2*(E75*$B$29+F75*$C$29+G75*$D$29+H75*$E$29+I75*$F$29)/B75-1,"")</f>
        <v/>
      </c>
      <c r="P75" s="44">
        <f>IFERROR(2*(J75*$B$29+K75*$C$29+L75*$D$29+M75*$E$29+N75*$F$29)/C75-1,"")</f>
        <v/>
      </c>
      <c r="Q75" s="45">
        <f>IFERROR(O75-P75,"")</f>
        <v/>
      </c>
      <c r="R75" s="44" t="n">
        <v>-0.1603737964885784</v>
      </c>
      <c r="S75" s="51" t="n">
        <v>0.250677629201301</v>
      </c>
    </row>
    <row r="76">
      <c r="A76" s="42" t="inlineStr">
        <is>
          <t>Haywood</t>
        </is>
      </c>
      <c r="B76" s="43">
        <f>SUM(E76:I76)</f>
        <v/>
      </c>
      <c r="C76" s="43">
        <f>SUM(J76:N76)</f>
        <v/>
      </c>
      <c r="D76" s="64">
        <f>IFERROR(B76/C76-1,"")</f>
        <v/>
      </c>
      <c r="E76" s="43" t="n">
        <v>120</v>
      </c>
      <c r="F76" s="43" t="n">
        <v>4752</v>
      </c>
      <c r="G76" s="43" t="n">
        <v>4383</v>
      </c>
      <c r="H76" s="43" t="n">
        <v>36</v>
      </c>
      <c r="I76" s="43" t="n">
        <v>5667</v>
      </c>
      <c r="J76" s="43" t="n">
        <v>97</v>
      </c>
      <c r="K76" s="43" t="n">
        <v>4500</v>
      </c>
      <c r="L76" s="43" t="n">
        <v>4276</v>
      </c>
      <c r="M76" s="43" t="n">
        <v>15</v>
      </c>
      <c r="N76" s="43" t="n">
        <v>4006</v>
      </c>
      <c r="O76" s="44">
        <f>IFERROR(2*(E76*$B$29+F76*$C$29+G76*$D$29+H76*$E$29+I76*$F$29)/B76-1,"")</f>
        <v/>
      </c>
      <c r="P76" s="44">
        <f>IFERROR(2*(J76*$B$29+K76*$C$29+L76*$D$29+M76*$E$29+N76*$F$29)/C76-1,"")</f>
        <v/>
      </c>
      <c r="Q76" s="45">
        <f>IFERROR(O76-P76,"")</f>
        <v/>
      </c>
      <c r="R76" s="44" t="n">
        <v>-0.09523809523809523</v>
      </c>
      <c r="S76" s="51" t="n">
        <v>0.01056290947987699</v>
      </c>
    </row>
    <row r="77">
      <c r="A77" s="42" t="inlineStr">
        <is>
          <t>Henderson</t>
        </is>
      </c>
      <c r="B77" s="43">
        <f>SUM(E77:I77)</f>
        <v/>
      </c>
      <c r="C77" s="43">
        <f>SUM(J77:N77)</f>
        <v/>
      </c>
      <c r="D77" s="64">
        <f>IFERROR(B77/C77-1,"")</f>
        <v/>
      </c>
      <c r="E77" s="43" t="n">
        <v>455</v>
      </c>
      <c r="F77" s="43" t="n">
        <v>7713</v>
      </c>
      <c r="G77" s="43" t="n">
        <v>10031</v>
      </c>
      <c r="H77" s="43" t="n">
        <v>190</v>
      </c>
      <c r="I77" s="43" t="n">
        <v>14133</v>
      </c>
      <c r="J77" s="43" t="n">
        <v>320</v>
      </c>
      <c r="K77" s="43" t="n">
        <v>5889</v>
      </c>
      <c r="L77" s="43" t="n">
        <v>9841</v>
      </c>
      <c r="M77" s="43" t="n">
        <v>95</v>
      </c>
      <c r="N77" s="43" t="n">
        <v>10643</v>
      </c>
      <c r="O77" s="44">
        <f>IFERROR(2*(E77*$B$29+F77*$C$29+G77*$D$29+H77*$E$29+I77*$F$29)/B77-1,"")</f>
        <v/>
      </c>
      <c r="P77" s="44">
        <f>IFERROR(2*(J77*$B$29+K77*$C$29+L77*$D$29+M77*$E$29+N77*$F$29)/C77-1,"")</f>
        <v/>
      </c>
      <c r="Q77" s="45">
        <f>IFERROR(O77-P77,"")</f>
        <v/>
      </c>
      <c r="R77" s="44" t="n">
        <v>-0.08108279046233635</v>
      </c>
      <c r="S77" s="51" t="n">
        <v>0.02075518110817293</v>
      </c>
    </row>
    <row r="78">
      <c r="A78" s="42" t="inlineStr">
        <is>
          <t>Hertford</t>
        </is>
      </c>
      <c r="B78" s="43">
        <f>SUM(E78:I78)</f>
        <v/>
      </c>
      <c r="C78" s="43">
        <f>SUM(J78:N78)</f>
        <v/>
      </c>
      <c r="D78" s="64">
        <f>IFERROR(B78/C78-1,"")</f>
        <v/>
      </c>
      <c r="E78" s="43" t="n">
        <v>2210</v>
      </c>
      <c r="F78" s="43" t="n">
        <v>376</v>
      </c>
      <c r="G78" s="43" t="n">
        <v>331</v>
      </c>
      <c r="H78" s="43" t="n">
        <v>188</v>
      </c>
      <c r="I78" s="43" t="n">
        <v>461</v>
      </c>
      <c r="J78" s="43" t="n">
        <v>1557</v>
      </c>
      <c r="K78" s="43" t="n">
        <v>348</v>
      </c>
      <c r="L78" s="43" t="n">
        <v>210</v>
      </c>
      <c r="M78" s="43" t="n">
        <v>87</v>
      </c>
      <c r="N78" s="43" t="n">
        <v>347</v>
      </c>
      <c r="O78" s="44">
        <f>IFERROR(2*(E78*$B$29+F78*$C$29+G78*$D$29+H78*$E$29+I78*$F$29)/B78-1,"")</f>
        <v/>
      </c>
      <c r="P78" s="44">
        <f>IFERROR(2*(J78*$B$29+K78*$C$29+L78*$D$29+M78*$E$29+N78*$F$29)/C78-1,"")</f>
        <v/>
      </c>
      <c r="Q78" s="45">
        <f>IFERROR(O78-P78,"")</f>
        <v/>
      </c>
      <c r="R78" s="44" t="n">
        <v>0.4294041450777202</v>
      </c>
      <c r="S78" s="51" t="n">
        <v>0.6789119461581604</v>
      </c>
    </row>
    <row r="79">
      <c r="A79" s="42" t="inlineStr">
        <is>
          <t>Hoke</t>
        </is>
      </c>
      <c r="B79" s="43">
        <f>SUM(E79:I79)</f>
        <v/>
      </c>
      <c r="C79" s="43">
        <f>SUM(J79:N79)</f>
        <v/>
      </c>
      <c r="D79" s="64">
        <f>IFERROR(B79/C79-1,"")</f>
        <v/>
      </c>
      <c r="E79" s="43" t="n">
        <v>3440</v>
      </c>
      <c r="F79" s="43" t="n">
        <v>1050</v>
      </c>
      <c r="G79" s="43" t="n">
        <v>1268</v>
      </c>
      <c r="H79" s="43" t="n">
        <v>844</v>
      </c>
      <c r="I79" s="43" t="n">
        <v>1730</v>
      </c>
      <c r="J79" s="43" t="n">
        <v>2736</v>
      </c>
      <c r="K79" s="43" t="n">
        <v>820</v>
      </c>
      <c r="L79" s="43" t="n">
        <v>1241</v>
      </c>
      <c r="M79" s="43" t="n">
        <v>369</v>
      </c>
      <c r="N79" s="43" t="n">
        <v>1208</v>
      </c>
      <c r="O79" s="44">
        <f>IFERROR(2*(E79*$B$29+F79*$C$29+G79*$D$29+H79*$E$29+I79*$F$29)/B79-1,"")</f>
        <v/>
      </c>
      <c r="P79" s="44">
        <f>IFERROR(2*(J79*$B$29+K79*$C$29+L79*$D$29+M79*$E$29+N79*$F$29)/C79-1,"")</f>
        <v/>
      </c>
      <c r="Q79" s="45">
        <f>IFERROR(O79-P79,"")</f>
        <v/>
      </c>
      <c r="R79" s="44" t="n">
        <v>0.2547770700636943</v>
      </c>
      <c r="S79" s="51" t="n">
        <v>0.5220835333653384</v>
      </c>
    </row>
    <row r="80">
      <c r="A80" s="42" t="inlineStr">
        <is>
          <t>Hyde</t>
        </is>
      </c>
      <c r="B80" s="43">
        <f>SUM(E80:I80)</f>
        <v/>
      </c>
      <c r="C80" s="43">
        <f>SUM(J80:N80)</f>
        <v/>
      </c>
      <c r="D80" s="64">
        <f>IFERROR(B80/C80-1,"")</f>
        <v/>
      </c>
      <c r="E80" s="43" t="n">
        <v>128</v>
      </c>
      <c r="F80" s="43" t="n">
        <v>200</v>
      </c>
      <c r="G80" s="43" t="n">
        <v>110</v>
      </c>
      <c r="H80" s="43" t="n">
        <v>13</v>
      </c>
      <c r="I80" s="43" t="n">
        <v>220</v>
      </c>
      <c r="J80" s="43" t="n">
        <v>73</v>
      </c>
      <c r="K80" s="43" t="n">
        <v>149</v>
      </c>
      <c r="L80" s="43" t="n">
        <v>71</v>
      </c>
      <c r="M80" s="43" t="n">
        <v>6</v>
      </c>
      <c r="N80" s="43" t="n">
        <v>142</v>
      </c>
      <c r="O80" s="44">
        <f>IFERROR(2*(E80*$B$29+F80*$C$29+G80*$D$29+H80*$E$29+I80*$F$29)/B80-1,"")</f>
        <v/>
      </c>
      <c r="P80" s="44">
        <f>IFERROR(2*(J80*$B$29+K80*$C$29+L80*$D$29+M80*$E$29+N80*$F$29)/C80-1,"")</f>
        <v/>
      </c>
      <c r="Q80" s="45">
        <f>IFERROR(O80-P80,"")</f>
        <v/>
      </c>
      <c r="R80" s="44" t="n">
        <v>0.0196078431372549</v>
      </c>
      <c r="S80" s="51" t="n">
        <v>0.210134128166915</v>
      </c>
    </row>
    <row r="81">
      <c r="A81" s="42" t="inlineStr">
        <is>
          <t>Iredell</t>
        </is>
      </c>
      <c r="B81" s="43">
        <f>SUM(E81:I81)</f>
        <v/>
      </c>
      <c r="C81" s="43">
        <f>SUM(J81:N81)</f>
        <v/>
      </c>
      <c r="D81" s="64">
        <f>IFERROR(B81/C81-1,"")</f>
        <v/>
      </c>
      <c r="E81" s="43" t="n">
        <v>3437</v>
      </c>
      <c r="F81" s="43" t="n">
        <v>5883</v>
      </c>
      <c r="G81" s="43" t="n">
        <v>13656</v>
      </c>
      <c r="H81" s="43" t="n">
        <v>1029</v>
      </c>
      <c r="I81" s="43" t="n">
        <v>11950</v>
      </c>
      <c r="J81" s="43" t="n">
        <v>2324</v>
      </c>
      <c r="K81" s="43" t="n">
        <v>4518</v>
      </c>
      <c r="L81" s="43" t="n">
        <v>13834</v>
      </c>
      <c r="M81" s="43" t="n">
        <v>459</v>
      </c>
      <c r="N81" s="43" t="n">
        <v>9063</v>
      </c>
      <c r="O81" s="44">
        <f>IFERROR(2*(E81*$B$29+F81*$C$29+G81*$D$29+H81*$E$29+I81*$F$29)/B81-1,"")</f>
        <v/>
      </c>
      <c r="P81" s="44">
        <f>IFERROR(2*(J81*$B$29+K81*$C$29+L81*$D$29+M81*$E$29+N81*$F$29)/C81-1,"")</f>
        <v/>
      </c>
      <c r="Q81" s="45">
        <f>IFERROR(O81-P81,"")</f>
        <v/>
      </c>
      <c r="R81" s="44" t="n">
        <v>-0.2559519038076152</v>
      </c>
      <c r="S81" s="51" t="n">
        <v>0.1261298845779447</v>
      </c>
    </row>
    <row r="82">
      <c r="A82" s="42" t="inlineStr">
        <is>
          <t>Jackson</t>
        </is>
      </c>
      <c r="B82" s="43">
        <f>SUM(E82:I82)</f>
        <v/>
      </c>
      <c r="C82" s="43">
        <f>SUM(J82:N82)</f>
        <v/>
      </c>
      <c r="D82" s="64">
        <f>IFERROR(B82/C82-1,"")</f>
        <v/>
      </c>
      <c r="E82" s="43" t="n">
        <v>65</v>
      </c>
      <c r="F82" s="43" t="n">
        <v>3030</v>
      </c>
      <c r="G82" s="43" t="n">
        <v>1934</v>
      </c>
      <c r="H82" s="43" t="n">
        <v>37</v>
      </c>
      <c r="I82" s="43" t="n">
        <v>3698</v>
      </c>
      <c r="J82" s="43" t="n">
        <v>60</v>
      </c>
      <c r="K82" s="43" t="n">
        <v>3040</v>
      </c>
      <c r="L82" s="43" t="n">
        <v>2043</v>
      </c>
      <c r="M82" s="43" t="n">
        <v>25</v>
      </c>
      <c r="N82" s="43" t="n">
        <v>2734</v>
      </c>
      <c r="O82" s="44">
        <f>IFERROR(2*(E82*$B$29+F82*$C$29+G82*$D$29+H82*$E$29+I82*$F$29)/B82-1,"")</f>
        <v/>
      </c>
      <c r="P82" s="44">
        <f>IFERROR(2*(J82*$B$29+K82*$C$29+L82*$D$29+M82*$E$29+N82*$F$29)/C82-1,"")</f>
        <v/>
      </c>
      <c r="Q82" s="45">
        <f>IFERROR(O82-P82,"")</f>
        <v/>
      </c>
      <c r="R82" s="44" t="n">
        <v>0.06222990492653414</v>
      </c>
      <c r="S82" s="51" t="n">
        <v>0.01163852122318576</v>
      </c>
    </row>
    <row r="83">
      <c r="A83" s="42" t="inlineStr">
        <is>
          <t>Johnston</t>
        </is>
      </c>
      <c r="B83" s="43">
        <f>SUM(E83:I83)</f>
        <v/>
      </c>
      <c r="C83" s="43">
        <f>SUM(J83:N83)</f>
        <v/>
      </c>
      <c r="D83" s="64">
        <f>IFERROR(B83/C83-1,"")</f>
        <v/>
      </c>
      <c r="E83" s="43" t="n">
        <v>6909</v>
      </c>
      <c r="F83" s="43" t="n">
        <v>7420</v>
      </c>
      <c r="G83" s="43" t="n">
        <v>12260</v>
      </c>
      <c r="H83" s="43" t="n">
        <v>2145</v>
      </c>
      <c r="I83" s="43" t="n">
        <v>11861</v>
      </c>
      <c r="J83" s="43" t="n">
        <v>4789</v>
      </c>
      <c r="K83" s="43" t="n">
        <v>5671</v>
      </c>
      <c r="L83" s="43" t="n">
        <v>12584</v>
      </c>
      <c r="M83" s="43" t="n">
        <v>892</v>
      </c>
      <c r="N83" s="43" t="n">
        <v>8299</v>
      </c>
      <c r="O83" s="44">
        <f>IFERROR(2*(E83*$B$29+F83*$C$29+G83*$D$29+H83*$E$29+I83*$F$29)/B83-1,"")</f>
        <v/>
      </c>
      <c r="P83" s="44">
        <f>IFERROR(2*(J83*$B$29+K83*$C$29+L83*$D$29+M83*$E$29+N83*$F$29)/C83-1,"")</f>
        <v/>
      </c>
      <c r="Q83" s="45">
        <f>IFERROR(O83-P83,"")</f>
        <v/>
      </c>
      <c r="R83" s="44" t="n">
        <v>-0.0924947914143127</v>
      </c>
      <c r="S83" s="51" t="n">
        <v>0.2263579258529375</v>
      </c>
    </row>
    <row r="84">
      <c r="A84" s="42" t="inlineStr">
        <is>
          <t>Jones</t>
        </is>
      </c>
      <c r="B84" s="43">
        <f>SUM(E84:I84)</f>
        <v/>
      </c>
      <c r="C84" s="43">
        <f>SUM(J84:N84)</f>
        <v/>
      </c>
      <c r="D84" s="64">
        <f>IFERROR(B84/C84-1,"")</f>
        <v/>
      </c>
      <c r="E84" s="43" t="n">
        <v>496</v>
      </c>
      <c r="F84" s="43" t="n">
        <v>159</v>
      </c>
      <c r="G84" s="43" t="n">
        <v>426</v>
      </c>
      <c r="H84" s="43" t="n">
        <v>75</v>
      </c>
      <c r="I84" s="43" t="n">
        <v>402</v>
      </c>
      <c r="J84" s="43" t="n">
        <v>388</v>
      </c>
      <c r="K84" s="43" t="n">
        <v>149</v>
      </c>
      <c r="L84" s="43" t="n">
        <v>418</v>
      </c>
      <c r="M84" s="43" t="n">
        <v>25</v>
      </c>
      <c r="N84" s="43" t="n">
        <v>341</v>
      </c>
      <c r="O84" s="44">
        <f>IFERROR(2*(E84*$B$29+F84*$C$29+G84*$D$29+H84*$E$29+I84*$F$29)/B84-1,"")</f>
        <v/>
      </c>
      <c r="P84" s="44">
        <f>IFERROR(2*(J84*$B$29+K84*$C$29+L84*$D$29+M84*$E$29+N84*$F$29)/C84-1,"")</f>
        <v/>
      </c>
      <c r="Q84" s="45">
        <f>IFERROR(O84-P84,"")</f>
        <v/>
      </c>
      <c r="R84" s="44" t="n">
        <v>-0.1127725856697819</v>
      </c>
      <c r="S84" s="51" t="n">
        <v>0.3677792041078305</v>
      </c>
    </row>
    <row r="85">
      <c r="A85" s="42" t="inlineStr">
        <is>
          <t>Lee</t>
        </is>
      </c>
      <c r="B85" s="43">
        <f>SUM(E85:I85)</f>
        <v/>
      </c>
      <c r="C85" s="43">
        <f>SUM(J85:N85)</f>
        <v/>
      </c>
      <c r="D85" s="64">
        <f>IFERROR(B85/C85-1,"")</f>
        <v/>
      </c>
      <c r="E85" s="43" t="n">
        <v>1885</v>
      </c>
      <c r="F85" s="43" t="n">
        <v>2360</v>
      </c>
      <c r="G85" s="43" t="n">
        <v>2996</v>
      </c>
      <c r="H85" s="43" t="n">
        <v>352</v>
      </c>
      <c r="I85" s="43" t="n">
        <v>3232</v>
      </c>
      <c r="J85" s="43" t="n">
        <v>1549</v>
      </c>
      <c r="K85" s="43" t="n">
        <v>2202</v>
      </c>
      <c r="L85" s="43" t="n">
        <v>3359</v>
      </c>
      <c r="M85" s="43" t="n">
        <v>198</v>
      </c>
      <c r="N85" s="43" t="n">
        <v>2565</v>
      </c>
      <c r="O85" s="44">
        <f>IFERROR(2*(E85*$B$29+F85*$C$29+G85*$D$29+H85*$E$29+I85*$F$29)/B85-1,"")</f>
        <v/>
      </c>
      <c r="P85" s="44">
        <f>IFERROR(2*(J85*$B$29+K85*$C$29+L85*$D$29+M85*$E$29+N85*$F$29)/C85-1,"")</f>
        <v/>
      </c>
      <c r="Q85" s="45">
        <f>IFERROR(O85-P85,"")</f>
        <v/>
      </c>
      <c r="R85" s="44" t="n">
        <v>-0.08000330934061388</v>
      </c>
      <c r="S85" s="51" t="n">
        <v>0.209607390300231</v>
      </c>
    </row>
    <row r="86">
      <c r="A86" s="42" t="inlineStr">
        <is>
          <t>Lenoir</t>
        </is>
      </c>
      <c r="B86" s="43">
        <f>SUM(E86:I86)</f>
        <v/>
      </c>
      <c r="C86" s="43">
        <f>SUM(J86:N86)</f>
        <v/>
      </c>
      <c r="D86" s="64">
        <f>IFERROR(B86/C86-1,"")</f>
        <v/>
      </c>
      <c r="E86" s="43" t="n">
        <v>4110</v>
      </c>
      <c r="F86" s="43" t="n">
        <v>1101</v>
      </c>
      <c r="G86" s="43" t="n">
        <v>2456</v>
      </c>
      <c r="H86" s="43" t="n">
        <v>453</v>
      </c>
      <c r="I86" s="43" t="n">
        <v>1937</v>
      </c>
      <c r="J86" s="43" t="n">
        <v>3294</v>
      </c>
      <c r="K86" s="43" t="n">
        <v>1298</v>
      </c>
      <c r="L86" s="43" t="n">
        <v>2953</v>
      </c>
      <c r="M86" s="43" t="n">
        <v>234</v>
      </c>
      <c r="N86" s="43" t="n">
        <v>1936</v>
      </c>
      <c r="O86" s="44">
        <f>IFERROR(2*(E86*$B$29+F86*$C$29+G86*$D$29+H86*$E$29+I86*$F$29)/B86-1,"")</f>
        <v/>
      </c>
      <c r="P86" s="44">
        <f>IFERROR(2*(J86*$B$29+K86*$C$29+L86*$D$29+M86*$E$29+N86*$F$29)/C86-1,"")</f>
        <v/>
      </c>
      <c r="Q86" s="45">
        <f>IFERROR(O86-P86,"")</f>
        <v/>
      </c>
      <c r="R86" s="44" t="n">
        <v>-0.06423282245565697</v>
      </c>
      <c r="S86" s="51" t="n">
        <v>0.4574922939246296</v>
      </c>
    </row>
    <row r="87">
      <c r="A87" s="42" t="inlineStr">
        <is>
          <t>Lincoln</t>
        </is>
      </c>
      <c r="B87" s="43">
        <f>SUM(E87:I87)</f>
        <v/>
      </c>
      <c r="C87" s="43">
        <f>SUM(J87:N87)</f>
        <v/>
      </c>
      <c r="D87" s="64">
        <f>IFERROR(B87/C87-1,"")</f>
        <v/>
      </c>
      <c r="E87" s="43" t="n">
        <v>981</v>
      </c>
      <c r="F87" s="43" t="n">
        <v>3287</v>
      </c>
      <c r="G87" s="43" t="n">
        <v>8450</v>
      </c>
      <c r="H87" s="43" t="n">
        <v>248</v>
      </c>
      <c r="I87" s="43" t="n">
        <v>6048</v>
      </c>
      <c r="J87" s="43" t="n">
        <v>788</v>
      </c>
      <c r="K87" s="43" t="n">
        <v>2781</v>
      </c>
      <c r="L87" s="43" t="n">
        <v>8309</v>
      </c>
      <c r="M87" s="43" t="n">
        <v>136</v>
      </c>
      <c r="N87" s="43" t="n">
        <v>4754</v>
      </c>
      <c r="O87" s="44">
        <f>IFERROR(2*(E87*$B$29+F87*$C$29+G87*$D$29+H87*$E$29+I87*$F$29)/B87-1,"")</f>
        <v/>
      </c>
      <c r="P87" s="44">
        <f>IFERROR(2*(J87*$B$29+K87*$C$29+L87*$D$29+M87*$E$29+N87*$F$29)/C87-1,"")</f>
        <v/>
      </c>
      <c r="Q87" s="45">
        <f>IFERROR(O87-P87,"")</f>
        <v/>
      </c>
      <c r="R87" s="44" t="n">
        <v>-0.3586440013716749</v>
      </c>
      <c r="S87" s="51" t="n">
        <v>0.06616177553381719</v>
      </c>
    </row>
    <row r="88">
      <c r="A88" s="42" t="inlineStr">
        <is>
          <t>Macon</t>
        </is>
      </c>
      <c r="B88" s="43">
        <f>SUM(E88:I88)</f>
        <v/>
      </c>
      <c r="C88" s="43">
        <f>SUM(J88:N88)</f>
        <v/>
      </c>
      <c r="D88" s="64">
        <f>IFERROR(B88/C88-1,"")</f>
        <v/>
      </c>
      <c r="E88" s="43" t="n">
        <v>13</v>
      </c>
      <c r="F88" s="43" t="n">
        <v>1899</v>
      </c>
      <c r="G88" s="43" t="n">
        <v>3354</v>
      </c>
      <c r="H88" s="43" t="n">
        <v>13</v>
      </c>
      <c r="I88" s="43" t="n">
        <v>3454</v>
      </c>
      <c r="J88" s="43" t="n">
        <v>20</v>
      </c>
      <c r="K88" s="43" t="n">
        <v>1741</v>
      </c>
      <c r="L88" s="43" t="n">
        <v>3605</v>
      </c>
      <c r="M88" s="43" t="n">
        <v>6</v>
      </c>
      <c r="N88" s="43" t="n">
        <v>2695</v>
      </c>
      <c r="O88" s="44">
        <f>IFERROR(2*(E88*$B$29+F88*$C$29+G88*$D$29+H88*$E$29+I88*$F$29)/B88-1,"")</f>
        <v/>
      </c>
      <c r="P88" s="44">
        <f>IFERROR(2*(J88*$B$29+K88*$C$29+L88*$D$29+M88*$E$29+N88*$F$29)/C88-1,"")</f>
        <v/>
      </c>
      <c r="Q88" s="45">
        <f>IFERROR(O88-P88,"")</f>
        <v/>
      </c>
      <c r="R88" s="44" t="n">
        <v>-0.3060532174281776</v>
      </c>
      <c r="S88" s="51" t="n">
        <v>0.003206229245391045</v>
      </c>
    </row>
    <row r="89">
      <c r="A89" s="42" t="inlineStr">
        <is>
          <t>Madison</t>
        </is>
      </c>
      <c r="B89" s="43">
        <f>SUM(E89:I89)</f>
        <v/>
      </c>
      <c r="C89" s="43">
        <f>SUM(J89:N89)</f>
        <v/>
      </c>
      <c r="D89" s="64">
        <f>IFERROR(B89/C89-1,"")</f>
        <v/>
      </c>
      <c r="E89" s="43" t="n">
        <v>10</v>
      </c>
      <c r="F89" s="43" t="n">
        <v>1808</v>
      </c>
      <c r="G89" s="43" t="n">
        <v>1202</v>
      </c>
      <c r="H89" s="43" t="n">
        <v>6</v>
      </c>
      <c r="I89" s="43" t="n">
        <v>2167</v>
      </c>
      <c r="J89" s="43" t="n">
        <v>7</v>
      </c>
      <c r="K89" s="43" t="n">
        <v>1730</v>
      </c>
      <c r="L89" s="43" t="n">
        <v>1239</v>
      </c>
      <c r="M89" s="43" t="n">
        <v>7</v>
      </c>
      <c r="N89" s="43" t="n">
        <v>1627</v>
      </c>
      <c r="O89" s="44">
        <f>IFERROR(2*(E89*$B$29+F89*$C$29+G89*$D$29+H89*$E$29+I89*$F$29)/B89-1,"")</f>
        <v/>
      </c>
      <c r="P89" s="44">
        <f>IFERROR(2*(J89*$B$29+K89*$C$29+L89*$D$29+M89*$E$29+N89*$F$29)/C89-1,"")</f>
        <v/>
      </c>
      <c r="Q89" s="45">
        <f>IFERROR(O89-P89,"")</f>
        <v/>
      </c>
      <c r="R89" s="44" t="n">
        <v>-0.05747947161727954</v>
      </c>
      <c r="S89" s="51" t="n">
        <v>0.00308107067205854</v>
      </c>
    </row>
    <row r="90">
      <c r="A90" s="42" t="inlineStr">
        <is>
          <t>Martin</t>
        </is>
      </c>
      <c r="B90" s="43">
        <f>SUM(E90:I90)</f>
        <v/>
      </c>
      <c r="C90" s="43">
        <f>SUM(J90:N90)</f>
        <v/>
      </c>
      <c r="D90" s="64">
        <f>IFERROR(B90/C90-1,"")</f>
        <v/>
      </c>
      <c r="E90" s="43" t="n">
        <v>1733</v>
      </c>
      <c r="F90" s="43" t="n">
        <v>557</v>
      </c>
      <c r="G90" s="43" t="n">
        <v>601</v>
      </c>
      <c r="H90" s="43" t="n">
        <v>147</v>
      </c>
      <c r="I90" s="43" t="n">
        <v>972</v>
      </c>
      <c r="J90" s="43" t="n">
        <v>1496</v>
      </c>
      <c r="K90" s="43" t="n">
        <v>598</v>
      </c>
      <c r="L90" s="43" t="n">
        <v>543</v>
      </c>
      <c r="M90" s="43" t="n">
        <v>95</v>
      </c>
      <c r="N90" s="43" t="n">
        <v>823</v>
      </c>
      <c r="O90" s="44">
        <f>IFERROR(2*(E90*$B$29+F90*$C$29+G90*$D$29+H90*$E$29+I90*$F$29)/B90-1,"")</f>
        <v/>
      </c>
      <c r="P90" s="44">
        <f>IFERROR(2*(J90*$B$29+K90*$C$29+L90*$D$29+M90*$E$29+N90*$F$29)/C90-1,"")</f>
        <v/>
      </c>
      <c r="Q90" s="45">
        <f>IFERROR(O90-P90,"")</f>
        <v/>
      </c>
      <c r="R90" s="44" t="n">
        <v>0.1124116069251402</v>
      </c>
      <c r="S90" s="51" t="n">
        <v>0.4740648379052369</v>
      </c>
    </row>
    <row r="91">
      <c r="A91" s="42" t="inlineStr">
        <is>
          <t>Mcdowell</t>
        </is>
      </c>
      <c r="B91" s="43">
        <f>SUM(E91:I91)</f>
        <v/>
      </c>
      <c r="C91" s="43">
        <f>SUM(J91:N91)</f>
        <v/>
      </c>
      <c r="D91" s="64">
        <f>IFERROR(B91/C91-1,"")</f>
        <v/>
      </c>
      <c r="E91" s="43" t="n">
        <v>192</v>
      </c>
      <c r="F91" s="43" t="n">
        <v>1585</v>
      </c>
      <c r="G91" s="43" t="n">
        <v>3448</v>
      </c>
      <c r="H91" s="43" t="n">
        <v>62</v>
      </c>
      <c r="I91" s="43" t="n">
        <v>2895</v>
      </c>
      <c r="J91" s="43" t="n">
        <v>183</v>
      </c>
      <c r="K91" s="43" t="n">
        <v>1494</v>
      </c>
      <c r="L91" s="43" t="n">
        <v>3380</v>
      </c>
      <c r="M91" s="43" t="n">
        <v>37</v>
      </c>
      <c r="N91" s="43" t="n">
        <v>2136</v>
      </c>
      <c r="O91" s="44">
        <f>IFERROR(2*(E91*$B$29+F91*$C$29+G91*$D$29+H91*$E$29+I91*$F$29)/B91-1,"")</f>
        <v/>
      </c>
      <c r="P91" s="44">
        <f>IFERROR(2*(J91*$B$29+K91*$C$29+L91*$D$29+M91*$E$29+N91*$F$29)/C91-1,"")</f>
        <v/>
      </c>
      <c r="Q91" s="45">
        <f>IFERROR(O91-P91,"")</f>
        <v/>
      </c>
      <c r="R91" s="44" t="n">
        <v>-0.4087498557081842</v>
      </c>
      <c r="S91" s="51" t="n">
        <v>0.03202151063309704</v>
      </c>
    </row>
    <row r="92">
      <c r="A92" s="42" t="inlineStr">
        <is>
          <t>Mecklenburg</t>
        </is>
      </c>
      <c r="B92" s="43">
        <f>SUM(E92:I92)</f>
        <v/>
      </c>
      <c r="C92" s="43">
        <f>SUM(J92:N92)</f>
        <v/>
      </c>
      <c r="D92" s="64">
        <f>IFERROR(B92/C92-1,"")</f>
        <v/>
      </c>
      <c r="E92" s="43" t="n">
        <v>56219</v>
      </c>
      <c r="F92" s="43" t="n">
        <v>54436</v>
      </c>
      <c r="G92" s="43" t="n">
        <v>33136</v>
      </c>
      <c r="H92" s="43" t="n">
        <v>14593</v>
      </c>
      <c r="I92" s="43" t="n">
        <v>66903</v>
      </c>
      <c r="J92" s="43" t="n">
        <v>36872</v>
      </c>
      <c r="K92" s="43" t="n">
        <v>38045</v>
      </c>
      <c r="L92" s="43" t="n">
        <v>36876</v>
      </c>
      <c r="M92" s="43" t="n">
        <v>6481</v>
      </c>
      <c r="N92" s="43" t="n">
        <v>45836</v>
      </c>
      <c r="O92" s="44">
        <f>IFERROR(2*(E92*$B$29+F92*$C$29+G92*$D$29+H92*$E$29+I92*$F$29)/B92-1,"")</f>
        <v/>
      </c>
      <c r="P92" s="44">
        <f>IFERROR(2*(J92*$B$29+K92*$C$29+L92*$D$29+M92*$E$29+N92*$F$29)/C92-1,"")</f>
        <v/>
      </c>
      <c r="Q92" s="45">
        <f>IFERROR(O92-P92,"")</f>
        <v/>
      </c>
      <c r="R92" s="44" t="n">
        <v>0.4131627759464109</v>
      </c>
      <c r="S92" s="51" t="n">
        <v>0.3180875949344614</v>
      </c>
    </row>
    <row r="93">
      <c r="A93" s="42" t="inlineStr">
        <is>
          <t>Mitchell</t>
        </is>
      </c>
      <c r="B93" s="43">
        <f>SUM(E93:I93)</f>
        <v/>
      </c>
      <c r="C93" s="43">
        <f>SUM(J93:N93)</f>
        <v/>
      </c>
      <c r="D93" s="64">
        <f>IFERROR(B93/C93-1,"")</f>
        <v/>
      </c>
      <c r="E93" s="43" t="n">
        <v>4</v>
      </c>
      <c r="F93" s="43" t="n">
        <v>387</v>
      </c>
      <c r="G93" s="43" t="n">
        <v>1667</v>
      </c>
      <c r="H93" s="43" t="n">
        <v>3</v>
      </c>
      <c r="I93" s="43" t="n">
        <v>1112</v>
      </c>
      <c r="J93" s="43" t="n">
        <v>4</v>
      </c>
      <c r="K93" s="43" t="n">
        <v>333</v>
      </c>
      <c r="L93" s="43" t="n">
        <v>2022</v>
      </c>
      <c r="M93" s="43" t="n">
        <v>1</v>
      </c>
      <c r="N93" s="43" t="n">
        <v>896</v>
      </c>
      <c r="O93" s="44">
        <f>IFERROR(2*(E93*$B$29+F93*$C$29+G93*$D$29+H93*$E$29+I93*$F$29)/B93-1,"")</f>
        <v/>
      </c>
      <c r="P93" s="44">
        <f>IFERROR(2*(J93*$B$29+K93*$C$29+L93*$D$29+M93*$E$29+N93*$F$29)/C93-1,"")</f>
        <v/>
      </c>
      <c r="Q93" s="45">
        <f>IFERROR(O93-P93,"")</f>
        <v/>
      </c>
      <c r="R93" s="44" t="n">
        <v>-0.4923036785807461</v>
      </c>
      <c r="S93" s="51" t="n">
        <v>0.002206114087614245</v>
      </c>
    </row>
    <row r="94">
      <c r="A94" s="42" t="inlineStr">
        <is>
          <t>Montgomery</t>
        </is>
      </c>
      <c r="B94" s="43">
        <f>SUM(E94:I94)</f>
        <v/>
      </c>
      <c r="C94" s="43">
        <f>SUM(J94:N94)</f>
        <v/>
      </c>
      <c r="D94" s="64">
        <f>IFERROR(B94/C94-1,"")</f>
        <v/>
      </c>
      <c r="E94" s="43" t="n">
        <v>678</v>
      </c>
      <c r="F94" s="43" t="n">
        <v>625</v>
      </c>
      <c r="G94" s="43" t="n">
        <v>1263</v>
      </c>
      <c r="H94" s="43" t="n">
        <v>72</v>
      </c>
      <c r="I94" s="43" t="n">
        <v>969</v>
      </c>
      <c r="J94" s="43" t="n">
        <v>426</v>
      </c>
      <c r="K94" s="43" t="n">
        <v>623</v>
      </c>
      <c r="L94" s="43" t="n">
        <v>1201</v>
      </c>
      <c r="M94" s="43" t="n">
        <v>41</v>
      </c>
      <c r="N94" s="43" t="n">
        <v>841</v>
      </c>
      <c r="O94" s="44">
        <f>IFERROR(2*(E94*$B$29+F94*$C$29+G94*$D$29+H94*$E$29+I94*$F$29)/B94-1,"")</f>
        <v/>
      </c>
      <c r="P94" s="44">
        <f>IFERROR(2*(J94*$B$29+K94*$C$29+L94*$D$29+M94*$E$29+N94*$F$29)/C94-1,"")</f>
        <v/>
      </c>
      <c r="Q94" s="45">
        <f>IFERROR(O94-P94,"")</f>
        <v/>
      </c>
      <c r="R94" s="44" t="n">
        <v>-0.2466509062253743</v>
      </c>
      <c r="S94" s="51" t="n">
        <v>0.2098696978098142</v>
      </c>
    </row>
    <row r="95">
      <c r="A95" s="42" t="inlineStr">
        <is>
          <t>Moore</t>
        </is>
      </c>
      <c r="B95" s="43">
        <f>SUM(E95:I95)</f>
        <v/>
      </c>
      <c r="C95" s="43">
        <f>SUM(J95:N95)</f>
        <v/>
      </c>
      <c r="D95" s="64">
        <f>IFERROR(B95/C95-1,"")</f>
        <v/>
      </c>
      <c r="E95" s="43" t="n">
        <v>1683</v>
      </c>
      <c r="F95" s="43" t="n">
        <v>3909</v>
      </c>
      <c r="G95" s="43" t="n">
        <v>8332</v>
      </c>
      <c r="H95" s="43" t="n">
        <v>363</v>
      </c>
      <c r="I95" s="43" t="n">
        <v>7826</v>
      </c>
      <c r="J95" s="43" t="n">
        <v>1124</v>
      </c>
      <c r="K95" s="43" t="n">
        <v>3124</v>
      </c>
      <c r="L95" s="43" t="n">
        <v>7872</v>
      </c>
      <c r="M95" s="43" t="n">
        <v>176</v>
      </c>
      <c r="N95" s="43" t="n">
        <v>6065</v>
      </c>
      <c r="O95" s="44">
        <f>IFERROR(2*(E95*$B$29+F95*$C$29+G95*$D$29+H95*$E$29+I95*$F$29)/B95-1,"")</f>
        <v/>
      </c>
      <c r="P95" s="44">
        <f>IFERROR(2*(J95*$B$29+K95*$C$29+L95*$D$29+M95*$E$29+N95*$F$29)/C95-1,"")</f>
        <v/>
      </c>
      <c r="Q95" s="45">
        <f>IFERROR(O95-P95,"")</f>
        <v/>
      </c>
      <c r="R95" s="44" t="n">
        <v>-0.1758121758121758</v>
      </c>
      <c r="S95" s="51" t="n">
        <v>0.0937005381449826</v>
      </c>
    </row>
    <row r="96">
      <c r="A96" s="42" t="inlineStr">
        <is>
          <t>Nash</t>
        </is>
      </c>
      <c r="B96" s="43">
        <f>SUM(E96:I96)</f>
        <v/>
      </c>
      <c r="C96" s="43">
        <f>SUM(J96:N96)</f>
        <v/>
      </c>
      <c r="D96" s="64">
        <f>IFERROR(B96/C96-1,"")</f>
        <v/>
      </c>
      <c r="E96" s="43" t="n">
        <v>7879</v>
      </c>
      <c r="F96" s="43" t="n">
        <v>2301</v>
      </c>
      <c r="G96" s="43" t="n">
        <v>5865</v>
      </c>
      <c r="H96" s="43" t="n">
        <v>2109</v>
      </c>
      <c r="I96" s="43" t="n">
        <v>4046</v>
      </c>
      <c r="J96" s="43" t="n">
        <v>6249</v>
      </c>
      <c r="K96" s="43" t="n">
        <v>2205</v>
      </c>
      <c r="L96" s="43" t="n">
        <v>5985</v>
      </c>
      <c r="M96" s="43" t="n">
        <v>600</v>
      </c>
      <c r="N96" s="43" t="n">
        <v>3064</v>
      </c>
      <c r="O96" s="44">
        <f>IFERROR(2*(E96*$B$29+F96*$C$29+G96*$D$29+H96*$E$29+I96*$F$29)/B96-1,"")</f>
        <v/>
      </c>
      <c r="P96" s="44">
        <f>IFERROR(2*(J96*$B$29+K96*$C$29+L96*$D$29+M96*$E$29+N96*$F$29)/C96-1,"")</f>
        <v/>
      </c>
      <c r="Q96" s="45">
        <f>IFERROR(O96-P96,"")</f>
        <v/>
      </c>
      <c r="R96" s="44" t="n">
        <v>0.02573580372406783</v>
      </c>
      <c r="S96" s="51" t="n">
        <v>0.4542792792792793</v>
      </c>
    </row>
    <row r="97">
      <c r="A97" s="42" t="inlineStr">
        <is>
          <t>New Hanover</t>
        </is>
      </c>
      <c r="B97" s="43">
        <f>SUM(E97:I97)</f>
        <v/>
      </c>
      <c r="C97" s="43">
        <f>SUM(J97:N97)</f>
        <v/>
      </c>
      <c r="D97" s="64">
        <f>IFERROR(B97/C97-1,"")</f>
        <v/>
      </c>
      <c r="E97" s="43" t="n">
        <v>3831</v>
      </c>
      <c r="F97" s="43" t="n">
        <v>15002</v>
      </c>
      <c r="G97" s="43" t="n">
        <v>14954</v>
      </c>
      <c r="H97" s="43" t="n">
        <v>897</v>
      </c>
      <c r="I97" s="43" t="n">
        <v>19766</v>
      </c>
      <c r="J97" s="43" t="n">
        <v>3374</v>
      </c>
      <c r="K97" s="43" t="n">
        <v>12780</v>
      </c>
      <c r="L97" s="43" t="n">
        <v>15372</v>
      </c>
      <c r="M97" s="43" t="n">
        <v>557</v>
      </c>
      <c r="N97" s="43" t="n">
        <v>14927</v>
      </c>
      <c r="O97" s="44">
        <f>IFERROR(2*(E97*$B$29+F97*$C$29+G97*$D$29+H97*$E$29+I97*$F$29)/B97-1,"")</f>
        <v/>
      </c>
      <c r="P97" s="44">
        <f>IFERROR(2*(J97*$B$29+K97*$C$29+L97*$D$29+M97*$E$29+N97*$F$29)/C97-1,"")</f>
        <v/>
      </c>
      <c r="Q97" s="45">
        <f>IFERROR(O97-P97,"")</f>
        <v/>
      </c>
      <c r="R97" s="44" t="n">
        <v>0.1096981603857832</v>
      </c>
      <c r="S97" s="51" t="n">
        <v>0.0880257116620753</v>
      </c>
    </row>
    <row r="98">
      <c r="A98" s="42" t="inlineStr">
        <is>
          <t>Northampton</t>
        </is>
      </c>
      <c r="B98" s="43">
        <f>SUM(E98:I98)</f>
        <v/>
      </c>
      <c r="C98" s="43">
        <f>SUM(J98:N98)</f>
        <v/>
      </c>
      <c r="D98" s="64">
        <f>IFERROR(B98/C98-1,"")</f>
        <v/>
      </c>
      <c r="E98" s="43" t="n">
        <v>1818</v>
      </c>
      <c r="F98" s="43" t="n">
        <v>366</v>
      </c>
      <c r="G98" s="43" t="n">
        <v>293</v>
      </c>
      <c r="H98" s="43" t="n">
        <v>144</v>
      </c>
      <c r="I98" s="43" t="n">
        <v>627</v>
      </c>
      <c r="J98" s="43" t="n">
        <v>1529</v>
      </c>
      <c r="K98" s="43" t="n">
        <v>381</v>
      </c>
      <c r="L98" s="43" t="n">
        <v>241</v>
      </c>
      <c r="M98" s="43" t="n">
        <v>72</v>
      </c>
      <c r="N98" s="43" t="n">
        <v>484</v>
      </c>
      <c r="O98" s="44">
        <f>IFERROR(2*(E98*$B$29+F98*$C$29+G98*$D$29+H98*$E$29+I98*$F$29)/B98-1,"")</f>
        <v/>
      </c>
      <c r="P98" s="44">
        <f>IFERROR(2*(J98*$B$29+K98*$C$29+L98*$D$29+M98*$E$29+N98*$F$29)/C98-1,"")</f>
        <v/>
      </c>
      <c r="Q98" s="45">
        <f>IFERROR(O98-P98,"")</f>
        <v/>
      </c>
      <c r="R98" s="44" t="n">
        <v>0.3341353383458647</v>
      </c>
      <c r="S98" s="51" t="n">
        <v>0.6089901477832512</v>
      </c>
    </row>
    <row r="99">
      <c r="A99" s="42" t="inlineStr">
        <is>
          <t>Onslow</t>
        </is>
      </c>
      <c r="B99" s="43">
        <f>SUM(E99:I99)</f>
        <v/>
      </c>
      <c r="C99" s="43">
        <f>SUM(J99:N99)</f>
        <v/>
      </c>
      <c r="D99" s="64">
        <f>IFERROR(B99/C99-1,"")</f>
        <v/>
      </c>
      <c r="E99" s="43" t="n">
        <v>3501</v>
      </c>
      <c r="F99" s="43" t="n">
        <v>3173</v>
      </c>
      <c r="G99" s="43" t="n">
        <v>9093</v>
      </c>
      <c r="H99" s="43" t="n">
        <v>1405</v>
      </c>
      <c r="I99" s="43" t="n">
        <v>7356</v>
      </c>
      <c r="J99" s="43" t="n">
        <v>2767</v>
      </c>
      <c r="K99" s="43" t="n">
        <v>2343</v>
      </c>
      <c r="L99" s="43" t="n">
        <v>7832</v>
      </c>
      <c r="M99" s="43" t="n">
        <v>582</v>
      </c>
      <c r="N99" s="43" t="n">
        <v>5132</v>
      </c>
      <c r="O99" s="44">
        <f>IFERROR(2*(E99*$B$29+F99*$C$29+G99*$D$29+H99*$E$29+I99*$F$29)/B99-1,"")</f>
        <v/>
      </c>
      <c r="P99" s="44">
        <f>IFERROR(2*(J99*$B$29+K99*$C$29+L99*$D$29+M99*$E$29+N99*$F$29)/C99-1,"")</f>
        <v/>
      </c>
      <c r="Q99" s="45">
        <f>IFERROR(O99-P99,"")</f>
        <v/>
      </c>
      <c r="R99" s="44" t="n">
        <v>-0.2227208729320662</v>
      </c>
      <c r="S99" s="51" t="n">
        <v>0.2064579256360078</v>
      </c>
    </row>
    <row r="100">
      <c r="A100" s="42" t="inlineStr">
        <is>
          <t>Orange</t>
        </is>
      </c>
      <c r="B100" s="43">
        <f>SUM(E100:I100)</f>
        <v/>
      </c>
      <c r="C100" s="43">
        <f>SUM(J100:N100)</f>
        <v/>
      </c>
      <c r="D100" s="64">
        <f>IFERROR(B100/C100-1,"")</f>
        <v/>
      </c>
      <c r="E100" s="43" t="n">
        <v>3209</v>
      </c>
      <c r="F100" s="43" t="n">
        <v>20779</v>
      </c>
      <c r="G100" s="43" t="n">
        <v>2988</v>
      </c>
      <c r="H100" s="43" t="n">
        <v>748</v>
      </c>
      <c r="I100" s="43" t="n">
        <v>16195</v>
      </c>
      <c r="J100" s="43" t="n">
        <v>2589</v>
      </c>
      <c r="K100" s="43" t="n">
        <v>18189</v>
      </c>
      <c r="L100" s="43" t="n">
        <v>3282</v>
      </c>
      <c r="M100" s="43" t="n">
        <v>444</v>
      </c>
      <c r="N100" s="43" t="n">
        <v>11634</v>
      </c>
      <c r="O100" s="44">
        <f>IFERROR(2*(E100*$B$29+F100*$C$29+G100*$D$29+H100*$E$29+I100*$F$29)/B100-1,"")</f>
        <v/>
      </c>
      <c r="P100" s="44">
        <f>IFERROR(2*(J100*$B$29+K100*$C$29+L100*$D$29+M100*$E$29+N100*$F$29)/C100-1,"")</f>
        <v/>
      </c>
      <c r="Q100" s="45">
        <f>IFERROR(O100-P100,"")</f>
        <v/>
      </c>
      <c r="R100" s="44" t="n">
        <v>0.6693076279765835</v>
      </c>
      <c r="S100" s="51" t="n">
        <v>0.09057583278307794</v>
      </c>
    </row>
    <row r="101">
      <c r="A101" s="42" t="inlineStr">
        <is>
          <t>Pamlico</t>
        </is>
      </c>
      <c r="B101" s="43">
        <f>SUM(E101:I101)</f>
        <v/>
      </c>
      <c r="C101" s="43">
        <f>SUM(J101:N101)</f>
        <v/>
      </c>
      <c r="D101" s="64">
        <f>IFERROR(B101/C101-1,"")</f>
        <v/>
      </c>
      <c r="E101" s="43" t="n">
        <v>433</v>
      </c>
      <c r="F101" s="43" t="n">
        <v>590</v>
      </c>
      <c r="G101" s="43" t="n">
        <v>1288</v>
      </c>
      <c r="H101" s="43" t="n">
        <v>42</v>
      </c>
      <c r="I101" s="43" t="n">
        <v>951</v>
      </c>
      <c r="J101" s="43" t="n">
        <v>403</v>
      </c>
      <c r="K101" s="43" t="n">
        <v>545</v>
      </c>
      <c r="L101" s="43" t="n">
        <v>1124</v>
      </c>
      <c r="M101" s="43" t="n">
        <v>20</v>
      </c>
      <c r="N101" s="43" t="n">
        <v>790</v>
      </c>
      <c r="O101" s="44">
        <f>IFERROR(2*(E101*$B$29+F101*$C$29+G101*$D$29+H101*$E$29+I101*$F$29)/B101-1,"")</f>
        <v/>
      </c>
      <c r="P101" s="44">
        <f>IFERROR(2*(J101*$B$29+K101*$C$29+L101*$D$29+M101*$E$29+N101*$F$29)/C101-1,"")</f>
        <v/>
      </c>
      <c r="Q101" s="45">
        <f>IFERROR(O101-P101,"")</f>
        <v/>
      </c>
      <c r="R101" s="44" t="n">
        <v>-0.1781065088757396</v>
      </c>
      <c r="S101" s="51" t="n">
        <v>0.1461864406779661</v>
      </c>
    </row>
    <row r="102">
      <c r="A102" s="42" t="inlineStr">
        <is>
          <t>Pasquotank</t>
        </is>
      </c>
      <c r="B102" s="43">
        <f>SUM(E102:I102)</f>
        <v/>
      </c>
      <c r="C102" s="43">
        <f>SUM(J102:N102)</f>
        <v/>
      </c>
      <c r="D102" s="64">
        <f>IFERROR(B102/C102-1,"")</f>
        <v/>
      </c>
      <c r="E102" s="43" t="n">
        <v>2363</v>
      </c>
      <c r="F102" s="43" t="n">
        <v>948</v>
      </c>
      <c r="G102" s="43" t="n">
        <v>1656</v>
      </c>
      <c r="H102" s="43" t="n">
        <v>425</v>
      </c>
      <c r="I102" s="43" t="n">
        <v>2022</v>
      </c>
      <c r="J102" s="43" t="n">
        <v>2405</v>
      </c>
      <c r="K102" s="43" t="n">
        <v>1166</v>
      </c>
      <c r="L102" s="43" t="n">
        <v>1843</v>
      </c>
      <c r="M102" s="43" t="n">
        <v>259</v>
      </c>
      <c r="N102" s="43" t="n">
        <v>1963</v>
      </c>
      <c r="O102" s="44">
        <f>IFERROR(2*(E102*$B$29+F102*$C$29+G102*$D$29+H102*$E$29+I102*$F$29)/B102-1,"")</f>
        <v/>
      </c>
      <c r="P102" s="44">
        <f>IFERROR(2*(J102*$B$29+K102*$C$29+L102*$D$29+M102*$E$29+N102*$F$29)/C102-1,"")</f>
        <v/>
      </c>
      <c r="Q102" s="45">
        <f>IFERROR(O102-P102,"")</f>
        <v/>
      </c>
      <c r="R102" s="44" t="n">
        <v>0.05236964144327565</v>
      </c>
      <c r="S102" s="51" t="n">
        <v>0.3806312381980038</v>
      </c>
    </row>
    <row r="103">
      <c r="A103" s="42" t="inlineStr">
        <is>
          <t>Pender</t>
        </is>
      </c>
      <c r="B103" s="43">
        <f>SUM(E103:I103)</f>
        <v/>
      </c>
      <c r="C103" s="43">
        <f>SUM(J103:N103)</f>
        <v/>
      </c>
      <c r="D103" s="64">
        <f>IFERROR(B103/C103-1,"")</f>
        <v/>
      </c>
      <c r="E103" s="43" t="n">
        <v>1307</v>
      </c>
      <c r="F103" s="43" t="n">
        <v>2148</v>
      </c>
      <c r="G103" s="43" t="n">
        <v>5038</v>
      </c>
      <c r="H103" s="43" t="n">
        <v>258</v>
      </c>
      <c r="I103" s="43" t="n">
        <v>4045</v>
      </c>
      <c r="J103" s="43" t="n">
        <v>1103</v>
      </c>
      <c r="K103" s="43" t="n">
        <v>1740</v>
      </c>
      <c r="L103" s="43" t="n">
        <v>4936</v>
      </c>
      <c r="M103" s="43" t="n">
        <v>100</v>
      </c>
      <c r="N103" s="43" t="n">
        <v>3116</v>
      </c>
      <c r="O103" s="44">
        <f>IFERROR(2*(E103*$B$29+F103*$C$29+G103*$D$29+H103*$E$29+I103*$F$29)/B103-1,"")</f>
        <v/>
      </c>
      <c r="P103" s="44">
        <f>IFERROR(2*(J103*$B$29+K103*$C$29+L103*$D$29+M103*$E$29+N103*$F$29)/C103-1,"")</f>
        <v/>
      </c>
      <c r="Q103" s="45">
        <f>IFERROR(O103-P103,"")</f>
        <v/>
      </c>
      <c r="R103" s="44" t="n">
        <v>-0.2717495395948434</v>
      </c>
      <c r="S103" s="51" t="n">
        <v>0.1236323851203501</v>
      </c>
    </row>
    <row r="104">
      <c r="A104" s="42" t="inlineStr">
        <is>
          <t>Perquimans</t>
        </is>
      </c>
      <c r="B104" s="43">
        <f>SUM(E104:I104)</f>
        <v/>
      </c>
      <c r="C104" s="43">
        <f>SUM(J104:N104)</f>
        <v/>
      </c>
      <c r="D104" s="64">
        <f>IFERROR(B104/C104-1,"")</f>
        <v/>
      </c>
      <c r="E104" s="43" t="n">
        <v>412</v>
      </c>
      <c r="F104" s="43" t="n">
        <v>347</v>
      </c>
      <c r="G104" s="43" t="n">
        <v>1063</v>
      </c>
      <c r="H104" s="43" t="n">
        <v>70</v>
      </c>
      <c r="I104" s="43" t="n">
        <v>983</v>
      </c>
      <c r="J104" s="43" t="n">
        <v>356</v>
      </c>
      <c r="K104" s="43" t="n">
        <v>364</v>
      </c>
      <c r="L104" s="43" t="n">
        <v>820</v>
      </c>
      <c r="M104" s="43" t="n">
        <v>33</v>
      </c>
      <c r="N104" s="43" t="n">
        <v>803</v>
      </c>
      <c r="O104" s="44">
        <f>IFERROR(2*(E104*$B$29+F104*$C$29+G104*$D$29+H104*$E$29+I104*$F$29)/B104-1,"")</f>
        <v/>
      </c>
      <c r="P104" s="44">
        <f>IFERROR(2*(J104*$B$29+K104*$C$29+L104*$D$29+M104*$E$29+N104*$F$29)/C104-1,"")</f>
        <v/>
      </c>
      <c r="Q104" s="45">
        <f>IFERROR(O104-P104,"")</f>
        <v/>
      </c>
      <c r="R104" s="44" t="n">
        <v>-0.3160878809355067</v>
      </c>
      <c r="S104" s="51" t="n">
        <v>0.1704347826086957</v>
      </c>
    </row>
    <row r="105">
      <c r="A105" s="42" t="inlineStr">
        <is>
          <t>Person</t>
        </is>
      </c>
      <c r="B105" s="43">
        <f>SUM(E105:I105)</f>
        <v/>
      </c>
      <c r="C105" s="43">
        <f>SUM(J105:N105)</f>
        <v/>
      </c>
      <c r="D105" s="64">
        <f>IFERROR(B105/C105-1,"")</f>
        <v/>
      </c>
      <c r="E105" s="43" t="n">
        <v>2067</v>
      </c>
      <c r="F105" s="43" t="n">
        <v>1111</v>
      </c>
      <c r="G105" s="43" t="n">
        <v>2026</v>
      </c>
      <c r="H105" s="43" t="n">
        <v>272</v>
      </c>
      <c r="I105" s="43" t="n">
        <v>2536</v>
      </c>
      <c r="J105" s="43" t="n">
        <v>1842</v>
      </c>
      <c r="K105" s="43" t="n">
        <v>1130</v>
      </c>
      <c r="L105" s="43" t="n">
        <v>2054</v>
      </c>
      <c r="M105" s="43" t="n">
        <v>175</v>
      </c>
      <c r="N105" s="43" t="n">
        <v>2321</v>
      </c>
      <c r="O105" s="44">
        <f>IFERROR(2*(E105*$B$29+F105*$C$29+G105*$D$29+H105*$E$29+I105*$F$29)/B105-1,"")</f>
        <v/>
      </c>
      <c r="P105" s="44">
        <f>IFERROR(2*(J105*$B$29+K105*$C$29+L105*$D$29+M105*$E$29+N105*$F$29)/C105-1,"")</f>
        <v/>
      </c>
      <c r="Q105" s="45">
        <f>IFERROR(O105-P105,"")</f>
        <v/>
      </c>
      <c r="R105" s="44" t="n">
        <v>-0.1042496679946879</v>
      </c>
      <c r="S105" s="51" t="n">
        <v>0.2948077883175237</v>
      </c>
    </row>
    <row r="106">
      <c r="A106" s="42" t="inlineStr">
        <is>
          <t>Pitt</t>
        </is>
      </c>
      <c r="B106" s="43">
        <f>SUM(E106:I106)</f>
        <v/>
      </c>
      <c r="C106" s="43">
        <f>SUM(J106:N106)</f>
        <v/>
      </c>
      <c r="D106" s="64">
        <f>IFERROR(B106/C106-1,"")</f>
        <v/>
      </c>
      <c r="E106" s="43" t="n">
        <v>9431</v>
      </c>
      <c r="F106" s="43" t="n">
        <v>5618</v>
      </c>
      <c r="G106" s="43" t="n">
        <v>6779</v>
      </c>
      <c r="H106" s="43" t="n">
        <v>1638</v>
      </c>
      <c r="I106" s="43" t="n">
        <v>7671</v>
      </c>
      <c r="J106" s="43" t="n">
        <v>7084</v>
      </c>
      <c r="K106" s="43" t="n">
        <v>4758</v>
      </c>
      <c r="L106" s="43" t="n">
        <v>7249</v>
      </c>
      <c r="M106" s="43" t="n">
        <v>868</v>
      </c>
      <c r="N106" s="43" t="n">
        <v>5980</v>
      </c>
      <c r="O106" s="44">
        <f>IFERROR(2*(E106*$B$29+F106*$C$29+G106*$D$29+H106*$E$29+I106*$F$29)/B106-1,"")</f>
        <v/>
      </c>
      <c r="P106" s="44">
        <f>IFERROR(2*(J106*$B$29+K106*$C$29+L106*$D$29+M106*$E$29+N106*$F$29)/C106-1,"")</f>
        <v/>
      </c>
      <c r="Q106" s="45">
        <f>IFERROR(O106-P106,"")</f>
        <v/>
      </c>
      <c r="R106" s="44" t="n">
        <v>0.1358738336841444</v>
      </c>
      <c r="S106" s="51" t="n">
        <v>0.3597327937823169</v>
      </c>
    </row>
    <row r="107">
      <c r="A107" s="42" t="inlineStr">
        <is>
          <t>Polk</t>
        </is>
      </c>
      <c r="B107" s="43">
        <f>SUM(E107:I107)</f>
        <v/>
      </c>
      <c r="C107" s="43">
        <f>SUM(J107:N107)</f>
        <v/>
      </c>
      <c r="D107" s="64">
        <f>IFERROR(B107/C107-1,"")</f>
        <v/>
      </c>
      <c r="E107" s="43" t="n">
        <v>158</v>
      </c>
      <c r="F107" s="43" t="n">
        <v>1365</v>
      </c>
      <c r="G107" s="43" t="n">
        <v>1874</v>
      </c>
      <c r="H107" s="43" t="n">
        <v>28</v>
      </c>
      <c r="I107" s="43" t="n">
        <v>2379</v>
      </c>
      <c r="J107" s="43" t="n">
        <v>146</v>
      </c>
      <c r="K107" s="43" t="n">
        <v>1269</v>
      </c>
      <c r="L107" s="43" t="n">
        <v>1676</v>
      </c>
      <c r="M107" s="43" t="n">
        <v>11</v>
      </c>
      <c r="N107" s="43" t="n">
        <v>1911</v>
      </c>
      <c r="O107" s="44">
        <f>IFERROR(2*(E107*$B$29+F107*$C$29+G107*$D$29+H107*$E$29+I107*$F$29)/B107-1,"")</f>
        <v/>
      </c>
      <c r="P107" s="44">
        <f>IFERROR(2*(J107*$B$29+K107*$C$29+L107*$D$29+M107*$E$29+N107*$F$29)/C107-1,"")</f>
        <v/>
      </c>
      <c r="Q107" s="45">
        <f>IFERROR(O107-P107,"")</f>
        <v/>
      </c>
      <c r="R107" s="44" t="n">
        <v>-0.06489071038251366</v>
      </c>
      <c r="S107" s="51" t="n">
        <v>0.03239145416953825</v>
      </c>
    </row>
    <row r="108">
      <c r="A108" s="42" t="inlineStr">
        <is>
          <t>Randolph</t>
        </is>
      </c>
      <c r="B108" s="43">
        <f>SUM(E108:I108)</f>
        <v/>
      </c>
      <c r="C108" s="43">
        <f>SUM(J108:N108)</f>
        <v/>
      </c>
      <c r="D108" s="64">
        <f>IFERROR(B108/C108-1,"")</f>
        <v/>
      </c>
      <c r="E108" s="43" t="n">
        <v>1252</v>
      </c>
      <c r="F108" s="43" t="n">
        <v>3061</v>
      </c>
      <c r="G108" s="43" t="n">
        <v>12099</v>
      </c>
      <c r="H108" s="43" t="n">
        <v>342</v>
      </c>
      <c r="I108" s="43" t="n">
        <v>6148</v>
      </c>
      <c r="J108" s="43" t="n">
        <v>896</v>
      </c>
      <c r="K108" s="43" t="n">
        <v>2673</v>
      </c>
      <c r="L108" s="43" t="n">
        <v>13907</v>
      </c>
      <c r="M108" s="43" t="n">
        <v>167</v>
      </c>
      <c r="N108" s="43" t="n">
        <v>5390</v>
      </c>
      <c r="O108" s="44">
        <f>IFERROR(2*(E108*$B$29+F108*$C$29+G108*$D$29+H108*$E$29+I108*$F$29)/B108-1,"")</f>
        <v/>
      </c>
      <c r="P108" s="44">
        <f>IFERROR(2*(J108*$B$29+K108*$C$29+L108*$D$29+M108*$E$29+N108*$F$29)/C108-1,"")</f>
        <v/>
      </c>
      <c r="Q108" s="45">
        <f>IFERROR(O108-P108,"")</f>
        <v/>
      </c>
      <c r="R108" s="44" t="n">
        <v>-0.552329580422112</v>
      </c>
      <c r="S108" s="51" t="n">
        <v>0.07156580211335255</v>
      </c>
    </row>
    <row r="109">
      <c r="A109" s="42" t="inlineStr">
        <is>
          <t>Richmond</t>
        </is>
      </c>
      <c r="B109" s="43">
        <f>SUM(E109:I109)</f>
        <v/>
      </c>
      <c r="C109" s="43">
        <f>SUM(J109:N109)</f>
        <v/>
      </c>
      <c r="D109" s="64">
        <f>IFERROR(B109/C109-1,"")</f>
        <v/>
      </c>
      <c r="E109" s="43" t="n">
        <v>1966</v>
      </c>
      <c r="F109" s="43" t="n">
        <v>885</v>
      </c>
      <c r="G109" s="43" t="n">
        <v>1578</v>
      </c>
      <c r="H109" s="43" t="n">
        <v>242</v>
      </c>
      <c r="I109" s="43" t="n">
        <v>1595</v>
      </c>
      <c r="J109" s="43" t="n">
        <v>1466</v>
      </c>
      <c r="K109" s="43" t="n">
        <v>995</v>
      </c>
      <c r="L109" s="43" t="n">
        <v>1338</v>
      </c>
      <c r="M109" s="43" t="n">
        <v>116</v>
      </c>
      <c r="N109" s="43" t="n">
        <v>1300</v>
      </c>
      <c r="O109" s="44">
        <f>IFERROR(2*(E109*$B$29+F109*$C$29+G109*$D$29+H109*$E$29+I109*$F$29)/B109-1,"")</f>
        <v/>
      </c>
      <c r="P109" s="44">
        <f>IFERROR(2*(J109*$B$29+K109*$C$29+L109*$D$29+M109*$E$29+N109*$F$29)/C109-1,"")</f>
        <v/>
      </c>
      <c r="Q109" s="45">
        <f>IFERROR(O109-P109,"")</f>
        <v/>
      </c>
      <c r="R109" s="44" t="n">
        <v>-0.1049312853678254</v>
      </c>
      <c r="S109" s="51" t="n">
        <v>0.3578040217044366</v>
      </c>
    </row>
    <row r="110">
      <c r="A110" s="42" t="inlineStr">
        <is>
          <t>Robeson</t>
        </is>
      </c>
      <c r="B110" s="43">
        <f>SUM(E110:I110)</f>
        <v/>
      </c>
      <c r="C110" s="43">
        <f>SUM(J110:N110)</f>
        <v/>
      </c>
      <c r="D110" s="64">
        <f>IFERROR(B110/C110-1,"")</f>
        <v/>
      </c>
      <c r="E110" s="43" t="n">
        <v>4168</v>
      </c>
      <c r="F110" s="43" t="n">
        <v>2802</v>
      </c>
      <c r="G110" s="43" t="n">
        <v>2253</v>
      </c>
      <c r="H110" s="43" t="n">
        <v>626</v>
      </c>
      <c r="I110" s="43" t="n">
        <v>3094</v>
      </c>
      <c r="J110" s="43" t="n">
        <v>3494</v>
      </c>
      <c r="K110" s="43" t="n">
        <v>2766</v>
      </c>
      <c r="L110" s="43" t="n">
        <v>1666</v>
      </c>
      <c r="M110" s="43" t="n">
        <v>335</v>
      </c>
      <c r="N110" s="43" t="n">
        <v>2055</v>
      </c>
      <c r="O110" s="44">
        <f>IFERROR(2*(E110*$B$29+F110*$C$29+G110*$D$29+H110*$E$29+I110*$F$29)/B110-1,"")</f>
        <v/>
      </c>
      <c r="P110" s="44">
        <f>IFERROR(2*(J110*$B$29+K110*$C$29+L110*$D$29+M110*$E$29+N110*$F$29)/C110-1,"")</f>
        <v/>
      </c>
      <c r="Q110" s="45">
        <f>IFERROR(O110-P110,"")</f>
        <v/>
      </c>
      <c r="R110" s="44" t="n">
        <v>0.05297105538982504</v>
      </c>
      <c r="S110" s="51" t="n">
        <v>0.374333616626748</v>
      </c>
    </row>
    <row r="111">
      <c r="A111" s="42" t="inlineStr">
        <is>
          <t>Rockingham</t>
        </is>
      </c>
      <c r="B111" s="43">
        <f>SUM(E111:I111)</f>
        <v/>
      </c>
      <c r="C111" s="43">
        <f>SUM(J111:N111)</f>
        <v/>
      </c>
      <c r="D111" s="64">
        <f>IFERROR(B111/C111-1,"")</f>
        <v/>
      </c>
      <c r="E111" s="43" t="n">
        <v>3114</v>
      </c>
      <c r="F111" s="43" t="n">
        <v>2531</v>
      </c>
      <c r="G111" s="43" t="n">
        <v>6641</v>
      </c>
      <c r="H111" s="43" t="n">
        <v>479</v>
      </c>
      <c r="I111" s="43" t="n">
        <v>4866</v>
      </c>
      <c r="J111" s="43" t="n">
        <v>2587</v>
      </c>
      <c r="K111" s="43" t="n">
        <v>2588</v>
      </c>
      <c r="L111" s="43" t="n">
        <v>6324</v>
      </c>
      <c r="M111" s="43" t="n">
        <v>229</v>
      </c>
      <c r="N111" s="43" t="n">
        <v>3908</v>
      </c>
      <c r="O111" s="44">
        <f>IFERROR(2*(E111*$B$29+F111*$C$29+G111*$D$29+H111*$E$29+I111*$F$29)/B111-1,"")</f>
        <v/>
      </c>
      <c r="P111" s="44">
        <f>IFERROR(2*(J111*$B$29+K111*$C$29+L111*$D$29+M111*$E$29+N111*$F$29)/C111-1,"")</f>
        <v/>
      </c>
      <c r="Q111" s="45">
        <f>IFERROR(O111-P111,"")</f>
        <v/>
      </c>
      <c r="R111" s="44" t="n">
        <v>-0.2594960311118214</v>
      </c>
      <c r="S111" s="51" t="n">
        <v>0.2058873574953207</v>
      </c>
    </row>
    <row r="112">
      <c r="A112" s="42" t="inlineStr">
        <is>
          <t>Rowan</t>
        </is>
      </c>
      <c r="B112" s="43">
        <f>SUM(E112:I112)</f>
        <v/>
      </c>
      <c r="C112" s="43">
        <f>SUM(J112:N112)</f>
        <v/>
      </c>
      <c r="D112" s="64">
        <f>IFERROR(B112/C112-1,"")</f>
        <v/>
      </c>
      <c r="E112" s="43" t="n">
        <v>3013</v>
      </c>
      <c r="F112" s="43" t="n">
        <v>3121</v>
      </c>
      <c r="G112" s="43" t="n">
        <v>9106</v>
      </c>
      <c r="H112" s="43" t="n">
        <v>662</v>
      </c>
      <c r="I112" s="43" t="n">
        <v>6157</v>
      </c>
      <c r="J112" s="43" t="n">
        <v>2478</v>
      </c>
      <c r="K112" s="43" t="n">
        <v>2480</v>
      </c>
      <c r="L112" s="43" t="n">
        <v>9657</v>
      </c>
      <c r="M112" s="43" t="n">
        <v>353</v>
      </c>
      <c r="N112" s="43" t="n">
        <v>4992</v>
      </c>
      <c r="O112" s="44">
        <f>IFERROR(2*(E112*$B$29+F112*$C$29+G112*$D$29+H112*$E$29+I112*$F$29)/B112-1,"")</f>
        <v/>
      </c>
      <c r="P112" s="44">
        <f>IFERROR(2*(J112*$B$29+K112*$C$29+L112*$D$29+M112*$E$29+N112*$F$29)/C112-1,"")</f>
        <v/>
      </c>
      <c r="Q112" s="45">
        <f>IFERROR(O112-P112,"")</f>
        <v/>
      </c>
      <c r="R112" s="44" t="n">
        <v>-0.2942431578515449</v>
      </c>
      <c r="S112" s="51" t="n">
        <v>0.1694093113921755</v>
      </c>
    </row>
    <row r="113">
      <c r="A113" s="42" t="inlineStr">
        <is>
          <t>Rutherford</t>
        </is>
      </c>
      <c r="B113" s="43">
        <f>SUM(E113:I113)</f>
        <v/>
      </c>
      <c r="C113" s="43">
        <f>SUM(J113:N113)</f>
        <v/>
      </c>
      <c r="D113" s="64">
        <f>IFERROR(B113/C113-1,"")</f>
        <v/>
      </c>
      <c r="E113" s="43" t="n">
        <v>827</v>
      </c>
      <c r="F113" s="43" t="n">
        <v>1552</v>
      </c>
      <c r="G113" s="43" t="n">
        <v>4297</v>
      </c>
      <c r="H113" s="43" t="n">
        <v>185</v>
      </c>
      <c r="I113" s="43" t="n">
        <v>3275</v>
      </c>
      <c r="J113" s="43" t="n">
        <v>556</v>
      </c>
      <c r="K113" s="43" t="n">
        <v>1636</v>
      </c>
      <c r="L113" s="43" t="n">
        <v>4422</v>
      </c>
      <c r="M113" s="43" t="n">
        <v>72</v>
      </c>
      <c r="N113" s="43" t="n">
        <v>2834</v>
      </c>
      <c r="O113" s="44">
        <f>IFERROR(2*(E113*$B$29+F113*$C$29+G113*$D$29+H113*$E$29+I113*$F$29)/B113-1,"")</f>
        <v/>
      </c>
      <c r="P113" s="44">
        <f>IFERROR(2*(J113*$B$29+K113*$C$29+L113*$D$29+M113*$E$29+N113*$F$29)/C113-1,"")</f>
        <v/>
      </c>
      <c r="Q113" s="45">
        <f>IFERROR(O113-P113,"")</f>
        <v/>
      </c>
      <c r="R113" s="44" t="n">
        <v>-0.4314098134070491</v>
      </c>
      <c r="S113" s="51" t="n">
        <v>0.1032951854775059</v>
      </c>
    </row>
    <row r="114">
      <c r="A114" s="42" t="inlineStr">
        <is>
          <t>Sampson</t>
        </is>
      </c>
      <c r="B114" s="43">
        <f>SUM(E114:I114)</f>
        <v/>
      </c>
      <c r="C114" s="43">
        <f>SUM(J114:N114)</f>
        <v/>
      </c>
      <c r="D114" s="64">
        <f>IFERROR(B114/C114-1,"")</f>
        <v/>
      </c>
      <c r="E114" s="43" t="n">
        <v>2554</v>
      </c>
      <c r="F114" s="43" t="n">
        <v>834</v>
      </c>
      <c r="G114" s="43" t="n">
        <v>2565</v>
      </c>
      <c r="H114" s="43" t="n">
        <v>312</v>
      </c>
      <c r="I114" s="43" t="n">
        <v>1192</v>
      </c>
      <c r="J114" s="43" t="n">
        <v>2025</v>
      </c>
      <c r="K114" s="43" t="n">
        <v>728</v>
      </c>
      <c r="L114" s="43" t="n">
        <v>2726</v>
      </c>
      <c r="M114" s="43" t="n">
        <v>145</v>
      </c>
      <c r="N114" s="43" t="n">
        <v>848</v>
      </c>
      <c r="O114" s="44">
        <f>IFERROR(2*(E114*$B$29+F114*$C$29+G114*$D$29+H114*$E$29+I114*$F$29)/B114-1,"")</f>
        <v/>
      </c>
      <c r="P114" s="44">
        <f>IFERROR(2*(J114*$B$29+K114*$C$29+L114*$D$29+M114*$E$29+N114*$F$29)/C114-1,"")</f>
        <v/>
      </c>
      <c r="Q114" s="45">
        <f>IFERROR(O114-P114,"")</f>
        <v/>
      </c>
      <c r="R114" s="44" t="n">
        <v>-0.1078998073217726</v>
      </c>
      <c r="S114" s="51" t="n">
        <v>0.3891645433820571</v>
      </c>
    </row>
    <row r="115">
      <c r="A115" s="42" t="inlineStr">
        <is>
          <t>Scotland</t>
        </is>
      </c>
      <c r="B115" s="43">
        <f>SUM(E115:I115)</f>
        <v/>
      </c>
      <c r="C115" s="43">
        <f>SUM(J115:N115)</f>
        <v/>
      </c>
      <c r="D115" s="64">
        <f>IFERROR(B115/C115-1,"")</f>
        <v/>
      </c>
      <c r="E115" s="43" t="n">
        <v>2106</v>
      </c>
      <c r="F115" s="43" t="n">
        <v>763</v>
      </c>
      <c r="G115" s="43" t="n">
        <v>1107</v>
      </c>
      <c r="H115" s="43" t="n">
        <v>240</v>
      </c>
      <c r="I115" s="43" t="n">
        <v>1342</v>
      </c>
      <c r="J115" s="43" t="n">
        <v>1863</v>
      </c>
      <c r="K115" s="43" t="n">
        <v>954</v>
      </c>
      <c r="L115" s="43" t="n">
        <v>931</v>
      </c>
      <c r="M115" s="43" t="n">
        <v>150</v>
      </c>
      <c r="N115" s="43" t="n">
        <v>1111</v>
      </c>
      <c r="O115" s="44">
        <f>IFERROR(2*(E115*$B$29+F115*$C$29+G115*$D$29+H115*$E$29+I115*$F$29)/B115-1,"")</f>
        <v/>
      </c>
      <c r="P115" s="44">
        <f>IFERROR(2*(J115*$B$29+K115*$C$29+L115*$D$29+M115*$E$29+N115*$F$29)/C115-1,"")</f>
        <v/>
      </c>
      <c r="Q115" s="45">
        <f>IFERROR(O115-P115,"")</f>
        <v/>
      </c>
      <c r="R115" s="44" t="n">
        <v>0.04962610469068661</v>
      </c>
      <c r="S115" s="51" t="n">
        <v>0.4283915077365959</v>
      </c>
    </row>
    <row r="116">
      <c r="A116" s="42" t="inlineStr">
        <is>
          <t>Stanly</t>
        </is>
      </c>
      <c r="B116" s="43">
        <f>SUM(E116:I116)</f>
        <v/>
      </c>
      <c r="C116" s="43">
        <f>SUM(J116:N116)</f>
        <v/>
      </c>
      <c r="D116" s="64">
        <f>IFERROR(B116/C116-1,"")</f>
        <v/>
      </c>
      <c r="E116" s="43" t="n">
        <v>959</v>
      </c>
      <c r="F116" s="43" t="n">
        <v>1331</v>
      </c>
      <c r="G116" s="43" t="n">
        <v>4633</v>
      </c>
      <c r="H116" s="43" t="n">
        <v>211</v>
      </c>
      <c r="I116" s="43" t="n">
        <v>3000</v>
      </c>
      <c r="J116" s="43" t="n">
        <v>546</v>
      </c>
      <c r="K116" s="43" t="n">
        <v>1223</v>
      </c>
      <c r="L116" s="43" t="n">
        <v>4990</v>
      </c>
      <c r="M116" s="43" t="n">
        <v>63</v>
      </c>
      <c r="N116" s="43" t="n">
        <v>2400</v>
      </c>
      <c r="O116" s="44">
        <f>IFERROR(2*(E116*$B$29+F116*$C$29+G116*$D$29+H116*$E$29+I116*$F$29)/B116-1,"")</f>
        <v/>
      </c>
      <c r="P116" s="44">
        <f>IFERROR(2*(J116*$B$29+K116*$C$29+L116*$D$29+M116*$E$29+N116*$F$29)/C116-1,"")</f>
        <v/>
      </c>
      <c r="Q116" s="45">
        <f>IFERROR(O116-P116,"")</f>
        <v/>
      </c>
      <c r="R116" s="44" t="n">
        <v>-0.4975605428900914</v>
      </c>
      <c r="S116" s="51" t="n">
        <v>0.1171304519439511</v>
      </c>
    </row>
    <row r="117">
      <c r="A117" s="42" t="inlineStr">
        <is>
          <t>Stokes</t>
        </is>
      </c>
      <c r="B117" s="43">
        <f>SUM(E117:I117)</f>
        <v/>
      </c>
      <c r="C117" s="43">
        <f>SUM(J117:N117)</f>
        <v/>
      </c>
      <c r="D117" s="64">
        <f>IFERROR(B117/C117-1,"")</f>
        <v/>
      </c>
      <c r="E117" s="43" t="n">
        <v>296</v>
      </c>
      <c r="F117" s="43" t="n">
        <v>1223</v>
      </c>
      <c r="G117" s="43" t="n">
        <v>3835</v>
      </c>
      <c r="H117" s="43" t="n">
        <v>55</v>
      </c>
      <c r="I117" s="43" t="n">
        <v>2122</v>
      </c>
      <c r="J117" s="43" t="n">
        <v>225</v>
      </c>
      <c r="K117" s="43" t="n">
        <v>1133</v>
      </c>
      <c r="L117" s="43" t="n">
        <v>3879</v>
      </c>
      <c r="M117" s="43" t="n">
        <v>19</v>
      </c>
      <c r="N117" s="43" t="n">
        <v>1641</v>
      </c>
      <c r="O117" s="44">
        <f>IFERROR(2*(E117*$B$29+F117*$C$29+G117*$D$29+H117*$E$29+I117*$F$29)/B117-1,"")</f>
        <v/>
      </c>
      <c r="P117" s="44">
        <f>IFERROR(2*(J117*$B$29+K117*$C$29+L117*$D$29+M117*$E$29+N117*$F$29)/C117-1,"")</f>
        <v/>
      </c>
      <c r="Q117" s="45">
        <f>IFERROR(O117-P117,"")</f>
        <v/>
      </c>
      <c r="R117" s="44" t="n">
        <v>-0.4574793875147232</v>
      </c>
      <c r="S117" s="51" t="n">
        <v>0.04780241667773204</v>
      </c>
    </row>
    <row r="118">
      <c r="A118" s="42" t="inlineStr">
        <is>
          <t>Surry</t>
        </is>
      </c>
      <c r="B118" s="43">
        <f>SUM(E118:I118)</f>
        <v/>
      </c>
      <c r="C118" s="43">
        <f>SUM(J118:N118)</f>
        <v/>
      </c>
      <c r="D118" s="64">
        <f>IFERROR(B118/C118-1,"")</f>
        <v/>
      </c>
      <c r="E118" s="43" t="n">
        <v>414</v>
      </c>
      <c r="F118" s="43" t="n">
        <v>2457</v>
      </c>
      <c r="G118" s="43" t="n">
        <v>5670</v>
      </c>
      <c r="H118" s="43" t="n">
        <v>64</v>
      </c>
      <c r="I118" s="43" t="n">
        <v>3593</v>
      </c>
      <c r="J118" s="43" t="n">
        <v>327</v>
      </c>
      <c r="K118" s="43" t="n">
        <v>2240</v>
      </c>
      <c r="L118" s="43" t="n">
        <v>5156</v>
      </c>
      <c r="M118" s="43" t="n">
        <v>28</v>
      </c>
      <c r="N118" s="43" t="n">
        <v>2693</v>
      </c>
      <c r="O118" s="44">
        <f>IFERROR(2*(E118*$B$29+F118*$C$29+G118*$D$29+H118*$E$29+I118*$F$29)/B118-1,"")</f>
        <v/>
      </c>
      <c r="P118" s="44">
        <f>IFERROR(2*(J118*$B$29+K118*$C$29+L118*$D$29+M118*$E$29+N118*$F$29)/C118-1,"")</f>
        <v/>
      </c>
      <c r="Q118" s="45">
        <f>IFERROR(O118-P118,"")</f>
        <v/>
      </c>
      <c r="R118" s="44" t="n">
        <v>-0.4210526315789473</v>
      </c>
      <c r="S118" s="51" t="n">
        <v>0.03943269388424332</v>
      </c>
    </row>
    <row r="119">
      <c r="A119" s="42" t="inlineStr">
        <is>
          <t>Swain</t>
        </is>
      </c>
      <c r="B119" s="43">
        <f>SUM(E119:I119)</f>
        <v/>
      </c>
      <c r="C119" s="43">
        <f>SUM(J119:N119)</f>
        <v/>
      </c>
      <c r="D119" s="64">
        <f>IFERROR(B119/C119-1,"")</f>
        <v/>
      </c>
      <c r="E119" s="43" t="n">
        <v>11</v>
      </c>
      <c r="F119" s="43" t="n">
        <v>803</v>
      </c>
      <c r="G119" s="43" t="n">
        <v>715</v>
      </c>
      <c r="H119" s="43" t="n">
        <v>2</v>
      </c>
      <c r="I119" s="43" t="n">
        <v>946</v>
      </c>
      <c r="J119" s="43" t="n">
        <v>9</v>
      </c>
      <c r="K119" s="43" t="n">
        <v>890</v>
      </c>
      <c r="L119" s="43" t="n">
        <v>803</v>
      </c>
      <c r="M119" s="43" t="n">
        <v>3</v>
      </c>
      <c r="N119" s="43" t="n">
        <v>814</v>
      </c>
      <c r="O119" s="44">
        <f>IFERROR(2*(E119*$B$29+F119*$C$29+G119*$D$29+H119*$E$29+I119*$F$29)/B119-1,"")</f>
        <v/>
      </c>
      <c r="P119" s="44">
        <f>IFERROR(2*(J119*$B$29+K119*$C$29+L119*$D$29+M119*$E$29+N119*$F$29)/C119-1,"")</f>
        <v/>
      </c>
      <c r="Q119" s="45">
        <f>IFERROR(O119-P119,"")</f>
        <v/>
      </c>
      <c r="R119" s="44" t="n">
        <v>-0.1474947071277347</v>
      </c>
      <c r="S119" s="51" t="n">
        <v>0.005248284214775939</v>
      </c>
    </row>
    <row r="120">
      <c r="A120" s="42" t="inlineStr">
        <is>
          <t>Transylvania</t>
        </is>
      </c>
      <c r="B120" s="43">
        <f>SUM(E120:I120)</f>
        <v/>
      </c>
      <c r="C120" s="43">
        <f>SUM(J120:N120)</f>
        <v/>
      </c>
      <c r="D120" s="64">
        <f>IFERROR(B120/C120-1,"")</f>
        <v/>
      </c>
      <c r="E120" s="43" t="n">
        <v>128</v>
      </c>
      <c r="F120" s="43" t="n">
        <v>2581</v>
      </c>
      <c r="G120" s="43" t="n">
        <v>2305</v>
      </c>
      <c r="H120" s="43" t="n">
        <v>52</v>
      </c>
      <c r="I120" s="43" t="n">
        <v>4160</v>
      </c>
      <c r="J120" s="43" t="n">
        <v>118</v>
      </c>
      <c r="K120" s="43" t="n">
        <v>2482</v>
      </c>
      <c r="L120" s="43" t="n">
        <v>2674</v>
      </c>
      <c r="M120" s="43" t="n">
        <v>22</v>
      </c>
      <c r="N120" s="43" t="n">
        <v>3559</v>
      </c>
      <c r="O120" s="44">
        <f>IFERROR(2*(E120*$B$29+F120*$C$29+G120*$D$29+H120*$E$29+I120*$F$29)/B120-1,"")</f>
        <v/>
      </c>
      <c r="P120" s="44">
        <f>IFERROR(2*(J120*$B$29+K120*$C$29+L120*$D$29+M120*$E$29+N120*$F$29)/C120-1,"")</f>
        <v/>
      </c>
      <c r="Q120" s="45">
        <f>IFERROR(O120-P120,"")</f>
        <v/>
      </c>
      <c r="R120" s="44" t="n">
        <v>0.04454900390429473</v>
      </c>
      <c r="S120" s="51" t="n">
        <v>0.01972685887708649</v>
      </c>
    </row>
    <row r="121">
      <c r="A121" s="42" t="inlineStr">
        <is>
          <t>Tyrrell</t>
        </is>
      </c>
      <c r="B121" s="43">
        <f>SUM(E121:I121)</f>
        <v/>
      </c>
      <c r="C121" s="43">
        <f>SUM(J121:N121)</f>
        <v/>
      </c>
      <c r="D121" s="64">
        <f>IFERROR(B121/C121-1,"")</f>
        <v/>
      </c>
      <c r="E121" s="43" t="n">
        <v>129</v>
      </c>
      <c r="F121" s="43" t="n">
        <v>107</v>
      </c>
      <c r="G121" s="43" t="n">
        <v>110</v>
      </c>
      <c r="H121" s="43" t="n">
        <v>11</v>
      </c>
      <c r="I121" s="43" t="n">
        <v>202</v>
      </c>
      <c r="J121" s="43" t="n">
        <v>88</v>
      </c>
      <c r="K121" s="43" t="n">
        <v>137</v>
      </c>
      <c r="L121" s="43" t="n">
        <v>101</v>
      </c>
      <c r="M121" s="43" t="n">
        <v>6</v>
      </c>
      <c r="N121" s="43" t="n">
        <v>179</v>
      </c>
      <c r="O121" s="44">
        <f>IFERROR(2*(E121*$B$29+F121*$C$29+G121*$D$29+H121*$E$29+I121*$F$29)/B121-1,"")</f>
        <v/>
      </c>
      <c r="P121" s="44">
        <f>IFERROR(2*(J121*$B$29+K121*$C$29+L121*$D$29+M121*$E$29+N121*$F$29)/C121-1,"")</f>
        <v/>
      </c>
      <c r="Q121" s="45">
        <f>IFERROR(O121-P121,"")</f>
        <v/>
      </c>
      <c r="R121" s="44" t="n">
        <v>-0.2960526315789473</v>
      </c>
      <c r="S121" s="51" t="n">
        <v>0.2540250447227191</v>
      </c>
    </row>
    <row r="122">
      <c r="A122" s="42" t="inlineStr">
        <is>
          <t>Union</t>
        </is>
      </c>
      <c r="B122" s="43">
        <f>SUM(E122:I122)</f>
        <v/>
      </c>
      <c r="C122" s="43">
        <f>SUM(J122:N122)</f>
        <v/>
      </c>
      <c r="D122" s="64">
        <f>IFERROR(B122/C122-1,"")</f>
        <v/>
      </c>
      <c r="E122" s="43" t="n">
        <v>4640</v>
      </c>
      <c r="F122" s="43" t="n">
        <v>9056</v>
      </c>
      <c r="G122" s="43" t="n">
        <v>17328</v>
      </c>
      <c r="H122" s="43" t="n">
        <v>1464</v>
      </c>
      <c r="I122" s="43" t="n">
        <v>16614</v>
      </c>
      <c r="J122" s="43" t="n">
        <v>3605</v>
      </c>
      <c r="K122" s="43" t="n">
        <v>6566</v>
      </c>
      <c r="L122" s="43" t="n">
        <v>18402</v>
      </c>
      <c r="M122" s="43" t="n">
        <v>821</v>
      </c>
      <c r="N122" s="43" t="n">
        <v>12108</v>
      </c>
      <c r="O122" s="44">
        <f>IFERROR(2*(E122*$B$29+F122*$C$29+G122*$D$29+H122*$E$29+I122*$F$29)/B122-1,"")</f>
        <v/>
      </c>
      <c r="P122" s="44">
        <f>IFERROR(2*(J122*$B$29+K122*$C$29+L122*$D$29+M122*$E$29+N122*$F$29)/C122-1,"")</f>
        <v/>
      </c>
      <c r="Q122" s="45">
        <f>IFERROR(O122-P122,"")</f>
        <v/>
      </c>
      <c r="R122" s="44" t="n">
        <v>-0.1922373462197493</v>
      </c>
      <c r="S122" s="51" t="n">
        <v>0.1265936214410818</v>
      </c>
    </row>
    <row r="123">
      <c r="A123" s="42" t="inlineStr">
        <is>
          <t>Vance</t>
        </is>
      </c>
      <c r="B123" s="43">
        <f>SUM(E123:I123)</f>
        <v/>
      </c>
      <c r="C123" s="43">
        <f>SUM(J123:N123)</f>
        <v/>
      </c>
      <c r="D123" s="64">
        <f>IFERROR(B123/C123-1,"")</f>
        <v/>
      </c>
      <c r="E123" s="43" t="n">
        <v>3792</v>
      </c>
      <c r="F123" s="43" t="n">
        <v>1152</v>
      </c>
      <c r="G123" s="43" t="n">
        <v>1261</v>
      </c>
      <c r="H123" s="43" t="n">
        <v>335</v>
      </c>
      <c r="I123" s="43" t="n">
        <v>1305</v>
      </c>
      <c r="J123" s="43" t="n">
        <v>2992</v>
      </c>
      <c r="K123" s="43" t="n">
        <v>1434</v>
      </c>
      <c r="L123" s="43" t="n">
        <v>1300</v>
      </c>
      <c r="M123" s="43" t="n">
        <v>153</v>
      </c>
      <c r="N123" s="43" t="n">
        <v>1116</v>
      </c>
      <c r="O123" s="44">
        <f>IFERROR(2*(E123*$B$29+F123*$C$29+G123*$D$29+H123*$E$29+I123*$F$29)/B123-1,"")</f>
        <v/>
      </c>
      <c r="P123" s="44">
        <f>IFERROR(2*(J123*$B$29+K123*$C$29+L123*$D$29+M123*$E$29+N123*$F$29)/C123-1,"")</f>
        <v/>
      </c>
      <c r="Q123" s="45">
        <f>IFERROR(O123-P123,"")</f>
        <v/>
      </c>
      <c r="R123" s="44" t="n">
        <v>0.1533638775018085</v>
      </c>
      <c r="S123" s="51" t="n">
        <v>0.5318036966220523</v>
      </c>
    </row>
    <row r="124">
      <c r="A124" s="42" t="inlineStr">
        <is>
          <t>Wake</t>
        </is>
      </c>
      <c r="B124" s="43">
        <f>SUM(E124:I124)</f>
        <v/>
      </c>
      <c r="C124" s="43">
        <f>SUM(J124:N124)</f>
        <v/>
      </c>
      <c r="D124" s="64">
        <f>IFERROR(B124/C124-1,"")</f>
        <v/>
      </c>
      <c r="E124" s="43" t="n">
        <v>36516</v>
      </c>
      <c r="F124" s="43" t="n">
        <v>77613</v>
      </c>
      <c r="G124" s="43" t="n">
        <v>42887</v>
      </c>
      <c r="H124" s="43" t="n">
        <v>11447</v>
      </c>
      <c r="I124" s="43" t="n">
        <v>100197</v>
      </c>
      <c r="J124" s="43" t="n">
        <v>26095</v>
      </c>
      <c r="K124" s="43" t="n">
        <v>57183</v>
      </c>
      <c r="L124" s="43" t="n">
        <v>43502</v>
      </c>
      <c r="M124" s="43" t="n">
        <v>5689</v>
      </c>
      <c r="N124" s="43" t="n">
        <v>66269</v>
      </c>
      <c r="O124" s="44">
        <f>IFERROR(2*(E124*$B$29+F124*$C$29+G124*$D$29+H124*$E$29+I124*$F$29)/B124-1,"")</f>
        <v/>
      </c>
      <c r="P124" s="44">
        <f>IFERROR(2*(J124*$B$29+K124*$C$29+L124*$D$29+M124*$E$29+N124*$F$29)/C124-1,"")</f>
        <v/>
      </c>
      <c r="Q124" s="45">
        <f>IFERROR(O124-P124,"")</f>
        <v/>
      </c>
      <c r="R124" s="44" t="n">
        <v>0.3943063598831377</v>
      </c>
      <c r="S124" s="51" t="n">
        <v>0.1805627931214174</v>
      </c>
    </row>
    <row r="125">
      <c r="A125" s="42" t="inlineStr">
        <is>
          <t>Warren</t>
        </is>
      </c>
      <c r="B125" s="43">
        <f>SUM(E125:I125)</f>
        <v/>
      </c>
      <c r="C125" s="43">
        <f>SUM(J125:N125)</f>
        <v/>
      </c>
      <c r="D125" s="64">
        <f>IFERROR(B125/C125-1,"")</f>
        <v/>
      </c>
      <c r="E125" s="43" t="n">
        <v>1975</v>
      </c>
      <c r="F125" s="43" t="n">
        <v>615</v>
      </c>
      <c r="G125" s="43" t="n">
        <v>542</v>
      </c>
      <c r="H125" s="43" t="n">
        <v>172</v>
      </c>
      <c r="I125" s="43" t="n">
        <v>670</v>
      </c>
      <c r="J125" s="43" t="n">
        <v>1717</v>
      </c>
      <c r="K125" s="43" t="n">
        <v>578</v>
      </c>
      <c r="L125" s="43" t="n">
        <v>411</v>
      </c>
      <c r="M125" s="43" t="n">
        <v>93</v>
      </c>
      <c r="N125" s="43" t="n">
        <v>440</v>
      </c>
      <c r="O125" s="44">
        <f>IFERROR(2*(E125*$B$29+F125*$C$29+G125*$D$29+H125*$E$29+I125*$F$29)/B125-1,"")</f>
        <v/>
      </c>
      <c r="P125" s="44">
        <f>IFERROR(2*(J125*$B$29+K125*$C$29+L125*$D$29+M125*$E$29+N125*$F$29)/C125-1,"")</f>
        <v/>
      </c>
      <c r="Q125" s="45">
        <f>IFERROR(O125-P125,"")</f>
        <v/>
      </c>
      <c r="R125" s="44" t="n">
        <v>0.4555755858872006</v>
      </c>
      <c r="S125" s="51" t="n">
        <v>0.5470558631102164</v>
      </c>
    </row>
    <row r="126">
      <c r="A126" s="42" t="inlineStr">
        <is>
          <t>Washington</t>
        </is>
      </c>
      <c r="B126" s="43">
        <f>SUM(E126:I126)</f>
        <v/>
      </c>
      <c r="C126" s="43">
        <f>SUM(J126:N126)</f>
        <v/>
      </c>
      <c r="D126" s="64">
        <f>IFERROR(B126/C126-1,"")</f>
        <v/>
      </c>
      <c r="E126" s="43" t="n">
        <v>1176</v>
      </c>
      <c r="F126" s="43" t="n">
        <v>336</v>
      </c>
      <c r="G126" s="43" t="n">
        <v>315</v>
      </c>
      <c r="H126" s="43" t="n">
        <v>74</v>
      </c>
      <c r="I126" s="43" t="n">
        <v>400</v>
      </c>
      <c r="J126" s="43" t="n">
        <v>781</v>
      </c>
      <c r="K126" s="43" t="n">
        <v>380</v>
      </c>
      <c r="L126" s="43" t="n">
        <v>253</v>
      </c>
      <c r="M126" s="43" t="n">
        <v>32</v>
      </c>
      <c r="N126" s="43" t="n">
        <v>311</v>
      </c>
      <c r="O126" s="44">
        <f>IFERROR(2*(E126*$B$29+F126*$C$29+G126*$D$29+H126*$E$29+I126*$F$29)/B126-1,"")</f>
        <v/>
      </c>
      <c r="P126" s="44">
        <f>IFERROR(2*(J126*$B$29+K126*$C$29+L126*$D$29+M126*$E$29+N126*$F$29)/C126-1,"")</f>
        <v/>
      </c>
      <c r="Q126" s="45">
        <f>IFERROR(O126-P126,"")</f>
        <v/>
      </c>
      <c r="R126" s="44" t="n">
        <v>0.1613216715257532</v>
      </c>
      <c r="S126" s="51" t="n">
        <v>0.5475880052151239</v>
      </c>
    </row>
    <row r="127">
      <c r="A127" s="42" t="inlineStr">
        <is>
          <t>Watauga</t>
        </is>
      </c>
      <c r="B127" s="43">
        <f>SUM(E127:I127)</f>
        <v/>
      </c>
      <c r="C127" s="43">
        <f>SUM(J127:N127)</f>
        <v/>
      </c>
      <c r="D127" s="64">
        <f>IFERROR(B127/C127-1,"")</f>
        <v/>
      </c>
      <c r="E127" s="43" t="n">
        <v>113</v>
      </c>
      <c r="F127" s="43" t="n">
        <v>4127</v>
      </c>
      <c r="G127" s="43" t="n">
        <v>2654</v>
      </c>
      <c r="H127" s="43" t="n">
        <v>69</v>
      </c>
      <c r="I127" s="43" t="n">
        <v>5391</v>
      </c>
      <c r="J127" s="43" t="n">
        <v>67</v>
      </c>
      <c r="K127" s="43" t="n">
        <v>3709</v>
      </c>
      <c r="L127" s="43" t="n">
        <v>3257</v>
      </c>
      <c r="M127" s="43" t="n">
        <v>49</v>
      </c>
      <c r="N127" s="43" t="n">
        <v>4192</v>
      </c>
      <c r="O127" s="44">
        <f>IFERROR(2*(E127*$B$29+F127*$C$29+G127*$D$29+H127*$E$29+I127*$F$29)/B127-1,"")</f>
        <v/>
      </c>
      <c r="P127" s="44">
        <f>IFERROR(2*(J127*$B$29+K127*$C$29+L127*$D$29+M127*$E$29+N127*$F$29)/C127-1,"")</f>
        <v/>
      </c>
      <c r="Q127" s="45">
        <f>IFERROR(O127-P127,"")</f>
        <v/>
      </c>
      <c r="R127" s="44" t="n">
        <v>0.179520697167756</v>
      </c>
      <c r="S127" s="51" t="n">
        <v>0.01489396146996924</v>
      </c>
    </row>
    <row r="128">
      <c r="A128" s="42" t="inlineStr">
        <is>
          <t>Wayne</t>
        </is>
      </c>
      <c r="B128" s="43">
        <f>SUM(E128:I128)</f>
        <v/>
      </c>
      <c r="C128" s="43">
        <f>SUM(J128:N128)</f>
        <v/>
      </c>
      <c r="D128" s="64">
        <f>IFERROR(B128/C128-1,"")</f>
        <v/>
      </c>
      <c r="E128" s="43" t="n">
        <v>6476</v>
      </c>
      <c r="F128" s="43" t="n">
        <v>2405</v>
      </c>
      <c r="G128" s="43" t="n">
        <v>6975</v>
      </c>
      <c r="H128" s="43" t="n">
        <v>1054</v>
      </c>
      <c r="I128" s="43" t="n">
        <v>3698</v>
      </c>
      <c r="J128" s="43" t="n">
        <v>5092</v>
      </c>
      <c r="K128" s="43" t="n">
        <v>2449</v>
      </c>
      <c r="L128" s="43" t="n">
        <v>7238</v>
      </c>
      <c r="M128" s="43" t="n">
        <v>583</v>
      </c>
      <c r="N128" s="43" t="n">
        <v>2995</v>
      </c>
      <c r="O128" s="44">
        <f>IFERROR(2*(E128*$B$29+F128*$C$29+G128*$D$29+H128*$E$29+I128*$F$29)/B128-1,"")</f>
        <v/>
      </c>
      <c r="P128" s="44">
        <f>IFERROR(2*(J128*$B$29+K128*$C$29+L128*$D$29+M128*$E$29+N128*$F$29)/C128-1,"")</f>
        <v/>
      </c>
      <c r="Q128" s="45">
        <f>IFERROR(O128-P128,"")</f>
        <v/>
      </c>
      <c r="R128" s="44" t="n">
        <v>-0.1067143568615022</v>
      </c>
      <c r="S128" s="51" t="n">
        <v>0.3702445652173913</v>
      </c>
    </row>
    <row r="129">
      <c r="A129" s="42" t="inlineStr">
        <is>
          <t>Wilkes</t>
        </is>
      </c>
      <c r="B129" s="43">
        <f>SUM(E129:I129)</f>
        <v/>
      </c>
      <c r="C129" s="43">
        <f>SUM(J129:N129)</f>
        <v/>
      </c>
      <c r="D129" s="64">
        <f>IFERROR(B129/C129-1,"")</f>
        <v/>
      </c>
      <c r="E129" s="43" t="n">
        <v>287</v>
      </c>
      <c r="F129" s="43" t="n">
        <v>1429</v>
      </c>
      <c r="G129" s="43" t="n">
        <v>4536</v>
      </c>
      <c r="H129" s="43" t="n">
        <v>79</v>
      </c>
      <c r="I129" s="43" t="n">
        <v>2262</v>
      </c>
      <c r="J129" s="43" t="n">
        <v>241</v>
      </c>
      <c r="K129" s="43" t="n">
        <v>1265</v>
      </c>
      <c r="L129" s="43" t="n">
        <v>4510</v>
      </c>
      <c r="M129" s="43" t="n">
        <v>32</v>
      </c>
      <c r="N129" s="43" t="n">
        <v>1733</v>
      </c>
      <c r="O129" s="44">
        <f>IFERROR(2*(E129*$B$29+F129*$C$29+G129*$D$29+H129*$E$29+I129*$F$29)/B129-1,"")</f>
        <v/>
      </c>
      <c r="P129" s="44">
        <f>IFERROR(2*(J129*$B$29+K129*$C$29+L129*$D$29+M129*$E$29+N129*$F$29)/C129-1,"")</f>
        <v/>
      </c>
      <c r="Q129" s="45">
        <f>IFERROR(O129-P129,"")</f>
        <v/>
      </c>
      <c r="R129" s="44" t="n">
        <v>-0.4621725973077325</v>
      </c>
      <c r="S129" s="51" t="n">
        <v>0.04410566740370069</v>
      </c>
    </row>
    <row r="130">
      <c r="A130" s="42" t="inlineStr">
        <is>
          <t>Wilson</t>
        </is>
      </c>
      <c r="B130" s="43">
        <f>SUM(E130:I130)</f>
        <v/>
      </c>
      <c r="C130" s="43">
        <f>SUM(J130:N130)</f>
        <v/>
      </c>
      <c r="D130" s="64">
        <f>IFERROR(B130/C130-1,"")</f>
        <v/>
      </c>
      <c r="E130" s="43" t="n">
        <v>5709</v>
      </c>
      <c r="F130" s="43" t="n">
        <v>1995</v>
      </c>
      <c r="G130" s="43" t="n">
        <v>3085</v>
      </c>
      <c r="H130" s="43" t="n">
        <v>709</v>
      </c>
      <c r="I130" s="43" t="n">
        <v>3037</v>
      </c>
      <c r="J130" s="43" t="n">
        <v>4744</v>
      </c>
      <c r="K130" s="43" t="n">
        <v>1768</v>
      </c>
      <c r="L130" s="43" t="n">
        <v>3424</v>
      </c>
      <c r="M130" s="43" t="n">
        <v>375</v>
      </c>
      <c r="N130" s="43" t="n">
        <v>2364</v>
      </c>
      <c r="O130" s="44">
        <f>IFERROR(2*(E130*$B$29+F130*$C$29+G130*$D$29+H130*$E$29+I130*$F$29)/B130-1,"")</f>
        <v/>
      </c>
      <c r="P130" s="44">
        <f>IFERROR(2*(J130*$B$29+K130*$C$29+L130*$D$29+M130*$E$29+N130*$F$29)/C130-1,"")</f>
        <v/>
      </c>
      <c r="Q130" s="45">
        <f>IFERROR(O130-P130,"")</f>
        <v/>
      </c>
      <c r="R130" s="44" t="n">
        <v>0.09201480698043363</v>
      </c>
      <c r="S130" s="51" t="n">
        <v>0.4454076367389061</v>
      </c>
    </row>
    <row r="131">
      <c r="A131" s="42" t="inlineStr">
        <is>
          <t>Yadkin</t>
        </is>
      </c>
      <c r="B131" s="43">
        <f>SUM(E131:I131)</f>
        <v/>
      </c>
      <c r="C131" s="43">
        <f>SUM(J131:N131)</f>
        <v/>
      </c>
      <c r="D131" s="64">
        <f>IFERROR(B131/C131-1,"")</f>
        <v/>
      </c>
      <c r="E131" s="43" t="n">
        <v>129</v>
      </c>
      <c r="F131" s="43" t="n">
        <v>645</v>
      </c>
      <c r="G131" s="43" t="n">
        <v>2879</v>
      </c>
      <c r="H131" s="43" t="n">
        <v>31</v>
      </c>
      <c r="I131" s="43" t="n">
        <v>1486</v>
      </c>
      <c r="J131" s="43" t="n">
        <v>98</v>
      </c>
      <c r="K131" s="43" t="n">
        <v>449</v>
      </c>
      <c r="L131" s="43" t="n">
        <v>2480</v>
      </c>
      <c r="M131" s="43" t="n">
        <v>17</v>
      </c>
      <c r="N131" s="43" t="n">
        <v>971</v>
      </c>
      <c r="O131" s="44">
        <f>IFERROR(2*(E131*$B$29+F131*$C$29+G131*$D$29+H131*$E$29+I131*$F$29)/B131-1,"")</f>
        <v/>
      </c>
      <c r="P131" s="44">
        <f>IFERROR(2*(J131*$B$29+K131*$C$29+L131*$D$29+M131*$E$29+N131*$F$29)/C131-1,"")</f>
        <v/>
      </c>
      <c r="Q131" s="45">
        <f>IFERROR(O131-P131,"")</f>
        <v/>
      </c>
      <c r="R131" s="44" t="n">
        <v>-0.5164879627756424</v>
      </c>
      <c r="S131" s="51" t="n">
        <v>0.03191489361702127</v>
      </c>
    </row>
    <row r="132">
      <c r="A132" s="42" t="inlineStr">
        <is>
          <t>Yancey</t>
        </is>
      </c>
      <c r="B132" s="43">
        <f>SUM(E132:I132)</f>
        <v/>
      </c>
      <c r="C132" s="43">
        <f>SUM(J132:N132)</f>
        <v/>
      </c>
      <c r="D132" s="64">
        <f>IFERROR(B132/C132-1,"")</f>
        <v/>
      </c>
      <c r="E132" s="43" t="n">
        <v>9</v>
      </c>
      <c r="F132" s="43" t="n">
        <v>1443</v>
      </c>
      <c r="G132" s="43" t="n">
        <v>1462</v>
      </c>
      <c r="H132" s="43" t="n">
        <v>8</v>
      </c>
      <c r="I132" s="43" t="n">
        <v>1675</v>
      </c>
      <c r="J132" s="43" t="n">
        <v>10</v>
      </c>
      <c r="K132" s="43" t="n">
        <v>1465</v>
      </c>
      <c r="L132" s="43" t="n">
        <v>1757</v>
      </c>
      <c r="M132" s="43" t="n">
        <v>7</v>
      </c>
      <c r="N132" s="43" t="n">
        <v>1422</v>
      </c>
      <c r="O132" s="44">
        <f>IFERROR(2*(E132*$B$29+F132*$C$29+G132*$D$29+H132*$E$29+I132*$F$29)/B132-1,"")</f>
        <v/>
      </c>
      <c r="P132" s="44">
        <f>IFERROR(2*(J132*$B$29+K132*$C$29+L132*$D$29+M132*$E$29+N132*$F$29)/C132-1,"")</f>
        <v/>
      </c>
      <c r="Q132" s="45">
        <f>IFERROR(O132-P132,"")</f>
        <v/>
      </c>
      <c r="R132" s="44" t="n">
        <v>-0.2136813681368137</v>
      </c>
      <c r="S132" s="51" t="n">
        <v>0.003915597128562106</v>
      </c>
    </row>
    <row r="133">
      <c r="A133" s="22" t="inlineStr">
        <is>
          <t>Statewide</t>
        </is>
      </c>
      <c r="B133" s="65">
        <f>SUM(B33:B132)</f>
        <v/>
      </c>
      <c r="C133" s="65">
        <f>SUM(C33:C132)</f>
        <v/>
      </c>
      <c r="D133" s="66">
        <f>IFERROR(B133/C133-1,"")</f>
        <v/>
      </c>
      <c r="E133" s="65">
        <f>SUM(E33:E132)</f>
        <v/>
      </c>
      <c r="F133" s="65">
        <f>SUM(F33:F132)</f>
        <v/>
      </c>
      <c r="G133" s="65">
        <f>SUM(G33:G132)</f>
        <v/>
      </c>
      <c r="H133" s="65">
        <f>SUM(H33:H132)</f>
        <v/>
      </c>
      <c r="I133" s="65">
        <f>SUM(I33:I132)</f>
        <v/>
      </c>
      <c r="J133" s="65">
        <f>SUM(J33:J132)</f>
        <v/>
      </c>
      <c r="K133" s="65">
        <f>SUM(K33:K132)</f>
        <v/>
      </c>
      <c r="L133" s="65">
        <f>SUM(L33:L132)</f>
        <v/>
      </c>
      <c r="M133" s="65">
        <f>SUM(M33:M132)</f>
        <v/>
      </c>
      <c r="N133" s="65">
        <f>SUM(N33:N132)</f>
        <v/>
      </c>
      <c r="O133" s="67">
        <f>IFERROR(2*(E133*$B$29+F133*$C$29+G133*$D$29+H133*$E$29+I133*$F$29)/B133-1,"")</f>
        <v/>
      </c>
      <c r="P133" s="67">
        <f>IFERROR(2*(J133*$B$29+K133*$C$29+L133*$D$29+M133*$E$29+N133*$F$29)/C133-1,"")</f>
        <v/>
      </c>
      <c r="Q133" s="68">
        <f>IFERROR(O133-P133,"")</f>
        <v/>
      </c>
      <c r="R133" s="67" t="n">
        <v>0.0897427200029738</v>
      </c>
      <c r="S133" s="2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2026-10-29T23:09:31Z</dcterms:created>
  <dcterms:modified xsi:type="dcterms:W3CDTF">2026-10-29T23:09:32Z</dcterms:modified>
</cp:coreProperties>
</file>